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updateLinks="never"/>
  <xr:revisionPtr revIDLastSave="17" documentId="8_{13B42D6E-8315-4CF0-86E9-FAAD923E1CB5}" xr6:coauthVersionLast="47" xr6:coauthVersionMax="47" xr10:uidLastSave="{366293EB-A2F9-4085-A42C-4E01232C7E3E}"/>
  <bookViews>
    <workbookView xWindow="-120" yWindow="-120" windowWidth="29040" windowHeight="17640" tabRatio="1000" firstSheet="5" activeTab="6" xr2:uid="{00000000-000D-0000-FFFF-FFFF01000000}"/>
  </bookViews>
  <sheets>
    <sheet name="Guide to the material" sheetId="82" r:id="rId1"/>
    <sheet name="Table of contents" sheetId="83" r:id="rId2"/>
    <sheet name="Results Summary" sheetId="101" r:id="rId3"/>
    <sheet name="Summary pivot" sheetId="102" r:id="rId4"/>
    <sheet name="Meat and eggs" sheetId="84" r:id="rId5"/>
    <sheet name="Dairy products" sheetId="85" r:id="rId6"/>
    <sheet name="Fish and seafood" sheetId="86" r:id="rId7"/>
    <sheet name="Grains, oil crops, sugar" sheetId="87" r:id="rId8"/>
    <sheet name="Vegetables, roots, legumes" sheetId="88" r:id="rId9"/>
    <sheet name="Fruits, berries, cocoa, coffee" sheetId="89" r:id="rId10"/>
    <sheet name="Processed products" sheetId="90" r:id="rId11"/>
    <sheet name="Common input data" sheetId="91" r:id="rId12"/>
    <sheet name="Blad1" sheetId="108" r:id="rId13"/>
    <sheet name="Input data processed products" sheetId="96" r:id="rId14"/>
    <sheet name="Input data meat and eggs" sheetId="92" r:id="rId15"/>
    <sheet name="Feed products" sheetId="106" r:id="rId16"/>
    <sheet name="Input data dairy products" sheetId="93" r:id="rId17"/>
    <sheet name="Input data fish and seafood" sheetId="94" r:id="rId18"/>
    <sheet name="Input data plant-based products" sheetId="95" r:id="rId19"/>
    <sheet name="Excluded data" sheetId="97" r:id="rId20"/>
    <sheet name="Maintenance of data" sheetId="98" r:id="rId21"/>
    <sheet name="Reference list" sheetId="99" r:id="rId22"/>
    <sheet name="Change log" sheetId="100" r:id="rId23"/>
    <sheet name="Mat-Miljö-listan" sheetId="107" r:id="rId24"/>
  </sheets>
  <externalReferences>
    <externalReference r:id="rId25"/>
    <externalReference r:id="rId26"/>
    <externalReference r:id="rId27"/>
    <externalReference r:id="rId28"/>
    <externalReference r:id="rId29"/>
    <externalReference r:id="rId30"/>
    <externalReference r:id="rId31"/>
  </externalReferences>
  <definedNames>
    <definedName name="_Ref501010803" localSheetId="19">'Excluded data'!$A$117</definedName>
    <definedName name="_Ref501632987" localSheetId="19">'Excluded data'!$A$10</definedName>
    <definedName name="_Ref501704412" localSheetId="13">'Input data processed products'!$E$28</definedName>
    <definedName name="_Toc505255448" localSheetId="11">'Common input data'!$A$64</definedName>
    <definedName name="a_t" localSheetId="22">'[1]Base case results'!$B$2</definedName>
    <definedName name="a_t" localSheetId="11">'[1]Base case results'!$B$2</definedName>
    <definedName name="a_t" localSheetId="5">'[1]Base case results'!$B$2</definedName>
    <definedName name="a_t" localSheetId="19">'[1]Base case results'!$B$2</definedName>
    <definedName name="a_t" localSheetId="15">'[2]Base case results'!$B$2</definedName>
    <definedName name="a_t" localSheetId="6">'[1]Base case results'!$B$2</definedName>
    <definedName name="a_t" localSheetId="9">'[1]Base case results'!$B$2</definedName>
    <definedName name="a_t" localSheetId="7">'[1]Base case results'!$B$2</definedName>
    <definedName name="a_t" localSheetId="0">'[1]Base case results'!$B$2</definedName>
    <definedName name="a_t" localSheetId="16">'[1]Base case results'!$B$2</definedName>
    <definedName name="a_t" localSheetId="17">'[1]Base case results'!$B$2</definedName>
    <definedName name="a_t" localSheetId="14">'[1]Base case results'!$B$2</definedName>
    <definedName name="a_t" localSheetId="18">'[1]Base case results'!$B$2</definedName>
    <definedName name="a_t" localSheetId="13">'[1]Base case results'!$B$2</definedName>
    <definedName name="a_t" localSheetId="20">'[1]Base case results'!$B$2</definedName>
    <definedName name="a_t" localSheetId="4">'[1]Base case results'!$B$2</definedName>
    <definedName name="a_t" localSheetId="10">'[1]Base case results'!$B$2</definedName>
    <definedName name="a_t" localSheetId="21">'[1]Base case results'!$B$2</definedName>
    <definedName name="a_t" localSheetId="1">'[1]Base case results'!$B$2</definedName>
    <definedName name="a_t" localSheetId="8">'[1]Base case results'!$B$2</definedName>
    <definedName name="a_t">'[3]Base case results'!$B$2</definedName>
    <definedName name="aaaCH4bio">OFFSET('Summary pivot'!$H$10,,,COUNTA('Summary pivot'!$C$10:$C$200))</definedName>
    <definedName name="aaaCH4bioee">OFFSET('Summary pivot'!$L$10,,,COUNTA('Summary pivot'!$C$10:$C$200))</definedName>
    <definedName name="aaaCH4fossil">OFFSET('Summary pivot'!$G$10,,,COUNTA('Summary pivot'!$C$10:$C$200))</definedName>
    <definedName name="aaaCH4fossilee">OFFSET('Summary pivot'!$K$10,,,COUNTA('Summary pivot'!$C$10:$C$200))</definedName>
    <definedName name="aaaCO2">OFFSET('Summary pivot'!$F$10,,,COUNTA('Summary pivot'!$C$10:$C$200))</definedName>
    <definedName name="aaaHFC">OFFSET('Summary pivot'!$J$10,,,COUNTA('Summary pivot'!$C$10:$C$200))</definedName>
    <definedName name="aaaHFCee">OFFSET('Summary pivot'!$N$10,,,COUNTA('Summary pivot'!$C$10:$C$200))</definedName>
    <definedName name="aaaN2O">OFFSET('Summary pivot'!$I$10,,,COUNTA('Summary pivot'!$C$10:$C$200))</definedName>
    <definedName name="aaaN2Oee">OFFSET('Summary pivot'!$M$10,,,COUNTA('Summary pivot'!$C$10:$C$200))</definedName>
    <definedName name="AlaskaPollock">'Fish and seafood'!$A$120</definedName>
    <definedName name="Apple">'Fruits, berries, cocoa, coffee'!$A$9</definedName>
    <definedName name="AverageFishAndSeafood">'Fish and seafood'!$A$7</definedName>
    <definedName name="Avocado">'Fruits, berries, cocoa, coffee'!$A$115</definedName>
    <definedName name="Banana">'Fruits, berries, cocoa, coffee'!$A$68</definedName>
    <definedName name="Barley">'Grains, oil crops, sugar'!$A$34</definedName>
    <definedName name="Beans">'Vegetables, roots, legumes'!$A$229</definedName>
    <definedName name="Beef">'Meat and eggs'!$A$72</definedName>
    <definedName name="Beer">'Processed products'!$A$106</definedName>
    <definedName name="BellPepper">'Vegetables, roots, legumes'!$A$67</definedName>
    <definedName name="Biscuits">'Processed products'!$A$34</definedName>
    <definedName name="Broccoli">'Vegetables, roots, legumes'!$A$169</definedName>
    <definedName name="Buns">'Processed products'!$A$28</definedName>
    <definedName name="Butter" localSheetId="5">'Dairy products'!$A$24</definedName>
    <definedName name="Butter" localSheetId="21">'[4]Dairy products wo allocation'!$A$23</definedName>
    <definedName name="Butter">'[5]Dairy products wo allocation'!$A$23</definedName>
    <definedName name="Carrot">'Vegetables, roots, legumes'!$A$122</definedName>
    <definedName name="Cauliflower">'Vegetables, roots, legumes'!$A$203</definedName>
    <definedName name="ChickenMeat">'Meat and eggs'!$A$35</definedName>
    <definedName name="Cider">'Processed products'!$A$100</definedName>
    <definedName name="CO2ee">OFFSET('Summary pivot'!$E$10,,,COUNTA('Summary pivot'!$C$10:$C$200))</definedName>
    <definedName name="Cocoa">'Fruits, berries, cocoa, coffee'!$A$175</definedName>
    <definedName name="CocoaDrinkPowder">'Processed products'!$A$88</definedName>
    <definedName name="Cod">'Fish and seafood'!$A$19</definedName>
    <definedName name="Coffee">'Fruits, berries, cocoa, coffee'!$A$190</definedName>
    <definedName name="CommonInputData">'Common input data'!$A$1</definedName>
    <definedName name="Conv_CocoaPod_Beans" localSheetId="15">[6]Standardisation!$C$880</definedName>
    <definedName name="Conv_CocoaPod_Beans">[7]Standardisation!$C$880</definedName>
    <definedName name="Cream" localSheetId="5">'Dairy products'!$A$61</definedName>
    <definedName name="Cream" localSheetId="21">'[4]Dairy products wo allocation'!$A$57</definedName>
    <definedName name="Cream">'[5]Dairy products wo allocation'!$A$57</definedName>
    <definedName name="CremeFraiche" localSheetId="5">'Dairy products'!$A$129</definedName>
    <definedName name="CremeFraiche" localSheetId="21">'[4]Dairy products wo allocation'!$A$112</definedName>
    <definedName name="CremeFraiche">'[5]Dairy products wo allocation'!$A$112</definedName>
    <definedName name="CrispBread">'Processed products'!$A$64</definedName>
    <definedName name="Cucumber">'Vegetables, roots, legumes'!$A$38</definedName>
    <definedName name="DessertCheese" localSheetId="5">'Dairy products'!$A$103</definedName>
    <definedName name="DessertCheese" localSheetId="21">'[4]Dairy products wo allocation'!$A$91</definedName>
    <definedName name="DessertCheese">'[5]Dairy products wo allocation'!$A$91</definedName>
    <definedName name="Eggs">'Meat and eggs'!$A$56</definedName>
    <definedName name="EuropeanPlaice">'Fish and seafood'!$A$138</definedName>
    <definedName name="ExcludedData">'Excluded data'!$A$1</definedName>
    <definedName name="FishAndSeafood">'Fish and seafood'!$A$1</definedName>
    <definedName name="FollowUpFormula">'Processed products'!$A$70</definedName>
    <definedName name="FruitsBerriesCocoaAndCoffee">'Fruits, berries, cocoa, coffee'!$A$1</definedName>
    <definedName name="GrainsAverage">'Grains, oil crops, sugar'!$A$9</definedName>
    <definedName name="GrainsOilCropsAndSugar">'Grains, oil crops, sugar'!$A$1</definedName>
    <definedName name="HardCheese" localSheetId="5">'Dairy products'!$A$77</definedName>
    <definedName name="HardCheese" localSheetId="21">'[4]Dairy products wo allocation'!$A$70</definedName>
    <definedName name="HardCheese">'[5]Dairy products wo allocation'!$A$70</definedName>
    <definedName name="Herring">'Fish and seafood'!$A$51</definedName>
    <definedName name="Hoki">'Fish and seafood'!$A$154</definedName>
    <definedName name="IcebergLettuce">'Vegetables, roots, legumes'!$A$92</definedName>
    <definedName name="IceCream">'Processed products'!$A$196</definedName>
    <definedName name="InputFishAndSeafood">'Input data fish and seafood'!$A$1</definedName>
    <definedName name="InputMeatAndEggs">'Input data meat and eggs'!$A$1</definedName>
    <definedName name="InputMilkAndDairy">'Input data dairy products'!$A$1</definedName>
    <definedName name="InputPlantBasedProducts">'Input data plant-based products'!$A$2</definedName>
    <definedName name="InputProcessedProducts">'Input data processed products'!$A$1</definedName>
    <definedName name="Juice">'Processed products'!$A$148</definedName>
    <definedName name="Kiwifruit">'Fruits, berries, cocoa, coffee'!$A$120</definedName>
    <definedName name="Leek">'Vegetables, roots, legumes'!$A$152</definedName>
    <definedName name="Lemon">'Fruits, berries, cocoa, coffee'!$A$102</definedName>
    <definedName name="LowFatMargarine">'Processed products'!$A$82</definedName>
    <definedName name="Mackerel">'Fish and seafood'!$A$67</definedName>
    <definedName name="Maintenance_of_data">'Maintenance of data'!$A$1</definedName>
    <definedName name="Margarine">'Processed products'!$A$76</definedName>
    <definedName name="MeatAndEggs">'Meat and eggs'!$A$1</definedName>
    <definedName name="Melon">'Fruits, berries, cocoa, coffee'!$A$47</definedName>
    <definedName name="MilkAndDairy" localSheetId="5">'Dairy products'!$A$1</definedName>
    <definedName name="MilkAndDairy" localSheetId="21">'[4]Dairy products wo allocation'!$A$1</definedName>
    <definedName name="MilkAndDairy">'[5]Dairy products wo allocation'!$A$1</definedName>
    <definedName name="MilkChocolate">'Processed products'!$A$184</definedName>
    <definedName name="MilkPowder" localSheetId="5">'Dairy products'!$A$145</definedName>
    <definedName name="MilkPowder" localSheetId="21">'[4]Dairy products wo allocation'!$A$125</definedName>
    <definedName name="MilkPowder">'[5]Dairy products wo allocation'!$A$125</definedName>
    <definedName name="MineralWater">'Processed products'!$A$127</definedName>
    <definedName name="Namee">OFFSET('Summary pivot'!$A$10,,,COUNTA('Summary pivot'!$C$10:$C$200),3)</definedName>
    <definedName name="NorthernPrawn">'Fish and seafood'!$A$114</definedName>
    <definedName name="Oats">'Grains, oil crops, sugar'!$A$49</definedName>
    <definedName name="Olive">'Grains, oil crops, sugar'!$A$112</definedName>
    <definedName name="Onion">'Vegetables, roots, legumes'!$A$135</definedName>
    <definedName name="Orange">'Fruits, berries, cocoa, coffee'!$A$89</definedName>
    <definedName name="Pangasius">'Fish and seafood'!$A$132</definedName>
    <definedName name="Pasta">'Processed products'!$A$7</definedName>
    <definedName name="PastMilk" localSheetId="5">'Dairy products'!$A$18</definedName>
    <definedName name="PastMilk" localSheetId="21">'[4]Dairy products wo allocation'!$A$18</definedName>
    <definedName name="PastMilk">'[5]Dairy products wo allocation'!$A$18</definedName>
    <definedName name="Pastries">'Processed products'!$A$40</definedName>
    <definedName name="Pear">'Fruits, berries, cocoa, coffee'!$A$26</definedName>
    <definedName name="Peas">'Vegetables, roots, legumes'!$A$224</definedName>
    <definedName name="PlantBasedProducts" localSheetId="9">'Fruits, berries, cocoa, coffee'!$A$1</definedName>
    <definedName name="PlantBasedProducts" localSheetId="8">'Vegetables, roots, legumes'!$A$1</definedName>
    <definedName name="PlantBasedProducts">'Grains, oil crops, sugar'!$A$1</definedName>
    <definedName name="PorkMeat">'Meat and eggs'!$A$9</definedName>
    <definedName name="Potato">'Vegetables, roots, legumes'!$A$109</definedName>
    <definedName name="PotatoCrisps">'Processed products'!$A$190</definedName>
    <definedName name="ProcessedProducts">'Processed products'!$A$1</definedName>
    <definedName name="RainbowTrout">'Fish and seafood'!$A$126</definedName>
    <definedName name="Rapeseed">'Grains, oil crops, sugar'!$A$71</definedName>
    <definedName name="Raspberry">'Fruits, berries, cocoa, coffee'!$A$154</definedName>
    <definedName name="RawMilk" localSheetId="5">'Dairy products'!$A$7</definedName>
    <definedName name="RawMilk" localSheetId="21">'[4]Dairy products wo allocation'!$A$9</definedName>
    <definedName name="RawMilk">'[5]Dairy products wo allocation'!$A$9</definedName>
    <definedName name="ReferenceList" localSheetId="21">'Reference list'!$A$1</definedName>
    <definedName name="Rice">'Grains, oil crops, sugar'!$A$54</definedName>
    <definedName name="Rusks">'Processed products'!$A$46</definedName>
    <definedName name="Rye">'Grains, oil crops, sugar'!$A$29</definedName>
    <definedName name="Saithe">'Fish and seafood'!$A$88</definedName>
    <definedName name="Salmon">'Fish and seafood'!$A$13</definedName>
    <definedName name="SaltedRoe">'Fish and seafood'!$A$35</definedName>
    <definedName name="Slicer_Product_group">#N/A</definedName>
    <definedName name="Soda">'Processed products'!$A$94</definedName>
    <definedName name="SpringBarley">'Grains, oil crops, sugar'!$A$44</definedName>
    <definedName name="SpringWheat">'Grains, oil crops, sugar'!$A$24</definedName>
    <definedName name="SquashDrink">'Processed products'!$A$166</definedName>
    <definedName name="Strawberry">'Fruits, berries, cocoa, coffee'!$A$133</definedName>
    <definedName name="Sugar">'Grains, oil crops, sugar'!$A$150</definedName>
    <definedName name="Tomato">'Vegetables, roots, legumes'!$A$9</definedName>
    <definedName name="VegetablesRootCropsAndLegumes">'Vegetables, roots, legumes'!$A$1</definedName>
    <definedName name="Wheat">'Grains, oil crops, sugar'!$A$14</definedName>
    <definedName name="WheatBread">'Processed products'!$A$52</definedName>
    <definedName name="WheatRyeBread">'Processed products'!$A$58</definedName>
    <definedName name="WhiteCabbage">'Vegetables, roots, legumes'!$A$186</definedName>
    <definedName name="WinterBarley">'Grains, oil crops, sugar'!$A$39</definedName>
    <definedName name="WinterWheat">'Grains, oil crops, sugar'!$A$19</definedName>
    <definedName name="Yogurt" localSheetId="5">'Dairy products'!$A$45</definedName>
    <definedName name="Yogurt" localSheetId="21">'[4]Dairy products wo allocation'!$A$44</definedName>
    <definedName name="Yogurt">'[5]Dairy products wo allocation'!$A$44</definedName>
  </definedNames>
  <calcPr calcId="191028"/>
  <pivotCaches>
    <pivotCache cacheId="0" r:id="rId32"/>
  </pivotCaches>
  <extLst>
    <ext xmlns:x14="http://schemas.microsoft.com/office/spreadsheetml/2009/9/main" uri="{BBE1A952-AA13-448e-AADC-164F8A28A991}">
      <x14:slicerCaches>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86" l="1"/>
  <c r="F69" i="86" s="1"/>
  <c r="R39" i="86"/>
  <c r="R37" i="86"/>
  <c r="J15" i="86" l="1"/>
  <c r="G16" i="86"/>
  <c r="G17" i="86"/>
  <c r="Z73" i="84" l="1"/>
  <c r="AR15" i="84"/>
  <c r="BA20" i="87" l="1"/>
  <c r="B192" i="91"/>
  <c r="AM14" i="89"/>
  <c r="M135" i="84" l="1"/>
  <c r="M125" i="84"/>
  <c r="D9" i="85"/>
  <c r="H15" i="88"/>
  <c r="F354" i="89"/>
  <c r="G89" i="88"/>
  <c r="BV164" i="87"/>
  <c r="BA146" i="87"/>
  <c r="BA142" i="87"/>
  <c r="BA138" i="87"/>
  <c r="AF342" i="87" l="1"/>
  <c r="AF338" i="87"/>
  <c r="AF329" i="87"/>
  <c r="AF325" i="87"/>
  <c r="AF316" i="87"/>
  <c r="AF312" i="87"/>
  <c r="AF308" i="87"/>
  <c r="AF299" i="87"/>
  <c r="AF295" i="87"/>
  <c r="AF291" i="87"/>
  <c r="AF287" i="87"/>
  <c r="AF279" i="87"/>
  <c r="AF275" i="87"/>
  <c r="AF270" i="87"/>
  <c r="AF266" i="87"/>
  <c r="AF258" i="87"/>
  <c r="AF253" i="87"/>
  <c r="AF249" i="87"/>
  <c r="AF240" i="87"/>
  <c r="AF236" i="87"/>
  <c r="AF232" i="87"/>
  <c r="AF223" i="87"/>
  <c r="AF219" i="87"/>
  <c r="AF210" i="87"/>
  <c r="AF206" i="87"/>
  <c r="AF202" i="87"/>
  <c r="AF198" i="87"/>
  <c r="AF189" i="87"/>
  <c r="AF185" i="87"/>
  <c r="AF181" i="87"/>
  <c r="AF177" i="87"/>
  <c r="AF168" i="87"/>
  <c r="AF164" i="87"/>
  <c r="AF160" i="87"/>
  <c r="AF129" i="87"/>
  <c r="AF125" i="87"/>
  <c r="AF121" i="87"/>
  <c r="AF117" i="87"/>
  <c r="AF146" i="87"/>
  <c r="AF138" i="87"/>
  <c r="Y146" i="87"/>
  <c r="Y138" i="87"/>
  <c r="W330" i="87"/>
  <c r="W279" i="87"/>
  <c r="W258" i="87"/>
  <c r="W241" i="87"/>
  <c r="W109" i="87"/>
  <c r="Q107" i="87"/>
  <c r="Q106" i="87"/>
  <c r="AC89" i="96"/>
  <c r="AO235" i="90"/>
  <c r="AP235" i="90"/>
  <c r="AK235" i="90"/>
  <c r="AL235" i="90"/>
  <c r="AG235" i="90"/>
  <c r="AH235" i="90"/>
  <c r="AC235" i="90"/>
  <c r="AD235" i="90"/>
  <c r="Y235" i="90"/>
  <c r="Z235" i="90"/>
  <c r="U235" i="90"/>
  <c r="V235" i="90"/>
  <c r="Q235" i="90"/>
  <c r="R235" i="90"/>
  <c r="BV281" i="89"/>
  <c r="BW281" i="89"/>
  <c r="BV293" i="89"/>
  <c r="BW293" i="89"/>
  <c r="BV315" i="89"/>
  <c r="BW315" i="89"/>
  <c r="BV319" i="89"/>
  <c r="BW319" i="89"/>
  <c r="BV323" i="89"/>
  <c r="BW323" i="89"/>
  <c r="BH14" i="89"/>
  <c r="BH18" i="89"/>
  <c r="BH22" i="89"/>
  <c r="BI22" i="89" s="1"/>
  <c r="BH26" i="89"/>
  <c r="BI26" i="89" s="1"/>
  <c r="BH35" i="89"/>
  <c r="BI35" i="89" s="1"/>
  <c r="BH39" i="89"/>
  <c r="BI39" i="89"/>
  <c r="BH43" i="89"/>
  <c r="BI43" i="89" s="1"/>
  <c r="BH47" i="89"/>
  <c r="BI47" i="89" s="1"/>
  <c r="BH56" i="89"/>
  <c r="BI56" i="89" s="1"/>
  <c r="BH60" i="89"/>
  <c r="BI60" i="89" s="1"/>
  <c r="BH64" i="89"/>
  <c r="BI64" i="89"/>
  <c r="BH68" i="89"/>
  <c r="BI68" i="89" s="1"/>
  <c r="BH77" i="89"/>
  <c r="BI77" i="89" s="1"/>
  <c r="BH81" i="89"/>
  <c r="BI81" i="89" s="1"/>
  <c r="BH85" i="89"/>
  <c r="BH89" i="89"/>
  <c r="BI89" i="89" s="1"/>
  <c r="BH98" i="89"/>
  <c r="BH102" i="89"/>
  <c r="BI102" i="89" s="1"/>
  <c r="BH111" i="89"/>
  <c r="BI111" i="89" s="1"/>
  <c r="BH115" i="89"/>
  <c r="BI115" i="89" s="1"/>
  <c r="BH120" i="89"/>
  <c r="BH129" i="89"/>
  <c r="BI129" i="89" s="1"/>
  <c r="BH133" i="89"/>
  <c r="BI133" i="89"/>
  <c r="BH142" i="89"/>
  <c r="BI142" i="89" s="1"/>
  <c r="BH146" i="89"/>
  <c r="BI146" i="89" s="1"/>
  <c r="BH150" i="89"/>
  <c r="BI150" i="89" s="1"/>
  <c r="BH154" i="89"/>
  <c r="BH163" i="89"/>
  <c r="BI163" i="89" s="1"/>
  <c r="BH167" i="89"/>
  <c r="BH171" i="89"/>
  <c r="BI171" i="89" s="1"/>
  <c r="BH175" i="89"/>
  <c r="BI175" i="89" s="1"/>
  <c r="BH184" i="89"/>
  <c r="BH188" i="89"/>
  <c r="BH192" i="89"/>
  <c r="BH196" i="89"/>
  <c r="BH205" i="89"/>
  <c r="BH209" i="89"/>
  <c r="BH213" i="89"/>
  <c r="BH217" i="89"/>
  <c r="BH226" i="89"/>
  <c r="BH230" i="89"/>
  <c r="BH234" i="89"/>
  <c r="BH238" i="89"/>
  <c r="BH247" i="89"/>
  <c r="BI247" i="89" s="1"/>
  <c r="BH251" i="89"/>
  <c r="BI251" i="89" s="1"/>
  <c r="BH255" i="89"/>
  <c r="BH264" i="89"/>
  <c r="BI264" i="89" s="1"/>
  <c r="BH268" i="89"/>
  <c r="BH272" i="89"/>
  <c r="BI272" i="89" s="1"/>
  <c r="BH281" i="89"/>
  <c r="BI281" i="89" s="1"/>
  <c r="BH285" i="89"/>
  <c r="BI285" i="89" s="1"/>
  <c r="BH289" i="89"/>
  <c r="BH293" i="89"/>
  <c r="BI293" i="89" s="1"/>
  <c r="BH302" i="89"/>
  <c r="BH306" i="89"/>
  <c r="BI306" i="89" s="1"/>
  <c r="BH315" i="89"/>
  <c r="BI315" i="89" s="1"/>
  <c r="BH319" i="89"/>
  <c r="BI319" i="89" s="1"/>
  <c r="BL319" i="89"/>
  <c r="BH323" i="89"/>
  <c r="BH332" i="89"/>
  <c r="BI332" i="89" s="1"/>
  <c r="BH336" i="89"/>
  <c r="BI336" i="89"/>
  <c r="BH345" i="89"/>
  <c r="BH349" i="89"/>
  <c r="BI349" i="89" s="1"/>
  <c r="BH353" i="89"/>
  <c r="BI353" i="89" s="1"/>
  <c r="AT14" i="89"/>
  <c r="AT18" i="89"/>
  <c r="AT22" i="89"/>
  <c r="AT26" i="89"/>
  <c r="AU26" i="89" s="1"/>
  <c r="AT35" i="89"/>
  <c r="AT39" i="89"/>
  <c r="AU39" i="89" s="1"/>
  <c r="AT43" i="89"/>
  <c r="AU43" i="89" s="1"/>
  <c r="AT47" i="89"/>
  <c r="AU47" i="89"/>
  <c r="AT56" i="89"/>
  <c r="AT60" i="89"/>
  <c r="AU60" i="89" s="1"/>
  <c r="AT64" i="89"/>
  <c r="AT68" i="89"/>
  <c r="AU68" i="89"/>
  <c r="AT77" i="89"/>
  <c r="AU77" i="89" s="1"/>
  <c r="AT81" i="89"/>
  <c r="AU81" i="89"/>
  <c r="AT85" i="89"/>
  <c r="AT89" i="89"/>
  <c r="AT98" i="89"/>
  <c r="AT102" i="89"/>
  <c r="AT111" i="89"/>
  <c r="AT115" i="89"/>
  <c r="AU115" i="89" s="1"/>
  <c r="AT120" i="89"/>
  <c r="AT129" i="89"/>
  <c r="AT133" i="89"/>
  <c r="AU133" i="89"/>
  <c r="AT142" i="89"/>
  <c r="AU142" i="89"/>
  <c r="AT146" i="89"/>
  <c r="AU146" i="89" s="1"/>
  <c r="AT150" i="89"/>
  <c r="AU150" i="89" s="1"/>
  <c r="AT154" i="89"/>
  <c r="AT163" i="89"/>
  <c r="AT167" i="89"/>
  <c r="AT171" i="89"/>
  <c r="AU171" i="89" s="1"/>
  <c r="AT175" i="89"/>
  <c r="AU175" i="89"/>
  <c r="AT184" i="89"/>
  <c r="AT188" i="89"/>
  <c r="AT192" i="89"/>
  <c r="AT196" i="89"/>
  <c r="AT205" i="89"/>
  <c r="AT209" i="89"/>
  <c r="AT213" i="89"/>
  <c r="AT217" i="89"/>
  <c r="AT226" i="89"/>
  <c r="AT230" i="89"/>
  <c r="AT234" i="89"/>
  <c r="AT238" i="89"/>
  <c r="AT247" i="89"/>
  <c r="AU247" i="89" s="1"/>
  <c r="AT251" i="89"/>
  <c r="AU251" i="89" s="1"/>
  <c r="AT255" i="89"/>
  <c r="AT264" i="89"/>
  <c r="AU264" i="89" s="1"/>
  <c r="AT268" i="89"/>
  <c r="AU268" i="89"/>
  <c r="AT272" i="89"/>
  <c r="AU272" i="89" s="1"/>
  <c r="AT281" i="89"/>
  <c r="AU281" i="89" s="1"/>
  <c r="AT285" i="89"/>
  <c r="AU285" i="89" s="1"/>
  <c r="AT289" i="89"/>
  <c r="AU289" i="89"/>
  <c r="AT293" i="89"/>
  <c r="AU293" i="89"/>
  <c r="AT302" i="89"/>
  <c r="AU302" i="89"/>
  <c r="AT306" i="89"/>
  <c r="AU306" i="89" s="1"/>
  <c r="AT315" i="89"/>
  <c r="AU315" i="89" s="1"/>
  <c r="AT319" i="89"/>
  <c r="AU319" i="89" s="1"/>
  <c r="AW319" i="89"/>
  <c r="AX319" i="89"/>
  <c r="AY319" i="89"/>
  <c r="AT323" i="89"/>
  <c r="AU323" i="89"/>
  <c r="AT332" i="89"/>
  <c r="AT336" i="89"/>
  <c r="AT345" i="89"/>
  <c r="AU345" i="89" s="1"/>
  <c r="AT349" i="89"/>
  <c r="AU349" i="89"/>
  <c r="AT353" i="89"/>
  <c r="AU353" i="89"/>
  <c r="AM18" i="89"/>
  <c r="AM22" i="89"/>
  <c r="AN22" i="89" s="1"/>
  <c r="AM26" i="89"/>
  <c r="AN26" i="89" s="1"/>
  <c r="AM35" i="89"/>
  <c r="AN35" i="89"/>
  <c r="AM39" i="89"/>
  <c r="AN39" i="89" s="1"/>
  <c r="AM43" i="89"/>
  <c r="AN43" i="89" s="1"/>
  <c r="AM47" i="89"/>
  <c r="AN47" i="89" s="1"/>
  <c r="AM56" i="89"/>
  <c r="AN56" i="89" s="1"/>
  <c r="AM60" i="89"/>
  <c r="AN60" i="89" s="1"/>
  <c r="AM64" i="89"/>
  <c r="AN64" i="89"/>
  <c r="AM68" i="89"/>
  <c r="AM77" i="89"/>
  <c r="AN77" i="89" s="1"/>
  <c r="AM81" i="89"/>
  <c r="AN81" i="89" s="1"/>
  <c r="AM85" i="89"/>
  <c r="AN85" i="89"/>
  <c r="AM89" i="89"/>
  <c r="AN89" i="89" s="1"/>
  <c r="AM98" i="89"/>
  <c r="AM102" i="89"/>
  <c r="AN102" i="89"/>
  <c r="AM111" i="89"/>
  <c r="AN111" i="89" s="1"/>
  <c r="AM115" i="89"/>
  <c r="AN115" i="89" s="1"/>
  <c r="AM120" i="89"/>
  <c r="AN120" i="89"/>
  <c r="AM129" i="89"/>
  <c r="AM133" i="89"/>
  <c r="AM142" i="89"/>
  <c r="AN142" i="89" s="1"/>
  <c r="AM146" i="89"/>
  <c r="AN146" i="89" s="1"/>
  <c r="AM150" i="89"/>
  <c r="AN150" i="89" s="1"/>
  <c r="AM154" i="89"/>
  <c r="AM163" i="89"/>
  <c r="AM167" i="89"/>
  <c r="AM171" i="89"/>
  <c r="AM175" i="89"/>
  <c r="AN175" i="89"/>
  <c r="AM184" i="89"/>
  <c r="AM188" i="89"/>
  <c r="AM192" i="89"/>
  <c r="AM196" i="89"/>
  <c r="AM205" i="89"/>
  <c r="AM209" i="89"/>
  <c r="AM213" i="89"/>
  <c r="AM217" i="89"/>
  <c r="AM226" i="89"/>
  <c r="AM230" i="89"/>
  <c r="AM234" i="89"/>
  <c r="AM238" i="89"/>
  <c r="AM247" i="89"/>
  <c r="AN247" i="89" s="1"/>
  <c r="AM251" i="89"/>
  <c r="AN251" i="89" s="1"/>
  <c r="AM255" i="89"/>
  <c r="AN255" i="89"/>
  <c r="AM264" i="89"/>
  <c r="AM268" i="89"/>
  <c r="AN268" i="89"/>
  <c r="AM272" i="89"/>
  <c r="AM281" i="89"/>
  <c r="AN281" i="89" s="1"/>
  <c r="AM285" i="89"/>
  <c r="AN285" i="89" s="1"/>
  <c r="AM289" i="89"/>
  <c r="AM293" i="89"/>
  <c r="AN293" i="89" s="1"/>
  <c r="AM302" i="89"/>
  <c r="AM306" i="89"/>
  <c r="AM315" i="89"/>
  <c r="AN315" i="89" s="1"/>
  <c r="AM319" i="89"/>
  <c r="AN319" i="89" s="1"/>
  <c r="AR319" i="89"/>
  <c r="AM323" i="89"/>
  <c r="AM332" i="89"/>
  <c r="AM336" i="89"/>
  <c r="AM345" i="89"/>
  <c r="AM349" i="89"/>
  <c r="AN349" i="89" s="1"/>
  <c r="AM353" i="89"/>
  <c r="AN353" i="89" s="1"/>
  <c r="AF14" i="89"/>
  <c r="AF18" i="89"/>
  <c r="AF22" i="89"/>
  <c r="AF26" i="89"/>
  <c r="AG26" i="89" s="1"/>
  <c r="AF35" i="89"/>
  <c r="AG35" i="89"/>
  <c r="AF39" i="89"/>
  <c r="AG39" i="89" s="1"/>
  <c r="AF43" i="89"/>
  <c r="AG43" i="89" s="1"/>
  <c r="AF47" i="89"/>
  <c r="AG47" i="89" s="1"/>
  <c r="AF56" i="89"/>
  <c r="AF60" i="89"/>
  <c r="AG60" i="89" s="1"/>
  <c r="AF64" i="89"/>
  <c r="AF68" i="89"/>
  <c r="AG68" i="89"/>
  <c r="AF77" i="89"/>
  <c r="AG77" i="89" s="1"/>
  <c r="AF81" i="89"/>
  <c r="AG81" i="89" s="1"/>
  <c r="AF85" i="89"/>
  <c r="AF89" i="89"/>
  <c r="AF98" i="89"/>
  <c r="AF102" i="89"/>
  <c r="AF111" i="89"/>
  <c r="AG111" i="89" s="1"/>
  <c r="AF115" i="89"/>
  <c r="AG115" i="89" s="1"/>
  <c r="AF120" i="89"/>
  <c r="AF129" i="89"/>
  <c r="AF133" i="89"/>
  <c r="AG133" i="89"/>
  <c r="AF142" i="89"/>
  <c r="AF146" i="89"/>
  <c r="AG146" i="89" s="1"/>
  <c r="AF150" i="89"/>
  <c r="AG150" i="89" s="1"/>
  <c r="AF154" i="89"/>
  <c r="AF163" i="89"/>
  <c r="AF167" i="89"/>
  <c r="AF171" i="89"/>
  <c r="AF175" i="89"/>
  <c r="AG175" i="89" s="1"/>
  <c r="AF184" i="89"/>
  <c r="AF188" i="89"/>
  <c r="AF192" i="89"/>
  <c r="AF196" i="89"/>
  <c r="AF205" i="89"/>
  <c r="AF209" i="89"/>
  <c r="AF213" i="89"/>
  <c r="AF217" i="89"/>
  <c r="AF226" i="89"/>
  <c r="AF230" i="89"/>
  <c r="AF234" i="89"/>
  <c r="AF238" i="89"/>
  <c r="AF247" i="89"/>
  <c r="AG247" i="89" s="1"/>
  <c r="AF251" i="89"/>
  <c r="AG251" i="89" s="1"/>
  <c r="AF255" i="89"/>
  <c r="AF264" i="89"/>
  <c r="AF268" i="89"/>
  <c r="AF272" i="89"/>
  <c r="AG272" i="89"/>
  <c r="AF281" i="89"/>
  <c r="AG281" i="89" s="1"/>
  <c r="AF285" i="89"/>
  <c r="AG285" i="89" s="1"/>
  <c r="AF289" i="89"/>
  <c r="AF293" i="89"/>
  <c r="AF302" i="89"/>
  <c r="AF306" i="89"/>
  <c r="AF315" i="89"/>
  <c r="AG315" i="89" s="1"/>
  <c r="AF319" i="89"/>
  <c r="AG319" i="89" s="1"/>
  <c r="AK319" i="89"/>
  <c r="AF323" i="89"/>
  <c r="AF332" i="89"/>
  <c r="AF336" i="89"/>
  <c r="AF345" i="89"/>
  <c r="AF349" i="89"/>
  <c r="AG349" i="89" s="1"/>
  <c r="AF353" i="89"/>
  <c r="AG353" i="89" s="1"/>
  <c r="BH259" i="88"/>
  <c r="BI259" i="88" s="1"/>
  <c r="AT259" i="88"/>
  <c r="AU259" i="88" s="1"/>
  <c r="AM259" i="88"/>
  <c r="AN259" i="88" s="1"/>
  <c r="AF259" i="88"/>
  <c r="AG259" i="88" s="1"/>
  <c r="Y246" i="88"/>
  <c r="Z246" i="88" s="1"/>
  <c r="Y255" i="88"/>
  <c r="Y259" i="88"/>
  <c r="Z259" i="88" s="1"/>
  <c r="AF246" i="88"/>
  <c r="AG246" i="88" s="1"/>
  <c r="AF255" i="88"/>
  <c r="AM246" i="88"/>
  <c r="AN246" i="88" s="1"/>
  <c r="AM255" i="88"/>
  <c r="AT246" i="88"/>
  <c r="AU246" i="88" s="1"/>
  <c r="AT255" i="88"/>
  <c r="BH246" i="88"/>
  <c r="BH255" i="88"/>
  <c r="Y20" i="87"/>
  <c r="Y24" i="87"/>
  <c r="Z24" i="87" s="1"/>
  <c r="Y30" i="87"/>
  <c r="Y40" i="87"/>
  <c r="Z40" i="87" s="1"/>
  <c r="Y45" i="87"/>
  <c r="Z45" i="87" s="1"/>
  <c r="Y50" i="87"/>
  <c r="Z50" i="87" s="1"/>
  <c r="Y59" i="87"/>
  <c r="Y63" i="87"/>
  <c r="Y67" i="87"/>
  <c r="Y76" i="87"/>
  <c r="Z76" i="87" s="1"/>
  <c r="Y82" i="87"/>
  <c r="Z82" i="87" s="1"/>
  <c r="Y87" i="87"/>
  <c r="Z87" i="87" s="1"/>
  <c r="Y100" i="87"/>
  <c r="Z100" i="87" s="1"/>
  <c r="Y104" i="87"/>
  <c r="Y108" i="87"/>
  <c r="Y117" i="87"/>
  <c r="Y121" i="87"/>
  <c r="Z121" i="87" s="1"/>
  <c r="Y125" i="87"/>
  <c r="Z125" i="87" s="1"/>
  <c r="Y129" i="87"/>
  <c r="Y142" i="87"/>
  <c r="Y151" i="87"/>
  <c r="Y160" i="87"/>
  <c r="Y164" i="87"/>
  <c r="Y168" i="87"/>
  <c r="Z168" i="87" s="1"/>
  <c r="Y177" i="87"/>
  <c r="Y181" i="87"/>
  <c r="Z181" i="87" s="1"/>
  <c r="Y185" i="87"/>
  <c r="Z185" i="87" s="1"/>
  <c r="Y189" i="87"/>
  <c r="Z189" i="87" s="1"/>
  <c r="Y198" i="87"/>
  <c r="Y202" i="87"/>
  <c r="Z202" i="87" s="1"/>
  <c r="Y206" i="87"/>
  <c r="Y210" i="87"/>
  <c r="Y219" i="87"/>
  <c r="Y223" i="87"/>
  <c r="Z223" i="87" s="1"/>
  <c r="Y232" i="87"/>
  <c r="Y236" i="87"/>
  <c r="Z236" i="87" s="1"/>
  <c r="Y240" i="87"/>
  <c r="Y249" i="87"/>
  <c r="Z249" i="87" s="1"/>
  <c r="Y253" i="87"/>
  <c r="Z253" i="87" s="1"/>
  <c r="Y258" i="87"/>
  <c r="Z258" i="87" s="1"/>
  <c r="Y266" i="87"/>
  <c r="Y270" i="87"/>
  <c r="Z270" i="87" s="1"/>
  <c r="Y275" i="87"/>
  <c r="Y279" i="87"/>
  <c r="Y287" i="87"/>
  <c r="Y291" i="87"/>
  <c r="Z291" i="87" s="1"/>
  <c r="Y295" i="87"/>
  <c r="Z295" i="87" s="1"/>
  <c r="Y299" i="87"/>
  <c r="Y308" i="87"/>
  <c r="Y312" i="87"/>
  <c r="Y316" i="87"/>
  <c r="Z316" i="87" s="1"/>
  <c r="Y325" i="87"/>
  <c r="Z325" i="87" s="1"/>
  <c r="Y329" i="87"/>
  <c r="Z329" i="87" s="1"/>
  <c r="Y338" i="87"/>
  <c r="Z338" i="87" s="1"/>
  <c r="Y342" i="87"/>
  <c r="AF20" i="87"/>
  <c r="AF24" i="87"/>
  <c r="AG24" i="87" s="1"/>
  <c r="AF30" i="87"/>
  <c r="AF40" i="87"/>
  <c r="AG40" i="87" s="1"/>
  <c r="AF45" i="87"/>
  <c r="AG45" i="87" s="1"/>
  <c r="AF50" i="87"/>
  <c r="AG50" i="87" s="1"/>
  <c r="AF59" i="87"/>
  <c r="AF63" i="87"/>
  <c r="AF67" i="87"/>
  <c r="AF76" i="87"/>
  <c r="AG76" i="87" s="1"/>
  <c r="AF82" i="87"/>
  <c r="AG82" i="87" s="1"/>
  <c r="AF87" i="87"/>
  <c r="AG87" i="87" s="1"/>
  <c r="AF100" i="87"/>
  <c r="AF104" i="87"/>
  <c r="AF108" i="87"/>
  <c r="AG121" i="87"/>
  <c r="AG125" i="87"/>
  <c r="AF142" i="87"/>
  <c r="AF151" i="87"/>
  <c r="AG160" i="87"/>
  <c r="AG181" i="87"/>
  <c r="AG185" i="87"/>
  <c r="AG189" i="87"/>
  <c r="AG219" i="87"/>
  <c r="AG223" i="87"/>
  <c r="AG249" i="87"/>
  <c r="AG253" i="87"/>
  <c r="AG258" i="87"/>
  <c r="AG287" i="87"/>
  <c r="AG291" i="87"/>
  <c r="AG295" i="87"/>
  <c r="AG308" i="87"/>
  <c r="AG316" i="87"/>
  <c r="AG325" i="87"/>
  <c r="AG329" i="87"/>
  <c r="AG342" i="87"/>
  <c r="AM20" i="87"/>
  <c r="AM24" i="87"/>
  <c r="AN24" i="87" s="1"/>
  <c r="AM30" i="87"/>
  <c r="AN30" i="87" s="1"/>
  <c r="AM40" i="87"/>
  <c r="AN40" i="87" s="1"/>
  <c r="AM45" i="87"/>
  <c r="AN45" i="87" s="1"/>
  <c r="AM50" i="87"/>
  <c r="AN50" i="87" s="1"/>
  <c r="AM59" i="87"/>
  <c r="AM63" i="87"/>
  <c r="AM67" i="87"/>
  <c r="AM76" i="87"/>
  <c r="AN76" i="87" s="1"/>
  <c r="AM82" i="87"/>
  <c r="AN82" i="87" s="1"/>
  <c r="AM87" i="87"/>
  <c r="AN87" i="87" s="1"/>
  <c r="AM100" i="87"/>
  <c r="AN100" i="87" s="1"/>
  <c r="AM104" i="87"/>
  <c r="AN104" i="87" s="1"/>
  <c r="AM108" i="87"/>
  <c r="AN108" i="87"/>
  <c r="AM117" i="87"/>
  <c r="AN117" i="87" s="1"/>
  <c r="AM121" i="87"/>
  <c r="AN121" i="87" s="1"/>
  <c r="AM125" i="87"/>
  <c r="AN125" i="87" s="1"/>
  <c r="AM129" i="87"/>
  <c r="AM138" i="87"/>
  <c r="AN138" i="87" s="1"/>
  <c r="AM142" i="87"/>
  <c r="AM146" i="87"/>
  <c r="AM151" i="87"/>
  <c r="AM160" i="87"/>
  <c r="AM164" i="87"/>
  <c r="AM168" i="87"/>
  <c r="AN168" i="87" s="1"/>
  <c r="AM177" i="87"/>
  <c r="AM181" i="87"/>
  <c r="AN181" i="87" s="1"/>
  <c r="AM185" i="87"/>
  <c r="AN185" i="87" s="1"/>
  <c r="AM189" i="87"/>
  <c r="AN189" i="87" s="1"/>
  <c r="AM198" i="87"/>
  <c r="AM202" i="87"/>
  <c r="AN202" i="87" s="1"/>
  <c r="AM206" i="87"/>
  <c r="AM210" i="87"/>
  <c r="AM219" i="87"/>
  <c r="AN219" i="87" s="1"/>
  <c r="AM223" i="87"/>
  <c r="AN223" i="87" s="1"/>
  <c r="AM232" i="87"/>
  <c r="AM236" i="87"/>
  <c r="AN236" i="87" s="1"/>
  <c r="AM240" i="87"/>
  <c r="AM249" i="87"/>
  <c r="AN249" i="87" s="1"/>
  <c r="AM253" i="87"/>
  <c r="AN253" i="87" s="1"/>
  <c r="AM258" i="87"/>
  <c r="AN258" i="87" s="1"/>
  <c r="AM266" i="87"/>
  <c r="AM270" i="87"/>
  <c r="AN270" i="87" s="1"/>
  <c r="AM275" i="87"/>
  <c r="AM279" i="87"/>
  <c r="AM287" i="87"/>
  <c r="AN287" i="87" s="1"/>
  <c r="AM291" i="87"/>
  <c r="AN291" i="87" s="1"/>
  <c r="AM295" i="87"/>
  <c r="AN295" i="87" s="1"/>
  <c r="AM299" i="87"/>
  <c r="AM308" i="87"/>
  <c r="AN308" i="87" s="1"/>
  <c r="AM312" i="87"/>
  <c r="AM316" i="87"/>
  <c r="AM325" i="87"/>
  <c r="AN325" i="87" s="1"/>
  <c r="AM329" i="87"/>
  <c r="AN329" i="87" s="1"/>
  <c r="AM338" i="87"/>
  <c r="AN338" i="87" s="1"/>
  <c r="AM342" i="87"/>
  <c r="AN342" i="87" s="1"/>
  <c r="AT20" i="87"/>
  <c r="AT24" i="87"/>
  <c r="AU24" i="87" s="1"/>
  <c r="AT30" i="87"/>
  <c r="AT40" i="87"/>
  <c r="AT45" i="87"/>
  <c r="AU45" i="87" s="1"/>
  <c r="AT50" i="87"/>
  <c r="AU50" i="87" s="1"/>
  <c r="AT59" i="87"/>
  <c r="AT63" i="87"/>
  <c r="AT67" i="87"/>
  <c r="AT76" i="87"/>
  <c r="AT82" i="87"/>
  <c r="AU82" i="87" s="1"/>
  <c r="AT87" i="87"/>
  <c r="AU87" i="87" s="1"/>
  <c r="AT100" i="87"/>
  <c r="AU100" i="87" s="1"/>
  <c r="AT104" i="87"/>
  <c r="AT108" i="87"/>
  <c r="AT117" i="87"/>
  <c r="AT121" i="87"/>
  <c r="AU121" i="87" s="1"/>
  <c r="AT125" i="87"/>
  <c r="AU125" i="87" s="1"/>
  <c r="AT129" i="87"/>
  <c r="AT138" i="87"/>
  <c r="AU138" i="87" s="1"/>
  <c r="AT142" i="87"/>
  <c r="AT146" i="87"/>
  <c r="AT151" i="87"/>
  <c r="AT160" i="87"/>
  <c r="AT164" i="87"/>
  <c r="AT168" i="87"/>
  <c r="AU168" i="87" s="1"/>
  <c r="AT177" i="87"/>
  <c r="AT181" i="87"/>
  <c r="AT185" i="87"/>
  <c r="AU185" i="87" s="1"/>
  <c r="AT189" i="87"/>
  <c r="AU189" i="87" s="1"/>
  <c r="AT198" i="87"/>
  <c r="AT202" i="87"/>
  <c r="AU202" i="87" s="1"/>
  <c r="AT206" i="87"/>
  <c r="AT210" i="87"/>
  <c r="AT219" i="87"/>
  <c r="AT223" i="87"/>
  <c r="AU223" i="87" s="1"/>
  <c r="AT232" i="87"/>
  <c r="AT236" i="87"/>
  <c r="AU236" i="87" s="1"/>
  <c r="AT240" i="87"/>
  <c r="AT249" i="87"/>
  <c r="AT253" i="87"/>
  <c r="AU253" i="87" s="1"/>
  <c r="AT258" i="87"/>
  <c r="AU258" i="87" s="1"/>
  <c r="AT266" i="87"/>
  <c r="AT270" i="87"/>
  <c r="AU270" i="87" s="1"/>
  <c r="AT275" i="87"/>
  <c r="AT279" i="87"/>
  <c r="AT287" i="87"/>
  <c r="AT291" i="87"/>
  <c r="AU291" i="87"/>
  <c r="AT295" i="87"/>
  <c r="AU295" i="87" s="1"/>
  <c r="AT299" i="87"/>
  <c r="AT308" i="87"/>
  <c r="AU308" i="87" s="1"/>
  <c r="AT312" i="87"/>
  <c r="AT316" i="87"/>
  <c r="AT325" i="87"/>
  <c r="AT329" i="87"/>
  <c r="AU329" i="87" s="1"/>
  <c r="AT338" i="87"/>
  <c r="AU338" i="87" s="1"/>
  <c r="AT342" i="87"/>
  <c r="AU342" i="87" s="1"/>
  <c r="BH20" i="87"/>
  <c r="BH24" i="87"/>
  <c r="BI24" i="87" s="1"/>
  <c r="BH30" i="87"/>
  <c r="BI30" i="87" s="1"/>
  <c r="BH40" i="87"/>
  <c r="BI40" i="87" s="1"/>
  <c r="BH45" i="87"/>
  <c r="BI45" i="87" s="1"/>
  <c r="BH50" i="87"/>
  <c r="BI50" i="87" s="1"/>
  <c r="BH59" i="87"/>
  <c r="BH63" i="87"/>
  <c r="BH67" i="87"/>
  <c r="BH76" i="87"/>
  <c r="BI76" i="87" s="1"/>
  <c r="BH82" i="87"/>
  <c r="BI82" i="87" s="1"/>
  <c r="BH87" i="87"/>
  <c r="BH100" i="87"/>
  <c r="BI100" i="87" s="1"/>
  <c r="BH104" i="87"/>
  <c r="BI104" i="87" s="1"/>
  <c r="BH108" i="87"/>
  <c r="BH117" i="87"/>
  <c r="BI117" i="87" s="1"/>
  <c r="BH121" i="87"/>
  <c r="BI121" i="87" s="1"/>
  <c r="BH125" i="87"/>
  <c r="BI125" i="87" s="1"/>
  <c r="BH129" i="87"/>
  <c r="BH138" i="87"/>
  <c r="BH142" i="87"/>
  <c r="BH146" i="87"/>
  <c r="BI146" i="87" s="1"/>
  <c r="BH151" i="87"/>
  <c r="BH160" i="87"/>
  <c r="BH164" i="87"/>
  <c r="BH168" i="87"/>
  <c r="BI168" i="87" s="1"/>
  <c r="BH177" i="87"/>
  <c r="BH181" i="87"/>
  <c r="BI181" i="87" s="1"/>
  <c r="BH185" i="87"/>
  <c r="BI185" i="87" s="1"/>
  <c r="BH189" i="87"/>
  <c r="BI189" i="87" s="1"/>
  <c r="BH198" i="87"/>
  <c r="BH202" i="87"/>
  <c r="BI202" i="87" s="1"/>
  <c r="BH206" i="87"/>
  <c r="BI206" i="87" s="1"/>
  <c r="BH210" i="87"/>
  <c r="BH219" i="87"/>
  <c r="BI219" i="87" s="1"/>
  <c r="BH223" i="87"/>
  <c r="BH232" i="87"/>
  <c r="BH236" i="87"/>
  <c r="BI236" i="87" s="1"/>
  <c r="BH240" i="87"/>
  <c r="BI240" i="87" s="1"/>
  <c r="BH249" i="87"/>
  <c r="BI249" i="87" s="1"/>
  <c r="BH253" i="87"/>
  <c r="BI253" i="87" s="1"/>
  <c r="BH258" i="87"/>
  <c r="BI258" i="87" s="1"/>
  <c r="BH266" i="87"/>
  <c r="BH270" i="87"/>
  <c r="BI270" i="87" s="1"/>
  <c r="BH275" i="87"/>
  <c r="BI275" i="87" s="1"/>
  <c r="BH279" i="87"/>
  <c r="BH287" i="87"/>
  <c r="BI287" i="87" s="1"/>
  <c r="BH291" i="87"/>
  <c r="BH295" i="87"/>
  <c r="BI295" i="87" s="1"/>
  <c r="BH299" i="87"/>
  <c r="BH308" i="87"/>
  <c r="BI308" i="87" s="1"/>
  <c r="BH312" i="87"/>
  <c r="BH316" i="87"/>
  <c r="BI316" i="87" s="1"/>
  <c r="BH325" i="87"/>
  <c r="BI325" i="87" s="1"/>
  <c r="BH329" i="87"/>
  <c r="BI329" i="87" s="1"/>
  <c r="BH338" i="87"/>
  <c r="BH342" i="87"/>
  <c r="BI342" i="87" s="1"/>
  <c r="AX14" i="86"/>
  <c r="AY14" i="86" s="1"/>
  <c r="AX127" i="86"/>
  <c r="AY127" i="86" s="1"/>
  <c r="AX133" i="86"/>
  <c r="AY133" i="86" s="1"/>
  <c r="AT14" i="86"/>
  <c r="AU14" i="86" s="1"/>
  <c r="AV14" i="86" s="1"/>
  <c r="AT127" i="86"/>
  <c r="AU127" i="86" s="1"/>
  <c r="AV127" i="86" s="1"/>
  <c r="AT133" i="86"/>
  <c r="AU133" i="86" s="1"/>
  <c r="AV133" i="86" s="1"/>
  <c r="AP14" i="86"/>
  <c r="AQ14" i="86" s="1"/>
  <c r="AR14" i="86" s="1"/>
  <c r="AP127" i="86"/>
  <c r="AQ127" i="86" s="1"/>
  <c r="AR127" i="86" s="1"/>
  <c r="AP133" i="86"/>
  <c r="AQ133" i="86" s="1"/>
  <c r="AR133" i="86" s="1"/>
  <c r="AL14" i="86"/>
  <c r="AM14" i="86" s="1"/>
  <c r="AN14" i="86" s="1"/>
  <c r="AL127" i="86"/>
  <c r="AM127" i="86" s="1"/>
  <c r="AN127" i="86" s="1"/>
  <c r="AL133" i="86"/>
  <c r="AM133" i="86" s="1"/>
  <c r="AN133" i="86" s="1"/>
  <c r="AH14" i="86"/>
  <c r="AI14" i="86" s="1"/>
  <c r="AJ14" i="86" s="1"/>
  <c r="AH127" i="86"/>
  <c r="AI127" i="86" s="1"/>
  <c r="AJ127" i="86" s="1"/>
  <c r="AH133" i="86"/>
  <c r="AI133" i="86" s="1"/>
  <c r="AJ133" i="86" s="1"/>
  <c r="AD14" i="86"/>
  <c r="AE14" i="86" s="1"/>
  <c r="AF14" i="86" s="1"/>
  <c r="AD127" i="86"/>
  <c r="AE127" i="86" s="1"/>
  <c r="AF127" i="86" s="1"/>
  <c r="AD133" i="86"/>
  <c r="AE133" i="86" s="1"/>
  <c r="AF133" i="86" s="1"/>
  <c r="Z14" i="86"/>
  <c r="AA14" i="86" s="1"/>
  <c r="AB14" i="86" s="1"/>
  <c r="Z127" i="86"/>
  <c r="AA127" i="86" s="1"/>
  <c r="AB127" i="86" s="1"/>
  <c r="Z133" i="86"/>
  <c r="AA133" i="86" s="1"/>
  <c r="AB133" i="86" s="1"/>
  <c r="V127" i="86"/>
  <c r="W127" i="86" s="1"/>
  <c r="X127" i="86" s="1"/>
  <c r="V133" i="86"/>
  <c r="W133" i="86" s="1"/>
  <c r="X133" i="86" s="1"/>
  <c r="BA19" i="85"/>
  <c r="BB19" i="85" s="1"/>
  <c r="BA30" i="85"/>
  <c r="BB30" i="85" s="1"/>
  <c r="BA35" i="85"/>
  <c r="BB35" i="85" s="1"/>
  <c r="BA40" i="85"/>
  <c r="BB40" i="85" s="1"/>
  <c r="BA51" i="85"/>
  <c r="BB51" i="85" s="1"/>
  <c r="BA56" i="85"/>
  <c r="BB56" i="85" s="1"/>
  <c r="BA67" i="85"/>
  <c r="BA72" i="85"/>
  <c r="BB72" i="85" s="1"/>
  <c r="BA83" i="85"/>
  <c r="BB83" i="85" s="1"/>
  <c r="BA88" i="85"/>
  <c r="BB88" i="85" s="1"/>
  <c r="BA93" i="85"/>
  <c r="BB93" i="85" s="1"/>
  <c r="BA98" i="85"/>
  <c r="BB98" i="85" s="1"/>
  <c r="BA109" i="85"/>
  <c r="BA114" i="85"/>
  <c r="BB114" i="85" s="1"/>
  <c r="BA119" i="85"/>
  <c r="BB119" i="85" s="1"/>
  <c r="BA124" i="85"/>
  <c r="BB124" i="85"/>
  <c r="BA135" i="85"/>
  <c r="BA140" i="85"/>
  <c r="BB140" i="85"/>
  <c r="BA151" i="85"/>
  <c r="BA156" i="85"/>
  <c r="BB156" i="85" s="1"/>
  <c r="BN88" i="84"/>
  <c r="BN93" i="84"/>
  <c r="BN98" i="84"/>
  <c r="BO98" i="84" s="1"/>
  <c r="BN103" i="84"/>
  <c r="BO103" i="84" s="1"/>
  <c r="BN108" i="84"/>
  <c r="BO108" i="84" s="1"/>
  <c r="BN113" i="84"/>
  <c r="BO113" i="84" s="1"/>
  <c r="BN118" i="84"/>
  <c r="BO118" i="84" s="1"/>
  <c r="BN123" i="84"/>
  <c r="BN128" i="84"/>
  <c r="BN143" i="84"/>
  <c r="BO143" i="84" s="1"/>
  <c r="BN148" i="84"/>
  <c r="BO148" i="84" s="1"/>
  <c r="BN153" i="84"/>
  <c r="BO153" i="84" s="1"/>
  <c r="BN158" i="84"/>
  <c r="BO158" i="84" s="1"/>
  <c r="BN163" i="84"/>
  <c r="BO163" i="84" s="1"/>
  <c r="BN166" i="84"/>
  <c r="BN168" i="84"/>
  <c r="BN173" i="84"/>
  <c r="BN193" i="84"/>
  <c r="BN198" i="84"/>
  <c r="BN203" i="84"/>
  <c r="BO203" i="84" s="1"/>
  <c r="BN208" i="84"/>
  <c r="BO208" i="84" s="1"/>
  <c r="BN213" i="84"/>
  <c r="BO213" i="84" s="1"/>
  <c r="BN218" i="84"/>
  <c r="BO218" i="84" s="1"/>
  <c r="BN223" i="84"/>
  <c r="BN228" i="84"/>
  <c r="BN243" i="84"/>
  <c r="BO243" i="84" s="1"/>
  <c r="BN248" i="84"/>
  <c r="BO248" i="84" s="1"/>
  <c r="BN253" i="84"/>
  <c r="BO253" i="84" s="1"/>
  <c r="BH88" i="84"/>
  <c r="BH93" i="84"/>
  <c r="BH98" i="84"/>
  <c r="BI98" i="84" s="1"/>
  <c r="BH103" i="84"/>
  <c r="BI103" i="84" s="1"/>
  <c r="BH108" i="84"/>
  <c r="BI108" i="84" s="1"/>
  <c r="BH113" i="84"/>
  <c r="BI113" i="84" s="1"/>
  <c r="BH118" i="84"/>
  <c r="BI118" i="84" s="1"/>
  <c r="BH123" i="84"/>
  <c r="BH128" i="84"/>
  <c r="BH143" i="84"/>
  <c r="BH148" i="84"/>
  <c r="BI148" i="84" s="1"/>
  <c r="BH153" i="84"/>
  <c r="BI153" i="84" s="1"/>
  <c r="BH158" i="84"/>
  <c r="BI158" i="84" s="1"/>
  <c r="BH163" i="84"/>
  <c r="BI163" i="84" s="1"/>
  <c r="BH168" i="84"/>
  <c r="BH173" i="84"/>
  <c r="BH193" i="84"/>
  <c r="BH198" i="84"/>
  <c r="BH203" i="84"/>
  <c r="BI203" i="84" s="1"/>
  <c r="BH208" i="84"/>
  <c r="BI208" i="84" s="1"/>
  <c r="BH213" i="84"/>
  <c r="BI213" i="84" s="1"/>
  <c r="BH218" i="84"/>
  <c r="BI218" i="84" s="1"/>
  <c r="BH223" i="84"/>
  <c r="BH228" i="84"/>
  <c r="BH243" i="84"/>
  <c r="BI243" i="84" s="1"/>
  <c r="BH248" i="84"/>
  <c r="BI248" i="84" s="1"/>
  <c r="BH253" i="84"/>
  <c r="BI253" i="84" s="1"/>
  <c r="BB88" i="84"/>
  <c r="BC88" i="84" s="1"/>
  <c r="BB93" i="84"/>
  <c r="BB98" i="84"/>
  <c r="BC98" i="84" s="1"/>
  <c r="BB103" i="84"/>
  <c r="BC103" i="84" s="1"/>
  <c r="BB108" i="84"/>
  <c r="BC108" i="84" s="1"/>
  <c r="BB113" i="84"/>
  <c r="BC113" i="84" s="1"/>
  <c r="BB118" i="84"/>
  <c r="BC118" i="84" s="1"/>
  <c r="BB123" i="84"/>
  <c r="BB128" i="84"/>
  <c r="BB143" i="84"/>
  <c r="BC143" i="84" s="1"/>
  <c r="BB148" i="84"/>
  <c r="BC148" i="84" s="1"/>
  <c r="BB153" i="84"/>
  <c r="BC153" i="84" s="1"/>
  <c r="BB158" i="84"/>
  <c r="BC158" i="84" s="1"/>
  <c r="BB163" i="84"/>
  <c r="BC163" i="84" s="1"/>
  <c r="BB168" i="84"/>
  <c r="BB173" i="84"/>
  <c r="BB193" i="84"/>
  <c r="BB198" i="84"/>
  <c r="BB203" i="84"/>
  <c r="BC203" i="84" s="1"/>
  <c r="BB208" i="84"/>
  <c r="BC208" i="84" s="1"/>
  <c r="BB213" i="84"/>
  <c r="BC213" i="84" s="1"/>
  <c r="BB218" i="84"/>
  <c r="BC218" i="84"/>
  <c r="BB223" i="84"/>
  <c r="BB228" i="84"/>
  <c r="BB243" i="84"/>
  <c r="BC243" i="84" s="1"/>
  <c r="BB248" i="84"/>
  <c r="BC248" i="84" s="1"/>
  <c r="BB253" i="84"/>
  <c r="BC253" i="84" s="1"/>
  <c r="AN88" i="84"/>
  <c r="AN93" i="84"/>
  <c r="AN98" i="84"/>
  <c r="AO98" i="84" s="1"/>
  <c r="AN103" i="84"/>
  <c r="AO103" i="84" s="1"/>
  <c r="AN108" i="84"/>
  <c r="AO108" i="84" s="1"/>
  <c r="AN113" i="84"/>
  <c r="AO113" i="84" s="1"/>
  <c r="AN118" i="84"/>
  <c r="AO118" i="84" s="1"/>
  <c r="AN123" i="84"/>
  <c r="AN128" i="84"/>
  <c r="AN143" i="84"/>
  <c r="AO143" i="84" s="1"/>
  <c r="AN148" i="84"/>
  <c r="AO148" i="84" s="1"/>
  <c r="AN153" i="84"/>
  <c r="AO153" i="84" s="1"/>
  <c r="AN158" i="84"/>
  <c r="AO158" i="84" s="1"/>
  <c r="AN163" i="84"/>
  <c r="AO163" i="84" s="1"/>
  <c r="AN168" i="84"/>
  <c r="AN173" i="84"/>
  <c r="AN193" i="84"/>
  <c r="AN198" i="84"/>
  <c r="AN203" i="84"/>
  <c r="AO203" i="84" s="1"/>
  <c r="AN208" i="84"/>
  <c r="AO208" i="84" s="1"/>
  <c r="AN213" i="84"/>
  <c r="AO213" i="84" s="1"/>
  <c r="AN218" i="84"/>
  <c r="AO218" i="84" s="1"/>
  <c r="AN223" i="84"/>
  <c r="AN228" i="84"/>
  <c r="AN243" i="84"/>
  <c r="AO243" i="84" s="1"/>
  <c r="AN248" i="84"/>
  <c r="AO248" i="84" s="1"/>
  <c r="AN253" i="84"/>
  <c r="AO253" i="84" s="1"/>
  <c r="AH88" i="84"/>
  <c r="AH93" i="84"/>
  <c r="AH98" i="84"/>
  <c r="AI98" i="84" s="1"/>
  <c r="AH103" i="84"/>
  <c r="AI103" i="84" s="1"/>
  <c r="AH108" i="84"/>
  <c r="AI108" i="84" s="1"/>
  <c r="AH113" i="84"/>
  <c r="AI113" i="84" s="1"/>
  <c r="AH118" i="84"/>
  <c r="AI118" i="84" s="1"/>
  <c r="AH123" i="84"/>
  <c r="AH128" i="84"/>
  <c r="AH143" i="84"/>
  <c r="AI143" i="84" s="1"/>
  <c r="AH148" i="84"/>
  <c r="AI148" i="84" s="1"/>
  <c r="AH153" i="84"/>
  <c r="AI153" i="84" s="1"/>
  <c r="AH158" i="84"/>
  <c r="AI158" i="84" s="1"/>
  <c r="AH163" i="84"/>
  <c r="AI163" i="84" s="1"/>
  <c r="AH168" i="84"/>
  <c r="AH173" i="84"/>
  <c r="AH193" i="84"/>
  <c r="AH198" i="84"/>
  <c r="AH203" i="84"/>
  <c r="AI203" i="84" s="1"/>
  <c r="AH208" i="84"/>
  <c r="AI208" i="84" s="1"/>
  <c r="AH213" i="84"/>
  <c r="AI213" i="84" s="1"/>
  <c r="AH218" i="84"/>
  <c r="AI218" i="84" s="1"/>
  <c r="AH223" i="84"/>
  <c r="AH228" i="84"/>
  <c r="AH243" i="84"/>
  <c r="AI243" i="84" s="1"/>
  <c r="AH248" i="84"/>
  <c r="AI248" i="84" s="1"/>
  <c r="AH253" i="84"/>
  <c r="AI253" i="84" s="1"/>
  <c r="AB88" i="84"/>
  <c r="AB93" i="84"/>
  <c r="AB98" i="84"/>
  <c r="AC98" i="84"/>
  <c r="AB103" i="84"/>
  <c r="AC103" i="84" s="1"/>
  <c r="AB108" i="84"/>
  <c r="AC108" i="84" s="1"/>
  <c r="AB113" i="84"/>
  <c r="AC113" i="84" s="1"/>
  <c r="AB118" i="84"/>
  <c r="AC118" i="84" s="1"/>
  <c r="AB123" i="84"/>
  <c r="AB128" i="84"/>
  <c r="AB143" i="84"/>
  <c r="AC143" i="84" s="1"/>
  <c r="AB148" i="84"/>
  <c r="AC148" i="84" s="1"/>
  <c r="AB153" i="84"/>
  <c r="AC153" i="84" s="1"/>
  <c r="AB158" i="84"/>
  <c r="AC158" i="84" s="1"/>
  <c r="AB163" i="84"/>
  <c r="AC163" i="84" s="1"/>
  <c r="AB168" i="84"/>
  <c r="AB173" i="84"/>
  <c r="AB193" i="84"/>
  <c r="AB198" i="84"/>
  <c r="AB203" i="84"/>
  <c r="AC203" i="84" s="1"/>
  <c r="AB208" i="84"/>
  <c r="AC208" i="84" s="1"/>
  <c r="AB213" i="84"/>
  <c r="AC213" i="84" s="1"/>
  <c r="AB218" i="84"/>
  <c r="AC218" i="84" s="1"/>
  <c r="AB223" i="84"/>
  <c r="AB228" i="84"/>
  <c r="AB243" i="84"/>
  <c r="AC243" i="84"/>
  <c r="AB248" i="84"/>
  <c r="AC248" i="84"/>
  <c r="AB253" i="84"/>
  <c r="AC253" i="84" s="1"/>
  <c r="BD15" i="84"/>
  <c r="BD20" i="84"/>
  <c r="BE20" i="84" s="1"/>
  <c r="BD25" i="84"/>
  <c r="BE25" i="84" s="1"/>
  <c r="BD30" i="84"/>
  <c r="BE30" i="84" s="1"/>
  <c r="BD41" i="84"/>
  <c r="BE41" i="84"/>
  <c r="BD46" i="84"/>
  <c r="BE46" i="84" s="1"/>
  <c r="BD51" i="84"/>
  <c r="BE51" i="84" s="1"/>
  <c r="BD62" i="84"/>
  <c r="BE62" i="84" s="1"/>
  <c r="BD67" i="84"/>
  <c r="BE67" i="84" s="1"/>
  <c r="AZ41" i="84"/>
  <c r="BA41" i="84" s="1"/>
  <c r="AZ46" i="84"/>
  <c r="BA46" i="84" s="1"/>
  <c r="BB46" i="84" s="1"/>
  <c r="AZ51" i="84"/>
  <c r="BA51" i="84" s="1"/>
  <c r="BB51" i="84" s="1"/>
  <c r="AZ62" i="84"/>
  <c r="AZ67" i="84" s="1"/>
  <c r="BA67" i="84" s="1"/>
  <c r="BB67" i="84" s="1"/>
  <c r="AV41" i="84"/>
  <c r="AV46" i="84"/>
  <c r="AW46" i="84" s="1"/>
  <c r="AX46" i="84" s="1"/>
  <c r="AV62" i="84"/>
  <c r="AV67" i="84" s="1"/>
  <c r="AW67" i="84" s="1"/>
  <c r="AX67" i="84" s="1"/>
  <c r="AR41" i="84"/>
  <c r="AS41" i="84" s="1"/>
  <c r="AR46" i="84"/>
  <c r="AS46" i="84" s="1"/>
  <c r="AT46" i="84" s="1"/>
  <c r="AR62" i="84"/>
  <c r="AR67" i="84" s="1"/>
  <c r="AS67" i="84" s="1"/>
  <c r="AT67" i="84" s="1"/>
  <c r="AH41" i="84"/>
  <c r="AI41" i="84" s="1"/>
  <c r="AH46" i="84"/>
  <c r="AI46" i="84" s="1"/>
  <c r="AJ46" i="84" s="1"/>
  <c r="AH51" i="84"/>
  <c r="AI51" i="84" s="1"/>
  <c r="AJ51" i="84" s="1"/>
  <c r="AH62" i="84"/>
  <c r="AH67" i="84" s="1"/>
  <c r="AI67" i="84" s="1"/>
  <c r="AJ67" i="84" s="1"/>
  <c r="AD41" i="84"/>
  <c r="AE41" i="84" s="1"/>
  <c r="AF41" i="84" s="1"/>
  <c r="AD46" i="84"/>
  <c r="AE46" i="84" s="1"/>
  <c r="AF46" i="84" s="1"/>
  <c r="AD51" i="84"/>
  <c r="AE51" i="84" s="1"/>
  <c r="AF51" i="84" s="1"/>
  <c r="AD62" i="84"/>
  <c r="AD67" i="84" s="1"/>
  <c r="AE67" i="84" s="1"/>
  <c r="AF67" i="84" s="1"/>
  <c r="AM15" i="84"/>
  <c r="E347" i="101"/>
  <c r="E346" i="101"/>
  <c r="E345" i="101"/>
  <c r="F347" i="101"/>
  <c r="E343" i="101"/>
  <c r="E342" i="101"/>
  <c r="E341" i="101"/>
  <c r="F340" i="101"/>
  <c r="F341" i="101"/>
  <c r="F342" i="101"/>
  <c r="F343" i="101"/>
  <c r="F344" i="101"/>
  <c r="F345" i="101"/>
  <c r="F346" i="101"/>
  <c r="E339" i="101"/>
  <c r="E338" i="101"/>
  <c r="E337" i="101"/>
  <c r="E336" i="101"/>
  <c r="E334" i="101"/>
  <c r="F334" i="101"/>
  <c r="F335" i="101"/>
  <c r="F336" i="101"/>
  <c r="F337" i="101"/>
  <c r="F338" i="101"/>
  <c r="F339" i="101"/>
  <c r="E87" i="101"/>
  <c r="E86" i="101"/>
  <c r="E85" i="101"/>
  <c r="E83" i="101"/>
  <c r="E82" i="101"/>
  <c r="E81" i="101"/>
  <c r="E79" i="101"/>
  <c r="E78" i="101"/>
  <c r="F79" i="101"/>
  <c r="F80" i="101"/>
  <c r="F81" i="101"/>
  <c r="F82" i="101"/>
  <c r="F83" i="101"/>
  <c r="F84" i="101"/>
  <c r="F85" i="101"/>
  <c r="F86" i="101"/>
  <c r="F87" i="101"/>
  <c r="E76" i="101"/>
  <c r="E75" i="101"/>
  <c r="E74" i="101"/>
  <c r="E72" i="101"/>
  <c r="E71" i="101"/>
  <c r="F70" i="101"/>
  <c r="F71" i="101"/>
  <c r="F72" i="101"/>
  <c r="F73" i="101"/>
  <c r="F74" i="101"/>
  <c r="F75" i="101"/>
  <c r="F76" i="101"/>
  <c r="F77" i="101"/>
  <c r="E69" i="101"/>
  <c r="E68" i="101"/>
  <c r="E67" i="101"/>
  <c r="E66" i="101"/>
  <c r="F62" i="101"/>
  <c r="F63" i="101"/>
  <c r="F64" i="101"/>
  <c r="F65" i="101"/>
  <c r="F66" i="101"/>
  <c r="F67" i="101"/>
  <c r="F61" i="101"/>
  <c r="F68" i="101"/>
  <c r="F69" i="101"/>
  <c r="F78" i="101"/>
  <c r="Z138" i="87" l="1"/>
  <c r="Z146" i="87"/>
  <c r="AG138" i="87"/>
  <c r="AG146" i="87"/>
  <c r="AF341" i="89"/>
  <c r="AF298" i="89"/>
  <c r="AM341" i="89"/>
  <c r="BH341" i="89"/>
  <c r="BI328" i="89"/>
  <c r="BW311" i="89"/>
  <c r="BV311" i="89"/>
  <c r="AV51" i="84"/>
  <c r="AE62" i="84"/>
  <c r="AF62" i="84" s="1"/>
  <c r="AW41" i="84"/>
  <c r="BB135" i="85"/>
  <c r="AU104" i="87"/>
  <c r="AG202" i="87"/>
  <c r="BI338" i="87"/>
  <c r="Z240" i="87"/>
  <c r="Z108" i="87"/>
  <c r="AN275" i="87"/>
  <c r="BI266" i="87"/>
  <c r="BI20" i="87"/>
  <c r="BI138" i="87"/>
  <c r="AU181" i="87"/>
  <c r="AN206" i="87"/>
  <c r="AW82" i="87"/>
  <c r="AU30" i="87"/>
  <c r="Z206" i="87"/>
  <c r="AU279" i="87"/>
  <c r="AU146" i="87"/>
  <c r="AU240" i="87"/>
  <c r="Z104" i="87"/>
  <c r="AG104" i="87"/>
  <c r="AU275" i="87"/>
  <c r="AG275" i="87"/>
  <c r="Z308" i="87"/>
  <c r="AU210" i="87"/>
  <c r="AG168" i="87"/>
  <c r="AW87" i="87"/>
  <c r="BI232" i="87"/>
  <c r="AN177" i="87"/>
  <c r="AN279" i="87"/>
  <c r="AG108" i="87"/>
  <c r="BI291" i="87"/>
  <c r="BI223" i="87"/>
  <c r="BK87" i="87"/>
  <c r="AU312" i="87"/>
  <c r="AU206" i="87"/>
  <c r="AU108" i="87"/>
  <c r="AU40" i="87"/>
  <c r="AN240" i="87"/>
  <c r="AN210" i="87"/>
  <c r="AI87" i="87"/>
  <c r="Z275" i="87"/>
  <c r="AB87" i="87"/>
  <c r="BI198" i="87"/>
  <c r="BI87" i="87"/>
  <c r="AP82" i="87"/>
  <c r="AG270" i="87"/>
  <c r="AG30" i="87"/>
  <c r="Z30" i="87"/>
  <c r="AU249" i="87"/>
  <c r="AU177" i="87"/>
  <c r="AG240" i="87"/>
  <c r="AG210" i="87"/>
  <c r="Z210" i="87"/>
  <c r="AG312" i="87"/>
  <c r="AB82" i="87"/>
  <c r="BI299" i="87"/>
  <c r="BI164" i="87"/>
  <c r="BK82" i="87"/>
  <c r="AG236" i="87"/>
  <c r="AU142" i="87"/>
  <c r="Z312" i="87"/>
  <c r="AU76" i="87"/>
  <c r="AN142" i="87"/>
  <c r="AG338" i="87"/>
  <c r="AG206" i="87"/>
  <c r="AU325" i="87"/>
  <c r="AG177" i="87"/>
  <c r="AG279" i="87"/>
  <c r="AG142" i="87"/>
  <c r="AG100" i="87"/>
  <c r="Z342" i="87"/>
  <c r="Z177" i="87"/>
  <c r="Z279" i="87"/>
  <c r="BI129" i="87"/>
  <c r="AU316" i="87"/>
  <c r="AN312" i="87"/>
  <c r="Z142" i="87"/>
  <c r="BI246" i="88"/>
  <c r="AN133" i="89"/>
  <c r="AU336" i="89"/>
  <c r="AN154" i="89"/>
  <c r="AU255" i="89"/>
  <c r="AN345" i="89"/>
  <c r="AU154" i="89"/>
  <c r="AU102" i="89"/>
  <c r="AF311" i="89"/>
  <c r="AG102" i="89"/>
  <c r="AG56" i="89"/>
  <c r="AN336" i="89"/>
  <c r="AN306" i="89"/>
  <c r="AN98" i="89"/>
  <c r="AU98" i="89"/>
  <c r="AT328" i="89"/>
  <c r="AG336" i="89"/>
  <c r="AG306" i="89"/>
  <c r="AG98" i="89"/>
  <c r="AN302" i="89"/>
  <c r="AN68" i="89"/>
  <c r="AU89" i="89"/>
  <c r="AU56" i="89"/>
  <c r="BI167" i="89"/>
  <c r="AM328" i="89"/>
  <c r="AF328" i="89"/>
  <c r="AG302" i="89"/>
  <c r="AG298" i="89" s="1"/>
  <c r="AM298" i="89"/>
  <c r="AN272" i="89"/>
  <c r="AN18" i="89"/>
  <c r="AN171" i="89"/>
  <c r="AU22" i="89"/>
  <c r="AF277" i="89"/>
  <c r="AG89" i="89"/>
  <c r="AN323" i="89"/>
  <c r="AU167" i="89"/>
  <c r="AU111" i="89"/>
  <c r="AU85" i="89"/>
  <c r="BI302" i="89"/>
  <c r="BI298" i="89" s="1"/>
  <c r="BI268" i="89"/>
  <c r="AG171" i="89"/>
  <c r="AN167" i="89"/>
  <c r="BH328" i="89"/>
  <c r="AJ319" i="89"/>
  <c r="AG293" i="89"/>
  <c r="AG167" i="89"/>
  <c r="AO319" i="89"/>
  <c r="AN289" i="89"/>
  <c r="AV319" i="89"/>
  <c r="AU35" i="89"/>
  <c r="AH319" i="89"/>
  <c r="AG268" i="89"/>
  <c r="AG64" i="89"/>
  <c r="AG22" i="89"/>
  <c r="AT341" i="89"/>
  <c r="AU120" i="89"/>
  <c r="AU64" i="89"/>
  <c r="BM319" i="89"/>
  <c r="BI98" i="89"/>
  <c r="BI323" i="89"/>
  <c r="BI311" i="89" s="1"/>
  <c r="BI289" i="89"/>
  <c r="BI277" i="89" s="1"/>
  <c r="BI255" i="89"/>
  <c r="BI154" i="89"/>
  <c r="BI120" i="89"/>
  <c r="BI85" i="89"/>
  <c r="BI18" i="89"/>
  <c r="BI345" i="89"/>
  <c r="BI341" i="89" s="1"/>
  <c r="BH311" i="89"/>
  <c r="BH277" i="89"/>
  <c r="BK319" i="89"/>
  <c r="BJ319" i="89"/>
  <c r="BH298" i="89"/>
  <c r="BI14" i="89"/>
  <c r="AU341" i="89"/>
  <c r="AU298" i="89"/>
  <c r="AU311" i="89"/>
  <c r="AU277" i="89"/>
  <c r="AU18" i="89"/>
  <c r="AT311" i="89"/>
  <c r="AT277" i="89"/>
  <c r="AU332" i="89"/>
  <c r="AU328" i="89" s="1"/>
  <c r="AU163" i="89"/>
  <c r="AU129" i="89"/>
  <c r="AT298" i="89"/>
  <c r="AU14" i="89"/>
  <c r="AN298" i="89"/>
  <c r="AN311" i="89"/>
  <c r="AN341" i="89"/>
  <c r="AN277" i="89"/>
  <c r="AQ319" i="89"/>
  <c r="AM311" i="89"/>
  <c r="AM277" i="89"/>
  <c r="AN332" i="89"/>
  <c r="AN328" i="89" s="1"/>
  <c r="AP319" i="89"/>
  <c r="AN264" i="89"/>
  <c r="AN163" i="89"/>
  <c r="AN129" i="89"/>
  <c r="AN14" i="89"/>
  <c r="AG323" i="89"/>
  <c r="AG311" i="89" s="1"/>
  <c r="AG289" i="89"/>
  <c r="AG277" i="89" s="1"/>
  <c r="AG255" i="89"/>
  <c r="AG154" i="89"/>
  <c r="AG120" i="89"/>
  <c r="AG85" i="89"/>
  <c r="AG18" i="89"/>
  <c r="AG345" i="89"/>
  <c r="AG341" i="89" s="1"/>
  <c r="AG142" i="89"/>
  <c r="AG332" i="89"/>
  <c r="AG328" i="89" s="1"/>
  <c r="AI319" i="89"/>
  <c r="AG264" i="89"/>
  <c r="AG163" i="89"/>
  <c r="AG129" i="89"/>
  <c r="AG14" i="89"/>
  <c r="Z255" i="88"/>
  <c r="AG255" i="88"/>
  <c r="AN255" i="88"/>
  <c r="AU255" i="88"/>
  <c r="BI255" i="88"/>
  <c r="Z299" i="87"/>
  <c r="Z266" i="87"/>
  <c r="Z232" i="87"/>
  <c r="Z198" i="87"/>
  <c r="Z164" i="87"/>
  <c r="Z129" i="87"/>
  <c r="Z20" i="87"/>
  <c r="Z287" i="87"/>
  <c r="Z219" i="87"/>
  <c r="Z117" i="87"/>
  <c r="Z160" i="87"/>
  <c r="AB76" i="87"/>
  <c r="AG299" i="87"/>
  <c r="AG266" i="87"/>
  <c r="AG232" i="87"/>
  <c r="AG198" i="87"/>
  <c r="AG164" i="87"/>
  <c r="AG129" i="87"/>
  <c r="AI82" i="87"/>
  <c r="AG20" i="87"/>
  <c r="AG117" i="87"/>
  <c r="AI76" i="87"/>
  <c r="AN299" i="87"/>
  <c r="AN266" i="87"/>
  <c r="AN232" i="87"/>
  <c r="AN198" i="87"/>
  <c r="AN164" i="87"/>
  <c r="AN129" i="87"/>
  <c r="AN20" i="87"/>
  <c r="AN160" i="87"/>
  <c r="AP76" i="87"/>
  <c r="AN316" i="87"/>
  <c r="AN146" i="87"/>
  <c r="AP87" i="87"/>
  <c r="AU299" i="87"/>
  <c r="AU266" i="87"/>
  <c r="AU232" i="87"/>
  <c r="AU198" i="87"/>
  <c r="AU164" i="87"/>
  <c r="AU129" i="87"/>
  <c r="AU20" i="87"/>
  <c r="AU287" i="87"/>
  <c r="AU219" i="87"/>
  <c r="AU117" i="87"/>
  <c r="AU160" i="87"/>
  <c r="AW76" i="87"/>
  <c r="BI312" i="87"/>
  <c r="BI279" i="87"/>
  <c r="BI210" i="87"/>
  <c r="BI177" i="87"/>
  <c r="BI142" i="87"/>
  <c r="BI108" i="87"/>
  <c r="BI160" i="87"/>
  <c r="BK76" i="87"/>
  <c r="BB151" i="85"/>
  <c r="BB109" i="85"/>
  <c r="BB67" i="85"/>
  <c r="BI143" i="84"/>
  <c r="BE15" i="84"/>
  <c r="BA62" i="84"/>
  <c r="BB41" i="84"/>
  <c r="AW51" i="84"/>
  <c r="AX51" i="84" s="1"/>
  <c r="AW62" i="84"/>
  <c r="AX41" i="84"/>
  <c r="AT41" i="84"/>
  <c r="AR51" i="84"/>
  <c r="AS51" i="84" s="1"/>
  <c r="AT51" i="84" s="1"/>
  <c r="AS62" i="84"/>
  <c r="AI62" i="84"/>
  <c r="AJ41" i="84"/>
  <c r="F207" i="101"/>
  <c r="F208" i="101"/>
  <c r="F209" i="101"/>
  <c r="F210" i="101"/>
  <c r="F211" i="101"/>
  <c r="F212" i="101"/>
  <c r="F213" i="101"/>
  <c r="F214" i="101"/>
  <c r="F215" i="101"/>
  <c r="F216" i="101"/>
  <c r="F217" i="101"/>
  <c r="F218" i="101"/>
  <c r="F198" i="101"/>
  <c r="F199" i="101"/>
  <c r="F200" i="101"/>
  <c r="F201" i="101"/>
  <c r="F202" i="101"/>
  <c r="F203" i="101"/>
  <c r="F204" i="101"/>
  <c r="F191" i="101"/>
  <c r="F192" i="101"/>
  <c r="F193" i="101"/>
  <c r="F194" i="101"/>
  <c r="F195" i="101"/>
  <c r="F196" i="101"/>
  <c r="F197" i="101"/>
  <c r="F185" i="101"/>
  <c r="F186" i="101"/>
  <c r="F187" i="101"/>
  <c r="F188" i="101"/>
  <c r="F189" i="101"/>
  <c r="F190" i="101"/>
  <c r="F205" i="101"/>
  <c r="F177" i="101"/>
  <c r="F178" i="101"/>
  <c r="F179" i="101"/>
  <c r="F180" i="101"/>
  <c r="F181" i="101"/>
  <c r="F182" i="101"/>
  <c r="F183" i="101"/>
  <c r="F184" i="101"/>
  <c r="F206" i="101"/>
  <c r="F219" i="101"/>
  <c r="F221" i="101"/>
  <c r="F220" i="101"/>
  <c r="D7" i="102"/>
  <c r="D5" i="102"/>
  <c r="L293" i="101"/>
  <c r="L292" i="101"/>
  <c r="L271" i="101"/>
  <c r="I264" i="101"/>
  <c r="I263" i="101"/>
  <c r="I262" i="101"/>
  <c r="I261" i="101"/>
  <c r="M235" i="90"/>
  <c r="N235" i="90"/>
  <c r="G257" i="90"/>
  <c r="H257" i="90"/>
  <c r="G258" i="90"/>
  <c r="H258" i="90"/>
  <c r="I258" i="90"/>
  <c r="J258" i="90"/>
  <c r="G259" i="90"/>
  <c r="H259" i="90"/>
  <c r="I259" i="90"/>
  <c r="J259" i="90"/>
  <c r="G260" i="90"/>
  <c r="H260" i="90"/>
  <c r="I260" i="90"/>
  <c r="J260" i="90"/>
  <c r="J272" i="90"/>
  <c r="J267" i="90"/>
  <c r="J262" i="90"/>
  <c r="I272" i="90"/>
  <c r="I267" i="90"/>
  <c r="I262" i="90"/>
  <c r="I257" i="90" s="1"/>
  <c r="F275" i="90"/>
  <c r="K347" i="101" s="1"/>
  <c r="F274" i="90"/>
  <c r="I347" i="101" s="1"/>
  <c r="F273" i="90"/>
  <c r="J347" i="101" s="1"/>
  <c r="F272" i="90"/>
  <c r="H347" i="101" s="1"/>
  <c r="F270" i="90"/>
  <c r="K346" i="101" s="1"/>
  <c r="F269" i="90"/>
  <c r="I346" i="101" s="1"/>
  <c r="F268" i="90"/>
  <c r="J346" i="101" s="1"/>
  <c r="F267" i="90"/>
  <c r="H346" i="101" s="1"/>
  <c r="F265" i="90"/>
  <c r="F264" i="90"/>
  <c r="F263" i="90"/>
  <c r="B256" i="90"/>
  <c r="E344" i="101" s="1"/>
  <c r="G236" i="90"/>
  <c r="H236" i="90"/>
  <c r="G237" i="90"/>
  <c r="H237" i="90"/>
  <c r="I237" i="90"/>
  <c r="J237" i="90"/>
  <c r="G238" i="90"/>
  <c r="H238" i="90"/>
  <c r="I238" i="90"/>
  <c r="J238" i="90"/>
  <c r="G239" i="90"/>
  <c r="H239" i="90"/>
  <c r="I239" i="90"/>
  <c r="J239" i="90"/>
  <c r="J251" i="90"/>
  <c r="J246" i="90"/>
  <c r="J241" i="90"/>
  <c r="I251" i="90"/>
  <c r="I246" i="90"/>
  <c r="I241" i="90"/>
  <c r="F241" i="90" s="1"/>
  <c r="H341" i="101" s="1"/>
  <c r="B235" i="90"/>
  <c r="E340" i="101" s="1"/>
  <c r="F254" i="90"/>
  <c r="K343" i="101" s="1"/>
  <c r="F253" i="90"/>
  <c r="I343" i="101" s="1"/>
  <c r="F252" i="90"/>
  <c r="J343" i="101" s="1"/>
  <c r="F251" i="90"/>
  <c r="H343" i="101" s="1"/>
  <c r="F249" i="90"/>
  <c r="K342" i="101" s="1"/>
  <c r="F248" i="90"/>
  <c r="I342" i="101" s="1"/>
  <c r="F247" i="90"/>
  <c r="J342" i="101" s="1"/>
  <c r="F244" i="90"/>
  <c r="F243" i="90"/>
  <c r="F242" i="90"/>
  <c r="J230" i="90"/>
  <c r="J225" i="90"/>
  <c r="J220" i="90"/>
  <c r="J215" i="90"/>
  <c r="G210" i="90"/>
  <c r="H210" i="90"/>
  <c r="G211" i="90"/>
  <c r="H211" i="90"/>
  <c r="I211" i="90"/>
  <c r="J211" i="90"/>
  <c r="G212" i="90"/>
  <c r="H212" i="90"/>
  <c r="I212" i="90"/>
  <c r="J212" i="90"/>
  <c r="G213" i="90"/>
  <c r="H213" i="90"/>
  <c r="I213" i="90"/>
  <c r="J213" i="90"/>
  <c r="B209" i="90"/>
  <c r="E335" i="101" s="1"/>
  <c r="F233" i="90"/>
  <c r="K339" i="101" s="1"/>
  <c r="F232" i="90"/>
  <c r="I339" i="101" s="1"/>
  <c r="F231" i="90"/>
  <c r="J339" i="101" s="1"/>
  <c r="I230" i="90"/>
  <c r="F228" i="90"/>
  <c r="K338" i="101" s="1"/>
  <c r="F227" i="90"/>
  <c r="I338" i="101" s="1"/>
  <c r="F226" i="90"/>
  <c r="J338" i="101" s="1"/>
  <c r="I225" i="90"/>
  <c r="F225" i="90" s="1"/>
  <c r="H338" i="101" s="1"/>
  <c r="F223" i="90"/>
  <c r="K337" i="101" s="1"/>
  <c r="F222" i="90"/>
  <c r="I337" i="101" s="1"/>
  <c r="F221" i="90"/>
  <c r="J337" i="101" s="1"/>
  <c r="I220" i="90"/>
  <c r="F220" i="90" s="1"/>
  <c r="H337" i="101" s="1"/>
  <c r="F218" i="90"/>
  <c r="K336" i="101" s="1"/>
  <c r="F217" i="90"/>
  <c r="I336" i="101" s="1"/>
  <c r="F216" i="90"/>
  <c r="J336" i="101" s="1"/>
  <c r="I215" i="90"/>
  <c r="I204" i="90"/>
  <c r="F206" i="90"/>
  <c r="I334" i="101" s="1"/>
  <c r="F205" i="90"/>
  <c r="J334" i="101" s="1"/>
  <c r="F207" i="90"/>
  <c r="K334" i="101" s="1"/>
  <c r="J204" i="90"/>
  <c r="AC91" i="96"/>
  <c r="T91" i="96"/>
  <c r="T90" i="96"/>
  <c r="T89" i="96"/>
  <c r="BT258" i="84"/>
  <c r="BU258" i="84" s="1"/>
  <c r="BT253" i="84"/>
  <c r="BU253" i="84" s="1"/>
  <c r="BT248" i="84"/>
  <c r="BU248" i="84" s="1"/>
  <c r="BT243" i="84"/>
  <c r="BU243" i="84" s="1"/>
  <c r="BT238" i="84"/>
  <c r="BU238" i="84" s="1"/>
  <c r="BT188" i="84"/>
  <c r="BU188" i="84" s="1"/>
  <c r="BT183" i="84"/>
  <c r="BU183" i="84" s="1"/>
  <c r="BT163" i="84"/>
  <c r="BU163" i="84" s="1"/>
  <c r="BT158" i="84"/>
  <c r="BU158" i="84" s="1"/>
  <c r="BT153" i="84"/>
  <c r="BU153" i="84" s="1"/>
  <c r="BT148" i="84"/>
  <c r="BU148" i="84" s="1"/>
  <c r="BT143" i="84"/>
  <c r="BU143" i="84" s="1"/>
  <c r="BT138" i="84"/>
  <c r="BU138" i="84" s="1"/>
  <c r="BT83" i="84"/>
  <c r="BU83" i="84" s="1"/>
  <c r="I63" i="84"/>
  <c r="M346" i="101" l="1"/>
  <c r="P292" i="101"/>
  <c r="P271" i="101"/>
  <c r="M336" i="101"/>
  <c r="M338" i="101"/>
  <c r="P293" i="101"/>
  <c r="M347" i="101"/>
  <c r="M261" i="101"/>
  <c r="M262" i="101"/>
  <c r="M334" i="101"/>
  <c r="M337" i="101"/>
  <c r="M263" i="101"/>
  <c r="M343" i="101"/>
  <c r="M339" i="101"/>
  <c r="M342" i="101"/>
  <c r="M264" i="101"/>
  <c r="F237" i="90"/>
  <c r="J340" i="101" s="1"/>
  <c r="J341" i="101"/>
  <c r="F238" i="90"/>
  <c r="I340" i="101" s="1"/>
  <c r="M340" i="101" s="1"/>
  <c r="I341" i="101"/>
  <c r="M341" i="101" s="1"/>
  <c r="F239" i="90"/>
  <c r="K340" i="101" s="1"/>
  <c r="K341" i="101"/>
  <c r="I236" i="90"/>
  <c r="F246" i="90"/>
  <c r="H342" i="101" s="1"/>
  <c r="J345" i="101"/>
  <c r="F258" i="90"/>
  <c r="J344" i="101" s="1"/>
  <c r="I345" i="101"/>
  <c r="M345" i="101" s="1"/>
  <c r="F259" i="90"/>
  <c r="I344" i="101" s="1"/>
  <c r="M344" i="101" s="1"/>
  <c r="K345" i="101"/>
  <c r="F260" i="90"/>
  <c r="K344" i="101" s="1"/>
  <c r="F262" i="90"/>
  <c r="J257" i="90"/>
  <c r="M70" i="101"/>
  <c r="M71" i="101"/>
  <c r="M72" i="101"/>
  <c r="M191" i="101"/>
  <c r="M192" i="101"/>
  <c r="M193" i="101"/>
  <c r="M311" i="101"/>
  <c r="M331" i="101"/>
  <c r="M333" i="101"/>
  <c r="P347" i="101"/>
  <c r="P340" i="101"/>
  <c r="P341" i="101"/>
  <c r="P342" i="101"/>
  <c r="P343" i="101"/>
  <c r="P344" i="101"/>
  <c r="P345" i="101"/>
  <c r="P346" i="101"/>
  <c r="P334" i="101"/>
  <c r="P335" i="101"/>
  <c r="P336" i="101"/>
  <c r="P337" i="101"/>
  <c r="P338" i="101"/>
  <c r="P339" i="101"/>
  <c r="P79" i="101"/>
  <c r="P80" i="101"/>
  <c r="P81" i="101"/>
  <c r="P82" i="101"/>
  <c r="P83" i="101"/>
  <c r="P84" i="101"/>
  <c r="P85" i="101"/>
  <c r="P86" i="101"/>
  <c r="P87" i="101"/>
  <c r="P70" i="101"/>
  <c r="P71" i="101"/>
  <c r="P72" i="101"/>
  <c r="P73" i="101"/>
  <c r="P74" i="101"/>
  <c r="P75" i="101"/>
  <c r="P76" i="101"/>
  <c r="P77" i="101"/>
  <c r="P62" i="101"/>
  <c r="P63" i="101"/>
  <c r="P64" i="101"/>
  <c r="P65" i="101"/>
  <c r="P66" i="101"/>
  <c r="P67" i="101"/>
  <c r="P61" i="101"/>
  <c r="P68" i="101"/>
  <c r="P69" i="101"/>
  <c r="P78" i="101"/>
  <c r="P207" i="101"/>
  <c r="P208" i="101"/>
  <c r="P209" i="101"/>
  <c r="P210" i="101"/>
  <c r="P211" i="101"/>
  <c r="P212" i="101"/>
  <c r="P213" i="101"/>
  <c r="P214" i="101"/>
  <c r="P215" i="101"/>
  <c r="P216" i="101"/>
  <c r="P217" i="101"/>
  <c r="P218" i="101"/>
  <c r="P198" i="101"/>
  <c r="P199" i="101"/>
  <c r="P200" i="101"/>
  <c r="P201" i="101"/>
  <c r="P202" i="101"/>
  <c r="P203" i="101"/>
  <c r="P204" i="101"/>
  <c r="P191" i="101"/>
  <c r="P192" i="101"/>
  <c r="P193" i="101"/>
  <c r="P194" i="101"/>
  <c r="P195" i="101"/>
  <c r="P196" i="101"/>
  <c r="P197" i="101"/>
  <c r="P185" i="101"/>
  <c r="P186" i="101"/>
  <c r="P187" i="101"/>
  <c r="P188" i="101"/>
  <c r="P189" i="101"/>
  <c r="P190" i="101"/>
  <c r="P205" i="101"/>
  <c r="P177" i="101"/>
  <c r="P178" i="101"/>
  <c r="P179" i="101"/>
  <c r="P180" i="101"/>
  <c r="P181" i="101"/>
  <c r="P182" i="101"/>
  <c r="P183" i="101"/>
  <c r="P184" i="101"/>
  <c r="P206" i="101"/>
  <c r="P219" i="101"/>
  <c r="P221" i="101"/>
  <c r="P220" i="101"/>
  <c r="P2" i="101"/>
  <c r="P3" i="101"/>
  <c r="P4" i="101"/>
  <c r="P5" i="101"/>
  <c r="P6" i="101"/>
  <c r="P7" i="101"/>
  <c r="P8" i="101"/>
  <c r="P9" i="101"/>
  <c r="P10" i="101"/>
  <c r="P11" i="101"/>
  <c r="P12" i="101"/>
  <c r="P13" i="101"/>
  <c r="P14" i="101"/>
  <c r="P15" i="101"/>
  <c r="P16" i="101"/>
  <c r="P17" i="101"/>
  <c r="P18" i="101"/>
  <c r="P19" i="101"/>
  <c r="P20" i="101"/>
  <c r="P21" i="101"/>
  <c r="P22" i="101"/>
  <c r="P23" i="101"/>
  <c r="P24" i="101"/>
  <c r="P25" i="101"/>
  <c r="P26" i="101"/>
  <c r="P27" i="101"/>
  <c r="P28" i="101"/>
  <c r="P29" i="101"/>
  <c r="P30" i="101"/>
  <c r="P31" i="101"/>
  <c r="P32" i="101"/>
  <c r="P33" i="101"/>
  <c r="P34" i="101"/>
  <c r="P35" i="101"/>
  <c r="P36" i="101"/>
  <c r="P37" i="101"/>
  <c r="P38" i="101"/>
  <c r="P39" i="101"/>
  <c r="P40" i="101"/>
  <c r="P41" i="101"/>
  <c r="P42" i="101"/>
  <c r="P43" i="101"/>
  <c r="P44" i="101"/>
  <c r="P45" i="101"/>
  <c r="P46" i="101"/>
  <c r="P47" i="101"/>
  <c r="P48" i="101"/>
  <c r="P49" i="101"/>
  <c r="P50" i="101"/>
  <c r="P51" i="101"/>
  <c r="P52" i="101"/>
  <c r="P53" i="101"/>
  <c r="P54" i="101"/>
  <c r="P55" i="101"/>
  <c r="P56" i="101"/>
  <c r="P57" i="101"/>
  <c r="P58" i="101"/>
  <c r="P59" i="101"/>
  <c r="P60" i="101"/>
  <c r="P88" i="101"/>
  <c r="P89" i="101"/>
  <c r="P90" i="101"/>
  <c r="P91" i="101"/>
  <c r="P92" i="101"/>
  <c r="P93" i="101"/>
  <c r="P94" i="101"/>
  <c r="P95" i="101"/>
  <c r="P96" i="101"/>
  <c r="P97" i="101"/>
  <c r="P98" i="101"/>
  <c r="P99" i="101"/>
  <c r="P100" i="101"/>
  <c r="P101" i="101"/>
  <c r="P102" i="101"/>
  <c r="P103" i="101"/>
  <c r="P104" i="101"/>
  <c r="P105" i="101"/>
  <c r="P106" i="101"/>
  <c r="P107" i="101"/>
  <c r="P108" i="101"/>
  <c r="P109" i="101"/>
  <c r="P110" i="101"/>
  <c r="P111" i="101"/>
  <c r="P112" i="101"/>
  <c r="P113" i="101"/>
  <c r="P114" i="101"/>
  <c r="P115" i="101"/>
  <c r="P116" i="101"/>
  <c r="P117" i="101"/>
  <c r="P118" i="101"/>
  <c r="P119" i="101"/>
  <c r="P120" i="101"/>
  <c r="P121" i="101"/>
  <c r="P122" i="101"/>
  <c r="P123" i="101"/>
  <c r="P124" i="101"/>
  <c r="P125" i="101"/>
  <c r="P126" i="101"/>
  <c r="P127" i="101"/>
  <c r="P128" i="101"/>
  <c r="P129" i="101"/>
  <c r="P130" i="101"/>
  <c r="P131" i="101"/>
  <c r="P132" i="101"/>
  <c r="P133" i="101"/>
  <c r="P134" i="101"/>
  <c r="P135" i="101"/>
  <c r="P136" i="101"/>
  <c r="P137" i="101"/>
  <c r="P138" i="101"/>
  <c r="P139" i="101"/>
  <c r="P140" i="101"/>
  <c r="P141" i="101"/>
  <c r="P142" i="101"/>
  <c r="P143" i="101"/>
  <c r="P144" i="101"/>
  <c r="P145" i="101"/>
  <c r="P146" i="101"/>
  <c r="P147" i="101"/>
  <c r="P148" i="101"/>
  <c r="P149" i="101"/>
  <c r="P150" i="101"/>
  <c r="P151" i="101"/>
  <c r="P152" i="101"/>
  <c r="P153" i="101"/>
  <c r="P154" i="101"/>
  <c r="P155" i="101"/>
  <c r="P156" i="101"/>
  <c r="P157" i="101"/>
  <c r="P158" i="101"/>
  <c r="P159" i="101"/>
  <c r="P160" i="101"/>
  <c r="P161" i="101"/>
  <c r="P162" i="101"/>
  <c r="P163" i="101"/>
  <c r="P164" i="101"/>
  <c r="P165" i="101"/>
  <c r="P166" i="101"/>
  <c r="P167" i="101"/>
  <c r="P168" i="101"/>
  <c r="P169" i="101"/>
  <c r="P170" i="101"/>
  <c r="P171" i="101"/>
  <c r="P172" i="101"/>
  <c r="P173" i="101"/>
  <c r="P174" i="101"/>
  <c r="P175" i="101"/>
  <c r="P176" i="101"/>
  <c r="P222" i="101"/>
  <c r="P223" i="101"/>
  <c r="P224" i="101"/>
  <c r="P225" i="101"/>
  <c r="P226" i="101"/>
  <c r="P227" i="101"/>
  <c r="P228" i="101"/>
  <c r="P229" i="101"/>
  <c r="P230" i="101"/>
  <c r="P231" i="101"/>
  <c r="P232" i="101"/>
  <c r="P233" i="101"/>
  <c r="P234" i="101"/>
  <c r="P235" i="101"/>
  <c r="P236" i="101"/>
  <c r="P237" i="101"/>
  <c r="P238" i="101"/>
  <c r="P239" i="101"/>
  <c r="P240" i="101"/>
  <c r="P241" i="101"/>
  <c r="P242" i="101"/>
  <c r="P243" i="101"/>
  <c r="P244" i="101"/>
  <c r="P245" i="101"/>
  <c r="P246" i="101"/>
  <c r="P247" i="101"/>
  <c r="P248" i="101"/>
  <c r="P249" i="101"/>
  <c r="P250" i="101"/>
  <c r="P251" i="101"/>
  <c r="P252" i="101"/>
  <c r="P253" i="101"/>
  <c r="P254" i="101"/>
  <c r="P255" i="101"/>
  <c r="P256" i="101"/>
  <c r="P257" i="101"/>
  <c r="P258" i="101"/>
  <c r="P259" i="101"/>
  <c r="P260" i="101"/>
  <c r="P261" i="101"/>
  <c r="P262" i="101"/>
  <c r="P263" i="101"/>
  <c r="P264" i="101"/>
  <c r="P265" i="101"/>
  <c r="P266" i="101"/>
  <c r="P267" i="101"/>
  <c r="P268" i="101"/>
  <c r="P269" i="101"/>
  <c r="P270" i="101"/>
  <c r="P300" i="101"/>
  <c r="P301" i="101"/>
  <c r="P302" i="101"/>
  <c r="P303" i="101"/>
  <c r="P304" i="101"/>
  <c r="P305" i="101"/>
  <c r="P306" i="101"/>
  <c r="P307" i="101"/>
  <c r="P308" i="101"/>
  <c r="P309" i="101"/>
  <c r="P310" i="101"/>
  <c r="P311" i="101"/>
  <c r="P312" i="101"/>
  <c r="P313" i="101"/>
  <c r="P314" i="101"/>
  <c r="P315" i="101"/>
  <c r="P316" i="101"/>
  <c r="P317" i="101"/>
  <c r="P318" i="101"/>
  <c r="P319" i="101"/>
  <c r="P320" i="101"/>
  <c r="P321" i="101"/>
  <c r="P322" i="101"/>
  <c r="P323" i="101"/>
  <c r="P324" i="101"/>
  <c r="P325" i="101"/>
  <c r="P326" i="101"/>
  <c r="P327" i="101"/>
  <c r="P328" i="101"/>
  <c r="P329" i="101"/>
  <c r="P330" i="101"/>
  <c r="P331" i="101"/>
  <c r="P332" i="101"/>
  <c r="P333" i="101"/>
  <c r="BB62" i="84"/>
  <c r="AX62" i="84"/>
  <c r="AT62" i="84"/>
  <c r="AJ62" i="84"/>
  <c r="F236" i="90"/>
  <c r="H340" i="101" s="1"/>
  <c r="I210" i="90"/>
  <c r="F211" i="90"/>
  <c r="J335" i="101" s="1"/>
  <c r="F212" i="90"/>
  <c r="I335" i="101" s="1"/>
  <c r="M335" i="101" s="1"/>
  <c r="F213" i="90"/>
  <c r="K335" i="101" s="1"/>
  <c r="J210" i="90"/>
  <c r="J236" i="90"/>
  <c r="F204" i="90"/>
  <c r="H334" i="101" s="1"/>
  <c r="F215" i="90"/>
  <c r="H336" i="101" s="1"/>
  <c r="F230" i="90"/>
  <c r="V128" i="84"/>
  <c r="AT128" i="84"/>
  <c r="AU128" i="84"/>
  <c r="AV128" i="84" l="1"/>
  <c r="F210" i="90"/>
  <c r="H335" i="101" s="1"/>
  <c r="H339" i="101"/>
  <c r="H345" i="101"/>
  <c r="F257" i="90"/>
  <c r="H344" i="101" s="1"/>
  <c r="Z91" i="96"/>
  <c r="X91" i="96"/>
  <c r="E419" i="92"/>
  <c r="E418" i="92"/>
  <c r="E417" i="92"/>
  <c r="E416" i="92"/>
  <c r="E415" i="92"/>
  <c r="E429" i="92"/>
  <c r="E428" i="92"/>
  <c r="E427" i="92"/>
  <c r="E426" i="92"/>
  <c r="E437" i="92"/>
  <c r="E436" i="92"/>
  <c r="E435" i="92"/>
  <c r="C433" i="92"/>
  <c r="C424" i="92"/>
  <c r="C422" i="92"/>
  <c r="C413" i="92"/>
  <c r="B434" i="92"/>
  <c r="C434" i="92" s="1"/>
  <c r="B425" i="92"/>
  <c r="C425" i="92" s="1"/>
  <c r="B423" i="92"/>
  <c r="C423" i="92" s="1"/>
  <c r="B414" i="92"/>
  <c r="C414" i="92" s="1"/>
  <c r="H437" i="92"/>
  <c r="H436" i="92"/>
  <c r="H435" i="92"/>
  <c r="H433" i="92"/>
  <c r="H429" i="92"/>
  <c r="H428" i="92"/>
  <c r="H427" i="92"/>
  <c r="H426" i="92"/>
  <c r="H424" i="92"/>
  <c r="H430" i="92" s="1"/>
  <c r="H422" i="92"/>
  <c r="H419" i="92"/>
  <c r="J419" i="92" s="1"/>
  <c r="H418" i="92"/>
  <c r="J418" i="92" s="1"/>
  <c r="H417" i="92"/>
  <c r="J417" i="92" s="1"/>
  <c r="H416" i="92"/>
  <c r="J416" i="92" s="1"/>
  <c r="H415" i="92"/>
  <c r="J415" i="92" s="1"/>
  <c r="H413" i="92"/>
  <c r="J413" i="92" s="1"/>
  <c r="H410" i="92"/>
  <c r="H409" i="92"/>
  <c r="H408" i="92"/>
  <c r="H407" i="92"/>
  <c r="H406" i="92"/>
  <c r="H404" i="92"/>
  <c r="E410" i="92"/>
  <c r="E409" i="92"/>
  <c r="E408" i="92"/>
  <c r="E407" i="92"/>
  <c r="E406" i="92"/>
  <c r="E411" i="92" s="1"/>
  <c r="D411" i="92"/>
  <c r="C404" i="92"/>
  <c r="B405" i="92"/>
  <c r="C405" i="92" s="1"/>
  <c r="B353" i="92"/>
  <c r="B344" i="92"/>
  <c r="B343" i="92"/>
  <c r="B345" i="92" s="1"/>
  <c r="C336" i="92"/>
  <c r="C335" i="92"/>
  <c r="C333" i="92"/>
  <c r="C332" i="92"/>
  <c r="C300" i="92"/>
  <c r="C339" i="92" s="1"/>
  <c r="B300" i="92"/>
  <c r="B339" i="92" s="1"/>
  <c r="B297" i="92"/>
  <c r="B336" i="92" s="1"/>
  <c r="B294" i="92"/>
  <c r="B333" i="92" s="1"/>
  <c r="C275" i="92"/>
  <c r="C258" i="92"/>
  <c r="B258" i="92"/>
  <c r="D188" i="92"/>
  <c r="D239" i="92" s="1"/>
  <c r="C188" i="92"/>
  <c r="C239" i="92" s="1"/>
  <c r="D187" i="92"/>
  <c r="D238" i="92" s="1"/>
  <c r="C187" i="92"/>
  <c r="C238" i="92" s="1"/>
  <c r="D183" i="92"/>
  <c r="D234" i="92" s="1"/>
  <c r="C183" i="92"/>
  <c r="C234" i="92" s="1"/>
  <c r="D182" i="92"/>
  <c r="D233" i="92" s="1"/>
  <c r="C182" i="92"/>
  <c r="C233" i="92" s="1"/>
  <c r="D178" i="92"/>
  <c r="D229" i="92" s="1"/>
  <c r="C178" i="92"/>
  <c r="C229" i="92" s="1"/>
  <c r="D177" i="92"/>
  <c r="D228" i="92" s="1"/>
  <c r="C177" i="92"/>
  <c r="C228" i="92" s="1"/>
  <c r="B188" i="92"/>
  <c r="B239" i="92" s="1"/>
  <c r="B187" i="92"/>
  <c r="B238" i="92" s="1"/>
  <c r="B183" i="92"/>
  <c r="B234" i="92" s="1"/>
  <c r="B182" i="92"/>
  <c r="B233" i="92" s="1"/>
  <c r="B178" i="92"/>
  <c r="B229" i="92" s="1"/>
  <c r="B177" i="92"/>
  <c r="B228" i="92" s="1"/>
  <c r="D148" i="92"/>
  <c r="D147" i="92"/>
  <c r="C148" i="92"/>
  <c r="C147" i="92"/>
  <c r="D122" i="92"/>
  <c r="D121" i="92"/>
  <c r="C122" i="92"/>
  <c r="C121" i="92"/>
  <c r="B122" i="92"/>
  <c r="B121" i="92"/>
  <c r="I144" i="84" l="1"/>
  <c r="K150" i="84"/>
  <c r="B189" i="92"/>
  <c r="B240" i="92" s="1"/>
  <c r="B184" i="92"/>
  <c r="B235" i="92" s="1"/>
  <c r="B179" i="92"/>
  <c r="B230" i="92" s="1"/>
  <c r="B175" i="92"/>
  <c r="B146" i="92"/>
  <c r="B145" i="92"/>
  <c r="B144" i="92"/>
  <c r="B143" i="92"/>
  <c r="B135" i="92"/>
  <c r="B190" i="92"/>
  <c r="B241" i="92" s="1"/>
  <c r="B185" i="92"/>
  <c r="B236" i="92" s="1"/>
  <c r="B180" i="92"/>
  <c r="B231" i="92" s="1"/>
  <c r="C189" i="92"/>
  <c r="C240" i="92" s="1"/>
  <c r="C184" i="92"/>
  <c r="C235" i="92" s="1"/>
  <c r="C179" i="92"/>
  <c r="C230" i="92" s="1"/>
  <c r="C175" i="92"/>
  <c r="C149" i="92"/>
  <c r="C145" i="92"/>
  <c r="C144" i="92"/>
  <c r="C143" i="92"/>
  <c r="C135" i="92"/>
  <c r="C190" i="92"/>
  <c r="C241" i="92" s="1"/>
  <c r="C185" i="92"/>
  <c r="C236" i="92" s="1"/>
  <c r="C180" i="92"/>
  <c r="C231" i="92" s="1"/>
  <c r="C150" i="92"/>
  <c r="D189" i="92"/>
  <c r="D240" i="92" s="1"/>
  <c r="D184" i="92"/>
  <c r="D235" i="92" s="1"/>
  <c r="D179" i="92"/>
  <c r="D230" i="92" s="1"/>
  <c r="D175" i="92"/>
  <c r="D149" i="92"/>
  <c r="D145" i="92"/>
  <c r="D144" i="92"/>
  <c r="D143" i="92"/>
  <c r="D135" i="92"/>
  <c r="D190" i="92"/>
  <c r="D241" i="92" s="1"/>
  <c r="D185" i="92"/>
  <c r="D236" i="92" s="1"/>
  <c r="D180" i="92"/>
  <c r="D231" i="92" s="1"/>
  <c r="D150" i="92"/>
  <c r="B308" i="92"/>
  <c r="B299" i="92"/>
  <c r="B338" i="92" s="1"/>
  <c r="B296" i="92"/>
  <c r="B335" i="92" s="1"/>
  <c r="B293" i="92"/>
  <c r="B332" i="92" s="1"/>
  <c r="C299" i="92"/>
  <c r="C338" i="92" s="1"/>
  <c r="C274" i="92"/>
  <c r="B376" i="92"/>
  <c r="B372" i="92"/>
  <c r="B398" i="92" s="1"/>
  <c r="B370" i="92"/>
  <c r="B396" i="92" s="1"/>
  <c r="B368" i="92"/>
  <c r="B394" i="92" s="1"/>
  <c r="AC93" i="84"/>
  <c r="AI93" i="84"/>
  <c r="AO93" i="84"/>
  <c r="BC93" i="84"/>
  <c r="BD83" i="84" s="1"/>
  <c r="BI93" i="84"/>
  <c r="BO93" i="84"/>
  <c r="AC88" i="84"/>
  <c r="AI88" i="84"/>
  <c r="AO88" i="84"/>
  <c r="BI88" i="84"/>
  <c r="BO88" i="84"/>
  <c r="I410" i="92"/>
  <c r="I409" i="92"/>
  <c r="I408" i="92"/>
  <c r="I407" i="92"/>
  <c r="I406" i="92"/>
  <c r="J406" i="92"/>
  <c r="J405" i="92"/>
  <c r="J407" i="92"/>
  <c r="J408" i="92"/>
  <c r="J409" i="92"/>
  <c r="J410" i="92"/>
  <c r="AD143" i="84"/>
  <c r="AE143" i="84" s="1"/>
  <c r="AF143" i="84" s="1"/>
  <c r="AJ143" i="84"/>
  <c r="AK143" i="84" s="1"/>
  <c r="AL143" i="84" s="1"/>
  <c r="AP143" i="84"/>
  <c r="AQ143" i="84" s="1"/>
  <c r="AR143" i="84" s="1"/>
  <c r="BD143" i="84"/>
  <c r="BE143" i="84" s="1"/>
  <c r="BF143" i="84" s="1"/>
  <c r="BP143" i="84"/>
  <c r="BQ143" i="84" s="1"/>
  <c r="BR143" i="84" s="1"/>
  <c r="BJ143" i="84"/>
  <c r="BK143" i="84" s="1"/>
  <c r="BL143" i="84" s="1"/>
  <c r="AD148" i="84"/>
  <c r="AE148" i="84" s="1"/>
  <c r="AF148" i="84" s="1"/>
  <c r="AJ148" i="84"/>
  <c r="AK148" i="84" s="1"/>
  <c r="AL148" i="84" s="1"/>
  <c r="AP148" i="84"/>
  <c r="AQ148" i="84" s="1"/>
  <c r="AR148" i="84" s="1"/>
  <c r="BD148" i="84"/>
  <c r="BE148" i="84" s="1"/>
  <c r="BF148" i="84" s="1"/>
  <c r="BJ148" i="84"/>
  <c r="BK148" i="84" s="1"/>
  <c r="BL148" i="84" s="1"/>
  <c r="BP148" i="84"/>
  <c r="BQ148" i="84" s="1"/>
  <c r="BR148" i="84" s="1"/>
  <c r="AD153" i="84"/>
  <c r="AE153" i="84" s="1"/>
  <c r="AF153" i="84" s="1"/>
  <c r="AJ153" i="84"/>
  <c r="AK153" i="84" s="1"/>
  <c r="AL153" i="84" s="1"/>
  <c r="AP153" i="84"/>
  <c r="AQ153" i="84" s="1"/>
  <c r="AR153" i="84" s="1"/>
  <c r="BD153" i="84"/>
  <c r="BE153" i="84" s="1"/>
  <c r="BF153" i="84" s="1"/>
  <c r="BJ153" i="84"/>
  <c r="BK153" i="84" s="1"/>
  <c r="BL153" i="84" s="1"/>
  <c r="BP153" i="84"/>
  <c r="BQ153" i="84" s="1"/>
  <c r="BR153" i="84" s="1"/>
  <c r="AD158" i="84"/>
  <c r="AJ158" i="84"/>
  <c r="AP158" i="84"/>
  <c r="BD158" i="84"/>
  <c r="BJ158" i="84"/>
  <c r="BP158" i="84"/>
  <c r="AD163" i="84"/>
  <c r="AE163" i="84" s="1"/>
  <c r="AF163" i="84" s="1"/>
  <c r="AJ163" i="84"/>
  <c r="AK163" i="84" s="1"/>
  <c r="AL163" i="84" s="1"/>
  <c r="AP163" i="84"/>
  <c r="AQ163" i="84" s="1"/>
  <c r="AR163" i="84" s="1"/>
  <c r="BD163" i="84"/>
  <c r="BE163" i="84" s="1"/>
  <c r="BF163" i="84" s="1"/>
  <c r="BJ163" i="84"/>
  <c r="BK163" i="84" s="1"/>
  <c r="BL163" i="84" s="1"/>
  <c r="BP163" i="84"/>
  <c r="BQ163" i="84" s="1"/>
  <c r="BR163" i="84" s="1"/>
  <c r="AC128" i="84"/>
  <c r="AI128" i="84"/>
  <c r="AO128" i="84"/>
  <c r="BC128" i="84"/>
  <c r="BI128" i="84"/>
  <c r="BO166" i="84"/>
  <c r="BO128" i="84"/>
  <c r="W128" i="84"/>
  <c r="AC173" i="84"/>
  <c r="AI173" i="84"/>
  <c r="AO173" i="84"/>
  <c r="BC173" i="84"/>
  <c r="BI173" i="84"/>
  <c r="BO173" i="84"/>
  <c r="AC198" i="84"/>
  <c r="AI198" i="84"/>
  <c r="AO198" i="84"/>
  <c r="BC198" i="84"/>
  <c r="BI198" i="84"/>
  <c r="BO198" i="84"/>
  <c r="BC228" i="84"/>
  <c r="AC228" i="84"/>
  <c r="AI228" i="84"/>
  <c r="AO228" i="84"/>
  <c r="BI228" i="84"/>
  <c r="BO228" i="84"/>
  <c r="AC123" i="84"/>
  <c r="AI123" i="84"/>
  <c r="AO123" i="84"/>
  <c r="BC123" i="84"/>
  <c r="BI123" i="84"/>
  <c r="BO123" i="84"/>
  <c r="AI168" i="84"/>
  <c r="AC168" i="84"/>
  <c r="AO168" i="84"/>
  <c r="BC168" i="84"/>
  <c r="BI168" i="84"/>
  <c r="BO168" i="84"/>
  <c r="AC193" i="84"/>
  <c r="AI193" i="84"/>
  <c r="AO193" i="84"/>
  <c r="BC193" i="84"/>
  <c r="BI193" i="84"/>
  <c r="BO193" i="84"/>
  <c r="AC223" i="84"/>
  <c r="AI223" i="84"/>
  <c r="AO223" i="84"/>
  <c r="BC223" i="84"/>
  <c r="BI223" i="84"/>
  <c r="BO223" i="84"/>
  <c r="AW128" i="84"/>
  <c r="P371" i="89"/>
  <c r="P367" i="89"/>
  <c r="P363" i="89"/>
  <c r="P354" i="89"/>
  <c r="P350" i="89"/>
  <c r="P346" i="89"/>
  <c r="P337" i="89"/>
  <c r="P333" i="89"/>
  <c r="P294" i="89"/>
  <c r="P290" i="89"/>
  <c r="P282" i="89"/>
  <c r="P273" i="89"/>
  <c r="P269" i="89"/>
  <c r="P265" i="89"/>
  <c r="P343" i="87"/>
  <c r="P339" i="87"/>
  <c r="P330" i="87"/>
  <c r="P326" i="87"/>
  <c r="P317" i="87"/>
  <c r="P313" i="87"/>
  <c r="P300" i="87"/>
  <c r="P292" i="87"/>
  <c r="P224" i="87"/>
  <c r="P220" i="87"/>
  <c r="P211" i="87"/>
  <c r="P190" i="87"/>
  <c r="P207" i="87"/>
  <c r="P199" i="87"/>
  <c r="P186" i="87"/>
  <c r="P178" i="87"/>
  <c r="P169" i="87"/>
  <c r="P161" i="87"/>
  <c r="P109" i="87"/>
  <c r="W350" i="89"/>
  <c r="W346" i="89"/>
  <c r="W292" i="87"/>
  <c r="W147" i="87"/>
  <c r="W143" i="87"/>
  <c r="W139" i="87"/>
  <c r="AW19" i="85" l="1"/>
  <c r="BP138" i="84"/>
  <c r="BQ138" i="84" s="1"/>
  <c r="BR138" i="84" s="1"/>
  <c r="BJ138" i="84"/>
  <c r="BK138" i="84" s="1"/>
  <c r="BL138" i="84" s="1"/>
  <c r="AS19" i="85"/>
  <c r="AO19" i="85"/>
  <c r="BD138" i="84"/>
  <c r="BE138" i="84" s="1"/>
  <c r="BF138" i="84" s="1"/>
  <c r="AG19" i="85"/>
  <c r="AP138" i="84"/>
  <c r="AQ138" i="84" s="1"/>
  <c r="AR138" i="84" s="1"/>
  <c r="AC19" i="85"/>
  <c r="AJ138" i="84"/>
  <c r="AK138" i="84" s="1"/>
  <c r="AL138" i="84" s="1"/>
  <c r="AD138" i="84"/>
  <c r="AE138" i="84" s="1"/>
  <c r="AF138" i="84" s="1"/>
  <c r="Y19" i="85"/>
  <c r="BQ158" i="84"/>
  <c r="BR158" i="84" s="1"/>
  <c r="BP258" i="84"/>
  <c r="BQ258" i="84" s="1"/>
  <c r="BR258" i="84" s="1"/>
  <c r="BK158" i="84"/>
  <c r="BL158" i="84" s="1"/>
  <c r="BJ258" i="84"/>
  <c r="BK258" i="84" s="1"/>
  <c r="BL258" i="84" s="1"/>
  <c r="BE158" i="84"/>
  <c r="BF158" i="84" s="1"/>
  <c r="BD258" i="84"/>
  <c r="BE258" i="84" s="1"/>
  <c r="BF258" i="84" s="1"/>
  <c r="AQ158" i="84"/>
  <c r="AR158" i="84" s="1"/>
  <c r="AP258" i="84"/>
  <c r="AQ258" i="84" s="1"/>
  <c r="AR258" i="84" s="1"/>
  <c r="AJ258" i="84"/>
  <c r="AK258" i="84" s="1"/>
  <c r="AL258" i="84" s="1"/>
  <c r="AK158" i="84"/>
  <c r="AL158" i="84" s="1"/>
  <c r="AE158" i="84"/>
  <c r="AF158" i="84" s="1"/>
  <c r="AD258" i="84"/>
  <c r="AE258" i="84" s="1"/>
  <c r="AF258" i="84" s="1"/>
  <c r="J411" i="92"/>
  <c r="BP83" i="84"/>
  <c r="BJ83" i="84"/>
  <c r="AP83" i="84"/>
  <c r="AJ83" i="84"/>
  <c r="AD83" i="84"/>
  <c r="AE83" i="84" s="1"/>
  <c r="AF83" i="84" s="1"/>
  <c r="AZ25" i="84"/>
  <c r="BA25" i="84" s="1"/>
  <c r="BB25" i="84" s="1"/>
  <c r="AV25" i="84"/>
  <c r="AW25" i="84" s="1"/>
  <c r="AX25" i="84" s="1"/>
  <c r="AR25" i="84"/>
  <c r="AS25" i="84" s="1"/>
  <c r="AT25" i="84" s="1"/>
  <c r="AH25" i="84"/>
  <c r="AI25" i="84" s="1"/>
  <c r="AJ25" i="84" s="1"/>
  <c r="AD25" i="84"/>
  <c r="AE25" i="84" s="1"/>
  <c r="AF25" i="84" s="1"/>
  <c r="AZ20" i="84"/>
  <c r="BA20" i="84" s="1"/>
  <c r="BB20" i="84" s="1"/>
  <c r="AV20" i="84"/>
  <c r="AW20" i="84" s="1"/>
  <c r="AX20" i="84" s="1"/>
  <c r="AR20" i="84"/>
  <c r="AS20" i="84" s="1"/>
  <c r="AT20" i="84" s="1"/>
  <c r="AH20" i="84"/>
  <c r="AI20" i="84" s="1"/>
  <c r="AJ20" i="84" s="1"/>
  <c r="AD20" i="84"/>
  <c r="AE20" i="84" s="1"/>
  <c r="AF20" i="84" s="1"/>
  <c r="AZ15" i="84"/>
  <c r="BA15" i="84" s="1"/>
  <c r="BB15" i="84" s="1"/>
  <c r="AZ30" i="84"/>
  <c r="BA30" i="84" s="1"/>
  <c r="BB30" i="84" s="1"/>
  <c r="AV15" i="84"/>
  <c r="AH15" i="84"/>
  <c r="AI15" i="84" s="1"/>
  <c r="AJ15" i="84" s="1"/>
  <c r="AH30" i="84"/>
  <c r="AI30" i="84" s="1"/>
  <c r="AJ30" i="84" s="1"/>
  <c r="AD15" i="84"/>
  <c r="AE15" i="84" s="1"/>
  <c r="AF15" i="84" s="1"/>
  <c r="AD30" i="84"/>
  <c r="AE30" i="84" s="1"/>
  <c r="AF30" i="84" s="1"/>
  <c r="V15" i="84"/>
  <c r="W15" i="84" s="1"/>
  <c r="X15" i="84" s="1"/>
  <c r="AL15" i="84"/>
  <c r="AN15" i="84" s="1"/>
  <c r="AO15" i="84" s="1"/>
  <c r="AP15" i="84" s="1"/>
  <c r="T211" i="87"/>
  <c r="T207" i="87"/>
  <c r="T203" i="87"/>
  <c r="T199" i="87"/>
  <c r="T224" i="87"/>
  <c r="T220" i="87"/>
  <c r="T241" i="87"/>
  <c r="T237" i="87"/>
  <c r="T233" i="87"/>
  <c r="AR30" i="84" l="1"/>
  <c r="AS30" i="84" s="1"/>
  <c r="AT30" i="84" s="1"/>
  <c r="AS15" i="84"/>
  <c r="AT15" i="84" s="1"/>
  <c r="AV30" i="84"/>
  <c r="AW30" i="84" s="1"/>
  <c r="AX30" i="84" s="1"/>
  <c r="AW15" i="84"/>
  <c r="AX15" i="84" s="1"/>
  <c r="AK83" i="84"/>
  <c r="AL83" i="84" s="1"/>
  <c r="AQ83" i="84"/>
  <c r="AR83" i="84" s="1"/>
  <c r="BE83" i="84"/>
  <c r="BF83" i="84" s="1"/>
  <c r="BK83" i="84"/>
  <c r="BL83" i="84" s="1"/>
  <c r="BQ83" i="84"/>
  <c r="BR83" i="84" s="1"/>
  <c r="Y72" i="85"/>
  <c r="Z72" i="85" s="1"/>
  <c r="AA72" i="85" s="1"/>
  <c r="Y67" i="85"/>
  <c r="Z67" i="85" s="1"/>
  <c r="AA67" i="85" s="1"/>
  <c r="Y119" i="85"/>
  <c r="Z119" i="85" s="1"/>
  <c r="AA119" i="85" s="1"/>
  <c r="Y35" i="85"/>
  <c r="Z35" i="85" s="1"/>
  <c r="AA35" i="85" s="1"/>
  <c r="Y88" i="85"/>
  <c r="Z88" i="85" s="1"/>
  <c r="AA88" i="85" s="1"/>
  <c r="Y114" i="85"/>
  <c r="Z114" i="85" s="1"/>
  <c r="AA114" i="85" s="1"/>
  <c r="Y30" i="85"/>
  <c r="Z30" i="85" s="1"/>
  <c r="AA30" i="85" s="1"/>
  <c r="Y83" i="85"/>
  <c r="Z83" i="85" s="1"/>
  <c r="AA83" i="85" s="1"/>
  <c r="Y109" i="85"/>
  <c r="Z109" i="85" s="1"/>
  <c r="AA109" i="85" s="1"/>
  <c r="Y135" i="85"/>
  <c r="Z135" i="85" s="1"/>
  <c r="AA135" i="85" s="1"/>
  <c r="Y51" i="85"/>
  <c r="Z51" i="85" s="1"/>
  <c r="AA51" i="85" s="1"/>
  <c r="Y56" i="85"/>
  <c r="Z56" i="85" s="1"/>
  <c r="AA56" i="85" s="1"/>
  <c r="Y124" i="85"/>
  <c r="Z124" i="85" s="1"/>
  <c r="AA124" i="85" s="1"/>
  <c r="Y140" i="85"/>
  <c r="Z140" i="85" s="1"/>
  <c r="AA140" i="85" s="1"/>
  <c r="Y156" i="85"/>
  <c r="Z156" i="85" s="1"/>
  <c r="AA156" i="85" s="1"/>
  <c r="Y98" i="85"/>
  <c r="Z98" i="85" s="1"/>
  <c r="AA98" i="85" s="1"/>
  <c r="Y40" i="85"/>
  <c r="Z40" i="85" s="1"/>
  <c r="AA40" i="85" s="1"/>
  <c r="Z19" i="85"/>
  <c r="AA19" i="85" s="1"/>
  <c r="Y93" i="85"/>
  <c r="Z93" i="85" s="1"/>
  <c r="AA93" i="85" s="1"/>
  <c r="Y151" i="85"/>
  <c r="Z151" i="85" s="1"/>
  <c r="AA151" i="85" s="1"/>
  <c r="AD19" i="85"/>
  <c r="AE19" i="85" s="1"/>
  <c r="AC35" i="85"/>
  <c r="AD35" i="85" s="1"/>
  <c r="AE35" i="85" s="1"/>
  <c r="AC72" i="85"/>
  <c r="AD72" i="85" s="1"/>
  <c r="AE72" i="85" s="1"/>
  <c r="AC93" i="85"/>
  <c r="AD93" i="85" s="1"/>
  <c r="AE93" i="85" s="1"/>
  <c r="AC88" i="85"/>
  <c r="AD88" i="85" s="1"/>
  <c r="AE88" i="85" s="1"/>
  <c r="AC114" i="85"/>
  <c r="AD114" i="85" s="1"/>
  <c r="AE114" i="85" s="1"/>
  <c r="AC30" i="85"/>
  <c r="AD30" i="85" s="1"/>
  <c r="AE30" i="85" s="1"/>
  <c r="AC140" i="85"/>
  <c r="AD140" i="85" s="1"/>
  <c r="AE140" i="85" s="1"/>
  <c r="AC56" i="85"/>
  <c r="AD56" i="85" s="1"/>
  <c r="AE56" i="85" s="1"/>
  <c r="AC83" i="85"/>
  <c r="AD83" i="85" s="1"/>
  <c r="AE83" i="85" s="1"/>
  <c r="AC135" i="85"/>
  <c r="AD135" i="85" s="1"/>
  <c r="AE135" i="85" s="1"/>
  <c r="AC51" i="85"/>
  <c r="AD51" i="85" s="1"/>
  <c r="AE51" i="85" s="1"/>
  <c r="AC124" i="85"/>
  <c r="AD124" i="85" s="1"/>
  <c r="AE124" i="85" s="1"/>
  <c r="AC156" i="85"/>
  <c r="AD156" i="85" s="1"/>
  <c r="AE156" i="85" s="1"/>
  <c r="AC67" i="85"/>
  <c r="AD67" i="85" s="1"/>
  <c r="AE67" i="85" s="1"/>
  <c r="AC98" i="85"/>
  <c r="AD98" i="85" s="1"/>
  <c r="AE98" i="85" s="1"/>
  <c r="AC109" i="85"/>
  <c r="AD109" i="85" s="1"/>
  <c r="AE109" i="85" s="1"/>
  <c r="AC40" i="85"/>
  <c r="AD40" i="85" s="1"/>
  <c r="AE40" i="85" s="1"/>
  <c r="AC119" i="85"/>
  <c r="AD119" i="85" s="1"/>
  <c r="AE119" i="85" s="1"/>
  <c r="AC151" i="85"/>
  <c r="AD151" i="85" s="1"/>
  <c r="AE151" i="85" s="1"/>
  <c r="AH19" i="85"/>
  <c r="AI19" i="85" s="1"/>
  <c r="AG98" i="85"/>
  <c r="AH98" i="85" s="1"/>
  <c r="AI98" i="85" s="1"/>
  <c r="AG124" i="85"/>
  <c r="AH124" i="85" s="1"/>
  <c r="AI124" i="85" s="1"/>
  <c r="AG40" i="85"/>
  <c r="AH40" i="85" s="1"/>
  <c r="AI40" i="85" s="1"/>
  <c r="AG151" i="85"/>
  <c r="AH151" i="85" s="1"/>
  <c r="AI151" i="85" s="1"/>
  <c r="AG67" i="85"/>
  <c r="AH67" i="85" s="1"/>
  <c r="AI67" i="85" s="1"/>
  <c r="AG93" i="85"/>
  <c r="AH93" i="85" s="1"/>
  <c r="AI93" i="85" s="1"/>
  <c r="AG119" i="85"/>
  <c r="AH119" i="85" s="1"/>
  <c r="AI119" i="85" s="1"/>
  <c r="AG35" i="85"/>
  <c r="AH35" i="85" s="1"/>
  <c r="AI35" i="85" s="1"/>
  <c r="AG88" i="85"/>
  <c r="AH88" i="85" s="1"/>
  <c r="AI88" i="85" s="1"/>
  <c r="AG114" i="85"/>
  <c r="AH114" i="85" s="1"/>
  <c r="AI114" i="85" s="1"/>
  <c r="AG30" i="85"/>
  <c r="AH30" i="85" s="1"/>
  <c r="AI30" i="85" s="1"/>
  <c r="AG140" i="85"/>
  <c r="AH140" i="85" s="1"/>
  <c r="AI140" i="85" s="1"/>
  <c r="AG56" i="85"/>
  <c r="AH56" i="85" s="1"/>
  <c r="AI56" i="85" s="1"/>
  <c r="AG83" i="85"/>
  <c r="AH83" i="85" s="1"/>
  <c r="AI83" i="85" s="1"/>
  <c r="AG109" i="85"/>
  <c r="AH109" i="85" s="1"/>
  <c r="AI109" i="85" s="1"/>
  <c r="AG135" i="85"/>
  <c r="AH135" i="85" s="1"/>
  <c r="AI135" i="85" s="1"/>
  <c r="AG51" i="85"/>
  <c r="AH51" i="85" s="1"/>
  <c r="AI51" i="85" s="1"/>
  <c r="AG72" i="85"/>
  <c r="AH72" i="85" s="1"/>
  <c r="AI72" i="85" s="1"/>
  <c r="AG156" i="85"/>
  <c r="AH156" i="85" s="1"/>
  <c r="AI156" i="85" s="1"/>
  <c r="AO156" i="85"/>
  <c r="AP156" i="85" s="1"/>
  <c r="AQ156" i="85" s="1"/>
  <c r="AO67" i="85"/>
  <c r="AP67" i="85" s="1"/>
  <c r="AQ67" i="85" s="1"/>
  <c r="AO124" i="85"/>
  <c r="AP124" i="85" s="1"/>
  <c r="AQ124" i="85" s="1"/>
  <c r="AO93" i="85"/>
  <c r="AP93" i="85" s="1"/>
  <c r="AQ93" i="85" s="1"/>
  <c r="AO35" i="85"/>
  <c r="AP35" i="85" s="1"/>
  <c r="AQ35" i="85" s="1"/>
  <c r="AO88" i="85"/>
  <c r="AP88" i="85" s="1"/>
  <c r="AQ88" i="85" s="1"/>
  <c r="AO114" i="85"/>
  <c r="AP114" i="85" s="1"/>
  <c r="AQ114" i="85" s="1"/>
  <c r="AO30" i="85"/>
  <c r="AP30" i="85" s="1"/>
  <c r="AQ30" i="85" s="1"/>
  <c r="AO140" i="85"/>
  <c r="AP140" i="85" s="1"/>
  <c r="AQ140" i="85" s="1"/>
  <c r="AO56" i="85"/>
  <c r="AP56" i="85" s="1"/>
  <c r="AQ56" i="85" s="1"/>
  <c r="AO83" i="85"/>
  <c r="AP83" i="85" s="1"/>
  <c r="AQ83" i="85" s="1"/>
  <c r="AO51" i="85"/>
  <c r="AP51" i="85" s="1"/>
  <c r="AQ51" i="85" s="1"/>
  <c r="AO109" i="85"/>
  <c r="AP109" i="85" s="1"/>
  <c r="AQ109" i="85" s="1"/>
  <c r="AO40" i="85"/>
  <c r="AP40" i="85" s="1"/>
  <c r="AQ40" i="85" s="1"/>
  <c r="AP19" i="85"/>
  <c r="AQ19" i="85" s="1"/>
  <c r="AO151" i="85"/>
  <c r="AP151" i="85" s="1"/>
  <c r="AQ151" i="85" s="1"/>
  <c r="AO72" i="85"/>
  <c r="AP72" i="85" s="1"/>
  <c r="AQ72" i="85" s="1"/>
  <c r="AO98" i="85"/>
  <c r="AP98" i="85" s="1"/>
  <c r="AQ98" i="85" s="1"/>
  <c r="AO119" i="85"/>
  <c r="AP119" i="85" s="1"/>
  <c r="AQ119" i="85" s="1"/>
  <c r="AO135" i="85"/>
  <c r="AP135" i="85" s="1"/>
  <c r="AQ135" i="85" s="1"/>
  <c r="AT19" i="85"/>
  <c r="AU19" i="85" s="1"/>
  <c r="AS67" i="85"/>
  <c r="AT67" i="85" s="1"/>
  <c r="AU67" i="85" s="1"/>
  <c r="AS151" i="85"/>
  <c r="AT151" i="85" s="1"/>
  <c r="AU151" i="85" s="1"/>
  <c r="AS124" i="85"/>
  <c r="AT124" i="85" s="1"/>
  <c r="AU124" i="85" s="1"/>
  <c r="AS88" i="85"/>
  <c r="AT88" i="85" s="1"/>
  <c r="AU88" i="85" s="1"/>
  <c r="AS114" i="85"/>
  <c r="AT114" i="85" s="1"/>
  <c r="AU114" i="85" s="1"/>
  <c r="AS98" i="85"/>
  <c r="AT98" i="85" s="1"/>
  <c r="AU98" i="85" s="1"/>
  <c r="AS40" i="85"/>
  <c r="AT40" i="85" s="1"/>
  <c r="AU40" i="85" s="1"/>
  <c r="AS30" i="85"/>
  <c r="AT30" i="85" s="1"/>
  <c r="AU30" i="85" s="1"/>
  <c r="AS140" i="85"/>
  <c r="AT140" i="85" s="1"/>
  <c r="AU140" i="85" s="1"/>
  <c r="AS93" i="85"/>
  <c r="AT93" i="85" s="1"/>
  <c r="AU93" i="85" s="1"/>
  <c r="AS56" i="85"/>
  <c r="AT56" i="85" s="1"/>
  <c r="AU56" i="85" s="1"/>
  <c r="AS83" i="85"/>
  <c r="AT83" i="85" s="1"/>
  <c r="AU83" i="85" s="1"/>
  <c r="AS72" i="85"/>
  <c r="AT72" i="85" s="1"/>
  <c r="AU72" i="85" s="1"/>
  <c r="AS109" i="85"/>
  <c r="AT109" i="85" s="1"/>
  <c r="AU109" i="85" s="1"/>
  <c r="AS119" i="85"/>
  <c r="AT119" i="85" s="1"/>
  <c r="AU119" i="85" s="1"/>
  <c r="AS35" i="85"/>
  <c r="AT35" i="85" s="1"/>
  <c r="AU35" i="85" s="1"/>
  <c r="AS156" i="85"/>
  <c r="AT156" i="85" s="1"/>
  <c r="AU156" i="85" s="1"/>
  <c r="AS135" i="85"/>
  <c r="AT135" i="85" s="1"/>
  <c r="AU135" i="85" s="1"/>
  <c r="AS51" i="85"/>
  <c r="AT51" i="85" s="1"/>
  <c r="AU51" i="85" s="1"/>
  <c r="AW109" i="85"/>
  <c r="AX109" i="85" s="1"/>
  <c r="AY109" i="85" s="1"/>
  <c r="AW124" i="85"/>
  <c r="AX124" i="85" s="1"/>
  <c r="AY124" i="85" s="1"/>
  <c r="AW88" i="85"/>
  <c r="AX88" i="85" s="1"/>
  <c r="AY88" i="85" s="1"/>
  <c r="AW40" i="85"/>
  <c r="AX40" i="85" s="1"/>
  <c r="AY40" i="85" s="1"/>
  <c r="AW35" i="85"/>
  <c r="AX35" i="85" s="1"/>
  <c r="AY35" i="85" s="1"/>
  <c r="AW151" i="85"/>
  <c r="AX151" i="85" s="1"/>
  <c r="AY151" i="85" s="1"/>
  <c r="AW114" i="85"/>
  <c r="AX114" i="85" s="1"/>
  <c r="AY114" i="85" s="1"/>
  <c r="AW30" i="85"/>
  <c r="AX30" i="85" s="1"/>
  <c r="AY30" i="85" s="1"/>
  <c r="AW140" i="85"/>
  <c r="AX140" i="85" s="1"/>
  <c r="AY140" i="85" s="1"/>
  <c r="AW56" i="85"/>
  <c r="AX56" i="85" s="1"/>
  <c r="AY56" i="85" s="1"/>
  <c r="AW83" i="85"/>
  <c r="AX83" i="85" s="1"/>
  <c r="AY83" i="85" s="1"/>
  <c r="AW135" i="85"/>
  <c r="AX135" i="85" s="1"/>
  <c r="AY135" i="85" s="1"/>
  <c r="AW51" i="85"/>
  <c r="AX51" i="85" s="1"/>
  <c r="AY51" i="85" s="1"/>
  <c r="AW93" i="85"/>
  <c r="AX93" i="85" s="1"/>
  <c r="AY93" i="85" s="1"/>
  <c r="AW156" i="85"/>
  <c r="AX156" i="85" s="1"/>
  <c r="AY156" i="85" s="1"/>
  <c r="AW72" i="85"/>
  <c r="AX72" i="85" s="1"/>
  <c r="AY72" i="85" s="1"/>
  <c r="AX19" i="85"/>
  <c r="AY19" i="85" s="1"/>
  <c r="AW98" i="85"/>
  <c r="AX98" i="85" s="1"/>
  <c r="AY98" i="85" s="1"/>
  <c r="AW119" i="85"/>
  <c r="AX119" i="85" s="1"/>
  <c r="AY119" i="85" s="1"/>
  <c r="AW67" i="85"/>
  <c r="AX67" i="85" s="1"/>
  <c r="AY67" i="85" s="1"/>
  <c r="C259" i="88"/>
  <c r="C255" i="88"/>
  <c r="F256" i="88"/>
  <c r="F260" i="88"/>
  <c r="F262" i="88"/>
  <c r="F261" i="88"/>
  <c r="F258" i="88"/>
  <c r="F257" i="88"/>
  <c r="H262" i="88"/>
  <c r="G262" i="88"/>
  <c r="H261" i="88"/>
  <c r="G261" i="88"/>
  <c r="H260" i="88"/>
  <c r="G260" i="88"/>
  <c r="H258" i="88"/>
  <c r="G258" i="88"/>
  <c r="H257" i="88"/>
  <c r="G257" i="88"/>
  <c r="H256" i="88"/>
  <c r="G256" i="88"/>
  <c r="F345" i="87"/>
  <c r="F344" i="87"/>
  <c r="F341" i="87"/>
  <c r="F340" i="87"/>
  <c r="F332" i="87"/>
  <c r="F331" i="87"/>
  <c r="F328" i="87"/>
  <c r="F327" i="87"/>
  <c r="F319" i="87"/>
  <c r="F318" i="87"/>
  <c r="F315" i="87"/>
  <c r="F314" i="87"/>
  <c r="F311" i="87"/>
  <c r="F310" i="87"/>
  <c r="F302" i="87"/>
  <c r="F301" i="87"/>
  <c r="F298" i="87"/>
  <c r="F297" i="87"/>
  <c r="F294" i="87"/>
  <c r="F293" i="87"/>
  <c r="F290" i="87"/>
  <c r="F289" i="87"/>
  <c r="F281" i="87"/>
  <c r="F280" i="87"/>
  <c r="F277" i="87"/>
  <c r="F276" i="87"/>
  <c r="F273" i="87"/>
  <c r="F272" i="87"/>
  <c r="F269" i="87"/>
  <c r="F268" i="87"/>
  <c r="F260" i="87"/>
  <c r="F259" i="87"/>
  <c r="F256" i="87"/>
  <c r="F255" i="87"/>
  <c r="F252" i="87"/>
  <c r="F251" i="87"/>
  <c r="F243" i="87"/>
  <c r="F242" i="87"/>
  <c r="F239" i="87"/>
  <c r="F238" i="87"/>
  <c r="F235" i="87"/>
  <c r="F234" i="87"/>
  <c r="F207" i="87"/>
  <c r="F224" i="87"/>
  <c r="F226" i="87"/>
  <c r="F225" i="87"/>
  <c r="F222" i="87"/>
  <c r="F221" i="87"/>
  <c r="F213" i="87"/>
  <c r="F212" i="87"/>
  <c r="F209" i="87"/>
  <c r="F208" i="87"/>
  <c r="F205" i="87"/>
  <c r="F204" i="87"/>
  <c r="F201" i="87"/>
  <c r="F200" i="87"/>
  <c r="F192" i="87"/>
  <c r="F191" i="87"/>
  <c r="F188" i="87"/>
  <c r="F187" i="87"/>
  <c r="F184" i="87"/>
  <c r="F183" i="87"/>
  <c r="F180" i="87"/>
  <c r="F179" i="87"/>
  <c r="F171" i="87"/>
  <c r="F170" i="87"/>
  <c r="F167" i="87"/>
  <c r="F166" i="87"/>
  <c r="F163" i="87"/>
  <c r="F162" i="87"/>
  <c r="F373" i="89"/>
  <c r="F372" i="89"/>
  <c r="F369" i="89"/>
  <c r="F368" i="89"/>
  <c r="F365" i="89"/>
  <c r="F364" i="89"/>
  <c r="F356" i="89"/>
  <c r="F355" i="89"/>
  <c r="F352" i="89"/>
  <c r="F351" i="89"/>
  <c r="F348" i="89"/>
  <c r="F347" i="89"/>
  <c r="F339" i="89"/>
  <c r="F338" i="89"/>
  <c r="F335" i="89"/>
  <c r="F334" i="89"/>
  <c r="F325" i="89"/>
  <c r="F321" i="89"/>
  <c r="F317" i="89"/>
  <c r="F304" i="89"/>
  <c r="F305" i="89"/>
  <c r="F308" i="89"/>
  <c r="F309" i="89"/>
  <c r="Y272" i="89"/>
  <c r="Y268" i="89"/>
  <c r="Y264" i="89"/>
  <c r="W273" i="89"/>
  <c r="W269" i="89"/>
  <c r="W265" i="89"/>
  <c r="V273" i="89"/>
  <c r="V269" i="89"/>
  <c r="V265" i="89"/>
  <c r="U283" i="89"/>
  <c r="U284" i="89"/>
  <c r="F267" i="89"/>
  <c r="F266" i="89"/>
  <c r="F271" i="89"/>
  <c r="F270" i="89"/>
  <c r="F274" i="89"/>
  <c r="F275" i="89"/>
  <c r="M329" i="89"/>
  <c r="F199" i="87"/>
  <c r="F203" i="87"/>
  <c r="F211" i="87"/>
  <c r="F218" i="87"/>
  <c r="F217" i="87"/>
  <c r="F216" i="87"/>
  <c r="F220" i="87"/>
  <c r="F233" i="87"/>
  <c r="F237" i="87"/>
  <c r="F241" i="87"/>
  <c r="F267" i="87"/>
  <c r="F271" i="87"/>
  <c r="F275" i="87"/>
  <c r="F279" i="87"/>
  <c r="F309" i="87"/>
  <c r="F313" i="87"/>
  <c r="F317" i="87"/>
  <c r="F331" i="89"/>
  <c r="F303" i="89"/>
  <c r="I299" i="89"/>
  <c r="J299" i="89"/>
  <c r="K299" i="89"/>
  <c r="L299" i="89"/>
  <c r="M299" i="89"/>
  <c r="N299" i="89"/>
  <c r="O299" i="89"/>
  <c r="P299" i="89"/>
  <c r="Q299" i="89"/>
  <c r="R299" i="89"/>
  <c r="S299" i="89"/>
  <c r="T299" i="89"/>
  <c r="V299" i="89"/>
  <c r="W299" i="89"/>
  <c r="I300" i="89"/>
  <c r="J300" i="89"/>
  <c r="K300" i="89"/>
  <c r="L300" i="89"/>
  <c r="M300" i="89"/>
  <c r="N300" i="89"/>
  <c r="O300" i="89"/>
  <c r="P300" i="89"/>
  <c r="Q300" i="89"/>
  <c r="R300" i="89"/>
  <c r="S300" i="89"/>
  <c r="T300" i="89"/>
  <c r="V300" i="89"/>
  <c r="W300" i="89"/>
  <c r="I301" i="89"/>
  <c r="J301" i="89"/>
  <c r="K301" i="89"/>
  <c r="L301" i="89"/>
  <c r="M301" i="89"/>
  <c r="N301" i="89"/>
  <c r="O301" i="89"/>
  <c r="P301" i="89"/>
  <c r="Q301" i="89"/>
  <c r="R301" i="89"/>
  <c r="S301" i="89"/>
  <c r="T301" i="89"/>
  <c r="V301" i="89"/>
  <c r="W301" i="89"/>
  <c r="F296" i="89"/>
  <c r="F295" i="89"/>
  <c r="F292" i="89"/>
  <c r="F291" i="89"/>
  <c r="F288" i="89"/>
  <c r="F287" i="89"/>
  <c r="F283" i="89"/>
  <c r="C272" i="89"/>
  <c r="E64" i="101" s="1"/>
  <c r="C268" i="89"/>
  <c r="C264" i="89"/>
  <c r="E62" i="101" s="1"/>
  <c r="G275" i="89"/>
  <c r="U275" i="89" s="1"/>
  <c r="G274" i="89"/>
  <c r="U274" i="89" s="1"/>
  <c r="G271" i="89"/>
  <c r="U271" i="89" s="1"/>
  <c r="G270" i="89"/>
  <c r="U270" i="89" s="1"/>
  <c r="G267" i="89"/>
  <c r="U267" i="89" s="1"/>
  <c r="H267" i="89" s="1"/>
  <c r="K62" i="101" s="1"/>
  <c r="G266" i="89"/>
  <c r="U266" i="89" s="1"/>
  <c r="H266" i="89" s="1"/>
  <c r="I62" i="101" s="1"/>
  <c r="M62" i="101" s="1"/>
  <c r="W343" i="87"/>
  <c r="W339" i="87"/>
  <c r="V343" i="87"/>
  <c r="V339" i="87"/>
  <c r="C342" i="87"/>
  <c r="E221" i="101" s="1"/>
  <c r="C338" i="87"/>
  <c r="G345" i="87"/>
  <c r="U345" i="87" s="1"/>
  <c r="G344" i="87"/>
  <c r="U344" i="87" s="1"/>
  <c r="G341" i="87"/>
  <c r="G340" i="87"/>
  <c r="W326" i="87"/>
  <c r="V330" i="87"/>
  <c r="V326" i="87"/>
  <c r="C329" i="87"/>
  <c r="E218" i="101" s="1"/>
  <c r="C325" i="87"/>
  <c r="G332" i="87"/>
  <c r="U332" i="87" s="1"/>
  <c r="G331" i="87"/>
  <c r="U331" i="87" s="1"/>
  <c r="G328" i="87"/>
  <c r="U328" i="87" s="1"/>
  <c r="H328" i="87" s="1"/>
  <c r="K217" i="101" s="1"/>
  <c r="G327" i="87"/>
  <c r="U327" i="87" s="1"/>
  <c r="H327" i="87" s="1"/>
  <c r="I217" i="101" s="1"/>
  <c r="M217" i="101" s="1"/>
  <c r="W300" i="87"/>
  <c r="W296" i="87"/>
  <c r="W288" i="87"/>
  <c r="V300" i="87"/>
  <c r="V296" i="87"/>
  <c r="V292" i="87"/>
  <c r="V288" i="87"/>
  <c r="C299" i="87"/>
  <c r="E211" i="101" s="1"/>
  <c r="C295" i="87"/>
  <c r="E210" i="101" s="1"/>
  <c r="C291" i="87"/>
  <c r="E209" i="101" s="1"/>
  <c r="C287" i="87"/>
  <c r="G302" i="87"/>
  <c r="U302" i="87" s="1"/>
  <c r="G301" i="87"/>
  <c r="U301" i="87" s="1"/>
  <c r="G298" i="87"/>
  <c r="U298" i="87" s="1"/>
  <c r="H298" i="87" s="1"/>
  <c r="K210" i="101" s="1"/>
  <c r="G297" i="87"/>
  <c r="U297" i="87" s="1"/>
  <c r="H297" i="87" s="1"/>
  <c r="I210" i="101" s="1"/>
  <c r="M210" i="101" s="1"/>
  <c r="G294" i="87"/>
  <c r="U294" i="87" s="1"/>
  <c r="H294" i="87" s="1"/>
  <c r="K209" i="101" s="1"/>
  <c r="G293" i="87"/>
  <c r="U293" i="87" s="1"/>
  <c r="H293" i="87" s="1"/>
  <c r="I209" i="101" s="1"/>
  <c r="M209" i="101" s="1"/>
  <c r="G290" i="87"/>
  <c r="U290" i="87" s="1"/>
  <c r="H290" i="87" s="1"/>
  <c r="K208" i="101" s="1"/>
  <c r="W254" i="87"/>
  <c r="W250" i="87"/>
  <c r="V258" i="87"/>
  <c r="V254" i="87"/>
  <c r="V250" i="87"/>
  <c r="C257" i="87"/>
  <c r="E201" i="101" s="1"/>
  <c r="C253" i="87"/>
  <c r="E200" i="101" s="1"/>
  <c r="C249" i="87"/>
  <c r="C232" i="87"/>
  <c r="C236" i="87"/>
  <c r="E196" i="101" s="1"/>
  <c r="C240" i="87"/>
  <c r="E197" i="101" s="1"/>
  <c r="G260" i="87"/>
  <c r="U260" i="87" s="1"/>
  <c r="G259" i="87"/>
  <c r="U259" i="87" s="1"/>
  <c r="G256" i="87"/>
  <c r="U256" i="87" s="1"/>
  <c r="H256" i="87" s="1"/>
  <c r="K200" i="101" s="1"/>
  <c r="G255" i="87"/>
  <c r="U255" i="87" s="1"/>
  <c r="H255" i="87" s="1"/>
  <c r="I200" i="101" s="1"/>
  <c r="M200" i="101" s="1"/>
  <c r="G252" i="87"/>
  <c r="U252" i="87" s="1"/>
  <c r="H252" i="87" s="1"/>
  <c r="K199" i="101" s="1"/>
  <c r="G251" i="87"/>
  <c r="G241" i="87"/>
  <c r="U241" i="87" s="1"/>
  <c r="G242" i="87"/>
  <c r="G243" i="87"/>
  <c r="W317" i="87"/>
  <c r="W313" i="87"/>
  <c r="W309" i="87"/>
  <c r="V317" i="87"/>
  <c r="V313" i="87"/>
  <c r="V309" i="87"/>
  <c r="C316" i="87"/>
  <c r="E215" i="101" s="1"/>
  <c r="C312" i="87"/>
  <c r="E214" i="101" s="1"/>
  <c r="C308" i="87"/>
  <c r="G319" i="87"/>
  <c r="U319" i="87" s="1"/>
  <c r="G318" i="87"/>
  <c r="U318" i="87" s="1"/>
  <c r="G317" i="87"/>
  <c r="G315" i="87"/>
  <c r="G314" i="87"/>
  <c r="U314" i="87" s="1"/>
  <c r="H314" i="87" s="1"/>
  <c r="I214" i="101" s="1"/>
  <c r="M214" i="101" s="1"/>
  <c r="G313" i="87"/>
  <c r="U313" i="87" s="1"/>
  <c r="G311" i="87"/>
  <c r="U311" i="87" s="1"/>
  <c r="H311" i="87" s="1"/>
  <c r="K213" i="101" s="1"/>
  <c r="G310" i="87"/>
  <c r="G309" i="87"/>
  <c r="U309" i="87" s="1"/>
  <c r="W275" i="87"/>
  <c r="W271" i="87"/>
  <c r="W267" i="87"/>
  <c r="V279" i="87"/>
  <c r="V275" i="87"/>
  <c r="V271" i="87"/>
  <c r="V267" i="87"/>
  <c r="C274" i="87"/>
  <c r="E205" i="101" s="1"/>
  <c r="C278" i="87"/>
  <c r="E206" i="101" s="1"/>
  <c r="C270" i="87"/>
  <c r="E204" i="101" s="1"/>
  <c r="C266" i="87"/>
  <c r="G281" i="87"/>
  <c r="U281" i="87" s="1"/>
  <c r="G280" i="87"/>
  <c r="U280" i="87" s="1"/>
  <c r="G279" i="87"/>
  <c r="U279" i="87" s="1"/>
  <c r="G277" i="87"/>
  <c r="U277" i="87" s="1"/>
  <c r="G276" i="87"/>
  <c r="U276" i="87" s="1"/>
  <c r="G275" i="87"/>
  <c r="U275" i="87" s="1"/>
  <c r="G273" i="87"/>
  <c r="U273" i="87" s="1"/>
  <c r="H273" i="87" s="1"/>
  <c r="K204" i="101" s="1"/>
  <c r="G272" i="87"/>
  <c r="U272" i="87" s="1"/>
  <c r="H272" i="87" s="1"/>
  <c r="I204" i="101" s="1"/>
  <c r="M204" i="101" s="1"/>
  <c r="G271" i="87"/>
  <c r="U271" i="87" s="1"/>
  <c r="G269" i="87"/>
  <c r="G268" i="87"/>
  <c r="U268" i="87" s="1"/>
  <c r="H268" i="87" s="1"/>
  <c r="I203" i="101" s="1"/>
  <c r="M203" i="101" s="1"/>
  <c r="G267" i="87"/>
  <c r="U267" i="87" s="1"/>
  <c r="W237" i="87"/>
  <c r="W233" i="87"/>
  <c r="W229" i="87" s="1"/>
  <c r="V237" i="87"/>
  <c r="V241" i="87"/>
  <c r="V233" i="87"/>
  <c r="V229" i="87" s="1"/>
  <c r="G239" i="87"/>
  <c r="U239" i="87" s="1"/>
  <c r="H239" i="87" s="1"/>
  <c r="K196" i="101" s="1"/>
  <c r="G238" i="87"/>
  <c r="U238" i="87" s="1"/>
  <c r="H238" i="87" s="1"/>
  <c r="I196" i="101" s="1"/>
  <c r="M196" i="101" s="1"/>
  <c r="G237" i="87"/>
  <c r="U237" i="87" s="1"/>
  <c r="G235" i="87"/>
  <c r="G234" i="87"/>
  <c r="G233" i="87"/>
  <c r="C223" i="87"/>
  <c r="E193" i="101" s="1"/>
  <c r="C219" i="87"/>
  <c r="G226" i="87"/>
  <c r="G225" i="87"/>
  <c r="G224" i="87"/>
  <c r="H222" i="87"/>
  <c r="G222" i="87"/>
  <c r="H221" i="87"/>
  <c r="G221" i="87"/>
  <c r="H220" i="87"/>
  <c r="G220" i="87"/>
  <c r="C210" i="87"/>
  <c r="E190" i="101" s="1"/>
  <c r="C206" i="87"/>
  <c r="E189" i="101" s="1"/>
  <c r="C202" i="87"/>
  <c r="E188" i="101" s="1"/>
  <c r="C198" i="87"/>
  <c r="W211" i="87"/>
  <c r="W207" i="87"/>
  <c r="W203" i="87"/>
  <c r="W199" i="87"/>
  <c r="V211" i="87"/>
  <c r="V207" i="87"/>
  <c r="V203" i="87"/>
  <c r="V199" i="87"/>
  <c r="W190" i="87"/>
  <c r="W186" i="87"/>
  <c r="W182" i="87"/>
  <c r="W178" i="87"/>
  <c r="V190" i="87"/>
  <c r="V186" i="87"/>
  <c r="V182" i="87"/>
  <c r="V178" i="87"/>
  <c r="S190" i="87"/>
  <c r="F190" i="87" s="1"/>
  <c r="S186" i="87"/>
  <c r="F186" i="87" s="1"/>
  <c r="S182" i="87"/>
  <c r="F182" i="87" s="1"/>
  <c r="S178" i="87"/>
  <c r="G213" i="87"/>
  <c r="G212" i="87"/>
  <c r="G211" i="87"/>
  <c r="G209" i="87"/>
  <c r="G208" i="87"/>
  <c r="G207" i="87"/>
  <c r="G205" i="87"/>
  <c r="G204" i="87"/>
  <c r="G203" i="87"/>
  <c r="G201" i="87"/>
  <c r="G197" i="87" s="1"/>
  <c r="G200" i="87"/>
  <c r="G196" i="87" s="1"/>
  <c r="G199" i="87"/>
  <c r="G195" i="87" s="1"/>
  <c r="C168" i="87"/>
  <c r="E180" i="101" s="1"/>
  <c r="C164" i="87"/>
  <c r="E179" i="101" s="1"/>
  <c r="C160" i="87"/>
  <c r="C189" i="87"/>
  <c r="E185" i="101" s="1"/>
  <c r="C185" i="87"/>
  <c r="E184" i="101" s="1"/>
  <c r="C181" i="87"/>
  <c r="E183" i="101" s="1"/>
  <c r="C177" i="87"/>
  <c r="G192" i="87"/>
  <c r="U192" i="87" s="1"/>
  <c r="G191" i="87"/>
  <c r="U191" i="87" s="1"/>
  <c r="G188" i="87"/>
  <c r="U188" i="87" s="1"/>
  <c r="H188" i="87" s="1"/>
  <c r="K184" i="101" s="1"/>
  <c r="G187" i="87"/>
  <c r="U187" i="87" s="1"/>
  <c r="H187" i="87" s="1"/>
  <c r="I184" i="101" s="1"/>
  <c r="M184" i="101" s="1"/>
  <c r="G184" i="87"/>
  <c r="U184" i="87" s="1"/>
  <c r="H184" i="87" s="1"/>
  <c r="K183" i="101" s="1"/>
  <c r="G183" i="87"/>
  <c r="U183" i="87" s="1"/>
  <c r="H183" i="87" s="1"/>
  <c r="I183" i="101" s="1"/>
  <c r="M183" i="101" s="1"/>
  <c r="G180" i="87"/>
  <c r="G179" i="87"/>
  <c r="W169" i="87"/>
  <c r="W165" i="87"/>
  <c r="W161" i="87"/>
  <c r="V169" i="87"/>
  <c r="V165" i="87"/>
  <c r="V161" i="87"/>
  <c r="G171" i="87"/>
  <c r="U171" i="87" s="1"/>
  <c r="G170" i="87"/>
  <c r="U170" i="87" s="1"/>
  <c r="G167" i="87"/>
  <c r="U167" i="87" s="1"/>
  <c r="H167" i="87" s="1"/>
  <c r="K179" i="101" s="1"/>
  <c r="G166" i="87"/>
  <c r="U166" i="87" s="1"/>
  <c r="H166" i="87" s="1"/>
  <c r="I179" i="101" s="1"/>
  <c r="M179" i="101" s="1"/>
  <c r="G163" i="87"/>
  <c r="U163" i="87" s="1"/>
  <c r="G162" i="87"/>
  <c r="U162" i="87" s="1"/>
  <c r="U179" i="87" l="1"/>
  <c r="G175" i="87"/>
  <c r="U180" i="87"/>
  <c r="G176" i="87"/>
  <c r="M175" i="87"/>
  <c r="M176" i="87"/>
  <c r="M174" i="87"/>
  <c r="W175" i="87"/>
  <c r="W176" i="87"/>
  <c r="V175" i="87"/>
  <c r="V176" i="87"/>
  <c r="T175" i="87"/>
  <c r="T176" i="87"/>
  <c r="T174" i="87"/>
  <c r="S175" i="87"/>
  <c r="S176" i="87"/>
  <c r="R175" i="87"/>
  <c r="R176" i="87"/>
  <c r="R174" i="87"/>
  <c r="Q175" i="87"/>
  <c r="Q176" i="87"/>
  <c r="Q174" i="87"/>
  <c r="P175" i="87"/>
  <c r="P176" i="87"/>
  <c r="O175" i="87"/>
  <c r="O176" i="87"/>
  <c r="O174" i="87"/>
  <c r="N175" i="87"/>
  <c r="N176" i="87"/>
  <c r="N174" i="87"/>
  <c r="L175" i="87"/>
  <c r="L176" i="87"/>
  <c r="L174" i="87"/>
  <c r="K175" i="87"/>
  <c r="K176" i="87"/>
  <c r="K174" i="87"/>
  <c r="J175" i="87"/>
  <c r="J176" i="87"/>
  <c r="J174" i="87"/>
  <c r="I175" i="87"/>
  <c r="I176" i="87"/>
  <c r="I174" i="87"/>
  <c r="P174" i="87"/>
  <c r="F178" i="87"/>
  <c r="F174" i="87" s="1"/>
  <c r="S174" i="87"/>
  <c r="V174" i="87"/>
  <c r="W174" i="87"/>
  <c r="L195" i="87"/>
  <c r="I195" i="87"/>
  <c r="U233" i="87"/>
  <c r="U229" i="87" s="1"/>
  <c r="G229" i="87"/>
  <c r="U234" i="87"/>
  <c r="G230" i="87"/>
  <c r="U235" i="87"/>
  <c r="G231" i="87"/>
  <c r="U269" i="87"/>
  <c r="H269" i="87" s="1"/>
  <c r="K203" i="101" s="1"/>
  <c r="G265" i="87"/>
  <c r="U310" i="87"/>
  <c r="H310" i="87" s="1"/>
  <c r="I213" i="101" s="1"/>
  <c r="M213" i="101" s="1"/>
  <c r="G306" i="87"/>
  <c r="U251" i="87"/>
  <c r="G247" i="87"/>
  <c r="W230" i="87"/>
  <c r="W231" i="87"/>
  <c r="V230" i="87"/>
  <c r="V231" i="87"/>
  <c r="T231" i="87"/>
  <c r="T230" i="87"/>
  <c r="S230" i="87"/>
  <c r="S231" i="87"/>
  <c r="S229" i="87"/>
  <c r="R230" i="87"/>
  <c r="R231" i="87"/>
  <c r="Q229" i="87"/>
  <c r="R229" i="87"/>
  <c r="Q230" i="87"/>
  <c r="Q231" i="87"/>
  <c r="P230" i="87"/>
  <c r="P231" i="87"/>
  <c r="P229" i="87"/>
  <c r="O230" i="87"/>
  <c r="O231" i="87"/>
  <c r="O229" i="87"/>
  <c r="N230" i="87"/>
  <c r="N231" i="87"/>
  <c r="N229" i="87"/>
  <c r="M230" i="87"/>
  <c r="M231" i="87"/>
  <c r="M229" i="87"/>
  <c r="L230" i="87"/>
  <c r="L231" i="87"/>
  <c r="L229" i="87"/>
  <c r="K230" i="87"/>
  <c r="K231" i="87"/>
  <c r="K229" i="87"/>
  <c r="J230" i="87"/>
  <c r="J231" i="87"/>
  <c r="J229" i="87"/>
  <c r="I230" i="87"/>
  <c r="I231" i="87"/>
  <c r="I229" i="87"/>
  <c r="T229" i="87"/>
  <c r="U340" i="87"/>
  <c r="H340" i="87" s="1"/>
  <c r="G336" i="87"/>
  <c r="U341" i="87"/>
  <c r="H341" i="87" s="1"/>
  <c r="G337" i="87"/>
  <c r="F305" i="87"/>
  <c r="F263" i="87"/>
  <c r="F229" i="87"/>
  <c r="F195" i="87"/>
  <c r="F175" i="87"/>
  <c r="F176" i="87"/>
  <c r="F196" i="87"/>
  <c r="F197" i="87"/>
  <c r="F230" i="87"/>
  <c r="F231" i="87"/>
  <c r="F247" i="87"/>
  <c r="F248" i="87"/>
  <c r="F336" i="87"/>
  <c r="F337" i="87"/>
  <c r="F330" i="89"/>
  <c r="I252" i="88"/>
  <c r="G182" i="87"/>
  <c r="H233" i="87"/>
  <c r="H195" i="101" s="1"/>
  <c r="H237" i="87"/>
  <c r="H196" i="101" s="1"/>
  <c r="BH245" i="87"/>
  <c r="AF245" i="87"/>
  <c r="AT245" i="87"/>
  <c r="BI245" i="87"/>
  <c r="AM245" i="87"/>
  <c r="Z245" i="87"/>
  <c r="Y245" i="87"/>
  <c r="E199" i="101"/>
  <c r="AN245" i="87"/>
  <c r="AG245" i="87"/>
  <c r="AU245" i="87"/>
  <c r="E208" i="101"/>
  <c r="AF283" i="87"/>
  <c r="BH283" i="87"/>
  <c r="AT283" i="87"/>
  <c r="BI283" i="87"/>
  <c r="AM283" i="87"/>
  <c r="Y283" i="87"/>
  <c r="AN283" i="87"/>
  <c r="AU283" i="87"/>
  <c r="AG283" i="87"/>
  <c r="Z283" i="87"/>
  <c r="G186" i="87"/>
  <c r="AF194" i="87"/>
  <c r="E187" i="101"/>
  <c r="AM194" i="87"/>
  <c r="Y194" i="87"/>
  <c r="BH194" i="87"/>
  <c r="AT194" i="87"/>
  <c r="AG194" i="87"/>
  <c r="Z194" i="87"/>
  <c r="BI194" i="87"/>
  <c r="AN194" i="87"/>
  <c r="AU194" i="87"/>
  <c r="G190" i="87"/>
  <c r="AF334" i="87"/>
  <c r="BH334" i="87"/>
  <c r="E220" i="101"/>
  <c r="BI334" i="87"/>
  <c r="AG334" i="87"/>
  <c r="AN334" i="87"/>
  <c r="AU334" i="87"/>
  <c r="Y334" i="87"/>
  <c r="AM334" i="87"/>
  <c r="Z334" i="87"/>
  <c r="AT334" i="87"/>
  <c r="Y262" i="87"/>
  <c r="BH262" i="87"/>
  <c r="E203" i="101"/>
  <c r="AT262" i="87"/>
  <c r="AF262" i="87"/>
  <c r="AM262" i="87"/>
  <c r="AG262" i="87"/>
  <c r="AU262" i="87"/>
  <c r="BI262" i="87"/>
  <c r="AN262" i="87"/>
  <c r="Z262" i="87"/>
  <c r="AM228" i="87"/>
  <c r="Y228" i="87"/>
  <c r="BH228" i="87"/>
  <c r="BI228" i="87"/>
  <c r="AT228" i="87"/>
  <c r="E195" i="101"/>
  <c r="AF228" i="87"/>
  <c r="Z228" i="87"/>
  <c r="AU228" i="87"/>
  <c r="AN228" i="87"/>
  <c r="AG228" i="87"/>
  <c r="AF321" i="87"/>
  <c r="BH321" i="87"/>
  <c r="AU321" i="87"/>
  <c r="AT321" i="87"/>
  <c r="Z321" i="87"/>
  <c r="BI321" i="87"/>
  <c r="AM321" i="87"/>
  <c r="AG321" i="87"/>
  <c r="E217" i="101"/>
  <c r="Y321" i="87"/>
  <c r="AN321" i="87"/>
  <c r="AF173" i="87"/>
  <c r="AT173" i="87"/>
  <c r="E182" i="101"/>
  <c r="AG173" i="87"/>
  <c r="Y173" i="87"/>
  <c r="AM173" i="87"/>
  <c r="AU173" i="87"/>
  <c r="BH173" i="87"/>
  <c r="AN173" i="87"/>
  <c r="Z173" i="87"/>
  <c r="BI173" i="87"/>
  <c r="H267" i="87"/>
  <c r="H203" i="101" s="1"/>
  <c r="H271" i="87"/>
  <c r="H204" i="101" s="1"/>
  <c r="Y304" i="87"/>
  <c r="AM304" i="87"/>
  <c r="AU304" i="87"/>
  <c r="BH304" i="87"/>
  <c r="AT304" i="87"/>
  <c r="AG304" i="87"/>
  <c r="AF304" i="87"/>
  <c r="E213" i="101"/>
  <c r="BI304" i="87"/>
  <c r="AN304" i="87"/>
  <c r="Z304" i="87"/>
  <c r="AG156" i="87"/>
  <c r="Y156" i="87"/>
  <c r="AT156" i="87"/>
  <c r="BH156" i="87"/>
  <c r="AF156" i="87"/>
  <c r="AM156" i="87"/>
  <c r="E178" i="101"/>
  <c r="AN156" i="87"/>
  <c r="AU156" i="87"/>
  <c r="BI156" i="87"/>
  <c r="Z156" i="87"/>
  <c r="AM215" i="87"/>
  <c r="Y215" i="87"/>
  <c r="AN215" i="87"/>
  <c r="E192" i="101"/>
  <c r="BH215" i="87"/>
  <c r="AT215" i="87"/>
  <c r="BI215" i="87"/>
  <c r="AF215" i="87"/>
  <c r="AG215" i="87"/>
  <c r="Z215" i="87"/>
  <c r="AU215" i="87"/>
  <c r="G253" i="88"/>
  <c r="AM251" i="88"/>
  <c r="AF251" i="88"/>
  <c r="AT251" i="88"/>
  <c r="BH251" i="88"/>
  <c r="Y251" i="88"/>
  <c r="AL251" i="88"/>
  <c r="AN251" i="88"/>
  <c r="Z251" i="88"/>
  <c r="AU251" i="88"/>
  <c r="BI251" i="88"/>
  <c r="AG251" i="88"/>
  <c r="E63" i="101"/>
  <c r="AF260" i="89"/>
  <c r="BH260" i="89"/>
  <c r="AT260" i="89"/>
  <c r="AM260" i="89"/>
  <c r="BI260" i="89"/>
  <c r="AG260" i="89"/>
  <c r="AN260" i="89"/>
  <c r="Z264" i="89"/>
  <c r="AU260" i="89"/>
  <c r="Z268" i="89"/>
  <c r="Z272" i="89"/>
  <c r="F360" i="89"/>
  <c r="G178" i="87"/>
  <c r="T195" i="87"/>
  <c r="J254" i="88"/>
  <c r="G254" i="88"/>
  <c r="W253" i="88"/>
  <c r="F252" i="88"/>
  <c r="Q254" i="88"/>
  <c r="I254" i="88"/>
  <c r="H254" i="88"/>
  <c r="M252" i="88"/>
  <c r="H252" i="88"/>
  <c r="R262" i="89"/>
  <c r="R253" i="88"/>
  <c r="K253" i="88"/>
  <c r="J253" i="88"/>
  <c r="I253" i="88"/>
  <c r="H253" i="88"/>
  <c r="F254" i="88"/>
  <c r="S252" i="88"/>
  <c r="F253" i="88"/>
  <c r="L252" i="88"/>
  <c r="W254" i="88"/>
  <c r="K252" i="88"/>
  <c r="V254" i="88"/>
  <c r="J252" i="88"/>
  <c r="Y260" i="89"/>
  <c r="U254" i="88"/>
  <c r="V253" i="88"/>
  <c r="W252" i="88"/>
  <c r="G252" i="88"/>
  <c r="T254" i="88"/>
  <c r="U253" i="88"/>
  <c r="V252" i="88"/>
  <c r="S254" i="88"/>
  <c r="T253" i="88"/>
  <c r="U252" i="88"/>
  <c r="R254" i="88"/>
  <c r="S253" i="88"/>
  <c r="T252" i="88"/>
  <c r="P254" i="88"/>
  <c r="Q253" i="88"/>
  <c r="R252" i="88"/>
  <c r="T335" i="87"/>
  <c r="O254" i="88"/>
  <c r="P253" i="88"/>
  <c r="Q252" i="88"/>
  <c r="N254" i="88"/>
  <c r="O253" i="88"/>
  <c r="P252" i="88"/>
  <c r="M254" i="88"/>
  <c r="N253" i="88"/>
  <c r="O252" i="88"/>
  <c r="L254" i="88"/>
  <c r="M253" i="88"/>
  <c r="N252" i="88"/>
  <c r="K254" i="88"/>
  <c r="L253" i="88"/>
  <c r="C251" i="88"/>
  <c r="F361" i="89"/>
  <c r="C260" i="89"/>
  <c r="E61" i="101" s="1"/>
  <c r="V261" i="89"/>
  <c r="Q262" i="89"/>
  <c r="W261" i="89"/>
  <c r="V263" i="89"/>
  <c r="S261" i="89"/>
  <c r="U263" i="89"/>
  <c r="Q261" i="89"/>
  <c r="T263" i="89"/>
  <c r="V337" i="87"/>
  <c r="S263" i="89"/>
  <c r="U337" i="87"/>
  <c r="R263" i="89"/>
  <c r="Q335" i="87"/>
  <c r="Q263" i="89"/>
  <c r="W263" i="89"/>
  <c r="W262" i="89"/>
  <c r="V262" i="89"/>
  <c r="U262" i="89"/>
  <c r="T262" i="89"/>
  <c r="S262" i="89"/>
  <c r="T261" i="89"/>
  <c r="G262" i="89"/>
  <c r="P263" i="89"/>
  <c r="P262" i="89"/>
  <c r="P261" i="89"/>
  <c r="O263" i="89"/>
  <c r="O262" i="89"/>
  <c r="O261" i="89"/>
  <c r="N263" i="89"/>
  <c r="N262" i="89"/>
  <c r="N261" i="89"/>
  <c r="L263" i="89"/>
  <c r="L262" i="89"/>
  <c r="L261" i="89"/>
  <c r="K263" i="89"/>
  <c r="K262" i="89"/>
  <c r="K261" i="89"/>
  <c r="J263" i="89"/>
  <c r="J262" i="89"/>
  <c r="J261" i="89"/>
  <c r="I263" i="89"/>
  <c r="I262" i="89"/>
  <c r="I261" i="89"/>
  <c r="F263" i="89"/>
  <c r="F262" i="89"/>
  <c r="G263" i="89"/>
  <c r="W337" i="87"/>
  <c r="N337" i="87"/>
  <c r="V336" i="87"/>
  <c r="U336" i="87"/>
  <c r="T336" i="87"/>
  <c r="S335" i="87"/>
  <c r="P335" i="87"/>
  <c r="T337" i="87"/>
  <c r="S336" i="87"/>
  <c r="O335" i="87"/>
  <c r="S337" i="87"/>
  <c r="R336" i="87"/>
  <c r="N335" i="87"/>
  <c r="R337" i="87"/>
  <c r="Q336" i="87"/>
  <c r="M335" i="87"/>
  <c r="Q337" i="87"/>
  <c r="P336" i="87"/>
  <c r="L335" i="87"/>
  <c r="P337" i="87"/>
  <c r="O336" i="87"/>
  <c r="K335" i="87"/>
  <c r="O337" i="87"/>
  <c r="N336" i="87"/>
  <c r="J335" i="87"/>
  <c r="M336" i="87"/>
  <c r="I335" i="87"/>
  <c r="M337" i="87"/>
  <c r="L336" i="87"/>
  <c r="F323" i="87"/>
  <c r="L337" i="87"/>
  <c r="K336" i="87"/>
  <c r="C334" i="87"/>
  <c r="E219" i="101" s="1"/>
  <c r="K337" i="87"/>
  <c r="J336" i="87"/>
  <c r="J337" i="87"/>
  <c r="I336" i="87"/>
  <c r="I337" i="87"/>
  <c r="S322" i="87"/>
  <c r="W336" i="87"/>
  <c r="W335" i="87"/>
  <c r="V335" i="87"/>
  <c r="V324" i="87"/>
  <c r="G324" i="87"/>
  <c r="U323" i="87"/>
  <c r="U324" i="87"/>
  <c r="T323" i="87"/>
  <c r="Q322" i="87"/>
  <c r="T324" i="87"/>
  <c r="S323" i="87"/>
  <c r="P322" i="87"/>
  <c r="S324" i="87"/>
  <c r="R323" i="87"/>
  <c r="O322" i="87"/>
  <c r="V322" i="87"/>
  <c r="R324" i="87"/>
  <c r="Q323" i="87"/>
  <c r="N322" i="87"/>
  <c r="Q324" i="87"/>
  <c r="P323" i="87"/>
  <c r="M322" i="87"/>
  <c r="P324" i="87"/>
  <c r="O323" i="87"/>
  <c r="L322" i="87"/>
  <c r="O324" i="87"/>
  <c r="N323" i="87"/>
  <c r="K322" i="87"/>
  <c r="N324" i="87"/>
  <c r="M323" i="87"/>
  <c r="J322" i="87"/>
  <c r="M324" i="87"/>
  <c r="L323" i="87"/>
  <c r="I322" i="87"/>
  <c r="L324" i="87"/>
  <c r="K323" i="87"/>
  <c r="K324" i="87"/>
  <c r="J323" i="87"/>
  <c r="J324" i="87"/>
  <c r="I323" i="87"/>
  <c r="I324" i="87"/>
  <c r="W323" i="87"/>
  <c r="T322" i="87"/>
  <c r="W324" i="87"/>
  <c r="V323" i="87"/>
  <c r="W322" i="87"/>
  <c r="G323" i="87"/>
  <c r="F324" i="87"/>
  <c r="C321" i="87"/>
  <c r="E216" i="101" s="1"/>
  <c r="J286" i="87"/>
  <c r="J285" i="87"/>
  <c r="Q285" i="87"/>
  <c r="I286" i="87"/>
  <c r="V284" i="87"/>
  <c r="T284" i="87"/>
  <c r="W286" i="87"/>
  <c r="W285" i="87"/>
  <c r="S284" i="87"/>
  <c r="V286" i="87"/>
  <c r="V285" i="87"/>
  <c r="Q284" i="87"/>
  <c r="I285" i="87"/>
  <c r="U286" i="87"/>
  <c r="P284" i="87"/>
  <c r="T286" i="87"/>
  <c r="T285" i="87"/>
  <c r="O284" i="87"/>
  <c r="S286" i="87"/>
  <c r="S285" i="87"/>
  <c r="N284" i="87"/>
  <c r="R286" i="87"/>
  <c r="R285" i="87"/>
  <c r="L284" i="87"/>
  <c r="Q286" i="87"/>
  <c r="K284" i="87"/>
  <c r="P286" i="87"/>
  <c r="P285" i="87"/>
  <c r="J284" i="87"/>
  <c r="O286" i="87"/>
  <c r="O285" i="87"/>
  <c r="I284" i="87"/>
  <c r="N286" i="87"/>
  <c r="N285" i="87"/>
  <c r="M284" i="87"/>
  <c r="M286" i="87"/>
  <c r="L285" i="87"/>
  <c r="M285" i="87"/>
  <c r="L286" i="87"/>
  <c r="K285" i="87"/>
  <c r="K286" i="87"/>
  <c r="W284" i="87"/>
  <c r="F286" i="87"/>
  <c r="G286" i="87"/>
  <c r="F285" i="87"/>
  <c r="G289" i="87"/>
  <c r="C283" i="87"/>
  <c r="E207" i="101" s="1"/>
  <c r="M247" i="87"/>
  <c r="T305" i="87"/>
  <c r="L263" i="87"/>
  <c r="C245" i="87"/>
  <c r="E198" i="101" s="1"/>
  <c r="S246" i="87"/>
  <c r="K265" i="87"/>
  <c r="K264" i="87"/>
  <c r="K263" i="87"/>
  <c r="Q307" i="87"/>
  <c r="R306" i="87"/>
  <c r="S305" i="87"/>
  <c r="J265" i="87"/>
  <c r="J264" i="87"/>
  <c r="J263" i="87"/>
  <c r="P307" i="87"/>
  <c r="Q306" i="87"/>
  <c r="R305" i="87"/>
  <c r="F265" i="87"/>
  <c r="I265" i="87"/>
  <c r="I264" i="87"/>
  <c r="I263" i="87"/>
  <c r="O307" i="87"/>
  <c r="P306" i="87"/>
  <c r="Q305" i="87"/>
  <c r="W248" i="87"/>
  <c r="F264" i="87"/>
  <c r="N307" i="87"/>
  <c r="O306" i="87"/>
  <c r="P305" i="87"/>
  <c r="P247" i="87"/>
  <c r="R248" i="87"/>
  <c r="W265" i="87"/>
  <c r="G264" i="87"/>
  <c r="G263" i="87"/>
  <c r="M307" i="87"/>
  <c r="N306" i="87"/>
  <c r="O305" i="87"/>
  <c r="U264" i="87"/>
  <c r="Q248" i="87"/>
  <c r="V265" i="87"/>
  <c r="W264" i="87"/>
  <c r="W263" i="87"/>
  <c r="L307" i="87"/>
  <c r="M306" i="87"/>
  <c r="N305" i="87"/>
  <c r="U263" i="87"/>
  <c r="P248" i="87"/>
  <c r="U265" i="87"/>
  <c r="V264" i="87"/>
  <c r="V263" i="87"/>
  <c r="K307" i="87"/>
  <c r="L306" i="87"/>
  <c r="M305" i="87"/>
  <c r="O248" i="87"/>
  <c r="T265" i="87"/>
  <c r="T264" i="87"/>
  <c r="T263" i="87"/>
  <c r="J307" i="87"/>
  <c r="K306" i="87"/>
  <c r="L305" i="87"/>
  <c r="N248" i="87"/>
  <c r="S265" i="87"/>
  <c r="S264" i="87"/>
  <c r="S263" i="87"/>
  <c r="F307" i="87"/>
  <c r="I307" i="87"/>
  <c r="J306" i="87"/>
  <c r="K305" i="87"/>
  <c r="M248" i="87"/>
  <c r="R265" i="87"/>
  <c r="R264" i="87"/>
  <c r="R263" i="87"/>
  <c r="F306" i="87"/>
  <c r="I306" i="87"/>
  <c r="J305" i="87"/>
  <c r="L248" i="87"/>
  <c r="Q265" i="87"/>
  <c r="Q264" i="87"/>
  <c r="Q263" i="87"/>
  <c r="W307" i="87"/>
  <c r="G307" i="87"/>
  <c r="I305" i="87"/>
  <c r="S247" i="87"/>
  <c r="P265" i="87"/>
  <c r="P264" i="87"/>
  <c r="P263" i="87"/>
  <c r="V307" i="87"/>
  <c r="W306" i="87"/>
  <c r="R247" i="87"/>
  <c r="O265" i="87"/>
  <c r="O264" i="87"/>
  <c r="O263" i="87"/>
  <c r="V306" i="87"/>
  <c r="W305" i="87"/>
  <c r="G305" i="87"/>
  <c r="O247" i="87"/>
  <c r="N265" i="87"/>
  <c r="N264" i="87"/>
  <c r="N263" i="87"/>
  <c r="T307" i="87"/>
  <c r="U306" i="87"/>
  <c r="V305" i="87"/>
  <c r="C228" i="87"/>
  <c r="E194" i="101" s="1"/>
  <c r="N247" i="87"/>
  <c r="M265" i="87"/>
  <c r="M264" i="87"/>
  <c r="M263" i="87"/>
  <c r="S307" i="87"/>
  <c r="T306" i="87"/>
  <c r="L265" i="87"/>
  <c r="L264" i="87"/>
  <c r="R307" i="87"/>
  <c r="S306" i="87"/>
  <c r="G248" i="87"/>
  <c r="T246" i="87"/>
  <c r="Q246" i="87"/>
  <c r="P246" i="87"/>
  <c r="O246" i="87"/>
  <c r="N246" i="87"/>
  <c r="I246" i="87"/>
  <c r="Q247" i="87"/>
  <c r="K248" i="87"/>
  <c r="L247" i="87"/>
  <c r="M246" i="87"/>
  <c r="J248" i="87"/>
  <c r="K247" i="87"/>
  <c r="L246" i="87"/>
  <c r="I248" i="87"/>
  <c r="J247" i="87"/>
  <c r="K246" i="87"/>
  <c r="I247" i="87"/>
  <c r="J246" i="87"/>
  <c r="V248" i="87"/>
  <c r="W247" i="87"/>
  <c r="U248" i="87"/>
  <c r="V247" i="87"/>
  <c r="W246" i="87"/>
  <c r="T248" i="87"/>
  <c r="V246" i="87"/>
  <c r="S248" i="87"/>
  <c r="T247" i="87"/>
  <c r="U243" i="87"/>
  <c r="H309" i="87"/>
  <c r="H213" i="101" s="1"/>
  <c r="U205" i="87"/>
  <c r="H205" i="87" s="1"/>
  <c r="K188" i="101" s="1"/>
  <c r="U208" i="87"/>
  <c r="H208" i="87" s="1"/>
  <c r="I189" i="101" s="1"/>
  <c r="M189" i="101" s="1"/>
  <c r="U209" i="87"/>
  <c r="H209" i="87" s="1"/>
  <c r="K189" i="101" s="1"/>
  <c r="U200" i="87"/>
  <c r="H200" i="87" s="1"/>
  <c r="U212" i="87"/>
  <c r="U201" i="87"/>
  <c r="H201" i="87" s="1"/>
  <c r="U213" i="87"/>
  <c r="U315" i="87"/>
  <c r="H315" i="87" s="1"/>
  <c r="K214" i="101" s="1"/>
  <c r="U204" i="87"/>
  <c r="H204" i="87" s="1"/>
  <c r="I188" i="101" s="1"/>
  <c r="M188" i="101" s="1"/>
  <c r="U317" i="87"/>
  <c r="C304" i="87"/>
  <c r="E212" i="101" s="1"/>
  <c r="H313" i="87"/>
  <c r="H214" i="101" s="1"/>
  <c r="C262" i="87"/>
  <c r="E202" i="101" s="1"/>
  <c r="K195" i="87"/>
  <c r="L196" i="87"/>
  <c r="M197" i="87"/>
  <c r="G218" i="87"/>
  <c r="L197" i="87"/>
  <c r="K196" i="87"/>
  <c r="J195" i="87"/>
  <c r="G217" i="87"/>
  <c r="K197" i="87"/>
  <c r="J196" i="87"/>
  <c r="J197" i="87"/>
  <c r="I196" i="87"/>
  <c r="G216" i="87"/>
  <c r="I197" i="87"/>
  <c r="W195" i="87"/>
  <c r="W196" i="87"/>
  <c r="V195" i="87"/>
  <c r="W197" i="87"/>
  <c r="V196" i="87"/>
  <c r="V197" i="87"/>
  <c r="T196" i="87"/>
  <c r="S195" i="87"/>
  <c r="T197" i="87"/>
  <c r="S196" i="87"/>
  <c r="R195" i="87"/>
  <c r="S197" i="87"/>
  <c r="R196" i="87"/>
  <c r="Q195" i="87"/>
  <c r="C215" i="87"/>
  <c r="E191" i="101" s="1"/>
  <c r="R197" i="87"/>
  <c r="Q196" i="87"/>
  <c r="P195" i="87"/>
  <c r="Q197" i="87"/>
  <c r="P196" i="87"/>
  <c r="O195" i="87"/>
  <c r="P197" i="87"/>
  <c r="O196" i="87"/>
  <c r="N195" i="87"/>
  <c r="O197" i="87"/>
  <c r="N196" i="87"/>
  <c r="M195" i="87"/>
  <c r="N197" i="87"/>
  <c r="M196" i="87"/>
  <c r="C194" i="87"/>
  <c r="E186" i="101" s="1"/>
  <c r="R159" i="87"/>
  <c r="P158" i="87"/>
  <c r="L157" i="87"/>
  <c r="G158" i="87"/>
  <c r="U182" i="87"/>
  <c r="H182" i="87" s="1"/>
  <c r="H183" i="101" s="1"/>
  <c r="U186" i="87"/>
  <c r="H186" i="87" s="1"/>
  <c r="H184" i="101" s="1"/>
  <c r="U190" i="87"/>
  <c r="K157" i="87"/>
  <c r="I157" i="87"/>
  <c r="O158" i="87"/>
  <c r="P159" i="87"/>
  <c r="O159" i="87"/>
  <c r="L159" i="87"/>
  <c r="J158" i="87"/>
  <c r="J157" i="87"/>
  <c r="M158" i="87"/>
  <c r="K158" i="87"/>
  <c r="K159" i="87"/>
  <c r="I158" i="87"/>
  <c r="J159" i="87"/>
  <c r="L158" i="87"/>
  <c r="I159" i="87"/>
  <c r="T157" i="87"/>
  <c r="M159" i="87"/>
  <c r="W158" i="87"/>
  <c r="S157" i="87"/>
  <c r="N159" i="87"/>
  <c r="V158" i="87"/>
  <c r="Q157" i="87"/>
  <c r="N158" i="87"/>
  <c r="T158" i="87"/>
  <c r="V159" i="87"/>
  <c r="S158" i="87"/>
  <c r="O157" i="87"/>
  <c r="Q159" i="87"/>
  <c r="W159" i="87"/>
  <c r="P157" i="87"/>
  <c r="T159" i="87"/>
  <c r="R158" i="87"/>
  <c r="N157" i="87"/>
  <c r="C156" i="87"/>
  <c r="E177" i="101" s="1"/>
  <c r="S159" i="87"/>
  <c r="Q158" i="87"/>
  <c r="M157" i="87"/>
  <c r="F158" i="87"/>
  <c r="U158" i="87"/>
  <c r="C173" i="87"/>
  <c r="E181" i="101" s="1"/>
  <c r="U159" i="87"/>
  <c r="W157" i="87"/>
  <c r="V157" i="87"/>
  <c r="F159" i="87"/>
  <c r="G159" i="87"/>
  <c r="K187" i="101" l="1"/>
  <c r="I187" i="101"/>
  <c r="M187" i="101" s="1"/>
  <c r="U178" i="87"/>
  <c r="G174" i="87"/>
  <c r="K220" i="101"/>
  <c r="I220" i="101"/>
  <c r="M220" i="101" s="1"/>
  <c r="H251" i="87"/>
  <c r="I199" i="101" s="1"/>
  <c r="M199" i="101" s="1"/>
  <c r="U247" i="87"/>
  <c r="H235" i="87"/>
  <c r="U231" i="87"/>
  <c r="H234" i="87"/>
  <c r="H180" i="87"/>
  <c r="U176" i="87"/>
  <c r="H179" i="87"/>
  <c r="U175" i="87"/>
  <c r="G285" i="87"/>
  <c r="U289" i="87"/>
  <c r="I80" i="96"/>
  <c r="Z260" i="89"/>
  <c r="U199" i="87"/>
  <c r="H199" i="87" s="1"/>
  <c r="U305" i="87"/>
  <c r="U307" i="87"/>
  <c r="U197" i="87"/>
  <c r="Y82" i="96" s="1"/>
  <c r="I82" i="96"/>
  <c r="U203" i="87"/>
  <c r="H203" i="87" s="1"/>
  <c r="H188" i="101" s="1"/>
  <c r="U196" i="87"/>
  <c r="Y81" i="96" s="1"/>
  <c r="U211" i="87"/>
  <c r="U207" i="87"/>
  <c r="H207" i="87" s="1"/>
  <c r="H189" i="101" s="1"/>
  <c r="H187" i="101" l="1"/>
  <c r="I182" i="101"/>
  <c r="M182" i="101" s="1"/>
  <c r="K182" i="101"/>
  <c r="I195" i="101"/>
  <c r="M195" i="101" s="1"/>
  <c r="K195" i="101"/>
  <c r="H178" i="87"/>
  <c r="U174" i="87"/>
  <c r="H289" i="87"/>
  <c r="I208" i="101" s="1"/>
  <c r="M208" i="101" s="1"/>
  <c r="U285" i="87"/>
  <c r="U195" i="87"/>
  <c r="Y80" i="96" s="1"/>
  <c r="H182" i="101" l="1"/>
  <c r="AL30" i="84"/>
  <c r="Y353" i="89" l="1"/>
  <c r="Y349" i="89"/>
  <c r="Y345" i="89"/>
  <c r="Y336" i="89"/>
  <c r="Y332" i="89"/>
  <c r="W371" i="89"/>
  <c r="W367" i="89"/>
  <c r="W363" i="89"/>
  <c r="V371" i="89"/>
  <c r="V367" i="89"/>
  <c r="V363" i="89"/>
  <c r="V359" i="89" s="1"/>
  <c r="I359" i="89"/>
  <c r="J359" i="89"/>
  <c r="M359" i="89"/>
  <c r="L359" i="89"/>
  <c r="N359" i="89"/>
  <c r="O359" i="89"/>
  <c r="P359" i="89"/>
  <c r="Q359" i="89"/>
  <c r="S359" i="89"/>
  <c r="T359" i="89"/>
  <c r="I360" i="89"/>
  <c r="J360" i="89"/>
  <c r="M360" i="89"/>
  <c r="L360" i="89"/>
  <c r="N360" i="89"/>
  <c r="O360" i="89"/>
  <c r="P360" i="89"/>
  <c r="Q360" i="89"/>
  <c r="R360" i="89"/>
  <c r="S360" i="89"/>
  <c r="T360" i="89"/>
  <c r="V360" i="89"/>
  <c r="I361" i="89"/>
  <c r="J361" i="89"/>
  <c r="M361" i="89"/>
  <c r="L361" i="89"/>
  <c r="N361" i="89"/>
  <c r="O361" i="89"/>
  <c r="P361" i="89"/>
  <c r="Q361" i="89"/>
  <c r="R361" i="89"/>
  <c r="S361" i="89"/>
  <c r="T361" i="89"/>
  <c r="V361" i="89"/>
  <c r="W361" i="89"/>
  <c r="I342" i="89"/>
  <c r="J342" i="89"/>
  <c r="M342" i="89"/>
  <c r="L342" i="89"/>
  <c r="N342" i="89"/>
  <c r="O342" i="89"/>
  <c r="P342" i="89"/>
  <c r="Q342" i="89"/>
  <c r="S342" i="89"/>
  <c r="T342" i="89"/>
  <c r="I343" i="89"/>
  <c r="J343" i="89"/>
  <c r="M343" i="89"/>
  <c r="L343" i="89"/>
  <c r="N343" i="89"/>
  <c r="O343" i="89"/>
  <c r="P343" i="89"/>
  <c r="Q343" i="89"/>
  <c r="R343" i="89"/>
  <c r="S343" i="89"/>
  <c r="T343" i="89"/>
  <c r="V343" i="89"/>
  <c r="W343" i="89"/>
  <c r="I344" i="89"/>
  <c r="J344" i="89"/>
  <c r="M344" i="89"/>
  <c r="L344" i="89"/>
  <c r="N344" i="89"/>
  <c r="O344" i="89"/>
  <c r="P344" i="89"/>
  <c r="Q344" i="89"/>
  <c r="R344" i="89"/>
  <c r="S344" i="89"/>
  <c r="T344" i="89"/>
  <c r="V344" i="89"/>
  <c r="W344" i="89"/>
  <c r="F343" i="89"/>
  <c r="F344" i="89"/>
  <c r="G373" i="89"/>
  <c r="U373" i="89" s="1"/>
  <c r="G372" i="89"/>
  <c r="U372" i="89" s="1"/>
  <c r="G369" i="89"/>
  <c r="U369" i="89" s="1"/>
  <c r="H369" i="89" s="1"/>
  <c r="K86" i="101" s="1"/>
  <c r="G368" i="89"/>
  <c r="U368" i="89" s="1"/>
  <c r="H368" i="89" s="1"/>
  <c r="I86" i="101" s="1"/>
  <c r="M86" i="101" s="1"/>
  <c r="G365" i="89"/>
  <c r="G364" i="89"/>
  <c r="U364" i="89" s="1"/>
  <c r="C358" i="89"/>
  <c r="E84" i="101" s="1"/>
  <c r="W354" i="89"/>
  <c r="V354" i="89"/>
  <c r="V350" i="89"/>
  <c r="V346" i="89"/>
  <c r="G356" i="89"/>
  <c r="U356" i="89" s="1"/>
  <c r="G355" i="89"/>
  <c r="U355" i="89" s="1"/>
  <c r="G352" i="89"/>
  <c r="U352" i="89" s="1"/>
  <c r="G351" i="89"/>
  <c r="U351" i="89" s="1"/>
  <c r="G348" i="89"/>
  <c r="U348" i="89" s="1"/>
  <c r="G347" i="89"/>
  <c r="U347" i="89" s="1"/>
  <c r="C341" i="89"/>
  <c r="E80" i="101" s="1"/>
  <c r="W337" i="89"/>
  <c r="V337" i="89"/>
  <c r="W333" i="89"/>
  <c r="V333" i="89"/>
  <c r="J329" i="89"/>
  <c r="L329" i="89"/>
  <c r="N329" i="89"/>
  <c r="O329" i="89"/>
  <c r="P329" i="89"/>
  <c r="Q329" i="89"/>
  <c r="S329" i="89"/>
  <c r="T329" i="89"/>
  <c r="J330" i="89"/>
  <c r="M330" i="89"/>
  <c r="L330" i="89"/>
  <c r="N330" i="89"/>
  <c r="O330" i="89"/>
  <c r="P330" i="89"/>
  <c r="Q330" i="89"/>
  <c r="R330" i="89"/>
  <c r="S330" i="89"/>
  <c r="T330" i="89"/>
  <c r="V330" i="89"/>
  <c r="W330" i="89"/>
  <c r="J331" i="89"/>
  <c r="M331" i="89"/>
  <c r="L331" i="89"/>
  <c r="N331" i="89"/>
  <c r="O331" i="89"/>
  <c r="P331" i="89"/>
  <c r="Q331" i="89"/>
  <c r="R331" i="89"/>
  <c r="S331" i="89"/>
  <c r="T331" i="89"/>
  <c r="V331" i="89"/>
  <c r="W331" i="89"/>
  <c r="I330" i="89"/>
  <c r="I331" i="89"/>
  <c r="I329" i="89"/>
  <c r="C328" i="89"/>
  <c r="E77" i="101" s="1"/>
  <c r="G339" i="89"/>
  <c r="U339" i="89" s="1"/>
  <c r="G338" i="89"/>
  <c r="G335" i="89"/>
  <c r="G334" i="89"/>
  <c r="U334" i="89" s="1"/>
  <c r="H334" i="89" s="1"/>
  <c r="I78" i="101" s="1"/>
  <c r="M78" i="101" s="1"/>
  <c r="V342" i="89" l="1"/>
  <c r="G330" i="89"/>
  <c r="U338" i="89"/>
  <c r="U343" i="89"/>
  <c r="Z332" i="89"/>
  <c r="U344" i="89"/>
  <c r="Z336" i="89"/>
  <c r="Z345" i="89"/>
  <c r="Z349" i="89"/>
  <c r="G331" i="89"/>
  <c r="U335" i="89"/>
  <c r="H335" i="89" s="1"/>
  <c r="K78" i="101" s="1"/>
  <c r="Z353" i="89"/>
  <c r="G361" i="89"/>
  <c r="U365" i="89"/>
  <c r="G343" i="89"/>
  <c r="G344" i="89"/>
  <c r="U360" i="89"/>
  <c r="H364" i="89"/>
  <c r="I85" i="101" s="1"/>
  <c r="M85" i="101" s="1"/>
  <c r="W342" i="89"/>
  <c r="W329" i="89"/>
  <c r="Z328" i="89"/>
  <c r="Y328" i="89"/>
  <c r="Y341" i="89"/>
  <c r="W360" i="89"/>
  <c r="W359" i="89"/>
  <c r="G360" i="89"/>
  <c r="V329" i="89"/>
  <c r="U330" i="89"/>
  <c r="Z341" i="89" l="1"/>
  <c r="U331" i="89"/>
  <c r="U361" i="89"/>
  <c r="H365" i="89"/>
  <c r="K85" i="101" s="1"/>
  <c r="CV157" i="95"/>
  <c r="CP154" i="95"/>
  <c r="G283" i="89"/>
  <c r="W294" i="89"/>
  <c r="W290" i="89"/>
  <c r="W286" i="89"/>
  <c r="W282" i="89"/>
  <c r="V294" i="89"/>
  <c r="V290" i="89"/>
  <c r="V286" i="89"/>
  <c r="V282" i="89"/>
  <c r="CU154" i="95"/>
  <c r="M278" i="89"/>
  <c r="S278" i="89"/>
  <c r="T278" i="89"/>
  <c r="M279" i="89"/>
  <c r="R279" i="89"/>
  <c r="S279" i="89"/>
  <c r="T279" i="89"/>
  <c r="V279" i="89"/>
  <c r="W279" i="89"/>
  <c r="R280" i="89"/>
  <c r="S280" i="89"/>
  <c r="T280" i="89"/>
  <c r="V280" i="89"/>
  <c r="W280" i="89"/>
  <c r="W278" i="89" l="1"/>
  <c r="V278" i="89"/>
  <c r="M280" i="89"/>
  <c r="N321" i="89" l="1"/>
  <c r="N322" i="89"/>
  <c r="N320" i="89"/>
  <c r="N317" i="89"/>
  <c r="N318" i="89"/>
  <c r="N316" i="89"/>
  <c r="K322" i="89"/>
  <c r="I321" i="89"/>
  <c r="I322" i="89"/>
  <c r="I320" i="89"/>
  <c r="W320" i="89"/>
  <c r="W316" i="89"/>
  <c r="W324" i="89"/>
  <c r="K318" i="89"/>
  <c r="I317" i="89"/>
  <c r="G317" i="89" s="1"/>
  <c r="U317" i="89" s="1"/>
  <c r="I318" i="89"/>
  <c r="I316" i="89"/>
  <c r="C311" i="89"/>
  <c r="E73" i="101" s="1"/>
  <c r="C298" i="89"/>
  <c r="E70" i="101" s="1"/>
  <c r="C277" i="89"/>
  <c r="E65" i="101" s="1"/>
  <c r="N326" i="89"/>
  <c r="K326" i="89"/>
  <c r="I326" i="89"/>
  <c r="N325" i="89"/>
  <c r="I325" i="89"/>
  <c r="V324" i="89"/>
  <c r="P324" i="89"/>
  <c r="N324" i="89"/>
  <c r="J324" i="89"/>
  <c r="I324" i="89"/>
  <c r="Y323" i="89"/>
  <c r="V320" i="89"/>
  <c r="P320" i="89"/>
  <c r="J320" i="89"/>
  <c r="Y319" i="89"/>
  <c r="V316" i="89"/>
  <c r="P316" i="89"/>
  <c r="J316" i="89"/>
  <c r="Y315" i="89"/>
  <c r="W314" i="89"/>
  <c r="V314" i="89"/>
  <c r="T314" i="89"/>
  <c r="S314" i="89"/>
  <c r="R314" i="89"/>
  <c r="Q314" i="89"/>
  <c r="P314" i="89"/>
  <c r="O314" i="89"/>
  <c r="J314" i="89"/>
  <c r="W313" i="89"/>
  <c r="V313" i="89"/>
  <c r="T313" i="89"/>
  <c r="S313" i="89"/>
  <c r="Q313" i="89"/>
  <c r="P313" i="89"/>
  <c r="O313" i="89"/>
  <c r="L313" i="89"/>
  <c r="K313" i="89"/>
  <c r="J313" i="89"/>
  <c r="T312" i="89"/>
  <c r="S312" i="89"/>
  <c r="Q312" i="89"/>
  <c r="O312" i="89"/>
  <c r="L312" i="89"/>
  <c r="K312" i="89"/>
  <c r="Y306" i="89"/>
  <c r="Y302" i="89"/>
  <c r="F307" i="89"/>
  <c r="Y281" i="89"/>
  <c r="Y293" i="89"/>
  <c r="Y289" i="89"/>
  <c r="Y285" i="89"/>
  <c r="F257" i="89"/>
  <c r="G291" i="89"/>
  <c r="U291" i="89" s="1"/>
  <c r="H291" i="89" s="1"/>
  <c r="I68" i="101" s="1"/>
  <c r="M68" i="101" s="1"/>
  <c r="F200" i="90"/>
  <c r="F188" i="90"/>
  <c r="F146" i="90"/>
  <c r="F141" i="90"/>
  <c r="F142" i="90"/>
  <c r="F136" i="90"/>
  <c r="F125" i="90"/>
  <c r="F120" i="90"/>
  <c r="F74" i="90"/>
  <c r="AX5" i="90"/>
  <c r="D159" i="85"/>
  <c r="D154" i="85"/>
  <c r="D143" i="85"/>
  <c r="D138" i="85"/>
  <c r="D101" i="85"/>
  <c r="D96" i="85"/>
  <c r="D91" i="85"/>
  <c r="D86" i="85"/>
  <c r="D70" i="85"/>
  <c r="D75" i="85"/>
  <c r="D43" i="85"/>
  <c r="D38" i="85"/>
  <c r="D22" i="85"/>
  <c r="D59" i="85"/>
  <c r="D54" i="85"/>
  <c r="N11" i="85"/>
  <c r="N22" i="85" s="1"/>
  <c r="M11" i="85"/>
  <c r="M16" i="85" s="1"/>
  <c r="L11" i="85"/>
  <c r="L38" i="85" s="1"/>
  <c r="G10" i="85"/>
  <c r="H11" i="85"/>
  <c r="I11" i="85"/>
  <c r="J11" i="85"/>
  <c r="K11" i="85"/>
  <c r="BH8" i="85"/>
  <c r="F266" i="84"/>
  <c r="F261" i="84"/>
  <c r="F256" i="84"/>
  <c r="F251" i="84"/>
  <c r="F246" i="84"/>
  <c r="F241" i="84"/>
  <c r="F236" i="84"/>
  <c r="F231" i="84"/>
  <c r="F226" i="84"/>
  <c r="F221" i="84"/>
  <c r="F216" i="84"/>
  <c r="F211" i="84"/>
  <c r="F206" i="84"/>
  <c r="F201" i="84"/>
  <c r="F196" i="84"/>
  <c r="F186" i="84"/>
  <c r="F181" i="84"/>
  <c r="F176" i="84"/>
  <c r="F171" i="84"/>
  <c r="F166" i="84"/>
  <c r="F161" i="84"/>
  <c r="F156" i="84"/>
  <c r="F151" i="84"/>
  <c r="F146" i="84"/>
  <c r="F136" i="84"/>
  <c r="F131" i="84"/>
  <c r="F126" i="84"/>
  <c r="F121" i="84"/>
  <c r="F116" i="84"/>
  <c r="F111" i="84"/>
  <c r="F106" i="84"/>
  <c r="F96" i="84"/>
  <c r="F91" i="84"/>
  <c r="F86" i="84"/>
  <c r="O191" i="84"/>
  <c r="N191" i="84"/>
  <c r="M191" i="84"/>
  <c r="L191" i="84"/>
  <c r="K191" i="84"/>
  <c r="J191" i="84"/>
  <c r="P180" i="84"/>
  <c r="P181" i="84"/>
  <c r="Q180" i="84"/>
  <c r="O181" i="84"/>
  <c r="N181" i="84"/>
  <c r="O141" i="84"/>
  <c r="P141" i="84"/>
  <c r="N141" i="84"/>
  <c r="I140" i="84"/>
  <c r="J141" i="84"/>
  <c r="K141" i="84"/>
  <c r="L141" i="84"/>
  <c r="M141" i="84"/>
  <c r="N70" i="84"/>
  <c r="O70" i="84"/>
  <c r="M70" i="84"/>
  <c r="M69" i="84"/>
  <c r="N69" i="84"/>
  <c r="F49" i="84"/>
  <c r="F33" i="84"/>
  <c r="N33" i="84"/>
  <c r="CA9" i="84"/>
  <c r="Z285" i="89" l="1"/>
  <c r="Z289" i="89"/>
  <c r="Z306" i="89"/>
  <c r="V312" i="89"/>
  <c r="L318" i="89"/>
  <c r="F318" i="89"/>
  <c r="L322" i="89"/>
  <c r="G322" i="89" s="1"/>
  <c r="F322" i="89"/>
  <c r="L326" i="89"/>
  <c r="G326" i="89" s="1"/>
  <c r="F326" i="89"/>
  <c r="Z302" i="89"/>
  <c r="Z298" i="89" s="1"/>
  <c r="Y298" i="89"/>
  <c r="Y311" i="89"/>
  <c r="F141" i="84"/>
  <c r="F191" i="84"/>
  <c r="D11" i="85"/>
  <c r="L16" i="85"/>
  <c r="P312" i="89"/>
  <c r="N313" i="89"/>
  <c r="N312" i="89"/>
  <c r="N314" i="89"/>
  <c r="G325" i="89"/>
  <c r="I312" i="89"/>
  <c r="J312" i="89"/>
  <c r="Z315" i="89"/>
  <c r="Z323" i="89"/>
  <c r="F279" i="89"/>
  <c r="G321" i="89"/>
  <c r="K314" i="89"/>
  <c r="I313" i="89"/>
  <c r="W312" i="89"/>
  <c r="I314" i="89"/>
  <c r="Z319" i="89"/>
  <c r="AA319" i="89"/>
  <c r="AB319" i="89"/>
  <c r="AC319" i="89"/>
  <c r="AD319" i="89"/>
  <c r="G318" i="89"/>
  <c r="U318" i="89" s="1"/>
  <c r="G307" i="89"/>
  <c r="U307" i="89" s="1"/>
  <c r="Z281" i="89"/>
  <c r="Y277" i="89"/>
  <c r="G308" i="89"/>
  <c r="U308" i="89" s="1"/>
  <c r="G304" i="89"/>
  <c r="G303" i="89"/>
  <c r="G288" i="89"/>
  <c r="U288" i="89" s="1"/>
  <c r="Z293" i="89"/>
  <c r="G309" i="89"/>
  <c r="U309" i="89" s="1"/>
  <c r="G295" i="89"/>
  <c r="U295" i="89" s="1"/>
  <c r="G296" i="89"/>
  <c r="U296" i="89" s="1"/>
  <c r="G287" i="89"/>
  <c r="U287" i="89" s="1"/>
  <c r="F284" i="89"/>
  <c r="G292" i="89"/>
  <c r="U292" i="89" s="1"/>
  <c r="H292" i="89" s="1"/>
  <c r="K68" i="101" s="1"/>
  <c r="Y255" i="89"/>
  <c r="Y251" i="89"/>
  <c r="Y247" i="89"/>
  <c r="Y238" i="89"/>
  <c r="Y234" i="89"/>
  <c r="Y230" i="89"/>
  <c r="Y226" i="89"/>
  <c r="Y217" i="89"/>
  <c r="Y213" i="89"/>
  <c r="Y209" i="89"/>
  <c r="Y205" i="89"/>
  <c r="Y196" i="89"/>
  <c r="Y192" i="89"/>
  <c r="Y188" i="89"/>
  <c r="Y184" i="89"/>
  <c r="Y175" i="89"/>
  <c r="Y171" i="89"/>
  <c r="Y167" i="89"/>
  <c r="Y163" i="89"/>
  <c r="Y154" i="89"/>
  <c r="Y150" i="89"/>
  <c r="Y146" i="89"/>
  <c r="Y142" i="89"/>
  <c r="Y133" i="89"/>
  <c r="Y129" i="89"/>
  <c r="Y120" i="89"/>
  <c r="Y115" i="89"/>
  <c r="Y111" i="89"/>
  <c r="Y102" i="89"/>
  <c r="Y98" i="89"/>
  <c r="Y89" i="89"/>
  <c r="Y85" i="89"/>
  <c r="Y81" i="89"/>
  <c r="Y77" i="89"/>
  <c r="Y68" i="89"/>
  <c r="Y64" i="89"/>
  <c r="Y60" i="89"/>
  <c r="Y56" i="89"/>
  <c r="Y47" i="89"/>
  <c r="Y43" i="89"/>
  <c r="Y39" i="89"/>
  <c r="Y35" i="89"/>
  <c r="Y26" i="89"/>
  <c r="Y22" i="89"/>
  <c r="Y18" i="89"/>
  <c r="Y14" i="89"/>
  <c r="Y242" i="88"/>
  <c r="AF242" i="88"/>
  <c r="AG242" i="88" s="1"/>
  <c r="AM242" i="88"/>
  <c r="AT242" i="88"/>
  <c r="BH242" i="88"/>
  <c r="Y238" i="88"/>
  <c r="Z238" i="88" s="1"/>
  <c r="AF238" i="88"/>
  <c r="AG238" i="88" s="1"/>
  <c r="AM238" i="88"/>
  <c r="AT238" i="88"/>
  <c r="AU238" i="88" s="1"/>
  <c r="BH238" i="88"/>
  <c r="Y234" i="88"/>
  <c r="Z234" i="88" s="1"/>
  <c r="AF234" i="88"/>
  <c r="AG234" i="88" s="1"/>
  <c r="AM234" i="88"/>
  <c r="AT234" i="88"/>
  <c r="AU234" i="88" s="1"/>
  <c r="BH234" i="88"/>
  <c r="Y225" i="88"/>
  <c r="AF225" i="88"/>
  <c r="AG225" i="88" s="1"/>
  <c r="AM225" i="88"/>
  <c r="AT225" i="88"/>
  <c r="BH225" i="88"/>
  <c r="Y220" i="88"/>
  <c r="Z220" i="88" s="1"/>
  <c r="AF220" i="88"/>
  <c r="AG220" i="88" s="1"/>
  <c r="AM220" i="88"/>
  <c r="AT220" i="88"/>
  <c r="AU220" i="88" s="1"/>
  <c r="BH220" i="88"/>
  <c r="Y216" i="88"/>
  <c r="Z216" i="88" s="1"/>
  <c r="AF216" i="88"/>
  <c r="AG216" i="88" s="1"/>
  <c r="AM216" i="88"/>
  <c r="AT216" i="88"/>
  <c r="AU216" i="88" s="1"/>
  <c r="BH216" i="88"/>
  <c r="Y212" i="88"/>
  <c r="Z212" i="88" s="1"/>
  <c r="AF212" i="88"/>
  <c r="AM212" i="88"/>
  <c r="AT212" i="88"/>
  <c r="BH212" i="88"/>
  <c r="Y208" i="88"/>
  <c r="AF208" i="88"/>
  <c r="AG208" i="88" s="1"/>
  <c r="AM208" i="88"/>
  <c r="AT208" i="88"/>
  <c r="AU208" i="88" s="1"/>
  <c r="BH208" i="88"/>
  <c r="Y199" i="88"/>
  <c r="Z199" i="88" s="1"/>
  <c r="AF199" i="88"/>
  <c r="AG199" i="88" s="1"/>
  <c r="AM199" i="88"/>
  <c r="AT199" i="88"/>
  <c r="AU199" i="88" s="1"/>
  <c r="BH199" i="88"/>
  <c r="Y195" i="88"/>
  <c r="Z195" i="88" s="1"/>
  <c r="AF195" i="88"/>
  <c r="AG195" i="88" s="1"/>
  <c r="AM195" i="88"/>
  <c r="AT195" i="88"/>
  <c r="AU195" i="88" s="1"/>
  <c r="BH195" i="88"/>
  <c r="Y191" i="88"/>
  <c r="Z191" i="88" s="1"/>
  <c r="AF191" i="88"/>
  <c r="AG191" i="88" s="1"/>
  <c r="AM191" i="88"/>
  <c r="AT191" i="88"/>
  <c r="AU191" i="88" s="1"/>
  <c r="BH191" i="88"/>
  <c r="Y182" i="88"/>
  <c r="Z182" i="88" s="1"/>
  <c r="AF182" i="88"/>
  <c r="AG182" i="88" s="1"/>
  <c r="AM182" i="88"/>
  <c r="AT182" i="88"/>
  <c r="AU182" i="88" s="1"/>
  <c r="BH182" i="88"/>
  <c r="Y178" i="88"/>
  <c r="Z178" i="88" s="1"/>
  <c r="AF178" i="88"/>
  <c r="AG178" i="88" s="1"/>
  <c r="AM178" i="88"/>
  <c r="AT178" i="88"/>
  <c r="AU178" i="88" s="1"/>
  <c r="BH178" i="88"/>
  <c r="Y174" i="88"/>
  <c r="Z174" i="88" s="1"/>
  <c r="AF174" i="88"/>
  <c r="AG174" i="88" s="1"/>
  <c r="AM174" i="88"/>
  <c r="AT174" i="88"/>
  <c r="AU174" i="88" s="1"/>
  <c r="BH174" i="88"/>
  <c r="Y165" i="88"/>
  <c r="Z165" i="88" s="1"/>
  <c r="AF165" i="88"/>
  <c r="AG165" i="88" s="1"/>
  <c r="AM165" i="88"/>
  <c r="AT165" i="88"/>
  <c r="BH165" i="88"/>
  <c r="Y161" i="88"/>
  <c r="Z161" i="88" s="1"/>
  <c r="AF161" i="88"/>
  <c r="AG161" i="88" s="1"/>
  <c r="AM161" i="88"/>
  <c r="AT161" i="88"/>
  <c r="AU161" i="88" s="1"/>
  <c r="BH161" i="88"/>
  <c r="Y157" i="88"/>
  <c r="Z157" i="88" s="1"/>
  <c r="AF157" i="88"/>
  <c r="AG157" i="88" s="1"/>
  <c r="AM157" i="88"/>
  <c r="AT157" i="88"/>
  <c r="BH157" i="88"/>
  <c r="Y148" i="88"/>
  <c r="Z148" i="88" s="1"/>
  <c r="AF148" i="88"/>
  <c r="AG148" i="88" s="1"/>
  <c r="AM148" i="88"/>
  <c r="AT148" i="88"/>
  <c r="AU148" i="88" s="1"/>
  <c r="BH148" i="88"/>
  <c r="Y144" i="88"/>
  <c r="Z144" i="88" s="1"/>
  <c r="AF144" i="88"/>
  <c r="AM144" i="88"/>
  <c r="AT144" i="88"/>
  <c r="AU144" i="88" s="1"/>
  <c r="BH144" i="88"/>
  <c r="Y140" i="88"/>
  <c r="Z140" i="88" s="1"/>
  <c r="AF140" i="88"/>
  <c r="AG140" i="88" s="1"/>
  <c r="AM140" i="88"/>
  <c r="AT140" i="88"/>
  <c r="AU140" i="88" s="1"/>
  <c r="BH140" i="88"/>
  <c r="Y131" i="88"/>
  <c r="Z131" i="88" s="1"/>
  <c r="AF131" i="88"/>
  <c r="AG131" i="88" s="1"/>
  <c r="AM131" i="88"/>
  <c r="AT131" i="88"/>
  <c r="AU131" i="88" s="1"/>
  <c r="BH131" i="88"/>
  <c r="Y127" i="88"/>
  <c r="Z127" i="88" s="1"/>
  <c r="AF127" i="88"/>
  <c r="AG127" i="88" s="1"/>
  <c r="AM127" i="88"/>
  <c r="AT127" i="88"/>
  <c r="AU127" i="88" s="1"/>
  <c r="BH127" i="88"/>
  <c r="Y118" i="88"/>
  <c r="Z118" i="88" s="1"/>
  <c r="AF118" i="88"/>
  <c r="AG118" i="88" s="1"/>
  <c r="AM118" i="88"/>
  <c r="AT118" i="88"/>
  <c r="BH118" i="88"/>
  <c r="Y114" i="88"/>
  <c r="Z114" i="88" s="1"/>
  <c r="AF114" i="88"/>
  <c r="AG114" i="88" s="1"/>
  <c r="AM114" i="88"/>
  <c r="AN114" i="88" s="1"/>
  <c r="AT114" i="88"/>
  <c r="AU114" i="88" s="1"/>
  <c r="BH114" i="88"/>
  <c r="Y105" i="88"/>
  <c r="Z105" i="88" s="1"/>
  <c r="AF105" i="88"/>
  <c r="AG105" i="88" s="1"/>
  <c r="AM105" i="88"/>
  <c r="AT105" i="88"/>
  <c r="AU105" i="88" s="1"/>
  <c r="BH105" i="88"/>
  <c r="Y101" i="88"/>
  <c r="Z101" i="88" s="1"/>
  <c r="AF101" i="88"/>
  <c r="AG101" i="88" s="1"/>
  <c r="AM101" i="88"/>
  <c r="AT101" i="88"/>
  <c r="AU101" i="88" s="1"/>
  <c r="BH101" i="88"/>
  <c r="Y97" i="88"/>
  <c r="AF97" i="88"/>
  <c r="AG97" i="88" s="1"/>
  <c r="AM97" i="88"/>
  <c r="AT97" i="88"/>
  <c r="AU97" i="88" s="1"/>
  <c r="BH97" i="88"/>
  <c r="Y88" i="88"/>
  <c r="Z88" i="88" s="1"/>
  <c r="AF88" i="88"/>
  <c r="AG88" i="88" s="1"/>
  <c r="AM88" i="88"/>
  <c r="AT88" i="88"/>
  <c r="AU88" i="88" s="1"/>
  <c r="BH88" i="88"/>
  <c r="Y84" i="88"/>
  <c r="Z84" i="88" s="1"/>
  <c r="AF84" i="88"/>
  <c r="AM84" i="88"/>
  <c r="AT84" i="88"/>
  <c r="AU84" i="88" s="1"/>
  <c r="BH84" i="88"/>
  <c r="BH80" i="88"/>
  <c r="AT80" i="88"/>
  <c r="AM80" i="88"/>
  <c r="AF80" i="88"/>
  <c r="Y80" i="88"/>
  <c r="BH76" i="88"/>
  <c r="AT76" i="88"/>
  <c r="AM76" i="88"/>
  <c r="AF76" i="88"/>
  <c r="Y76" i="88"/>
  <c r="BH72" i="88"/>
  <c r="AT72" i="88"/>
  <c r="AM72" i="88"/>
  <c r="AF72" i="88"/>
  <c r="Y72" i="88"/>
  <c r="Y63" i="88"/>
  <c r="AF63" i="88"/>
  <c r="AG63" i="88" s="1"/>
  <c r="AM63" i="88"/>
  <c r="AT63" i="88"/>
  <c r="AU63" i="88" s="1"/>
  <c r="BH63" i="88"/>
  <c r="Y59" i="88"/>
  <c r="Z59" i="88" s="1"/>
  <c r="AF59" i="88"/>
  <c r="AG59" i="88" s="1"/>
  <c r="AM59" i="88"/>
  <c r="AT59" i="88"/>
  <c r="AU59" i="88" s="1"/>
  <c r="BH59" i="88"/>
  <c r="Y55" i="88"/>
  <c r="Z55" i="88" s="1"/>
  <c r="AF55" i="88"/>
  <c r="AG55" i="88" s="1"/>
  <c r="AM55" i="88"/>
  <c r="AT55" i="88"/>
  <c r="BH55" i="88"/>
  <c r="Y51" i="88"/>
  <c r="Z51" i="88" s="1"/>
  <c r="AF51" i="88"/>
  <c r="AG51" i="88" s="1"/>
  <c r="AM51" i="88"/>
  <c r="AT51" i="88"/>
  <c r="AU51" i="88" s="1"/>
  <c r="BH51" i="88"/>
  <c r="Y47" i="88"/>
  <c r="Z47" i="88" s="1"/>
  <c r="AF47" i="88"/>
  <c r="AG47" i="88" s="1"/>
  <c r="AM47" i="88"/>
  <c r="AT47" i="88"/>
  <c r="AU47" i="88" s="1"/>
  <c r="BH47" i="88"/>
  <c r="Y43" i="88"/>
  <c r="Z43" i="88" s="1"/>
  <c r="AF43" i="88"/>
  <c r="AG43" i="88" s="1"/>
  <c r="AM43" i="88"/>
  <c r="AT43" i="88"/>
  <c r="BH43" i="88"/>
  <c r="BH34" i="88"/>
  <c r="AT34" i="88"/>
  <c r="AM34" i="88"/>
  <c r="AN34" i="88" s="1"/>
  <c r="AF34" i="88"/>
  <c r="Y34" i="88"/>
  <c r="BH30" i="88"/>
  <c r="AT30" i="88"/>
  <c r="AM30" i="88"/>
  <c r="AF30" i="88"/>
  <c r="Y30" i="88"/>
  <c r="BH26" i="88"/>
  <c r="AT26" i="88"/>
  <c r="AM26" i="88"/>
  <c r="AF26" i="88"/>
  <c r="Y26" i="88"/>
  <c r="BH22" i="88"/>
  <c r="AT22" i="88"/>
  <c r="AM22" i="88"/>
  <c r="AF22" i="88"/>
  <c r="Y22" i="88"/>
  <c r="BH18" i="88"/>
  <c r="AT18" i="88"/>
  <c r="AU18" i="88" s="1"/>
  <c r="AM18" i="88"/>
  <c r="AF18" i="88"/>
  <c r="Y18" i="88"/>
  <c r="BH14" i="88"/>
  <c r="AT14" i="88"/>
  <c r="AM14" i="88"/>
  <c r="AN14" i="88" s="1"/>
  <c r="AF14" i="88"/>
  <c r="Y14" i="88"/>
  <c r="L314" i="89" l="1"/>
  <c r="Z225" i="88"/>
  <c r="Z150" i="89"/>
  <c r="Z163" i="89"/>
  <c r="Z247" i="89"/>
  <c r="Z167" i="89"/>
  <c r="Z171" i="89"/>
  <c r="Z255" i="89"/>
  <c r="Z175" i="89"/>
  <c r="Z115" i="89"/>
  <c r="Z120" i="89"/>
  <c r="Z129" i="89"/>
  <c r="Z133" i="89"/>
  <c r="G299" i="89"/>
  <c r="U303" i="89"/>
  <c r="Z142" i="89"/>
  <c r="G300" i="89"/>
  <c r="U304" i="89"/>
  <c r="U326" i="89"/>
  <c r="U322" i="89"/>
  <c r="H322" i="89" s="1"/>
  <c r="K75" i="101" s="1"/>
  <c r="U325" i="89"/>
  <c r="U321" i="89"/>
  <c r="Z311" i="89"/>
  <c r="Z277" i="89"/>
  <c r="F314" i="89"/>
  <c r="G305" i="89"/>
  <c r="H288" i="89"/>
  <c r="K67" i="101" s="1"/>
  <c r="U279" i="89"/>
  <c r="AD81" i="96" s="1"/>
  <c r="G314" i="89"/>
  <c r="Z251" i="89"/>
  <c r="Z111" i="89"/>
  <c r="G279" i="89"/>
  <c r="BL107" i="95"/>
  <c r="BD107" i="95"/>
  <c r="AX107" i="95"/>
  <c r="G284" i="89"/>
  <c r="AP107" i="95"/>
  <c r="BK107" i="95"/>
  <c r="AW107" i="95"/>
  <c r="Z154" i="89"/>
  <c r="Z146" i="89"/>
  <c r="Z102" i="89"/>
  <c r="Z98" i="89"/>
  <c r="Z89" i="89"/>
  <c r="Z85" i="89"/>
  <c r="Z81" i="89"/>
  <c r="Z77" i="89"/>
  <c r="Z68" i="89"/>
  <c r="Z64" i="89"/>
  <c r="Z60" i="89"/>
  <c r="Z56" i="89"/>
  <c r="Z47" i="89"/>
  <c r="Z43" i="89"/>
  <c r="Z39" i="89"/>
  <c r="Z35" i="89"/>
  <c r="Z26" i="89"/>
  <c r="Z22" i="89"/>
  <c r="Z18" i="89"/>
  <c r="Z14" i="89"/>
  <c r="BI242" i="88"/>
  <c r="Z242" i="88"/>
  <c r="BI238" i="88"/>
  <c r="AU242" i="88"/>
  <c r="AN242" i="88"/>
  <c r="AN225" i="88"/>
  <c r="AN238" i="88"/>
  <c r="AN220" i="88"/>
  <c r="AN234" i="88"/>
  <c r="BI234" i="88"/>
  <c r="AU225" i="88"/>
  <c r="BI225" i="88"/>
  <c r="BI220" i="88"/>
  <c r="BI216" i="88"/>
  <c r="BI199" i="88"/>
  <c r="AN212" i="88"/>
  <c r="BI212" i="88"/>
  <c r="AG212" i="88"/>
  <c r="AN216" i="88"/>
  <c r="AU212" i="88"/>
  <c r="Z208" i="88"/>
  <c r="BI208" i="88"/>
  <c r="AN208" i="88"/>
  <c r="BI195" i="88"/>
  <c r="AN182" i="88"/>
  <c r="AN199" i="88"/>
  <c r="AN195" i="88"/>
  <c r="BI182" i="88"/>
  <c r="BI191" i="88"/>
  <c r="AN191" i="88"/>
  <c r="AN178" i="88"/>
  <c r="BI178" i="88"/>
  <c r="BI174" i="88"/>
  <c r="AN161" i="88"/>
  <c r="AN174" i="88"/>
  <c r="BI165" i="88"/>
  <c r="AU165" i="88"/>
  <c r="AN165" i="88"/>
  <c r="BI161" i="88"/>
  <c r="AN140" i="88"/>
  <c r="BI157" i="88"/>
  <c r="AU157" i="88"/>
  <c r="AN144" i="88"/>
  <c r="AN148" i="88"/>
  <c r="AN157" i="88"/>
  <c r="AG144" i="88"/>
  <c r="BI148" i="88"/>
  <c r="BI131" i="88"/>
  <c r="BI144" i="88"/>
  <c r="BI140" i="88"/>
  <c r="AN127" i="88"/>
  <c r="AN131" i="88"/>
  <c r="BI118" i="88"/>
  <c r="BI127" i="88"/>
  <c r="AU118" i="88"/>
  <c r="AN118" i="88"/>
  <c r="BI114" i="88"/>
  <c r="Z97" i="88"/>
  <c r="AN105" i="88"/>
  <c r="BI105" i="88"/>
  <c r="BI88" i="88"/>
  <c r="BI101" i="88"/>
  <c r="BI97" i="88"/>
  <c r="AN97" i="88"/>
  <c r="AN101" i="88"/>
  <c r="AN88" i="88"/>
  <c r="AG84" i="88"/>
  <c r="BI84" i="88"/>
  <c r="AN84" i="88"/>
  <c r="BI80" i="88"/>
  <c r="BI63" i="88"/>
  <c r="AN80" i="88"/>
  <c r="Z80" i="88"/>
  <c r="AU80" i="88"/>
  <c r="AG72" i="88"/>
  <c r="AU76" i="88"/>
  <c r="AG80" i="88"/>
  <c r="BI72" i="88"/>
  <c r="AN76" i="88"/>
  <c r="BI76" i="88"/>
  <c r="Z76" i="88"/>
  <c r="BI55" i="88"/>
  <c r="AG76" i="88"/>
  <c r="AN72" i="88"/>
  <c r="Z63" i="88"/>
  <c r="Z72" i="88"/>
  <c r="AU72" i="88"/>
  <c r="AN63" i="88"/>
  <c r="AN59" i="88"/>
  <c r="BI59" i="88"/>
  <c r="AU55" i="88"/>
  <c r="BI51" i="88"/>
  <c r="AN55" i="88"/>
  <c r="BI43" i="88"/>
  <c r="AN47" i="88"/>
  <c r="AN51" i="88"/>
  <c r="BI47" i="88"/>
  <c r="AU43" i="88"/>
  <c r="AN43" i="88"/>
  <c r="AU30" i="88"/>
  <c r="BI34" i="88"/>
  <c r="Z34" i="88"/>
  <c r="AU34" i="88"/>
  <c r="AG34" i="88"/>
  <c r="AN30" i="88"/>
  <c r="BI30" i="88"/>
  <c r="Z30" i="88"/>
  <c r="AG30" i="88"/>
  <c r="AN26" i="88"/>
  <c r="BI26" i="88"/>
  <c r="Z26" i="88"/>
  <c r="AU26" i="88"/>
  <c r="AG26" i="88"/>
  <c r="AN22" i="88"/>
  <c r="BI22" i="88"/>
  <c r="Z22" i="88"/>
  <c r="AU22" i="88"/>
  <c r="AG22" i="88"/>
  <c r="AN18" i="88"/>
  <c r="BI18" i="88"/>
  <c r="Z18" i="88"/>
  <c r="AG18" i="88"/>
  <c r="BI14" i="88"/>
  <c r="Z14" i="88"/>
  <c r="AU14" i="88"/>
  <c r="AG14" i="88"/>
  <c r="AX7" i="90"/>
  <c r="AX6" i="90"/>
  <c r="CI7" i="89"/>
  <c r="CI6" i="89"/>
  <c r="CE17" i="88"/>
  <c r="CE16" i="88"/>
  <c r="BE11" i="86"/>
  <c r="BE10" i="86"/>
  <c r="BH11" i="85"/>
  <c r="BH9" i="85"/>
  <c r="CA11" i="84"/>
  <c r="CA10" i="84"/>
  <c r="CJ9" i="87"/>
  <c r="CJ8" i="87"/>
  <c r="U300" i="89" l="1"/>
  <c r="H304" i="89"/>
  <c r="U299" i="89"/>
  <c r="H303" i="89"/>
  <c r="G301" i="89"/>
  <c r="U305" i="89"/>
  <c r="H321" i="89"/>
  <c r="I75" i="101" s="1"/>
  <c r="M75" i="101" s="1"/>
  <c r="H287" i="89"/>
  <c r="I67" i="101" s="1"/>
  <c r="M67" i="101" s="1"/>
  <c r="U280" i="89"/>
  <c r="AD82" i="96" s="1"/>
  <c r="U314" i="89"/>
  <c r="F280" i="89"/>
  <c r="AQ107" i="95"/>
  <c r="G280" i="89"/>
  <c r="H283" i="89"/>
  <c r="I66" i="101" s="1"/>
  <c r="M66" i="101" s="1"/>
  <c r="BE107" i="95"/>
  <c r="H305" i="89" l="1"/>
  <c r="U301" i="89"/>
  <c r="H284" i="89"/>
  <c r="K66" i="101" s="1"/>
  <c r="T88" i="96"/>
  <c r="AA239" i="95" l="1"/>
  <c r="AB239" i="95" s="1"/>
  <c r="AA238" i="95"/>
  <c r="AB238" i="95" s="1"/>
  <c r="AC238" i="95" s="1"/>
  <c r="AD238" i="95" s="1"/>
  <c r="AA235" i="95"/>
  <c r="AB235" i="95" s="1"/>
  <c r="AC235" i="95" s="1"/>
  <c r="BV302" i="89" s="1"/>
  <c r="AA236" i="95"/>
  <c r="AB236" i="95" s="1"/>
  <c r="AC236" i="95" s="1"/>
  <c r="BV306" i="89" s="1"/>
  <c r="AA237" i="95"/>
  <c r="AB237" i="95" s="1"/>
  <c r="CU236" i="95"/>
  <c r="CU235" i="95"/>
  <c r="CV236" i="95"/>
  <c r="CP236" i="95"/>
  <c r="CV235" i="95"/>
  <c r="CP235" i="95"/>
  <c r="BV298" i="89" l="1"/>
  <c r="AD236" i="95"/>
  <c r="BW306" i="89" s="1"/>
  <c r="AD235" i="95"/>
  <c r="BW302" i="89" s="1"/>
  <c r="BW298" i="89" s="1"/>
  <c r="CU242" i="95"/>
  <c r="CV242" i="95"/>
  <c r="CP242" i="95"/>
  <c r="CT242" i="95" s="1"/>
  <c r="H53" i="95" l="1"/>
  <c r="H52" i="95"/>
  <c r="H51" i="95"/>
  <c r="H50" i="95"/>
  <c r="H48" i="95"/>
  <c r="H29" i="95"/>
  <c r="H28" i="95"/>
  <c r="H27" i="95"/>
  <c r="H26" i="95"/>
  <c r="I25" i="95"/>
  <c r="J25" i="95"/>
  <c r="L25" i="95"/>
  <c r="M25" i="95"/>
  <c r="N25" i="95"/>
  <c r="O25" i="95"/>
  <c r="H23" i="95"/>
  <c r="H22" i="95"/>
  <c r="H21" i="95"/>
  <c r="H19" i="95"/>
  <c r="H18" i="95"/>
  <c r="H17" i="95"/>
  <c r="H15" i="95"/>
  <c r="K25" i="95" s="1"/>
  <c r="H13" i="95"/>
  <c r="H14" i="95"/>
  <c r="H11" i="95"/>
  <c r="H10" i="95"/>
  <c r="H9" i="95"/>
  <c r="H8" i="95"/>
  <c r="H7" i="95"/>
  <c r="H6" i="95"/>
  <c r="H25" i="95"/>
  <c r="Q5" i="95"/>
  <c r="S5" i="95"/>
  <c r="Z5" i="95"/>
  <c r="AA233" i="95" l="1"/>
  <c r="AB233" i="95" s="1"/>
  <c r="AA232" i="95"/>
  <c r="AB232" i="95" s="1"/>
  <c r="AC232" i="95" s="1"/>
  <c r="AD232" i="95" s="1"/>
  <c r="AA231" i="95"/>
  <c r="AB231" i="95" s="1"/>
  <c r="AC231" i="95" s="1"/>
  <c r="AD231" i="95" s="1"/>
  <c r="AA230" i="95"/>
  <c r="AB230" i="95" s="1"/>
  <c r="AC230" i="95" s="1"/>
  <c r="AD230" i="95" s="1"/>
  <c r="AA229" i="95"/>
  <c r="AB229" i="95" s="1"/>
  <c r="AC229" i="95" s="1"/>
  <c r="AD229" i="95" s="1"/>
  <c r="AA227" i="95"/>
  <c r="AB227" i="95" s="1"/>
  <c r="AA226" i="95"/>
  <c r="AB226" i="95" s="1"/>
  <c r="AC226" i="95" s="1"/>
  <c r="AD226" i="95" s="1"/>
  <c r="AA225" i="95"/>
  <c r="AB225" i="95" s="1"/>
  <c r="AC225" i="95" s="1"/>
  <c r="AD225" i="95" s="1"/>
  <c r="AA157" i="95"/>
  <c r="AH293" i="89" l="1"/>
  <c r="AV293" i="89"/>
  <c r="BJ293" i="89"/>
  <c r="AO293" i="89"/>
  <c r="AB157" i="95"/>
  <c r="AA293" i="89"/>
  <c r="AA199" i="95"/>
  <c r="AO236" i="87" l="1"/>
  <c r="AH236" i="87"/>
  <c r="AA236" i="87"/>
  <c r="AV236" i="87"/>
  <c r="BJ236" i="87"/>
  <c r="AI293" i="89"/>
  <c r="AP293" i="89"/>
  <c r="BK293" i="89"/>
  <c r="AW293" i="89"/>
  <c r="AB199" i="95"/>
  <c r="AB293" i="89"/>
  <c r="CP199" i="95"/>
  <c r="CT199" i="95" s="1"/>
  <c r="CV199" i="95"/>
  <c r="CU199" i="95"/>
  <c r="AI236" i="87" l="1"/>
  <c r="AW236" i="87"/>
  <c r="AB236" i="87"/>
  <c r="AP236" i="87"/>
  <c r="BK236" i="87"/>
  <c r="AC199" i="95"/>
  <c r="AC236" i="87" l="1"/>
  <c r="AJ236" i="87"/>
  <c r="AQ236" i="87"/>
  <c r="AX236" i="87"/>
  <c r="BL236" i="87"/>
  <c r="BV236" i="87"/>
  <c r="AD199" i="95"/>
  <c r="AD236" i="87" l="1"/>
  <c r="AK236" i="87"/>
  <c r="AR236" i="87"/>
  <c r="AY236" i="87"/>
  <c r="BM236" i="87"/>
  <c r="BW236" i="87"/>
  <c r="H576" i="106"/>
  <c r="H577" i="106"/>
  <c r="H578" i="106"/>
  <c r="H579" i="106"/>
  <c r="H580" i="106"/>
  <c r="H581" i="106"/>
  <c r="H583" i="106"/>
  <c r="H585" i="106"/>
  <c r="H586" i="106"/>
  <c r="H588" i="106"/>
  <c r="H590" i="106"/>
  <c r="H592" i="106"/>
  <c r="H593" i="106"/>
  <c r="H595" i="106"/>
  <c r="H597" i="106"/>
  <c r="H599" i="106"/>
  <c r="H601" i="106"/>
  <c r="H603" i="106"/>
  <c r="H605" i="106"/>
  <c r="H607" i="106"/>
  <c r="H609" i="106"/>
  <c r="H611" i="106"/>
  <c r="H613" i="106"/>
  <c r="H615" i="106"/>
  <c r="H617" i="106"/>
  <c r="H619" i="106"/>
  <c r="H621" i="106"/>
  <c r="E630" i="106"/>
  <c r="E631" i="106"/>
  <c r="E632" i="106"/>
  <c r="E633" i="106"/>
  <c r="E634" i="106"/>
  <c r="E635" i="106"/>
  <c r="E637" i="106"/>
  <c r="E639" i="106"/>
  <c r="E640" i="106"/>
  <c r="E642" i="106"/>
  <c r="E644" i="106"/>
  <c r="E646" i="106"/>
  <c r="E647" i="106"/>
  <c r="E649" i="106"/>
  <c r="E651" i="106"/>
  <c r="E653" i="106"/>
  <c r="E655" i="106"/>
  <c r="E657" i="106"/>
  <c r="E659" i="106"/>
  <c r="E661" i="106"/>
  <c r="E663" i="106"/>
  <c r="E665" i="106"/>
  <c r="E667" i="106"/>
  <c r="E669" i="106"/>
  <c r="E671" i="106"/>
  <c r="E673" i="106"/>
  <c r="E675" i="106"/>
  <c r="U680" i="106"/>
  <c r="E681" i="106"/>
  <c r="H681" i="106"/>
  <c r="E682" i="106"/>
  <c r="U683" i="106"/>
  <c r="U690" i="106"/>
  <c r="U691" i="106"/>
  <c r="U692" i="106"/>
  <c r="E706" i="106"/>
  <c r="E709" i="106"/>
  <c r="U722" i="106"/>
  <c r="T724" i="106"/>
  <c r="U724" i="106"/>
  <c r="U725" i="106"/>
  <c r="U726" i="106"/>
  <c r="U727" i="106"/>
  <c r="U733" i="106"/>
  <c r="U737" i="106"/>
  <c r="U747" i="106"/>
  <c r="U751" i="106"/>
  <c r="U752" i="106"/>
  <c r="U753" i="106"/>
  <c r="U754" i="106"/>
  <c r="U755" i="106"/>
  <c r="U756" i="106"/>
  <c r="U758" i="106"/>
  <c r="U759" i="106"/>
  <c r="U761" i="106"/>
  <c r="U762" i="106"/>
  <c r="U772" i="106"/>
  <c r="U774" i="106"/>
  <c r="U775" i="106"/>
  <c r="U776" i="106"/>
  <c r="U778" i="106"/>
  <c r="U780" i="106"/>
  <c r="Z790" i="106"/>
  <c r="AA790" i="106"/>
  <c r="Z791" i="106"/>
  <c r="AA791" i="106"/>
  <c r="Z792" i="106"/>
  <c r="D688" i="106" s="1"/>
  <c r="AA792" i="106"/>
  <c r="Z793" i="106"/>
  <c r="AA793" i="106"/>
  <c r="Z794" i="106"/>
  <c r="AA794" i="106"/>
  <c r="Z795" i="106"/>
  <c r="AA795" i="106"/>
  <c r="Z796" i="106"/>
  <c r="AA796" i="106"/>
  <c r="Z797" i="106"/>
  <c r="AA797" i="106"/>
  <c r="Z798" i="106"/>
  <c r="AA798" i="106"/>
  <c r="Z799" i="106"/>
  <c r="AA799" i="106"/>
  <c r="Z800" i="106"/>
  <c r="AA800" i="106"/>
  <c r="Z801" i="106"/>
  <c r="AA801" i="106"/>
  <c r="Z802" i="106"/>
  <c r="AA802" i="106"/>
  <c r="Z803" i="106"/>
  <c r="AA803" i="106"/>
  <c r="Z804" i="106"/>
  <c r="AA804" i="106"/>
  <c r="AA808" i="106"/>
  <c r="AB808" i="106"/>
  <c r="AA809" i="106"/>
  <c r="AB809" i="106"/>
  <c r="C685" i="106" s="1"/>
  <c r="AA810" i="106"/>
  <c r="AB810" i="106"/>
  <c r="C712" i="106" s="1"/>
  <c r="AA811" i="106"/>
  <c r="AB811" i="106"/>
  <c r="C760" i="106" s="1"/>
  <c r="AA812" i="106"/>
  <c r="AB812" i="106"/>
  <c r="C737" i="106" s="1"/>
  <c r="AA813" i="106"/>
  <c r="AB813" i="106"/>
  <c r="AA814" i="106"/>
  <c r="AB814" i="106"/>
  <c r="AA815" i="106"/>
  <c r="AB815" i="106"/>
  <c r="AA816" i="106"/>
  <c r="AB816" i="106"/>
  <c r="C716" i="106" s="1"/>
  <c r="AA817" i="106"/>
  <c r="AB817" i="106"/>
  <c r="AA818" i="106"/>
  <c r="AB818" i="106"/>
  <c r="AA819" i="106"/>
  <c r="AB819" i="106"/>
  <c r="C722" i="106" s="1"/>
  <c r="AA820" i="106"/>
  <c r="AB820" i="106"/>
  <c r="AA821" i="106"/>
  <c r="AB821" i="106"/>
  <c r="C681" i="106" s="1"/>
  <c r="AA822" i="106"/>
  <c r="AB822" i="106"/>
  <c r="AA823" i="106"/>
  <c r="AB823" i="106"/>
  <c r="T827" i="106"/>
  <c r="T828" i="106"/>
  <c r="T829" i="106"/>
  <c r="T830" i="106"/>
  <c r="T831" i="106"/>
  <c r="T832" i="106"/>
  <c r="T833" i="106"/>
  <c r="T834" i="106"/>
  <c r="T835" i="106"/>
  <c r="T836" i="106"/>
  <c r="T837" i="106"/>
  <c r="T838" i="106"/>
  <c r="T839" i="106"/>
  <c r="T840" i="106"/>
  <c r="T841" i="106"/>
  <c r="T842" i="106"/>
  <c r="T843" i="106"/>
  <c r="T844" i="106"/>
  <c r="AB483" i="106"/>
  <c r="S483" i="106"/>
  <c r="AB482" i="106"/>
  <c r="S482" i="106"/>
  <c r="AB481" i="106"/>
  <c r="S481" i="106"/>
  <c r="AB480" i="106"/>
  <c r="S480" i="106"/>
  <c r="AB479" i="106"/>
  <c r="S479" i="106"/>
  <c r="AB476" i="106"/>
  <c r="S476" i="106"/>
  <c r="AB475" i="106"/>
  <c r="S475" i="106"/>
  <c r="AB474" i="106"/>
  <c r="S474" i="106"/>
  <c r="AB473" i="106"/>
  <c r="S473" i="106"/>
  <c r="AB472" i="106"/>
  <c r="S472" i="106"/>
  <c r="AB469" i="106"/>
  <c r="S469" i="106"/>
  <c r="AB468" i="106"/>
  <c r="S468" i="106"/>
  <c r="AB467" i="106"/>
  <c r="S467" i="106"/>
  <c r="AB466" i="106"/>
  <c r="S466" i="106"/>
  <c r="AB465" i="106"/>
  <c r="S465" i="106"/>
  <c r="AB462" i="106"/>
  <c r="S462" i="106"/>
  <c r="AB461" i="106"/>
  <c r="S461" i="106"/>
  <c r="AB460" i="106"/>
  <c r="S460" i="106"/>
  <c r="AB459" i="106"/>
  <c r="S459" i="106"/>
  <c r="AB458" i="106"/>
  <c r="S458" i="106"/>
  <c r="X442" i="106"/>
  <c r="X441" i="106"/>
  <c r="X437" i="106"/>
  <c r="X432" i="106"/>
  <c r="C432" i="106" s="1"/>
  <c r="X425" i="106"/>
  <c r="X424" i="106"/>
  <c r="X421" i="106"/>
  <c r="X420" i="106"/>
  <c r="X415" i="106"/>
  <c r="C415" i="106" s="1"/>
  <c r="X408" i="106"/>
  <c r="X407" i="106"/>
  <c r="X404" i="106"/>
  <c r="X403" i="106"/>
  <c r="X398" i="106"/>
  <c r="C398" i="106" s="1"/>
  <c r="X391" i="106"/>
  <c r="X390" i="106"/>
  <c r="X387" i="106"/>
  <c r="X386" i="106"/>
  <c r="X381" i="106"/>
  <c r="C381" i="106" s="1"/>
  <c r="X374" i="106"/>
  <c r="X373" i="106"/>
  <c r="X370" i="106"/>
  <c r="X369" i="106"/>
  <c r="X364" i="106"/>
  <c r="C364" i="106" s="1"/>
  <c r="Z357" i="106"/>
  <c r="Y357" i="106"/>
  <c r="B355" i="106"/>
  <c r="B344" i="106"/>
  <c r="BG342" i="106"/>
  <c r="BH342" i="106" s="1"/>
  <c r="AJ334" i="106" s="1"/>
  <c r="AN334" i="106" s="1"/>
  <c r="B340" i="106"/>
  <c r="B342" i="106" s="1"/>
  <c r="BY339" i="106"/>
  <c r="BZ339" i="106" s="1"/>
  <c r="BY338" i="106"/>
  <c r="BX338" i="106"/>
  <c r="H338" i="106"/>
  <c r="B338" i="106"/>
  <c r="BY337" i="106"/>
  <c r="BZ337" i="106" s="1"/>
  <c r="AU337" i="106"/>
  <c r="AT337" i="106"/>
  <c r="AS337" i="106"/>
  <c r="AR337" i="106"/>
  <c r="AQ337" i="106"/>
  <c r="AI337" i="106"/>
  <c r="AH337" i="106"/>
  <c r="AG337" i="106"/>
  <c r="AF337" i="106"/>
  <c r="AE337" i="106"/>
  <c r="AD337" i="106"/>
  <c r="S337" i="106"/>
  <c r="BY336" i="106"/>
  <c r="BX336" i="106"/>
  <c r="AD336" i="106"/>
  <c r="S336" i="106"/>
  <c r="BY335" i="106"/>
  <c r="BX335" i="106"/>
  <c r="AD335" i="106"/>
  <c r="S335" i="106"/>
  <c r="CL334" i="106"/>
  <c r="CR334" i="106" s="1"/>
  <c r="BY334" i="106"/>
  <c r="BX334" i="106"/>
  <c r="AD334" i="106"/>
  <c r="S334" i="106"/>
  <c r="CL333" i="106"/>
  <c r="CT333" i="106" s="1"/>
  <c r="DA333" i="106" s="1"/>
  <c r="BY333" i="106"/>
  <c r="BX333" i="106"/>
  <c r="D327" i="106"/>
  <c r="S324" i="106"/>
  <c r="C320" i="106" s="1"/>
  <c r="B319" i="106"/>
  <c r="B321" i="106" s="1"/>
  <c r="AS315" i="106"/>
  <c r="B312" i="106" s="1"/>
  <c r="AR315" i="106"/>
  <c r="C314" i="106"/>
  <c r="B314" i="106"/>
  <c r="AS313" i="106"/>
  <c r="B299" i="106" s="1"/>
  <c r="AR313" i="106"/>
  <c r="B313" i="106"/>
  <c r="B311" i="106"/>
  <c r="B310" i="106"/>
  <c r="D304" i="106"/>
  <c r="B300" i="106"/>
  <c r="B298" i="106"/>
  <c r="B297" i="106"/>
  <c r="T294" i="106"/>
  <c r="T293" i="106"/>
  <c r="T292" i="106"/>
  <c r="B296" i="106" s="1"/>
  <c r="Z264" i="106"/>
  <c r="C255" i="106"/>
  <c r="AC254" i="106"/>
  <c r="AB254" i="106"/>
  <c r="AA254" i="106"/>
  <c r="Z254" i="106"/>
  <c r="Y254" i="106"/>
  <c r="B254" i="106"/>
  <c r="AO253" i="106"/>
  <c r="AP249" i="106" s="1"/>
  <c r="B249" i="106" s="1"/>
  <c r="B266" i="106" s="1"/>
  <c r="B267" i="106" s="1"/>
  <c r="B252" i="106"/>
  <c r="C251" i="106"/>
  <c r="S244" i="106"/>
  <c r="H244" i="106"/>
  <c r="E244" i="106"/>
  <c r="D244" i="106"/>
  <c r="C244" i="106"/>
  <c r="T200" i="106"/>
  <c r="U197" i="106" s="1"/>
  <c r="B196" i="106" s="1"/>
  <c r="C200" i="106"/>
  <c r="B199" i="106"/>
  <c r="E187" i="106"/>
  <c r="B187" i="106"/>
  <c r="B188" i="106" s="1"/>
  <c r="V182" i="106"/>
  <c r="X181" i="106"/>
  <c r="V181" i="106"/>
  <c r="X180" i="106"/>
  <c r="V180" i="106"/>
  <c r="X179" i="106"/>
  <c r="V179" i="106"/>
  <c r="X178" i="106"/>
  <c r="V178" i="106"/>
  <c r="X177" i="106"/>
  <c r="AO174" i="106" s="1"/>
  <c r="V177" i="106"/>
  <c r="B177" i="106"/>
  <c r="X176" i="106"/>
  <c r="V176" i="106"/>
  <c r="B176" i="106"/>
  <c r="X175" i="106"/>
  <c r="AO173" i="106" s="1"/>
  <c r="V175" i="106"/>
  <c r="X174" i="106"/>
  <c r="V174" i="106"/>
  <c r="X173" i="106"/>
  <c r="V173" i="106"/>
  <c r="C172" i="106"/>
  <c r="C160" i="106"/>
  <c r="B160" i="106"/>
  <c r="X158" i="106"/>
  <c r="B154" i="106" s="1"/>
  <c r="B159" i="106" s="1"/>
  <c r="B157" i="106"/>
  <c r="D149" i="106"/>
  <c r="D148" i="106"/>
  <c r="C145" i="106"/>
  <c r="AM132" i="106"/>
  <c r="AB132" i="106"/>
  <c r="AD132" i="106" s="1"/>
  <c r="S132" i="106"/>
  <c r="AB131" i="106"/>
  <c r="AD131" i="106" s="1"/>
  <c r="S131" i="106"/>
  <c r="AD180" i="106" l="1"/>
  <c r="AJ180" i="106" s="1"/>
  <c r="W453" i="106"/>
  <c r="BZ336" i="106"/>
  <c r="AO175" i="106"/>
  <c r="B280" i="106"/>
  <c r="B281" i="106" s="1"/>
  <c r="E280" i="106"/>
  <c r="C709" i="106"/>
  <c r="C690" i="106"/>
  <c r="C734" i="106"/>
  <c r="C730" i="106"/>
  <c r="C745" i="106"/>
  <c r="C715" i="106"/>
  <c r="C697" i="106"/>
  <c r="C698" i="106"/>
  <c r="C729" i="106"/>
  <c r="C762" i="106"/>
  <c r="C740" i="106"/>
  <c r="C733" i="106"/>
  <c r="D707" i="106"/>
  <c r="D702" i="106"/>
  <c r="D704" i="106"/>
  <c r="D706" i="106"/>
  <c r="D710" i="106"/>
  <c r="D690" i="106"/>
  <c r="D692" i="106"/>
  <c r="D699" i="106"/>
  <c r="D696" i="106"/>
  <c r="D698" i="106"/>
  <c r="D730" i="106"/>
  <c r="D713" i="106"/>
  <c r="D712" i="106"/>
  <c r="D719" i="106"/>
  <c r="D746" i="106"/>
  <c r="D723" i="106"/>
  <c r="D733" i="106"/>
  <c r="D735" i="106"/>
  <c r="D742" i="106"/>
  <c r="D745" i="106"/>
  <c r="D749" i="106"/>
  <c r="D760" i="106"/>
  <c r="D762" i="106"/>
  <c r="D763" i="106"/>
  <c r="D737" i="106"/>
  <c r="D738" i="106"/>
  <c r="D686" i="106"/>
  <c r="D685" i="106"/>
  <c r="C424" i="106"/>
  <c r="D751" i="106"/>
  <c r="D744" i="106"/>
  <c r="D731" i="106"/>
  <c r="C719" i="106"/>
  <c r="C706" i="106"/>
  <c r="D697" i="106"/>
  <c r="C692" i="106"/>
  <c r="C751" i="106"/>
  <c r="C744" i="106"/>
  <c r="D717" i="106"/>
  <c r="W451" i="106"/>
  <c r="W455" i="106"/>
  <c r="Z454" i="106"/>
  <c r="X453" i="106"/>
  <c r="D716" i="106"/>
  <c r="D691" i="106"/>
  <c r="BI342" i="106"/>
  <c r="C749" i="106"/>
  <c r="D741" i="106"/>
  <c r="D734" i="106"/>
  <c r="D729" i="106"/>
  <c r="D709" i="106"/>
  <c r="D701" i="106"/>
  <c r="C696" i="106"/>
  <c r="C691" i="106"/>
  <c r="AE180" i="106"/>
  <c r="AV180" i="106" s="1"/>
  <c r="B271" i="106"/>
  <c r="BZ338" i="106"/>
  <c r="Y452" i="106"/>
  <c r="D761" i="106"/>
  <c r="D740" i="106"/>
  <c r="D722" i="106"/>
  <c r="D715" i="106"/>
  <c r="C701" i="106"/>
  <c r="D694" i="106"/>
  <c r="AE174" i="106"/>
  <c r="AW174" i="106" s="1"/>
  <c r="AE175" i="106"/>
  <c r="AU175" i="106" s="1"/>
  <c r="AE178" i="106"/>
  <c r="AV178" i="106" s="1"/>
  <c r="BI343" i="106"/>
  <c r="BJ343" i="106" s="1"/>
  <c r="AV335" i="106" s="1"/>
  <c r="C761" i="106"/>
  <c r="D693" i="106"/>
  <c r="BZ335" i="106"/>
  <c r="D720" i="106"/>
  <c r="S133" i="106"/>
  <c r="T131" i="106" s="1"/>
  <c r="AE181" i="106"/>
  <c r="AV181" i="106" s="1"/>
  <c r="AE182" i="106"/>
  <c r="X182" i="106"/>
  <c r="AD175" i="106"/>
  <c r="AJ175" i="106" s="1"/>
  <c r="BZ334" i="106"/>
  <c r="Z452" i="106"/>
  <c r="Y451" i="106"/>
  <c r="Y455" i="106"/>
  <c r="Z453" i="106"/>
  <c r="Y454" i="106"/>
  <c r="CS334" i="106"/>
  <c r="CZ334" i="106" s="1"/>
  <c r="AD174" i="106"/>
  <c r="AF174" i="106" s="1"/>
  <c r="AE176" i="106"/>
  <c r="AT176" i="106" s="1"/>
  <c r="CR333" i="106"/>
  <c r="CY333" i="106" s="1"/>
  <c r="DF333" i="106" s="1"/>
  <c r="DK333" i="106" s="1"/>
  <c r="X454" i="106"/>
  <c r="Y453" i="106"/>
  <c r="Z451" i="106"/>
  <c r="Z455" i="106"/>
  <c r="AB357" i="106"/>
  <c r="CY334" i="106"/>
  <c r="AE173" i="106"/>
  <c r="AD173" i="106"/>
  <c r="AQ174" i="106"/>
  <c r="AE177" i="106"/>
  <c r="AD177" i="106"/>
  <c r="AD253" i="106"/>
  <c r="AD251" i="106"/>
  <c r="AD254" i="106"/>
  <c r="AD252" i="106"/>
  <c r="AF180" i="106"/>
  <c r="AG180" i="106"/>
  <c r="AI180" i="106"/>
  <c r="B198" i="106"/>
  <c r="B213" i="106"/>
  <c r="B197" i="106"/>
  <c r="B212" i="106"/>
  <c r="B211" i="106"/>
  <c r="B216" i="106" s="1"/>
  <c r="B218" i="106" s="1"/>
  <c r="B200" i="106"/>
  <c r="B438" i="106"/>
  <c r="AQ175" i="106"/>
  <c r="AD181" i="106"/>
  <c r="C319" i="106"/>
  <c r="C390" i="106"/>
  <c r="C441" i="106"/>
  <c r="S338" i="106"/>
  <c r="B250" i="106"/>
  <c r="B255" i="106"/>
  <c r="AQ173" i="106"/>
  <c r="AD176" i="106"/>
  <c r="AD178" i="106"/>
  <c r="B251" i="106"/>
  <c r="B270" i="106" s="1"/>
  <c r="T338" i="106"/>
  <c r="AE179" i="106"/>
  <c r="AD179" i="106"/>
  <c r="C373" i="106"/>
  <c r="C407" i="106"/>
  <c r="AS180" i="106"/>
  <c r="AX180" i="106" s="1"/>
  <c r="AY180" i="106" s="1"/>
  <c r="B253" i="106"/>
  <c r="BG343" i="106"/>
  <c r="BZ333" i="106"/>
  <c r="AK334" i="106"/>
  <c r="AM334" i="106"/>
  <c r="AL334" i="106"/>
  <c r="AO334" i="106"/>
  <c r="CT334" i="106"/>
  <c r="DA334" i="106" s="1"/>
  <c r="W452" i="106"/>
  <c r="X452" i="106"/>
  <c r="CS333" i="106"/>
  <c r="X451" i="106"/>
  <c r="X455" i="106"/>
  <c r="W454" i="106"/>
  <c r="AV175" i="106" l="1"/>
  <c r="AH180" i="106"/>
  <c r="AT180" i="106"/>
  <c r="AT175" i="106"/>
  <c r="AT181" i="106"/>
  <c r="AS181" i="106"/>
  <c r="AX181" i="106" s="1"/>
  <c r="AY181" i="106" s="1"/>
  <c r="AW181" i="106"/>
  <c r="AW175" i="106"/>
  <c r="DG334" i="106"/>
  <c r="DL334" i="106" s="1"/>
  <c r="B453" i="106"/>
  <c r="X397" i="106" s="1"/>
  <c r="X400" i="106" s="1"/>
  <c r="C409" i="106" s="1"/>
  <c r="BI344" i="106"/>
  <c r="AW178" i="106"/>
  <c r="AS178" i="106"/>
  <c r="AX178" i="106" s="1"/>
  <c r="AY178" i="106" s="1"/>
  <c r="AT178" i="106"/>
  <c r="AV176" i="106"/>
  <c r="B451" i="106"/>
  <c r="X363" i="106" s="1"/>
  <c r="X366" i="106" s="1"/>
  <c r="C375" i="106" s="1"/>
  <c r="AU178" i="106"/>
  <c r="AU176" i="106"/>
  <c r="AH175" i="106"/>
  <c r="AW176" i="106"/>
  <c r="AS176" i="106"/>
  <c r="AX176" i="106" s="1"/>
  <c r="AY176" i="106" s="1"/>
  <c r="AA453" i="106"/>
  <c r="BJ342" i="106"/>
  <c r="BJ345" i="106" s="1"/>
  <c r="AU181" i="106"/>
  <c r="AS175" i="106"/>
  <c r="AX175" i="106" s="1"/>
  <c r="AY175" i="106" s="1"/>
  <c r="BB175" i="106" s="1"/>
  <c r="BB174" i="106" s="1"/>
  <c r="B455" i="106"/>
  <c r="T132" i="106"/>
  <c r="AD133" i="106" s="1"/>
  <c r="AS174" i="106"/>
  <c r="AX174" i="106" s="1"/>
  <c r="AY174" i="106" s="1"/>
  <c r="AU180" i="106"/>
  <c r="AW180" i="106"/>
  <c r="BI345" i="106"/>
  <c r="AA455" i="106"/>
  <c r="AT174" i="106"/>
  <c r="B352" i="106"/>
  <c r="B350" i="106" s="1"/>
  <c r="AU174" i="106"/>
  <c r="AI174" i="106"/>
  <c r="AV174" i="106"/>
  <c r="V357" i="106"/>
  <c r="AH174" i="106"/>
  <c r="AJ174" i="106"/>
  <c r="AG175" i="106"/>
  <c r="AI175" i="106"/>
  <c r="AF175" i="106"/>
  <c r="AG174" i="106"/>
  <c r="CV334" i="106"/>
  <c r="CU334" i="106" s="1"/>
  <c r="DB334" i="106" s="1"/>
  <c r="DE334" i="106" s="1"/>
  <c r="DJ334" i="106" s="1"/>
  <c r="BG345" i="106"/>
  <c r="BH343" i="106"/>
  <c r="BG344" i="106"/>
  <c r="AH179" i="106"/>
  <c r="AG179" i="106"/>
  <c r="AJ179" i="106"/>
  <c r="AI179" i="106"/>
  <c r="AF179" i="106"/>
  <c r="AA451" i="106"/>
  <c r="E233" i="106"/>
  <c r="B233" i="106"/>
  <c r="B234" i="106" s="1"/>
  <c r="AY335" i="106"/>
  <c r="AX335" i="106"/>
  <c r="AW335" i="106"/>
  <c r="BA335" i="106"/>
  <c r="AZ335" i="106"/>
  <c r="E276" i="106"/>
  <c r="B276" i="106"/>
  <c r="B277" i="106" s="1"/>
  <c r="E284" i="106"/>
  <c r="B284" i="106"/>
  <c r="B285" i="106" s="1"/>
  <c r="T243" i="106"/>
  <c r="T242" i="106"/>
  <c r="T244" i="106"/>
  <c r="AI177" i="106"/>
  <c r="AH177" i="106"/>
  <c r="AG177" i="106"/>
  <c r="AF177" i="106"/>
  <c r="AJ177" i="106"/>
  <c r="AW177" i="106"/>
  <c r="AV177" i="106"/>
  <c r="AS177" i="106"/>
  <c r="AX177" i="106" s="1"/>
  <c r="AY177" i="106" s="1"/>
  <c r="BB176" i="106" s="1"/>
  <c r="AU177" i="106"/>
  <c r="AT177" i="106"/>
  <c r="B288" i="106"/>
  <c r="B289" i="106" s="1"/>
  <c r="B272" i="106"/>
  <c r="B273" i="106" s="1"/>
  <c r="AI173" i="106"/>
  <c r="AH173" i="106"/>
  <c r="AG173" i="106"/>
  <c r="AF173" i="106"/>
  <c r="AJ173" i="106"/>
  <c r="E225" i="106"/>
  <c r="B225" i="106"/>
  <c r="B226" i="106" s="1"/>
  <c r="AH253" i="106"/>
  <c r="AI252" i="106"/>
  <c r="AG253" i="106"/>
  <c r="AH252" i="106"/>
  <c r="AI251" i="106"/>
  <c r="AE253" i="106"/>
  <c r="AF252" i="106"/>
  <c r="AG251" i="106"/>
  <c r="AE252" i="106"/>
  <c r="AF251" i="106"/>
  <c r="AI253" i="106"/>
  <c r="AE251" i="106"/>
  <c r="AF253" i="106"/>
  <c r="AG252" i="106"/>
  <c r="AH251" i="106"/>
  <c r="B229" i="106"/>
  <c r="B230" i="106" s="1"/>
  <c r="AP334" i="106"/>
  <c r="AF176" i="106"/>
  <c r="AJ176" i="106"/>
  <c r="AI176" i="106"/>
  <c r="AH176" i="106"/>
  <c r="AG176" i="106"/>
  <c r="DF334" i="106"/>
  <c r="DK334" i="106" s="1"/>
  <c r="DO333" i="106" s="1"/>
  <c r="CZ333" i="106"/>
  <c r="CV333" i="106"/>
  <c r="CU333" i="106" s="1"/>
  <c r="DB333" i="106" s="1"/>
  <c r="E221" i="106"/>
  <c r="B221" i="106"/>
  <c r="B454" i="106"/>
  <c r="X414" i="106" s="1"/>
  <c r="AA454" i="106"/>
  <c r="AA452" i="106"/>
  <c r="B452" i="106"/>
  <c r="X380" i="106" s="1"/>
  <c r="E216" i="106"/>
  <c r="E229" i="106"/>
  <c r="AK180" i="106"/>
  <c r="AL180" i="106" s="1"/>
  <c r="AH178" i="106"/>
  <c r="AF178" i="106"/>
  <c r="AJ178" i="106"/>
  <c r="AI178" i="106"/>
  <c r="AG178" i="106"/>
  <c r="C321" i="106"/>
  <c r="D320" i="106" s="1"/>
  <c r="AV173" i="106"/>
  <c r="AT173" i="106"/>
  <c r="AS173" i="106"/>
  <c r="AX173" i="106" s="1"/>
  <c r="AY173" i="106" s="1"/>
  <c r="AY182" i="106" s="1"/>
  <c r="BB177" i="106" s="1"/>
  <c r="AW173" i="106"/>
  <c r="AU173" i="106"/>
  <c r="AQ176" i="106"/>
  <c r="B171" i="106" s="1"/>
  <c r="AJ181" i="106"/>
  <c r="AI181" i="106"/>
  <c r="AG181" i="106"/>
  <c r="AF181" i="106"/>
  <c r="AH181" i="106"/>
  <c r="AV179" i="106"/>
  <c r="AU179" i="106"/>
  <c r="AS179" i="106"/>
  <c r="AX179" i="106" s="1"/>
  <c r="AY179" i="106" s="1"/>
  <c r="AT179" i="106"/>
  <c r="AW179" i="106"/>
  <c r="BJ344" i="106" l="1"/>
  <c r="AV336" i="106" s="1"/>
  <c r="AY336" i="106" s="1"/>
  <c r="BI346" i="106"/>
  <c r="AV334" i="106"/>
  <c r="AY334" i="106" s="1"/>
  <c r="B434" i="106"/>
  <c r="C443" i="106" s="1"/>
  <c r="BG346" i="106"/>
  <c r="D319" i="106"/>
  <c r="D311" i="106" s="1"/>
  <c r="DC334" i="106"/>
  <c r="AK174" i="106"/>
  <c r="AL174" i="106" s="1"/>
  <c r="AK175" i="106"/>
  <c r="AL175" i="106" s="1"/>
  <c r="AP173" i="106" s="1"/>
  <c r="AP172" i="106" s="1"/>
  <c r="AJ251" i="106"/>
  <c r="AK251" i="106" s="1"/>
  <c r="AK254" i="106" s="1"/>
  <c r="X357" i="106"/>
  <c r="AK177" i="106"/>
  <c r="AL177" i="106" s="1"/>
  <c r="AP174" i="106" s="1"/>
  <c r="AK178" i="106"/>
  <c r="AL178" i="106" s="1"/>
  <c r="DE333" i="106"/>
  <c r="DE336" i="106"/>
  <c r="B237" i="106"/>
  <c r="B238" i="106" s="1"/>
  <c r="B222" i="106"/>
  <c r="AK181" i="106"/>
  <c r="AL181" i="106" s="1"/>
  <c r="AJ335" i="106"/>
  <c r="BH344" i="106"/>
  <c r="AJ336" i="106" s="1"/>
  <c r="BH345" i="106"/>
  <c r="AZ336" i="106"/>
  <c r="DH334" i="106"/>
  <c r="U243" i="106"/>
  <c r="U242" i="106"/>
  <c r="Y243" i="106"/>
  <c r="Y242" i="106"/>
  <c r="X243" i="106"/>
  <c r="V244" i="106"/>
  <c r="W243" i="106"/>
  <c r="V243" i="106"/>
  <c r="X242" i="106"/>
  <c r="W242" i="106"/>
  <c r="V242" i="106"/>
  <c r="Y244" i="106"/>
  <c r="U244" i="106"/>
  <c r="X244" i="106"/>
  <c r="W244" i="106"/>
  <c r="AK179" i="106"/>
  <c r="AL179" i="106" s="1"/>
  <c r="AJ252" i="106"/>
  <c r="AK252" i="106" s="1"/>
  <c r="AK173" i="106"/>
  <c r="AL173" i="106" s="1"/>
  <c r="X383" i="106"/>
  <c r="C392" i="106" s="1"/>
  <c r="AJ253" i="106"/>
  <c r="AK253" i="106" s="1"/>
  <c r="X417" i="106"/>
  <c r="C426" i="106" s="1"/>
  <c r="AK176" i="106"/>
  <c r="AL176" i="106" s="1"/>
  <c r="AW334" i="106"/>
  <c r="U187" i="106"/>
  <c r="E181" i="106"/>
  <c r="B181" i="106"/>
  <c r="B182" i="106" s="1"/>
  <c r="B173" i="106"/>
  <c r="B172" i="106"/>
  <c r="B174" i="106"/>
  <c r="U189" i="106"/>
  <c r="BB335" i="106"/>
  <c r="DG333" i="106"/>
  <c r="DL333" i="106" s="1"/>
  <c r="DP333" i="106" s="1"/>
  <c r="DC333" i="106"/>
  <c r="AX336" i="106" l="1"/>
  <c r="BA336" i="106"/>
  <c r="AW336" i="106"/>
  <c r="BJ346" i="106"/>
  <c r="D313" i="106"/>
  <c r="AZ334" i="106"/>
  <c r="D314" i="106"/>
  <c r="D315" i="106"/>
  <c r="BD334" i="106"/>
  <c r="AX334" i="106"/>
  <c r="BA334" i="106"/>
  <c r="AV337" i="106"/>
  <c r="AY337" i="106" s="1"/>
  <c r="D310" i="106"/>
  <c r="AP175" i="106"/>
  <c r="BH346" i="106"/>
  <c r="E185" i="106"/>
  <c r="B185" i="106"/>
  <c r="B186" i="106" s="1"/>
  <c r="Z244" i="106"/>
  <c r="AA244" i="106" s="1"/>
  <c r="BB336" i="106"/>
  <c r="Z243" i="106"/>
  <c r="AA243" i="106" s="1"/>
  <c r="AM336" i="106"/>
  <c r="AL336" i="106"/>
  <c r="BD336" i="106"/>
  <c r="AO336" i="106"/>
  <c r="AN336" i="106"/>
  <c r="AK336" i="106"/>
  <c r="B183" i="106"/>
  <c r="E183" i="106"/>
  <c r="AL172" i="106"/>
  <c r="AL182" i="106"/>
  <c r="DJ333" i="106"/>
  <c r="DN333" i="106" s="1"/>
  <c r="DH333" i="106"/>
  <c r="Z242" i="106"/>
  <c r="AA242" i="106" s="1"/>
  <c r="AA241" i="106" s="1"/>
  <c r="E189" i="106"/>
  <c r="B189" i="106"/>
  <c r="B190" i="106" s="1"/>
  <c r="AL335" i="106"/>
  <c r="AK335" i="106"/>
  <c r="BD335" i="106"/>
  <c r="AO335" i="106"/>
  <c r="AN335" i="106"/>
  <c r="AM335" i="106"/>
  <c r="AJ337" i="106"/>
  <c r="BA337" i="106" l="1"/>
  <c r="AX337" i="106"/>
  <c r="BB334" i="106"/>
  <c r="BC334" i="106" s="1"/>
  <c r="BC338" i="106" s="1"/>
  <c r="AZ337" i="106"/>
  <c r="AW337" i="106"/>
  <c r="B192" i="106"/>
  <c r="B193" i="106" s="1"/>
  <c r="B184" i="106"/>
  <c r="AM337" i="106"/>
  <c r="BD337" i="106"/>
  <c r="AN337" i="106"/>
  <c r="AK337" i="106"/>
  <c r="AL337" i="106"/>
  <c r="AO337" i="106"/>
  <c r="AP336" i="106"/>
  <c r="BC336" i="106" s="1"/>
  <c r="AP335" i="106"/>
  <c r="BC335" i="106" s="1"/>
  <c r="BB337" i="106" l="1"/>
  <c r="AP337" i="106"/>
  <c r="BE338" i="106"/>
  <c r="BD338" i="106"/>
  <c r="BC337" i="106" l="1"/>
  <c r="AB84" i="96" l="1"/>
  <c r="O84" i="96"/>
  <c r="AC87" i="96" l="1"/>
  <c r="AU253" i="84" l="1"/>
  <c r="AT253" i="84"/>
  <c r="V253" i="84"/>
  <c r="W253" i="84" s="1"/>
  <c r="AU248" i="84"/>
  <c r="AT248" i="84"/>
  <c r="V248" i="84"/>
  <c r="W248" i="84" s="1"/>
  <c r="AU243" i="84"/>
  <c r="AT243" i="84"/>
  <c r="V243" i="84"/>
  <c r="W243" i="84" s="1"/>
  <c r="AU228" i="84"/>
  <c r="AT228" i="84"/>
  <c r="V228" i="84"/>
  <c r="W228" i="84" s="1"/>
  <c r="AU223" i="84"/>
  <c r="AT223" i="84"/>
  <c r="V223" i="84"/>
  <c r="W223" i="84" s="1"/>
  <c r="AU218" i="84"/>
  <c r="AT218" i="84"/>
  <c r="V218" i="84"/>
  <c r="W218" i="84" s="1"/>
  <c r="AU213" i="84"/>
  <c r="AT213" i="84"/>
  <c r="V213" i="84"/>
  <c r="W213" i="84" s="1"/>
  <c r="AU208" i="84"/>
  <c r="AT208" i="84"/>
  <c r="V208" i="84"/>
  <c r="W208" i="84" s="1"/>
  <c r="AU203" i="84"/>
  <c r="AT203" i="84"/>
  <c r="V203" i="84"/>
  <c r="W203" i="84" s="1"/>
  <c r="AU198" i="84"/>
  <c r="AT198" i="84"/>
  <c r="V198" i="84"/>
  <c r="W198" i="84" s="1"/>
  <c r="AU193" i="84"/>
  <c r="AT193" i="84"/>
  <c r="V193" i="84"/>
  <c r="W193" i="84" s="1"/>
  <c r="AU173" i="84"/>
  <c r="AT173" i="84"/>
  <c r="V173" i="84"/>
  <c r="W173" i="84" s="1"/>
  <c r="AU168" i="84"/>
  <c r="AT168" i="84"/>
  <c r="V168" i="84"/>
  <c r="W168" i="84" s="1"/>
  <c r="AU163" i="84"/>
  <c r="AT163" i="84"/>
  <c r="V163" i="84"/>
  <c r="W163" i="84" s="1"/>
  <c r="AU158" i="84"/>
  <c r="AT158" i="84"/>
  <c r="V158" i="84"/>
  <c r="W158" i="84" s="1"/>
  <c r="AU153" i="84"/>
  <c r="AT153" i="84"/>
  <c r="V153" i="84"/>
  <c r="W153" i="84" s="1"/>
  <c r="AU148" i="84"/>
  <c r="AT148" i="84"/>
  <c r="V148" i="84"/>
  <c r="W148" i="84" s="1"/>
  <c r="AU143" i="84"/>
  <c r="AT143" i="84"/>
  <c r="V143" i="84"/>
  <c r="W143" i="84" s="1"/>
  <c r="AU123" i="84"/>
  <c r="AT123" i="84"/>
  <c r="V123" i="84"/>
  <c r="W123" i="84" s="1"/>
  <c r="X138" i="84" s="1"/>
  <c r="AU118" i="84"/>
  <c r="AT118" i="84"/>
  <c r="V118" i="84"/>
  <c r="W118" i="84" s="1"/>
  <c r="AU113" i="84"/>
  <c r="AT113" i="84"/>
  <c r="V113" i="84"/>
  <c r="W113" i="84" s="1"/>
  <c r="AU108" i="84"/>
  <c r="AT108" i="84"/>
  <c r="V108" i="84"/>
  <c r="W108" i="84" s="1"/>
  <c r="AU103" i="84"/>
  <c r="AT103" i="84"/>
  <c r="V103" i="84"/>
  <c r="W103" i="84" s="1"/>
  <c r="AU98" i="84"/>
  <c r="AT98" i="84"/>
  <c r="V98" i="84"/>
  <c r="W98" i="84" s="1"/>
  <c r="AU93" i="84"/>
  <c r="AT93" i="84"/>
  <c r="V93" i="84"/>
  <c r="W93" i="84" s="1"/>
  <c r="AU88" i="84"/>
  <c r="AT88" i="84"/>
  <c r="V88" i="84"/>
  <c r="W88" i="84" s="1"/>
  <c r="J430" i="92"/>
  <c r="J437" i="92"/>
  <c r="J436" i="92"/>
  <c r="J435" i="92"/>
  <c r="J433" i="92"/>
  <c r="J429" i="92"/>
  <c r="J428" i="92"/>
  <c r="J427" i="92"/>
  <c r="J426" i="92"/>
  <c r="J424" i="92"/>
  <c r="J422" i="92"/>
  <c r="AM67" i="84"/>
  <c r="AM62" i="84"/>
  <c r="AL62" i="84"/>
  <c r="AL67" i="84" s="1"/>
  <c r="V62" i="84"/>
  <c r="V41" i="84"/>
  <c r="W41" i="84" s="1"/>
  <c r="X41" i="84" s="1"/>
  <c r="AM51" i="84"/>
  <c r="AL51" i="84"/>
  <c r="V51" i="84"/>
  <c r="AM46" i="84"/>
  <c r="AL46" i="84"/>
  <c r="V46" i="84"/>
  <c r="W46" i="84" s="1"/>
  <c r="X46" i="84" s="1"/>
  <c r="AM41" i="84"/>
  <c r="AL41" i="84"/>
  <c r="BP183" i="84" l="1"/>
  <c r="BQ183" i="84" s="1"/>
  <c r="BR183" i="84" s="1"/>
  <c r="BJ183" i="84"/>
  <c r="BK183" i="84" s="1"/>
  <c r="BL183" i="84" s="1"/>
  <c r="BD183" i="84"/>
  <c r="BE183" i="84" s="1"/>
  <c r="BF183" i="84" s="1"/>
  <c r="AP183" i="84"/>
  <c r="AQ183" i="84" s="1"/>
  <c r="AR183" i="84" s="1"/>
  <c r="AD183" i="84"/>
  <c r="AE183" i="84" s="1"/>
  <c r="AF183" i="84" s="1"/>
  <c r="AJ183" i="84"/>
  <c r="AK183" i="84" s="1"/>
  <c r="AL183" i="84" s="1"/>
  <c r="BP238" i="84"/>
  <c r="BQ238" i="84" s="1"/>
  <c r="BR238" i="84" s="1"/>
  <c r="BJ238" i="84"/>
  <c r="BK238" i="84" s="1"/>
  <c r="BL238" i="84" s="1"/>
  <c r="BD238" i="84"/>
  <c r="BE238" i="84" s="1"/>
  <c r="BF238" i="84" s="1"/>
  <c r="AP238" i="84"/>
  <c r="AQ238" i="84" s="1"/>
  <c r="AR238" i="84" s="1"/>
  <c r="AJ238" i="84"/>
  <c r="AK238" i="84" s="1"/>
  <c r="AL238" i="84" s="1"/>
  <c r="AD238" i="84"/>
  <c r="AE238" i="84" s="1"/>
  <c r="AF238" i="84" s="1"/>
  <c r="AD243" i="84"/>
  <c r="AE243" i="84" s="1"/>
  <c r="AF243" i="84" s="1"/>
  <c r="AJ243" i="84"/>
  <c r="AK243" i="84" s="1"/>
  <c r="AL243" i="84" s="1"/>
  <c r="AP243" i="84"/>
  <c r="AQ243" i="84" s="1"/>
  <c r="AR243" i="84" s="1"/>
  <c r="BD243" i="84"/>
  <c r="BE243" i="84" s="1"/>
  <c r="BF243" i="84" s="1"/>
  <c r="BJ243" i="84"/>
  <c r="BK243" i="84" s="1"/>
  <c r="BL243" i="84" s="1"/>
  <c r="BP243" i="84"/>
  <c r="BQ243" i="84" s="1"/>
  <c r="BR243" i="84" s="1"/>
  <c r="AD248" i="84"/>
  <c r="AE248" i="84" s="1"/>
  <c r="AF248" i="84" s="1"/>
  <c r="AJ248" i="84"/>
  <c r="AK248" i="84" s="1"/>
  <c r="AL248" i="84" s="1"/>
  <c r="AP248" i="84"/>
  <c r="AQ248" i="84" s="1"/>
  <c r="AR248" i="84" s="1"/>
  <c r="BD248" i="84"/>
  <c r="BE248" i="84" s="1"/>
  <c r="BF248" i="84" s="1"/>
  <c r="BJ248" i="84"/>
  <c r="BK248" i="84" s="1"/>
  <c r="BL248" i="84" s="1"/>
  <c r="BP248" i="84"/>
  <c r="BQ248" i="84" s="1"/>
  <c r="BR248" i="84" s="1"/>
  <c r="AD253" i="84"/>
  <c r="AE253" i="84" s="1"/>
  <c r="AF253" i="84" s="1"/>
  <c r="AJ253" i="84"/>
  <c r="AK253" i="84" s="1"/>
  <c r="AL253" i="84" s="1"/>
  <c r="AP253" i="84"/>
  <c r="AQ253" i="84" s="1"/>
  <c r="AR253" i="84" s="1"/>
  <c r="BD253" i="84"/>
  <c r="BE253" i="84" s="1"/>
  <c r="BF253" i="84" s="1"/>
  <c r="BJ253" i="84"/>
  <c r="BK253" i="84" s="1"/>
  <c r="BL253" i="84" s="1"/>
  <c r="BP253" i="84"/>
  <c r="BQ253" i="84" s="1"/>
  <c r="BR253" i="84" s="1"/>
  <c r="BP188" i="84"/>
  <c r="BJ188" i="84"/>
  <c r="BD188" i="84"/>
  <c r="AP188" i="84"/>
  <c r="AJ188" i="84"/>
  <c r="AD188" i="84"/>
  <c r="AE188" i="84" s="1"/>
  <c r="AF188" i="84" s="1"/>
  <c r="X183" i="84"/>
  <c r="X188" i="84"/>
  <c r="Y188" i="84" s="1"/>
  <c r="Z188" i="84" s="1"/>
  <c r="X83" i="84"/>
  <c r="Y83" i="84" s="1"/>
  <c r="Z83" i="84" s="1"/>
  <c r="W51" i="84"/>
  <c r="X51" i="84" s="1"/>
  <c r="V67" i="84"/>
  <c r="W67" i="84" s="1"/>
  <c r="X67" i="84" s="1"/>
  <c r="W62" i="84"/>
  <c r="X62" i="84" s="1"/>
  <c r="U19" i="85"/>
  <c r="X143" i="84"/>
  <c r="Y143" i="84" s="1"/>
  <c r="Z143" i="84" s="1"/>
  <c r="X148" i="84"/>
  <c r="Y148" i="84" s="1"/>
  <c r="Z148" i="84" s="1"/>
  <c r="X153" i="84"/>
  <c r="X158" i="84"/>
  <c r="X163" i="84"/>
  <c r="Y163" i="84" s="1"/>
  <c r="Z163" i="84" s="1"/>
  <c r="X243" i="84"/>
  <c r="Y243" i="84" s="1"/>
  <c r="Z243" i="84" s="1"/>
  <c r="X248" i="84"/>
  <c r="Y248" i="84" s="1"/>
  <c r="Z248" i="84" s="1"/>
  <c r="X253" i="84"/>
  <c r="Y253" i="84" s="1"/>
  <c r="Z253" i="84" s="1"/>
  <c r="AV88" i="84"/>
  <c r="AW88" i="84" s="1"/>
  <c r="AV248" i="84"/>
  <c r="AW248" i="84" s="1"/>
  <c r="AX248" i="84" s="1"/>
  <c r="AY248" i="84" s="1"/>
  <c r="AZ248" i="84" s="1"/>
  <c r="AV113" i="84"/>
  <c r="AW113" i="84" s="1"/>
  <c r="AV93" i="84"/>
  <c r="AW93" i="84" s="1"/>
  <c r="AV98" i="84"/>
  <c r="AW98" i="84" s="1"/>
  <c r="AV148" i="84"/>
  <c r="AW148" i="84" s="1"/>
  <c r="AX148" i="84" s="1"/>
  <c r="AY148" i="84" s="1"/>
  <c r="AZ148" i="84" s="1"/>
  <c r="AV213" i="84"/>
  <c r="AW213" i="84" s="1"/>
  <c r="AV253" i="84"/>
  <c r="AW253" i="84" s="1"/>
  <c r="AX253" i="84" s="1"/>
  <c r="AY253" i="84" s="1"/>
  <c r="AZ253" i="84" s="1"/>
  <c r="AV153" i="84"/>
  <c r="AW153" i="84" s="1"/>
  <c r="AX153" i="84" s="1"/>
  <c r="AV193" i="84"/>
  <c r="AW193" i="84" s="1"/>
  <c r="AV103" i="84"/>
  <c r="AW103" i="84" s="1"/>
  <c r="Y138" i="84"/>
  <c r="Z138" i="84" s="1"/>
  <c r="AV168" i="84"/>
  <c r="AW168" i="84" s="1"/>
  <c r="AV108" i="84"/>
  <c r="AW108" i="84" s="1"/>
  <c r="AV123" i="84"/>
  <c r="AW123" i="84" s="1"/>
  <c r="AV158" i="84"/>
  <c r="AW158" i="84" s="1"/>
  <c r="AX158" i="84" s="1"/>
  <c r="AV198" i="84"/>
  <c r="AW198" i="84" s="1"/>
  <c r="AV218" i="84"/>
  <c r="AW218" i="84" s="1"/>
  <c r="AV143" i="84"/>
  <c r="AW143" i="84" s="1"/>
  <c r="AX143" i="84" s="1"/>
  <c r="AY143" i="84" s="1"/>
  <c r="AZ143" i="84" s="1"/>
  <c r="AV163" i="84"/>
  <c r="AW163" i="84" s="1"/>
  <c r="AX163" i="84" s="1"/>
  <c r="AY163" i="84" s="1"/>
  <c r="AZ163" i="84" s="1"/>
  <c r="AV118" i="84"/>
  <c r="AW118" i="84" s="1"/>
  <c r="AV208" i="84"/>
  <c r="AW208" i="84" s="1"/>
  <c r="AV223" i="84"/>
  <c r="AW223" i="84" s="1"/>
  <c r="AV243" i="84"/>
  <c r="AW243" i="84" s="1"/>
  <c r="AX243" i="84" s="1"/>
  <c r="AY243" i="84" s="1"/>
  <c r="AZ243" i="84" s="1"/>
  <c r="AV173" i="84"/>
  <c r="AW173" i="84" s="1"/>
  <c r="AV228" i="84"/>
  <c r="AW228" i="84" s="1"/>
  <c r="Y183" i="84"/>
  <c r="Z183" i="84" s="1"/>
  <c r="AV203" i="84"/>
  <c r="AW203" i="84" s="1"/>
  <c r="X238" i="84"/>
  <c r="Y238" i="84" s="1"/>
  <c r="Z238" i="84" s="1"/>
  <c r="AN62" i="84"/>
  <c r="AO62" i="84" s="1"/>
  <c r="AP62" i="84" s="1"/>
  <c r="AN67" i="84"/>
  <c r="AO67" i="84" s="1"/>
  <c r="AP67" i="84" s="1"/>
  <c r="AN41" i="84"/>
  <c r="AO41" i="84" s="1"/>
  <c r="AP41" i="84" s="1"/>
  <c r="AN46" i="84"/>
  <c r="AO46" i="84" s="1"/>
  <c r="AP46" i="84" s="1"/>
  <c r="AN51" i="84"/>
  <c r="AK188" i="84" l="1"/>
  <c r="AL188" i="84" s="1"/>
  <c r="AJ263" i="84"/>
  <c r="AQ188" i="84"/>
  <c r="AR188" i="84" s="1"/>
  <c r="AP263" i="84"/>
  <c r="BE188" i="84"/>
  <c r="BF188" i="84" s="1"/>
  <c r="BD263" i="84"/>
  <c r="BK188" i="84"/>
  <c r="BL188" i="84" s="1"/>
  <c r="BJ263" i="84"/>
  <c r="BQ188" i="84"/>
  <c r="BR188" i="84" s="1"/>
  <c r="BP263" i="84"/>
  <c r="AX138" i="84"/>
  <c r="AK19" i="85"/>
  <c r="AY153" i="84"/>
  <c r="Y153" i="84"/>
  <c r="U56" i="85"/>
  <c r="V56" i="85" s="1"/>
  <c r="W56" i="85" s="1"/>
  <c r="V19" i="85"/>
  <c r="W19" i="85" s="1"/>
  <c r="W86" i="96"/>
  <c r="W85" i="96"/>
  <c r="W88" i="96"/>
  <c r="W84" i="96"/>
  <c r="AX188" i="84"/>
  <c r="AY188" i="84" s="1"/>
  <c r="AZ188" i="84" s="1"/>
  <c r="AX183" i="84"/>
  <c r="AY183" i="84" s="1"/>
  <c r="AZ183" i="84" s="1"/>
  <c r="AX83" i="84"/>
  <c r="AY83" i="84" s="1"/>
  <c r="AZ83" i="84" s="1"/>
  <c r="AO51" i="84"/>
  <c r="AP51" i="84" s="1"/>
  <c r="X258" i="84"/>
  <c r="Y258" i="84" s="1"/>
  <c r="Z258" i="84" s="1"/>
  <c r="Y158" i="84"/>
  <c r="Z158" i="84" s="1"/>
  <c r="AX258" i="84"/>
  <c r="AY258" i="84" s="1"/>
  <c r="AZ258" i="84" s="1"/>
  <c r="AY158" i="84"/>
  <c r="AZ158" i="84" s="1"/>
  <c r="U114" i="85"/>
  <c r="V114" i="85" s="1"/>
  <c r="W114" i="85" s="1"/>
  <c r="W89" i="96"/>
  <c r="W91" i="96"/>
  <c r="W90" i="96"/>
  <c r="U67" i="85"/>
  <c r="U109" i="85"/>
  <c r="U93" i="85"/>
  <c r="V93" i="85" s="1"/>
  <c r="W93" i="85" s="1"/>
  <c r="U40" i="85"/>
  <c r="V40" i="85" s="1"/>
  <c r="W40" i="85" s="1"/>
  <c r="U83" i="85"/>
  <c r="U88" i="85"/>
  <c r="V88" i="85" s="1"/>
  <c r="W88" i="85" s="1"/>
  <c r="U151" i="85"/>
  <c r="U72" i="85"/>
  <c r="V72" i="85" s="1"/>
  <c r="W72" i="85" s="1"/>
  <c r="U156" i="85"/>
  <c r="V156" i="85" s="1"/>
  <c r="W156" i="85" s="1"/>
  <c r="U119" i="85"/>
  <c r="V119" i="85" s="1"/>
  <c r="W119" i="85" s="1"/>
  <c r="U140" i="85"/>
  <c r="V140" i="85" s="1"/>
  <c r="W140" i="85" s="1"/>
  <c r="U30" i="85"/>
  <c r="U51" i="85"/>
  <c r="U135" i="85"/>
  <c r="U124" i="85"/>
  <c r="V124" i="85" s="1"/>
  <c r="W124" i="85" s="1"/>
  <c r="U98" i="85"/>
  <c r="V98" i="85" s="1"/>
  <c r="W98" i="85" s="1"/>
  <c r="W83" i="96"/>
  <c r="U35" i="85"/>
  <c r="V35" i="85" s="1"/>
  <c r="W35" i="85" s="1"/>
  <c r="AY138" i="84"/>
  <c r="AZ138" i="84" s="1"/>
  <c r="AX238" i="84"/>
  <c r="AY238" i="84" s="1"/>
  <c r="AZ238" i="84" s="1"/>
  <c r="AL19" i="85" l="1"/>
  <c r="AM19" i="85" s="1"/>
  <c r="AK88" i="85"/>
  <c r="AL88" i="85" s="1"/>
  <c r="AM88" i="85" s="1"/>
  <c r="AK114" i="85"/>
  <c r="AL114" i="85" s="1"/>
  <c r="AM114" i="85" s="1"/>
  <c r="AK30" i="85"/>
  <c r="AL30" i="85" s="1"/>
  <c r="AM30" i="85" s="1"/>
  <c r="AK119" i="85"/>
  <c r="AL119" i="85" s="1"/>
  <c r="AM119" i="85" s="1"/>
  <c r="AK140" i="85"/>
  <c r="AL140" i="85" s="1"/>
  <c r="AM140" i="85" s="1"/>
  <c r="AK72" i="85"/>
  <c r="AL72" i="85" s="1"/>
  <c r="AM72" i="85" s="1"/>
  <c r="AK56" i="85"/>
  <c r="AL56" i="85" s="1"/>
  <c r="AM56" i="85" s="1"/>
  <c r="AK156" i="85"/>
  <c r="AL156" i="85" s="1"/>
  <c r="AM156" i="85" s="1"/>
  <c r="AK83" i="85"/>
  <c r="AL83" i="85" s="1"/>
  <c r="AM83" i="85" s="1"/>
  <c r="AK109" i="85"/>
  <c r="AL109" i="85" s="1"/>
  <c r="AM109" i="85" s="1"/>
  <c r="AK67" i="85"/>
  <c r="AL67" i="85" s="1"/>
  <c r="AM67" i="85" s="1"/>
  <c r="AK135" i="85"/>
  <c r="AL135" i="85" s="1"/>
  <c r="AM135" i="85" s="1"/>
  <c r="AK124" i="85"/>
  <c r="AL124" i="85" s="1"/>
  <c r="AM124" i="85" s="1"/>
  <c r="AK51" i="85"/>
  <c r="AL51" i="85" s="1"/>
  <c r="AM51" i="85" s="1"/>
  <c r="AK40" i="85"/>
  <c r="AL40" i="85" s="1"/>
  <c r="AM40" i="85" s="1"/>
  <c r="AK151" i="85"/>
  <c r="AL151" i="85" s="1"/>
  <c r="AM151" i="85" s="1"/>
  <c r="AK93" i="85"/>
  <c r="AL93" i="85" s="1"/>
  <c r="AM93" i="85" s="1"/>
  <c r="AK98" i="85"/>
  <c r="AL98" i="85" s="1"/>
  <c r="AM98" i="85" s="1"/>
  <c r="AK35" i="85"/>
  <c r="AL35" i="85" s="1"/>
  <c r="AM35" i="85" s="1"/>
  <c r="Z153" i="84"/>
  <c r="AZ153" i="84"/>
  <c r="Z88" i="96"/>
  <c r="X89" i="96"/>
  <c r="Z83" i="96"/>
  <c r="V67" i="85"/>
  <c r="Z89" i="96"/>
  <c r="Z86" i="96"/>
  <c r="Z85" i="96"/>
  <c r="V83" i="85"/>
  <c r="V51" i="85"/>
  <c r="V30" i="85"/>
  <c r="X85" i="96"/>
  <c r="Z84" i="96"/>
  <c r="X86" i="96"/>
  <c r="W87" i="96"/>
  <c r="V109" i="85"/>
  <c r="X84" i="96"/>
  <c r="X83" i="96"/>
  <c r="V151" i="85"/>
  <c r="V135" i="85"/>
  <c r="X88" i="96"/>
  <c r="AA91" i="96"/>
  <c r="X90" i="96"/>
  <c r="Z90" i="96"/>
  <c r="AX263" i="84"/>
  <c r="AM30" i="84"/>
  <c r="AN30" i="84" s="1"/>
  <c r="AO30" i="84" s="1"/>
  <c r="AP30" i="84" s="1"/>
  <c r="V30" i="84"/>
  <c r="W30" i="84" s="1"/>
  <c r="X30" i="84" s="1"/>
  <c r="AM25" i="84"/>
  <c r="AL25" i="84"/>
  <c r="V25" i="84"/>
  <c r="W25" i="84" s="1"/>
  <c r="X25" i="84" s="1"/>
  <c r="AM20" i="84"/>
  <c r="AL20" i="84"/>
  <c r="V20" i="84"/>
  <c r="W20" i="84" s="1"/>
  <c r="X20" i="84" s="1"/>
  <c r="W135" i="85" l="1"/>
  <c r="W83" i="85"/>
  <c r="W30" i="85"/>
  <c r="W67" i="85"/>
  <c r="W109" i="85"/>
  <c r="W51" i="85"/>
  <c r="X87" i="96"/>
  <c r="W151" i="85"/>
  <c r="Z87" i="96"/>
  <c r="AN25" i="84"/>
  <c r="AO25" i="84" s="1"/>
  <c r="AP25" i="84" s="1"/>
  <c r="AN20" i="84"/>
  <c r="AO20" i="84" s="1"/>
  <c r="AP20" i="84" s="1"/>
  <c r="CJ7" i="87" l="1"/>
  <c r="V14" i="86"/>
  <c r="W14" i="86" s="1"/>
  <c r="X14" i="86" s="1"/>
  <c r="G240" i="87" l="1"/>
  <c r="F316" i="87"/>
  <c r="G219" i="87"/>
  <c r="F219" i="87"/>
  <c r="G223" i="87"/>
  <c r="F223" i="87"/>
  <c r="F278" i="87"/>
  <c r="G278" i="87"/>
  <c r="G185" i="87"/>
  <c r="F232" i="87"/>
  <c r="H308" i="87"/>
  <c r="H219" i="87"/>
  <c r="G232" i="87"/>
  <c r="F206" i="87"/>
  <c r="G274" i="87"/>
  <c r="F270" i="87"/>
  <c r="G270" i="87"/>
  <c r="H236" i="87"/>
  <c r="F181" i="87"/>
  <c r="G210" i="87"/>
  <c r="F266" i="87"/>
  <c r="F202" i="87"/>
  <c r="F308" i="87"/>
  <c r="F177" i="87"/>
  <c r="H266" i="87"/>
  <c r="G316" i="87"/>
  <c r="F189" i="87"/>
  <c r="G308" i="87"/>
  <c r="F185" i="87"/>
  <c r="G189" i="87"/>
  <c r="F312" i="87"/>
  <c r="G177" i="87"/>
  <c r="G198" i="87"/>
  <c r="H232" i="87"/>
  <c r="G181" i="87"/>
  <c r="G202" i="87"/>
  <c r="H177" i="87"/>
  <c r="F198" i="87"/>
  <c r="G206" i="87"/>
  <c r="H270" i="87"/>
  <c r="F236" i="87"/>
  <c r="G312" i="87"/>
  <c r="F210" i="87"/>
  <c r="H198" i="87"/>
  <c r="G266" i="87"/>
  <c r="F274" i="87"/>
  <c r="G236" i="87"/>
  <c r="G262" i="87"/>
  <c r="F304" i="87"/>
  <c r="G304" i="87"/>
  <c r="G194" i="87"/>
  <c r="H206" i="87"/>
  <c r="G215" i="87"/>
  <c r="H312" i="87"/>
  <c r="F194" i="87"/>
  <c r="G173" i="87"/>
  <c r="F215" i="87"/>
  <c r="F262" i="87"/>
  <c r="H185" i="87"/>
  <c r="H181" i="87"/>
  <c r="H202" i="87"/>
  <c r="CU164" i="95"/>
  <c r="CU163" i="95"/>
  <c r="CU162" i="95"/>
  <c r="CV232" i="95"/>
  <c r="CV231" i="95"/>
  <c r="CV230" i="95"/>
  <c r="CV229" i="95"/>
  <c r="CU223" i="95"/>
  <c r="CV226" i="95"/>
  <c r="CV222" i="95"/>
  <c r="CV221" i="95"/>
  <c r="CV208" i="95"/>
  <c r="CV207" i="95"/>
  <c r="CV204" i="95"/>
  <c r="CV203" i="95"/>
  <c r="CV202" i="95"/>
  <c r="CV198" i="95"/>
  <c r="CU227" i="95"/>
  <c r="CU226" i="95"/>
  <c r="CU225" i="95"/>
  <c r="CU222" i="95"/>
  <c r="CU221" i="95"/>
  <c r="CU219" i="95"/>
  <c r="CU218" i="95"/>
  <c r="CU209" i="95"/>
  <c r="CU208" i="95"/>
  <c r="CU207" i="95"/>
  <c r="CU205" i="95"/>
  <c r="CU204" i="95"/>
  <c r="CU203" i="95"/>
  <c r="CU202" i="95"/>
  <c r="CU200" i="95"/>
  <c r="CU198" i="95"/>
  <c r="CV186" i="95"/>
  <c r="CV183" i="95"/>
  <c r="CV182" i="95"/>
  <c r="CV179" i="95"/>
  <c r="CV178" i="95"/>
  <c r="CV177" i="95"/>
  <c r="CV174" i="95"/>
  <c r="CV218" i="95"/>
  <c r="CV192" i="95"/>
  <c r="CV187" i="95"/>
  <c r="CV173" i="95"/>
  <c r="CV191" i="95"/>
  <c r="CU193" i="95"/>
  <c r="CU192" i="95"/>
  <c r="CU191" i="95"/>
  <c r="CU190" i="95"/>
  <c r="CU188" i="95"/>
  <c r="CU187" i="95"/>
  <c r="CU186" i="95"/>
  <c r="CU184" i="95"/>
  <c r="CU183" i="95"/>
  <c r="CU182" i="95"/>
  <c r="CU180" i="95"/>
  <c r="CU179" i="95"/>
  <c r="CU178" i="95"/>
  <c r="CU177" i="95"/>
  <c r="CU175" i="95"/>
  <c r="CU174" i="95"/>
  <c r="CU173" i="95"/>
  <c r="CU172" i="95"/>
  <c r="CR175" i="95"/>
  <c r="CR174" i="95"/>
  <c r="CR173" i="95"/>
  <c r="CR172" i="95"/>
  <c r="CU167" i="95"/>
  <c r="CU166" i="95"/>
  <c r="CV163" i="95"/>
  <c r="CV162" i="95"/>
  <c r="CV225" i="95"/>
  <c r="CV190" i="95"/>
  <c r="CV172" i="95"/>
  <c r="CV166" i="95"/>
  <c r="CV233" i="95"/>
  <c r="CV227" i="95"/>
  <c r="CV223" i="95"/>
  <c r="CV219" i="95"/>
  <c r="CV209" i="95"/>
  <c r="CV205" i="95"/>
  <c r="CV200" i="95"/>
  <c r="CV193" i="95"/>
  <c r="CV188" i="95"/>
  <c r="CV184" i="95"/>
  <c r="CV180" i="95"/>
  <c r="CV175" i="95"/>
  <c r="CV167" i="95"/>
  <c r="CV164" i="95"/>
  <c r="F240" i="87" l="1"/>
  <c r="U242" i="87"/>
  <c r="U230" i="87" s="1"/>
  <c r="G228" i="87"/>
  <c r="P276" i="95"/>
  <c r="P275" i="95"/>
  <c r="CT158" i="95"/>
  <c r="CV160" i="95"/>
  <c r="CV159" i="95"/>
  <c r="CU160" i="95"/>
  <c r="CU159" i="95"/>
  <c r="CP233" i="95"/>
  <c r="CT233" i="95" s="1"/>
  <c r="CP232" i="95"/>
  <c r="CT232" i="95" s="1"/>
  <c r="CP231" i="95"/>
  <c r="CT231" i="95" s="1"/>
  <c r="CP230" i="95"/>
  <c r="CT230" i="95" s="1"/>
  <c r="CP229" i="95"/>
  <c r="CT229" i="95" s="1"/>
  <c r="CP227" i="95"/>
  <c r="CP226" i="95"/>
  <c r="CP225" i="95"/>
  <c r="CP223" i="95"/>
  <c r="CP222" i="95"/>
  <c r="CP221" i="95"/>
  <c r="CP219" i="95"/>
  <c r="CP218" i="95"/>
  <c r="CP209" i="95"/>
  <c r="CT209" i="95" s="1"/>
  <c r="CP208" i="95"/>
  <c r="CT208" i="95" s="1"/>
  <c r="CP207" i="95"/>
  <c r="CT207" i="95" s="1"/>
  <c r="CP205" i="95"/>
  <c r="CT205" i="95" s="1"/>
  <c r="CP204" i="95"/>
  <c r="CT204" i="95" s="1"/>
  <c r="CP203" i="95"/>
  <c r="CT203" i="95" s="1"/>
  <c r="CP202" i="95"/>
  <c r="CT202" i="95" s="1"/>
  <c r="CP200" i="95"/>
  <c r="CT200" i="95" s="1"/>
  <c r="CP198" i="95"/>
  <c r="CT198" i="95" s="1"/>
  <c r="CP188" i="95"/>
  <c r="CP187" i="95"/>
  <c r="CP186" i="95"/>
  <c r="CP184" i="95"/>
  <c r="CP183" i="95"/>
  <c r="CP182" i="95"/>
  <c r="CP180" i="95"/>
  <c r="CP179" i="95"/>
  <c r="CP178" i="95"/>
  <c r="CP177" i="95"/>
  <c r="CP175" i="95"/>
  <c r="CT175" i="95" s="1"/>
  <c r="CT193" i="95" s="1"/>
  <c r="CP174" i="95"/>
  <c r="CT174" i="95" s="1"/>
  <c r="CT192" i="95" s="1"/>
  <c r="CP173" i="95"/>
  <c r="CT173" i="95" s="1"/>
  <c r="CT191" i="95" s="1"/>
  <c r="CP172" i="95"/>
  <c r="CT172" i="95" s="1"/>
  <c r="CT190" i="95" s="1"/>
  <c r="CP167" i="95"/>
  <c r="CP166" i="95"/>
  <c r="CP164" i="95"/>
  <c r="CP163" i="95"/>
  <c r="CP162" i="95"/>
  <c r="CP160" i="95"/>
  <c r="CP159" i="95"/>
  <c r="CV155" i="95"/>
  <c r="CV156" i="95"/>
  <c r="CU157" i="95"/>
  <c r="CP157" i="95"/>
  <c r="CP156" i="95"/>
  <c r="CP155" i="95"/>
  <c r="CV154" i="95"/>
  <c r="CU156" i="95"/>
  <c r="CU155" i="95"/>
  <c r="I81" i="96" l="1"/>
  <c r="AA160" i="95"/>
  <c r="AA159" i="95"/>
  <c r="AA167" i="95"/>
  <c r="AA166" i="95"/>
  <c r="I15" i="86"/>
  <c r="B198" i="91"/>
  <c r="BY18" i="95"/>
  <c r="BZ18" i="95" s="1"/>
  <c r="BY153" i="95"/>
  <c r="BY158" i="95"/>
  <c r="CA158" i="95" s="1"/>
  <c r="BY161" i="95"/>
  <c r="CA161" i="95" s="1"/>
  <c r="BY165" i="95"/>
  <c r="CA165" i="95" s="1"/>
  <c r="BY168" i="95"/>
  <c r="CC168" i="95" s="1"/>
  <c r="BY171" i="95"/>
  <c r="BZ171" i="95" s="1"/>
  <c r="BY176" i="95"/>
  <c r="BY181" i="95"/>
  <c r="CA181" i="95" s="1"/>
  <c r="BY185" i="95"/>
  <c r="BY189" i="95"/>
  <c r="CA189" i="95" s="1"/>
  <c r="BY194" i="95"/>
  <c r="CA194" i="95" s="1"/>
  <c r="BY197" i="95"/>
  <c r="CC197" i="95" s="1"/>
  <c r="BY201" i="95"/>
  <c r="BY206" i="95"/>
  <c r="CC206" i="95" s="1"/>
  <c r="BY210" i="95"/>
  <c r="CA210" i="95" s="1"/>
  <c r="BY211" i="95"/>
  <c r="BY212" i="95"/>
  <c r="BZ212" i="95" s="1"/>
  <c r="BY213" i="95"/>
  <c r="BZ213" i="95" s="1"/>
  <c r="BY214" i="95"/>
  <c r="CA214" i="95" s="1"/>
  <c r="BY217" i="95"/>
  <c r="BZ217" i="95" s="1"/>
  <c r="BY220" i="95"/>
  <c r="CB220" i="95" s="1"/>
  <c r="BD153" i="95"/>
  <c r="BK153" i="95"/>
  <c r="BM153" i="95" s="1"/>
  <c r="BD158" i="95"/>
  <c r="BK158" i="95"/>
  <c r="BL158" i="95" s="1"/>
  <c r="BD161" i="95"/>
  <c r="BE161" i="95" s="1"/>
  <c r="BK161" i="95"/>
  <c r="BM161" i="95" s="1"/>
  <c r="BD165" i="95"/>
  <c r="BE165" i="95" s="1"/>
  <c r="BK165" i="95"/>
  <c r="BD168" i="95"/>
  <c r="BE168" i="95" s="1"/>
  <c r="BK168" i="95"/>
  <c r="BM168" i="95" s="1"/>
  <c r="BD171" i="95"/>
  <c r="BF171" i="95" s="1"/>
  <c r="BK171" i="95"/>
  <c r="BD176" i="95"/>
  <c r="BE176" i="95" s="1"/>
  <c r="BK176" i="95"/>
  <c r="BN176" i="95" s="1"/>
  <c r="BD181" i="95"/>
  <c r="BF181" i="95" s="1"/>
  <c r="BK181" i="95"/>
  <c r="BO181" i="95" s="1"/>
  <c r="BD185" i="95"/>
  <c r="BF185" i="95" s="1"/>
  <c r="BK185" i="95"/>
  <c r="BD189" i="95"/>
  <c r="BF189" i="95" s="1"/>
  <c r="BK189" i="95"/>
  <c r="BL189" i="95" s="1"/>
  <c r="BD194" i="95"/>
  <c r="BE194" i="95" s="1"/>
  <c r="BK194" i="95"/>
  <c r="BL194" i="95" s="1"/>
  <c r="BD197" i="95"/>
  <c r="BE197" i="95" s="1"/>
  <c r="BK197" i="95"/>
  <c r="BO197" i="95" s="1"/>
  <c r="BD201" i="95"/>
  <c r="BH201" i="95" s="1"/>
  <c r="BK201" i="95"/>
  <c r="BO201" i="95" s="1"/>
  <c r="BD206" i="95"/>
  <c r="BE206" i="95" s="1"/>
  <c r="BK206" i="95"/>
  <c r="BO206" i="95" s="1"/>
  <c r="BD210" i="95"/>
  <c r="BE210" i="95" s="1"/>
  <c r="BK210" i="95"/>
  <c r="BP210" i="95" s="1"/>
  <c r="BD211" i="95"/>
  <c r="BK211" i="95"/>
  <c r="BL211" i="95" s="1"/>
  <c r="BD212" i="95"/>
  <c r="BK212" i="95"/>
  <c r="BD213" i="95"/>
  <c r="BK213" i="95"/>
  <c r="BD214" i="95"/>
  <c r="BK214" i="95"/>
  <c r="BP214" i="95" s="1"/>
  <c r="BD217" i="95"/>
  <c r="BI217" i="95" s="1"/>
  <c r="BK217" i="95"/>
  <c r="BL217" i="95" s="1"/>
  <c r="BD220" i="95"/>
  <c r="BH220" i="95" s="1"/>
  <c r="BK220" i="95"/>
  <c r="BL220" i="95" s="1"/>
  <c r="AW153" i="95"/>
  <c r="AW158" i="95"/>
  <c r="AW161" i="95"/>
  <c r="AX161" i="95" s="1"/>
  <c r="AW165" i="95"/>
  <c r="AX165" i="95" s="1"/>
  <c r="AW168" i="95"/>
  <c r="AX168" i="95" s="1"/>
  <c r="AW171" i="95"/>
  <c r="BB171" i="95" s="1"/>
  <c r="AW176" i="95"/>
  <c r="AZ176" i="95" s="1"/>
  <c r="AW181" i="95"/>
  <c r="AX181" i="95" s="1"/>
  <c r="AW185" i="95"/>
  <c r="AX185" i="95" s="1"/>
  <c r="AW189" i="95"/>
  <c r="AX189" i="95" s="1"/>
  <c r="AW194" i="95"/>
  <c r="AZ194" i="95" s="1"/>
  <c r="AW197" i="95"/>
  <c r="AX197" i="95" s="1"/>
  <c r="AW201" i="95"/>
  <c r="AZ201" i="95" s="1"/>
  <c r="AW206" i="95"/>
  <c r="AX206" i="95" s="1"/>
  <c r="AW210" i="95"/>
  <c r="AX210" i="95" s="1"/>
  <c r="AW211" i="95"/>
  <c r="AX211" i="95" s="1"/>
  <c r="AW212" i="95"/>
  <c r="AW213" i="95"/>
  <c r="AW214" i="95"/>
  <c r="AX214" i="95" s="1"/>
  <c r="AW217" i="95"/>
  <c r="AZ217" i="95" s="1"/>
  <c r="AW220" i="95"/>
  <c r="BB220" i="95" s="1"/>
  <c r="AP153" i="95"/>
  <c r="AR153" i="95" s="1"/>
  <c r="AP158" i="95"/>
  <c r="AR158" i="95" s="1"/>
  <c r="AP161" i="95"/>
  <c r="AR161" i="95" s="1"/>
  <c r="AP165" i="95"/>
  <c r="AR165" i="95" s="1"/>
  <c r="AP168" i="95"/>
  <c r="AQ168" i="95" s="1"/>
  <c r="AP171" i="95"/>
  <c r="AT171" i="95" s="1"/>
  <c r="AP176" i="95"/>
  <c r="AS176" i="95" s="1"/>
  <c r="AP181" i="95"/>
  <c r="AU181" i="95" s="1"/>
  <c r="AP185" i="95"/>
  <c r="AU185" i="95" s="1"/>
  <c r="AP189" i="95"/>
  <c r="AU189" i="95" s="1"/>
  <c r="AP194" i="95"/>
  <c r="AR194" i="95" s="1"/>
  <c r="AP197" i="95"/>
  <c r="AU197" i="95" s="1"/>
  <c r="AP201" i="95"/>
  <c r="AS201" i="95" s="1"/>
  <c r="AP206" i="95"/>
  <c r="AU206" i="95" s="1"/>
  <c r="AP210" i="95"/>
  <c r="AQ210" i="95" s="1"/>
  <c r="AP211" i="95"/>
  <c r="AP212" i="95"/>
  <c r="AP213" i="95"/>
  <c r="AQ213" i="95" s="1"/>
  <c r="AP214" i="95"/>
  <c r="AU214" i="95" s="1"/>
  <c r="AP217" i="95"/>
  <c r="AS217" i="95" s="1"/>
  <c r="AP220" i="95"/>
  <c r="AT220" i="95" s="1"/>
  <c r="AA209" i="95"/>
  <c r="AA208" i="95"/>
  <c r="AA207" i="95"/>
  <c r="AA205" i="95"/>
  <c r="AA204" i="95"/>
  <c r="AA203" i="95"/>
  <c r="AA202" i="95"/>
  <c r="AA200" i="95"/>
  <c r="AA198" i="95"/>
  <c r="AA196" i="95"/>
  <c r="AA195" i="95"/>
  <c r="AA193" i="95"/>
  <c r="AA192" i="95"/>
  <c r="AA191" i="95"/>
  <c r="AA190" i="95"/>
  <c r="AA188" i="95"/>
  <c r="AA187" i="95"/>
  <c r="AA186" i="95"/>
  <c r="AA184" i="95"/>
  <c r="AA183" i="95"/>
  <c r="AA182" i="95"/>
  <c r="AA180" i="95"/>
  <c r="AA179" i="95"/>
  <c r="AA178" i="95"/>
  <c r="AA177" i="95"/>
  <c r="AA173" i="95"/>
  <c r="AA174" i="95"/>
  <c r="AA175" i="95"/>
  <c r="AA172" i="95"/>
  <c r="AA170" i="95"/>
  <c r="AA169" i="95"/>
  <c r="AA223" i="95"/>
  <c r="AA222" i="95"/>
  <c r="AA221" i="95"/>
  <c r="AA219" i="95"/>
  <c r="AA218" i="95"/>
  <c r="AA216" i="95"/>
  <c r="AA215" i="95"/>
  <c r="AA213" i="95"/>
  <c r="AA212" i="95"/>
  <c r="AA211" i="95"/>
  <c r="AA164" i="95"/>
  <c r="AA163" i="95"/>
  <c r="AA162" i="95"/>
  <c r="AB159" i="95"/>
  <c r="AA156" i="95"/>
  <c r="AA155" i="95"/>
  <c r="AA154" i="95"/>
  <c r="Q220" i="95"/>
  <c r="Q217" i="95"/>
  <c r="Q210" i="95"/>
  <c r="Q201" i="95"/>
  <c r="Q194" i="95"/>
  <c r="Q185" i="95"/>
  <c r="Q176" i="95"/>
  <c r="Q171" i="95"/>
  <c r="Q168" i="95"/>
  <c r="Q161" i="95"/>
  <c r="CF220" i="95"/>
  <c r="CI220" i="95" s="1"/>
  <c r="CF217" i="95"/>
  <c r="CH217" i="95" s="1"/>
  <c r="CF197" i="95"/>
  <c r="CI197" i="95" s="1"/>
  <c r="CF185" i="95"/>
  <c r="CG185" i="95" s="1"/>
  <c r="CF181" i="95"/>
  <c r="CI181" i="95" s="1"/>
  <c r="CF176" i="95"/>
  <c r="CF168" i="95"/>
  <c r="CG168" i="95" s="1"/>
  <c r="B286" i="95"/>
  <c r="BJ281" i="89" l="1"/>
  <c r="AV281" i="89"/>
  <c r="AO281" i="89"/>
  <c r="AH281" i="89"/>
  <c r="AV285" i="89"/>
  <c r="AO285" i="89"/>
  <c r="AH285" i="89"/>
  <c r="BJ285" i="89"/>
  <c r="AV289" i="89"/>
  <c r="AO289" i="89"/>
  <c r="AH289" i="89"/>
  <c r="BJ289" i="89"/>
  <c r="BK338" i="87"/>
  <c r="AI338" i="87"/>
  <c r="AW338" i="87"/>
  <c r="AB338" i="87"/>
  <c r="AP338" i="87"/>
  <c r="AV264" i="89"/>
  <c r="BJ264" i="89"/>
  <c r="AO264" i="89"/>
  <c r="AH264" i="89"/>
  <c r="AH268" i="89"/>
  <c r="AO268" i="89"/>
  <c r="AV268" i="89"/>
  <c r="BJ268" i="89"/>
  <c r="AH272" i="89"/>
  <c r="AO272" i="89"/>
  <c r="BJ272" i="89"/>
  <c r="AV272" i="89"/>
  <c r="AH302" i="89"/>
  <c r="AO302" i="89"/>
  <c r="AV302" i="89"/>
  <c r="BJ302" i="89"/>
  <c r="AH306" i="89"/>
  <c r="AO306" i="89"/>
  <c r="AO298" i="89" s="1"/>
  <c r="BJ306" i="89"/>
  <c r="BJ298" i="89" s="1"/>
  <c r="AV306" i="89"/>
  <c r="AV298" i="89" s="1"/>
  <c r="AV332" i="89"/>
  <c r="BJ332" i="89"/>
  <c r="AO332" i="89"/>
  <c r="AH332" i="89"/>
  <c r="AH336" i="89"/>
  <c r="AO336" i="89"/>
  <c r="BJ336" i="89"/>
  <c r="AV336" i="89"/>
  <c r="AV345" i="89"/>
  <c r="AO345" i="89"/>
  <c r="BJ345" i="89"/>
  <c r="AH345" i="89"/>
  <c r="BJ349" i="89"/>
  <c r="AO349" i="89"/>
  <c r="AV349" i="89"/>
  <c r="AH349" i="89"/>
  <c r="AV353" i="89"/>
  <c r="AO353" i="89"/>
  <c r="AO341" i="89" s="1"/>
  <c r="AH353" i="89"/>
  <c r="BJ353" i="89"/>
  <c r="AH255" i="88"/>
  <c r="AA255" i="88"/>
  <c r="AO255" i="88"/>
  <c r="AV255" i="88"/>
  <c r="BJ255" i="88"/>
  <c r="AV259" i="88"/>
  <c r="BJ259" i="88"/>
  <c r="AO259" i="88"/>
  <c r="AH259" i="88"/>
  <c r="AA259" i="88"/>
  <c r="BJ177" i="87"/>
  <c r="AV177" i="87"/>
  <c r="AO177" i="87"/>
  <c r="AH177" i="87"/>
  <c r="AA177" i="87"/>
  <c r="AH189" i="87"/>
  <c r="BJ189" i="87"/>
  <c r="AV189" i="87"/>
  <c r="AO189" i="87"/>
  <c r="AA189" i="87"/>
  <c r="AO185" i="87"/>
  <c r="AA185" i="87"/>
  <c r="AH185" i="87"/>
  <c r="BJ185" i="87"/>
  <c r="AV185" i="87"/>
  <c r="AV181" i="87"/>
  <c r="AA181" i="87"/>
  <c r="AH181" i="87"/>
  <c r="AO181" i="87"/>
  <c r="BJ181" i="87"/>
  <c r="AV287" i="87"/>
  <c r="AA287" i="87"/>
  <c r="AO287" i="87"/>
  <c r="BJ287" i="87"/>
  <c r="AH287" i="87"/>
  <c r="AV291" i="87"/>
  <c r="BJ291" i="87"/>
  <c r="AA291" i="87"/>
  <c r="AO291" i="87"/>
  <c r="AH291" i="87"/>
  <c r="AV295" i="87"/>
  <c r="AA295" i="87"/>
  <c r="AH295" i="87"/>
  <c r="AO295" i="87"/>
  <c r="BJ295" i="87"/>
  <c r="BJ299" i="87"/>
  <c r="AH299" i="87"/>
  <c r="AA299" i="87"/>
  <c r="AO299" i="87"/>
  <c r="AV299" i="87"/>
  <c r="AV249" i="87"/>
  <c r="AA249" i="87"/>
  <c r="AH249" i="87"/>
  <c r="AO249" i="87"/>
  <c r="BJ249" i="87"/>
  <c r="AV253" i="87"/>
  <c r="AO253" i="87"/>
  <c r="BJ253" i="87"/>
  <c r="AH253" i="87"/>
  <c r="AA253" i="87"/>
  <c r="AV258" i="87"/>
  <c r="BJ258" i="87"/>
  <c r="AO258" i="87"/>
  <c r="AA258" i="87"/>
  <c r="AH258" i="87"/>
  <c r="AV160" i="87"/>
  <c r="AA160" i="87"/>
  <c r="BJ160" i="87"/>
  <c r="AH160" i="87"/>
  <c r="AO160" i="87"/>
  <c r="AH164" i="87"/>
  <c r="BJ164" i="87"/>
  <c r="AV164" i="87"/>
  <c r="AA164" i="87"/>
  <c r="AO164" i="87"/>
  <c r="BJ315" i="89"/>
  <c r="AV315" i="89"/>
  <c r="AO315" i="89"/>
  <c r="AH168" i="87"/>
  <c r="AO168" i="87"/>
  <c r="AH315" i="89"/>
  <c r="AA168" i="87"/>
  <c r="AV168" i="87"/>
  <c r="BJ168" i="87"/>
  <c r="AV323" i="89"/>
  <c r="BJ198" i="87"/>
  <c r="AH198" i="87"/>
  <c r="AO323" i="89"/>
  <c r="AH323" i="89"/>
  <c r="BJ323" i="89"/>
  <c r="AA198" i="87"/>
  <c r="AO198" i="87"/>
  <c r="AV198" i="87"/>
  <c r="AH202" i="87"/>
  <c r="AO202" i="87"/>
  <c r="AA202" i="87"/>
  <c r="AV202" i="87"/>
  <c r="BJ202" i="87"/>
  <c r="AO206" i="87"/>
  <c r="AA206" i="87"/>
  <c r="AV206" i="87"/>
  <c r="AH206" i="87"/>
  <c r="BJ206" i="87"/>
  <c r="BJ210" i="87"/>
  <c r="AV210" i="87"/>
  <c r="AO210" i="87"/>
  <c r="AH210" i="87"/>
  <c r="AA210" i="87"/>
  <c r="AV219" i="87"/>
  <c r="AA219" i="87"/>
  <c r="AH219" i="87"/>
  <c r="BJ219" i="87"/>
  <c r="AO219" i="87"/>
  <c r="BJ223" i="87"/>
  <c r="AV223" i="87"/>
  <c r="AO223" i="87"/>
  <c r="AA223" i="87"/>
  <c r="AH223" i="87"/>
  <c r="BJ232" i="87"/>
  <c r="AH232" i="87"/>
  <c r="AA232" i="87"/>
  <c r="AO232" i="87"/>
  <c r="AV232" i="87"/>
  <c r="AV240" i="87"/>
  <c r="AA240" i="87"/>
  <c r="AO240" i="87"/>
  <c r="BJ240" i="87"/>
  <c r="AH240" i="87"/>
  <c r="BJ266" i="87"/>
  <c r="AH266" i="87"/>
  <c r="AA266" i="87"/>
  <c r="AO266" i="87"/>
  <c r="AV266" i="87"/>
  <c r="AH270" i="87"/>
  <c r="AO270" i="87"/>
  <c r="AA270" i="87"/>
  <c r="AV270" i="87"/>
  <c r="BJ270" i="87"/>
  <c r="AA275" i="87"/>
  <c r="AO275" i="87"/>
  <c r="AV275" i="87"/>
  <c r="BJ275" i="87"/>
  <c r="AH275" i="87"/>
  <c r="BJ279" i="87"/>
  <c r="AV279" i="87"/>
  <c r="AO279" i="87"/>
  <c r="AH279" i="87"/>
  <c r="AA279" i="87"/>
  <c r="AA308" i="87"/>
  <c r="AV308" i="87"/>
  <c r="BJ308" i="87"/>
  <c r="AO308" i="87"/>
  <c r="AH308" i="87"/>
  <c r="BJ312" i="87"/>
  <c r="AV312" i="87"/>
  <c r="AO312" i="87"/>
  <c r="AH312" i="87"/>
  <c r="AA312" i="87"/>
  <c r="AV316" i="87"/>
  <c r="AA316" i="87"/>
  <c r="AH316" i="87"/>
  <c r="AO316" i="87"/>
  <c r="BJ316" i="87"/>
  <c r="BO14" i="89"/>
  <c r="BO18" i="89"/>
  <c r="BO22" i="89"/>
  <c r="BO26" i="89"/>
  <c r="BO35" i="89"/>
  <c r="BO39" i="89"/>
  <c r="BO43" i="89"/>
  <c r="BO47" i="89"/>
  <c r="BO56" i="89"/>
  <c r="BO60" i="89"/>
  <c r="BO64" i="89"/>
  <c r="BO68" i="89"/>
  <c r="BO77" i="89"/>
  <c r="BO81" i="89"/>
  <c r="BO85" i="89"/>
  <c r="BO89" i="89"/>
  <c r="BO98" i="89"/>
  <c r="BO102" i="89"/>
  <c r="BO111" i="89"/>
  <c r="BO115" i="89"/>
  <c r="BO120" i="89"/>
  <c r="BO129" i="89"/>
  <c r="BO133" i="89"/>
  <c r="BO142" i="89"/>
  <c r="BO146" i="89"/>
  <c r="BO150" i="89"/>
  <c r="BO154" i="89"/>
  <c r="BO163" i="89"/>
  <c r="BO167" i="89"/>
  <c r="BO171" i="89"/>
  <c r="BO175" i="89"/>
  <c r="BO184" i="89"/>
  <c r="BO188" i="89"/>
  <c r="BO192" i="89"/>
  <c r="BO196" i="89"/>
  <c r="BO205" i="89"/>
  <c r="BO209" i="89"/>
  <c r="BO213" i="89"/>
  <c r="BO217" i="89"/>
  <c r="BO226" i="89"/>
  <c r="BO230" i="89"/>
  <c r="BO234" i="89"/>
  <c r="BO238" i="89"/>
  <c r="BO247" i="89"/>
  <c r="BO251" i="89"/>
  <c r="BO255" i="89"/>
  <c r="BO264" i="89"/>
  <c r="BO268" i="89"/>
  <c r="BO272" i="89"/>
  <c r="BO281" i="89"/>
  <c r="BO285" i="89"/>
  <c r="BO289" i="89"/>
  <c r="BO293" i="89"/>
  <c r="BO302" i="89"/>
  <c r="BO306" i="89"/>
  <c r="BO315" i="89"/>
  <c r="BO319" i="89"/>
  <c r="BO323" i="89"/>
  <c r="BO332" i="89"/>
  <c r="BO336" i="89"/>
  <c r="BO345" i="89"/>
  <c r="BO349" i="89"/>
  <c r="BO353" i="89"/>
  <c r="BO259" i="88"/>
  <c r="BO246" i="88"/>
  <c r="BO255" i="88"/>
  <c r="BO20" i="87"/>
  <c r="BO24" i="87"/>
  <c r="BO30" i="87"/>
  <c r="BO40" i="87"/>
  <c r="BO45" i="87"/>
  <c r="BO50" i="87"/>
  <c r="BO59" i="87"/>
  <c r="BO63" i="87"/>
  <c r="BO67" i="87"/>
  <c r="BO76" i="87"/>
  <c r="BO82" i="87"/>
  <c r="BO87" i="87"/>
  <c r="BO100" i="87"/>
  <c r="BO104" i="87"/>
  <c r="BO108" i="87"/>
  <c r="BO117" i="87"/>
  <c r="BO121" i="87"/>
  <c r="BO125" i="87"/>
  <c r="BO129" i="87"/>
  <c r="BO138" i="87"/>
  <c r="BO142" i="87"/>
  <c r="BO146" i="87"/>
  <c r="BO151" i="87"/>
  <c r="BO160" i="87"/>
  <c r="BO164" i="87"/>
  <c r="BO168" i="87"/>
  <c r="BO177" i="87"/>
  <c r="BO181" i="87"/>
  <c r="BO185" i="87"/>
  <c r="BO189" i="87"/>
  <c r="BO198" i="87"/>
  <c r="BO202" i="87"/>
  <c r="BO206" i="87"/>
  <c r="BO210" i="87"/>
  <c r="BO219" i="87"/>
  <c r="BO223" i="87"/>
  <c r="BO232" i="87"/>
  <c r="BO236" i="87"/>
  <c r="BO240" i="87"/>
  <c r="BO249" i="87"/>
  <c r="BO253" i="87"/>
  <c r="BO258" i="87"/>
  <c r="BO266" i="87"/>
  <c r="BO270" i="87"/>
  <c r="BO275" i="87"/>
  <c r="BO279" i="87"/>
  <c r="BO287" i="87"/>
  <c r="BO291" i="87"/>
  <c r="BO295" i="87"/>
  <c r="BO299" i="87"/>
  <c r="BO308" i="87"/>
  <c r="BO312" i="87"/>
  <c r="BO316" i="87"/>
  <c r="BO325" i="87"/>
  <c r="BO329" i="87"/>
  <c r="BO338" i="87"/>
  <c r="BO342" i="87"/>
  <c r="AA325" i="87"/>
  <c r="AV325" i="87"/>
  <c r="BJ325" i="87"/>
  <c r="AO325" i="87"/>
  <c r="AH325" i="87"/>
  <c r="AV329" i="87"/>
  <c r="AA329" i="87"/>
  <c r="AH329" i="87"/>
  <c r="AO329" i="87"/>
  <c r="BJ329" i="87"/>
  <c r="AH338" i="87"/>
  <c r="BJ338" i="87"/>
  <c r="AA338" i="87"/>
  <c r="AO338" i="87"/>
  <c r="AV338" i="87"/>
  <c r="AA342" i="87"/>
  <c r="AH342" i="87"/>
  <c r="BJ342" i="87"/>
  <c r="AO342" i="87"/>
  <c r="AV342" i="87"/>
  <c r="AC159" i="95"/>
  <c r="AB195" i="95"/>
  <c r="AB196" i="95"/>
  <c r="AA272" i="89"/>
  <c r="BO220" i="88"/>
  <c r="BP220" i="88" s="1"/>
  <c r="BO178" i="88"/>
  <c r="BP178" i="88" s="1"/>
  <c r="BO131" i="88"/>
  <c r="BP131" i="88" s="1"/>
  <c r="BO84" i="88"/>
  <c r="BP84" i="88" s="1"/>
  <c r="BO47" i="88"/>
  <c r="BP47" i="88" s="1"/>
  <c r="BO80" i="88"/>
  <c r="BP80" i="88" s="1"/>
  <c r="BO208" i="88"/>
  <c r="BP208" i="88" s="1"/>
  <c r="BO161" i="88"/>
  <c r="BP161" i="88" s="1"/>
  <c r="BO114" i="88"/>
  <c r="BP114" i="88" s="1"/>
  <c r="BO26" i="88"/>
  <c r="BP26" i="88" s="1"/>
  <c r="BO234" i="88"/>
  <c r="BP234" i="88" s="1"/>
  <c r="BO191" i="88"/>
  <c r="BP191" i="88" s="1"/>
  <c r="BO144" i="88"/>
  <c r="BP144" i="88" s="1"/>
  <c r="BO97" i="88"/>
  <c r="BP97" i="88" s="1"/>
  <c r="BO55" i="88"/>
  <c r="BP55" i="88" s="1"/>
  <c r="BO14" i="88"/>
  <c r="BP14" i="88" s="1"/>
  <c r="BO216" i="88"/>
  <c r="BP216" i="88" s="1"/>
  <c r="BO174" i="88"/>
  <c r="BP174" i="88" s="1"/>
  <c r="BO127" i="88"/>
  <c r="BP127" i="88" s="1"/>
  <c r="BO43" i="88"/>
  <c r="BP43" i="88" s="1"/>
  <c r="BO76" i="88"/>
  <c r="BP76" i="88" s="1"/>
  <c r="BO34" i="88"/>
  <c r="BP34" i="88" s="1"/>
  <c r="BO242" i="88"/>
  <c r="BP242" i="88" s="1"/>
  <c r="BO199" i="88"/>
  <c r="BP199" i="88" s="1"/>
  <c r="BO157" i="88"/>
  <c r="BP157" i="88" s="1"/>
  <c r="BO105" i="88"/>
  <c r="BP105" i="88" s="1"/>
  <c r="BO63" i="88"/>
  <c r="BP63" i="88" s="1"/>
  <c r="BO22" i="88"/>
  <c r="BP22" i="88" s="1"/>
  <c r="BO225" i="88"/>
  <c r="BP225" i="88" s="1"/>
  <c r="BO182" i="88"/>
  <c r="BP182" i="88" s="1"/>
  <c r="BO140" i="88"/>
  <c r="BP140" i="88" s="1"/>
  <c r="BO88" i="88"/>
  <c r="BP88" i="88" s="1"/>
  <c r="BO51" i="88"/>
  <c r="BP51" i="88" s="1"/>
  <c r="BO212" i="88"/>
  <c r="BP212" i="88" s="1"/>
  <c r="BO165" i="88"/>
  <c r="BP165" i="88" s="1"/>
  <c r="BO118" i="88"/>
  <c r="BP118" i="88" s="1"/>
  <c r="BO18" i="88"/>
  <c r="BP18" i="88" s="1"/>
  <c r="BO72" i="88"/>
  <c r="BP72" i="88" s="1"/>
  <c r="BO30" i="88"/>
  <c r="BP30" i="88" s="1"/>
  <c r="BO238" i="88"/>
  <c r="BP238" i="88" s="1"/>
  <c r="BO195" i="88"/>
  <c r="BP195" i="88" s="1"/>
  <c r="BO148" i="88"/>
  <c r="BP148" i="88" s="1"/>
  <c r="BO101" i="88"/>
  <c r="BP101" i="88" s="1"/>
  <c r="BO59" i="88"/>
  <c r="BP59" i="88" s="1"/>
  <c r="AA268" i="89"/>
  <c r="AA264" i="89"/>
  <c r="AY213" i="95"/>
  <c r="AA336" i="89"/>
  <c r="AA345" i="89"/>
  <c r="AA281" i="89"/>
  <c r="AA353" i="89"/>
  <c r="AA285" i="89"/>
  <c r="AA315" i="89"/>
  <c r="AB156" i="95"/>
  <c r="AA289" i="89"/>
  <c r="AB190" i="95"/>
  <c r="AA323" i="89"/>
  <c r="AA349" i="89"/>
  <c r="AB218" i="95"/>
  <c r="AA332" i="89"/>
  <c r="AA328" i="89" s="1"/>
  <c r="AB200" i="95"/>
  <c r="AB215" i="95"/>
  <c r="AA302" i="89"/>
  <c r="AA306" i="89"/>
  <c r="CD217" i="95"/>
  <c r="BL181" i="95"/>
  <c r="BH165" i="95"/>
  <c r="AR212" i="95"/>
  <c r="BI194" i="95"/>
  <c r="BO158" i="95"/>
  <c r="BL161" i="95"/>
  <c r="AS206" i="95"/>
  <c r="AT210" i="95"/>
  <c r="AT197" i="95"/>
  <c r="AS210" i="95"/>
  <c r="AS197" i="95"/>
  <c r="CC217" i="95"/>
  <c r="CA217" i="95"/>
  <c r="AS168" i="95"/>
  <c r="AR197" i="95"/>
  <c r="AS181" i="95"/>
  <c r="BN201" i="95"/>
  <c r="AT185" i="95"/>
  <c r="AR181" i="95"/>
  <c r="AQ185" i="95"/>
  <c r="AQ181" i="95"/>
  <c r="AR210" i="95"/>
  <c r="AR206" i="95"/>
  <c r="AU161" i="95"/>
  <c r="BA217" i="95"/>
  <c r="BH194" i="95"/>
  <c r="BG171" i="95"/>
  <c r="BB168" i="95"/>
  <c r="BG194" i="95"/>
  <c r="AY211" i="95"/>
  <c r="BH181" i="95"/>
  <c r="AR168" i="95"/>
  <c r="BL197" i="95"/>
  <c r="CD220" i="95"/>
  <c r="AX213" i="95"/>
  <c r="CC220" i="95"/>
  <c r="AT217" i="95"/>
  <c r="AQ206" i="95"/>
  <c r="AT201" i="95"/>
  <c r="CA220" i="95"/>
  <c r="CB217" i="95"/>
  <c r="AU220" i="95"/>
  <c r="AR217" i="95"/>
  <c r="AR201" i="95"/>
  <c r="AX217" i="95"/>
  <c r="BA201" i="95"/>
  <c r="BB176" i="95"/>
  <c r="BH217" i="95"/>
  <c r="BZ220" i="95"/>
  <c r="AR220" i="95"/>
  <c r="AQ217" i="95"/>
  <c r="AU165" i="95"/>
  <c r="BA176" i="95"/>
  <c r="BA168" i="95"/>
  <c r="BG217" i="95"/>
  <c r="BN206" i="95"/>
  <c r="BO176" i="95"/>
  <c r="CA171" i="95"/>
  <c r="AS185" i="95"/>
  <c r="AT165" i="95"/>
  <c r="AS161" i="95"/>
  <c r="BA220" i="95"/>
  <c r="AY176" i="95"/>
  <c r="AZ168" i="95"/>
  <c r="BM206" i="95"/>
  <c r="BM176" i="95"/>
  <c r="AR185" i="95"/>
  <c r="AT168" i="95"/>
  <c r="AS165" i="95"/>
  <c r="AQ161" i="95"/>
  <c r="AY220" i="95"/>
  <c r="AX176" i="95"/>
  <c r="BA171" i="95"/>
  <c r="AY168" i="95"/>
  <c r="BL206" i="95"/>
  <c r="AY171" i="95"/>
  <c r="AB175" i="95"/>
  <c r="AB174" i="95"/>
  <c r="AB178" i="95"/>
  <c r="AB180" i="95"/>
  <c r="CF158" i="95"/>
  <c r="CH158" i="95" s="1"/>
  <c r="CF211" i="95"/>
  <c r="CF212" i="95"/>
  <c r="CF206" i="95"/>
  <c r="CK206" i="95" s="1"/>
  <c r="CF165" i="95"/>
  <c r="CG165" i="95" s="1"/>
  <c r="CF161" i="95"/>
  <c r="CH161" i="95" s="1"/>
  <c r="CF153" i="95"/>
  <c r="CH153" i="95" s="1"/>
  <c r="CF214" i="95"/>
  <c r="CJ214" i="95" s="1"/>
  <c r="CF18" i="95"/>
  <c r="CG18" i="95" s="1"/>
  <c r="AT214" i="95"/>
  <c r="AT189" i="95"/>
  <c r="BF214" i="95"/>
  <c r="BE214" i="95"/>
  <c r="BL185" i="95"/>
  <c r="BO185" i="95"/>
  <c r="BM185" i="95"/>
  <c r="BE158" i="95"/>
  <c r="BH158" i="95"/>
  <c r="BI158" i="95"/>
  <c r="BF158" i="95"/>
  <c r="CF210" i="95"/>
  <c r="CH210" i="95" s="1"/>
  <c r="CF213" i="95"/>
  <c r="CH213" i="95" s="1"/>
  <c r="AS214" i="95"/>
  <c r="AS189" i="95"/>
  <c r="AU176" i="95"/>
  <c r="AX153" i="95"/>
  <c r="BA153" i="95"/>
  <c r="AR214" i="95"/>
  <c r="AR189" i="95"/>
  <c r="AT176" i="95"/>
  <c r="BM165" i="95"/>
  <c r="BL165" i="95"/>
  <c r="CF194" i="95"/>
  <c r="CI194" i="95" s="1"/>
  <c r="AB160" i="95"/>
  <c r="AB173" i="95"/>
  <c r="AB179" i="95"/>
  <c r="AQ214" i="95"/>
  <c r="AU210" i="95"/>
  <c r="AQ189" i="95"/>
  <c r="AR176" i="95"/>
  <c r="AU171" i="95"/>
  <c r="AU168" i="95"/>
  <c r="AQ176" i="95"/>
  <c r="AR171" i="95"/>
  <c r="AY158" i="95"/>
  <c r="AX158" i="95"/>
  <c r="BE153" i="95"/>
  <c r="BI153" i="95"/>
  <c r="BH153" i="95"/>
  <c r="AT206" i="95"/>
  <c r="AQ201" i="95"/>
  <c r="AQ197" i="95"/>
  <c r="AT181" i="95"/>
  <c r="AQ165" i="95"/>
  <c r="CC201" i="95"/>
  <c r="CA201" i="95"/>
  <c r="AT161" i="95"/>
  <c r="AZ220" i="95"/>
  <c r="AY217" i="95"/>
  <c r="AZ171" i="95"/>
  <c r="BM197" i="95"/>
  <c r="BM181" i="95"/>
  <c r="BB201" i="95"/>
  <c r="AY194" i="95"/>
  <c r="BI220" i="95"/>
  <c r="BF217" i="95"/>
  <c r="BO214" i="95"/>
  <c r="BO210" i="95"/>
  <c r="BG201" i="95"/>
  <c r="BH176" i="95"/>
  <c r="BF165" i="95"/>
  <c r="BH161" i="95"/>
  <c r="AU153" i="95"/>
  <c r="AX194" i="95"/>
  <c r="BG220" i="95"/>
  <c r="BE217" i="95"/>
  <c r="BN214" i="95"/>
  <c r="BE213" i="95"/>
  <c r="BN210" i="95"/>
  <c r="BF201" i="95"/>
  <c r="BF194" i="95"/>
  <c r="AS153" i="95"/>
  <c r="AY201" i="95"/>
  <c r="BF220" i="95"/>
  <c r="BM214" i="95"/>
  <c r="BM210" i="95"/>
  <c r="BE201" i="95"/>
  <c r="BL153" i="95"/>
  <c r="AQ153" i="95"/>
  <c r="BB217" i="95"/>
  <c r="AX201" i="95"/>
  <c r="BE220" i="95"/>
  <c r="BL214" i="95"/>
  <c r="BL210" i="95"/>
  <c r="CD214" i="95"/>
  <c r="CC171" i="95"/>
  <c r="BN197" i="95"/>
  <c r="CG217" i="95"/>
  <c r="CI168" i="95"/>
  <c r="CK220" i="95"/>
  <c r="CH220" i="95"/>
  <c r="CI185" i="95"/>
  <c r="CH181" i="95"/>
  <c r="CG220" i="95"/>
  <c r="CH185" i="95"/>
  <c r="CK217" i="95"/>
  <c r="CJ217" i="95"/>
  <c r="CJ168" i="95"/>
  <c r="CJ197" i="95"/>
  <c r="CK197" i="95"/>
  <c r="CG197" i="95"/>
  <c r="CH197" i="95"/>
  <c r="CJ176" i="95"/>
  <c r="CK176" i="95"/>
  <c r="CG176" i="95"/>
  <c r="CH176" i="95"/>
  <c r="CI176" i="95"/>
  <c r="CJ220" i="95"/>
  <c r="CI217" i="95"/>
  <c r="CK185" i="95"/>
  <c r="CG181" i="95"/>
  <c r="CJ185" i="95"/>
  <c r="CK168" i="95"/>
  <c r="CK181" i="95"/>
  <c r="CH168" i="95"/>
  <c r="CJ181" i="95"/>
  <c r="AB163" i="95"/>
  <c r="AB183" i="95"/>
  <c r="AB207" i="95"/>
  <c r="AB209" i="95"/>
  <c r="AB223" i="95"/>
  <c r="AB169" i="95"/>
  <c r="AB170" i="95"/>
  <c r="AB164" i="95"/>
  <c r="AB184" i="95"/>
  <c r="AB208" i="95"/>
  <c r="AB211" i="95"/>
  <c r="AB221" i="95"/>
  <c r="AB205" i="95"/>
  <c r="AB212" i="95"/>
  <c r="AB203" i="95"/>
  <c r="AB219" i="95"/>
  <c r="AB222" i="95"/>
  <c r="AB166" i="95"/>
  <c r="AB191" i="95"/>
  <c r="AR213" i="95"/>
  <c r="CA212" i="95"/>
  <c r="AB162" i="95"/>
  <c r="AB213" i="95"/>
  <c r="AB167" i="95"/>
  <c r="AB182" i="95"/>
  <c r="AB192" i="95"/>
  <c r="AY212" i="95"/>
  <c r="BM211" i="95"/>
  <c r="AB155" i="95"/>
  <c r="AB172" i="95"/>
  <c r="AB177" i="95"/>
  <c r="AB193" i="95"/>
  <c r="BM212" i="95"/>
  <c r="AB216" i="95"/>
  <c r="AB186" i="95"/>
  <c r="AB202" i="95"/>
  <c r="BY5" i="95"/>
  <c r="AB187" i="95"/>
  <c r="BF213" i="95"/>
  <c r="CA213" i="95"/>
  <c r="AB188" i="95"/>
  <c r="AB198" i="95"/>
  <c r="AB204" i="95"/>
  <c r="AR211" i="95"/>
  <c r="CA211" i="95"/>
  <c r="BF211" i="95"/>
  <c r="CB214" i="95"/>
  <c r="BZ176" i="95"/>
  <c r="CA176" i="95"/>
  <c r="CB176" i="95"/>
  <c r="CD176" i="95"/>
  <c r="BZ214" i="95"/>
  <c r="CB206" i="95"/>
  <c r="CD206" i="95"/>
  <c r="BZ206" i="95"/>
  <c r="CB197" i="95"/>
  <c r="CD197" i="95"/>
  <c r="BZ197" i="95"/>
  <c r="CB185" i="95"/>
  <c r="CC185" i="95"/>
  <c r="CD185" i="95"/>
  <c r="BZ185" i="95"/>
  <c r="CB153" i="95"/>
  <c r="CC153" i="95"/>
  <c r="CD153" i="95"/>
  <c r="BZ153" i="95"/>
  <c r="BZ211" i="95"/>
  <c r="CC210" i="95"/>
  <c r="CB181" i="95"/>
  <c r="CC181" i="95"/>
  <c r="CD181" i="95"/>
  <c r="BZ181" i="95"/>
  <c r="BZ168" i="95"/>
  <c r="CA168" i="95"/>
  <c r="CB168" i="95"/>
  <c r="CD168" i="95"/>
  <c r="CB165" i="95"/>
  <c r="CC165" i="95"/>
  <c r="CD165" i="95"/>
  <c r="BZ165" i="95"/>
  <c r="CC158" i="95"/>
  <c r="CD194" i="95"/>
  <c r="BZ194" i="95"/>
  <c r="CB194" i="95"/>
  <c r="CD158" i="95"/>
  <c r="BZ158" i="95"/>
  <c r="CB158" i="95"/>
  <c r="CB210" i="95"/>
  <c r="CD210" i="95"/>
  <c r="BZ210" i="95"/>
  <c r="CB161" i="95"/>
  <c r="CC161" i="95"/>
  <c r="CD161" i="95"/>
  <c r="BZ161" i="95"/>
  <c r="CC214" i="95"/>
  <c r="CC176" i="95"/>
  <c r="CB189" i="95"/>
  <c r="CC189" i="95"/>
  <c r="CD189" i="95"/>
  <c r="BZ189" i="95"/>
  <c r="CA206" i="95"/>
  <c r="BZ201" i="95"/>
  <c r="CB201" i="95"/>
  <c r="CD201" i="95"/>
  <c r="CA197" i="95"/>
  <c r="CC194" i="95"/>
  <c r="CA185" i="95"/>
  <c r="CA153" i="95"/>
  <c r="CD171" i="95"/>
  <c r="CB171" i="95"/>
  <c r="BL213" i="95"/>
  <c r="BM213" i="95"/>
  <c r="BE212" i="95"/>
  <c r="BF212" i="95"/>
  <c r="BE185" i="95"/>
  <c r="BG185" i="95"/>
  <c r="BI185" i="95"/>
  <c r="BH185" i="95"/>
  <c r="BP220" i="95"/>
  <c r="BP217" i="95"/>
  <c r="BL212" i="95"/>
  <c r="BE211" i="95"/>
  <c r="BN220" i="95"/>
  <c r="BM220" i="95"/>
  <c r="BN217" i="95"/>
  <c r="BH214" i="95"/>
  <c r="BH210" i="95"/>
  <c r="BP201" i="95"/>
  <c r="BO220" i="95"/>
  <c r="BF206" i="95"/>
  <c r="BG206" i="95"/>
  <c r="BI206" i="95"/>
  <c r="BO217" i="95"/>
  <c r="BM194" i="95"/>
  <c r="BN194" i="95"/>
  <c r="BO194" i="95"/>
  <c r="BP194" i="95"/>
  <c r="BM217" i="95"/>
  <c r="BF197" i="95"/>
  <c r="BG197" i="95"/>
  <c r="BH197" i="95"/>
  <c r="BI197" i="95"/>
  <c r="BL171" i="95"/>
  <c r="BN171" i="95"/>
  <c r="BM171" i="95"/>
  <c r="BO171" i="95"/>
  <c r="BP171" i="95"/>
  <c r="BF210" i="95"/>
  <c r="BG210" i="95"/>
  <c r="BI210" i="95"/>
  <c r="BG214" i="95"/>
  <c r="BI214" i="95"/>
  <c r="BL201" i="95"/>
  <c r="BM201" i="95"/>
  <c r="BH206" i="95"/>
  <c r="BN189" i="95"/>
  <c r="BP189" i="95"/>
  <c r="BM189" i="95"/>
  <c r="BO189" i="95"/>
  <c r="BH189" i="95"/>
  <c r="BN168" i="95"/>
  <c r="BN181" i="95"/>
  <c r="BP181" i="95"/>
  <c r="BP176" i="95"/>
  <c r="BL176" i="95"/>
  <c r="BH171" i="95"/>
  <c r="BI171" i="95"/>
  <c r="BE171" i="95"/>
  <c r="BE189" i="95"/>
  <c r="BG189" i="95"/>
  <c r="BI189" i="95"/>
  <c r="BO168" i="95"/>
  <c r="BP168" i="95"/>
  <c r="BL168" i="95"/>
  <c r="BP206" i="95"/>
  <c r="BI201" i="95"/>
  <c r="BP197" i="95"/>
  <c r="BF176" i="95"/>
  <c r="BN185" i="95"/>
  <c r="BP185" i="95"/>
  <c r="BE181" i="95"/>
  <c r="BG181" i="95"/>
  <c r="BI181" i="95"/>
  <c r="BF168" i="95"/>
  <c r="BG168" i="95"/>
  <c r="BH168" i="95"/>
  <c r="BI168" i="95"/>
  <c r="BG176" i="95"/>
  <c r="BI176" i="95"/>
  <c r="BI165" i="95"/>
  <c r="BI161" i="95"/>
  <c r="BP158" i="95"/>
  <c r="BG158" i="95"/>
  <c r="BP165" i="95"/>
  <c r="BG165" i="95"/>
  <c r="BP161" i="95"/>
  <c r="BG161" i="95"/>
  <c r="BN158" i="95"/>
  <c r="BP153" i="95"/>
  <c r="BG153" i="95"/>
  <c r="BO165" i="95"/>
  <c r="BO161" i="95"/>
  <c r="BF161" i="95"/>
  <c r="BM158" i="95"/>
  <c r="BO153" i="95"/>
  <c r="BF153" i="95"/>
  <c r="BN165" i="95"/>
  <c r="BN161" i="95"/>
  <c r="BN153" i="95"/>
  <c r="AX220" i="95"/>
  <c r="BB214" i="95"/>
  <c r="AX212" i="95"/>
  <c r="BB210" i="95"/>
  <c r="BB206" i="95"/>
  <c r="BB197" i="95"/>
  <c r="BB189" i="95"/>
  <c r="BB185" i="95"/>
  <c r="BB181" i="95"/>
  <c r="AX171" i="95"/>
  <c r="BB165" i="95"/>
  <c r="BB161" i="95"/>
  <c r="BB153" i="95"/>
  <c r="BA197" i="95"/>
  <c r="BA181" i="95"/>
  <c r="BA185" i="95"/>
  <c r="AZ214" i="95"/>
  <c r="AZ210" i="95"/>
  <c r="AZ206" i="95"/>
  <c r="AZ197" i="95"/>
  <c r="BB194" i="95"/>
  <c r="AZ189" i="95"/>
  <c r="AZ185" i="95"/>
  <c r="AZ181" i="95"/>
  <c r="AZ165" i="95"/>
  <c r="AZ161" i="95"/>
  <c r="BB158" i="95"/>
  <c r="AZ153" i="95"/>
  <c r="BA214" i="95"/>
  <c r="BA210" i="95"/>
  <c r="BA206" i="95"/>
  <c r="BA189" i="95"/>
  <c r="BA165" i="95"/>
  <c r="BA161" i="95"/>
  <c r="AY214" i="95"/>
  <c r="AY210" i="95"/>
  <c r="AY206" i="95"/>
  <c r="AY197" i="95"/>
  <c r="BA194" i="95"/>
  <c r="AY189" i="95"/>
  <c r="AY185" i="95"/>
  <c r="AY181" i="95"/>
  <c r="AY165" i="95"/>
  <c r="AY161" i="95"/>
  <c r="BA158" i="95"/>
  <c r="AY153" i="95"/>
  <c r="AZ158" i="95"/>
  <c r="AS194" i="95"/>
  <c r="AS220" i="95"/>
  <c r="AU217" i="95"/>
  <c r="AQ211" i="95"/>
  <c r="AU201" i="95"/>
  <c r="AQ194" i="95"/>
  <c r="AS171" i="95"/>
  <c r="AQ158" i="95"/>
  <c r="AQ220" i="95"/>
  <c r="AQ212" i="95"/>
  <c r="AQ171" i="95"/>
  <c r="AT153" i="95"/>
  <c r="AU194" i="95"/>
  <c r="AU158" i="95"/>
  <c r="AT194" i="95"/>
  <c r="AT158" i="95"/>
  <c r="AS158" i="95"/>
  <c r="CF201" i="95"/>
  <c r="CH201" i="95" s="1"/>
  <c r="CF189" i="95"/>
  <c r="Q181" i="95"/>
  <c r="Q189" i="95"/>
  <c r="CF171" i="95"/>
  <c r="AW275" i="87" l="1"/>
  <c r="BK275" i="87"/>
  <c r="AP275" i="87"/>
  <c r="AI275" i="87"/>
  <c r="AB275" i="87"/>
  <c r="AP232" i="87"/>
  <c r="AB232" i="87"/>
  <c r="AI232" i="87"/>
  <c r="AW232" i="87"/>
  <c r="BK232" i="87"/>
  <c r="BK315" i="89"/>
  <c r="AI168" i="87"/>
  <c r="AW168" i="87"/>
  <c r="AI315" i="89"/>
  <c r="AW315" i="89"/>
  <c r="AP315" i="89"/>
  <c r="AB168" i="87"/>
  <c r="AP168" i="87"/>
  <c r="BK168" i="87"/>
  <c r="AP164" i="87"/>
  <c r="BK164" i="87"/>
  <c r="AW164" i="87"/>
  <c r="AB164" i="87"/>
  <c r="AI164" i="87"/>
  <c r="AW266" i="87"/>
  <c r="AP266" i="87"/>
  <c r="AI266" i="87"/>
  <c r="AB266" i="87"/>
  <c r="BK266" i="87"/>
  <c r="BK160" i="87"/>
  <c r="BK156" i="87" s="1"/>
  <c r="AB160" i="87"/>
  <c r="AB156" i="87" s="1"/>
  <c r="AI160" i="87"/>
  <c r="AI156" i="87" s="1"/>
  <c r="AW160" i="87"/>
  <c r="AW156" i="87" s="1"/>
  <c r="AP160" i="87"/>
  <c r="AP156" i="87" s="1"/>
  <c r="AP306" i="89"/>
  <c r="BK306" i="89"/>
  <c r="AW306" i="89"/>
  <c r="AI306" i="89"/>
  <c r="AB210" i="87"/>
  <c r="AI210" i="87"/>
  <c r="AP210" i="87"/>
  <c r="AW210" i="87"/>
  <c r="BK210" i="87"/>
  <c r="AP287" i="87"/>
  <c r="BK287" i="87"/>
  <c r="AB287" i="87"/>
  <c r="AW287" i="87"/>
  <c r="AI287" i="87"/>
  <c r="AB177" i="87"/>
  <c r="AI177" i="87"/>
  <c r="AP177" i="87"/>
  <c r="AW177" i="87"/>
  <c r="BK177" i="87"/>
  <c r="AW285" i="89"/>
  <c r="BK285" i="89"/>
  <c r="AP285" i="89"/>
  <c r="AI285" i="89"/>
  <c r="AW206" i="87"/>
  <c r="BK206" i="87"/>
  <c r="AP206" i="87"/>
  <c r="AI206" i="87"/>
  <c r="AB206" i="87"/>
  <c r="AB249" i="87"/>
  <c r="AI249" i="87"/>
  <c r="AP249" i="87"/>
  <c r="AW249" i="87"/>
  <c r="BK249" i="87"/>
  <c r="AW329" i="87"/>
  <c r="BK329" i="87"/>
  <c r="AB329" i="87"/>
  <c r="AI329" i="87"/>
  <c r="AP329" i="87"/>
  <c r="AW264" i="89"/>
  <c r="BK264" i="89"/>
  <c r="AP264" i="89"/>
  <c r="AI264" i="89"/>
  <c r="BK281" i="89"/>
  <c r="AW281" i="89"/>
  <c r="AI281" i="89"/>
  <c r="AP281" i="89"/>
  <c r="AI202" i="87"/>
  <c r="AW202" i="87"/>
  <c r="AB202" i="87"/>
  <c r="AP202" i="87"/>
  <c r="BK202" i="87"/>
  <c r="AI325" i="87"/>
  <c r="AI321" i="87" s="1"/>
  <c r="AB325" i="87"/>
  <c r="AB321" i="87" s="1"/>
  <c r="AW325" i="87"/>
  <c r="AW321" i="87" s="1"/>
  <c r="BK325" i="87"/>
  <c r="BK321" i="87" s="1"/>
  <c r="AP325" i="87"/>
  <c r="AP321" i="87" s="1"/>
  <c r="AW349" i="89"/>
  <c r="AI349" i="89"/>
  <c r="BK349" i="89"/>
  <c r="AP349" i="89"/>
  <c r="BK336" i="89"/>
  <c r="AW336" i="89"/>
  <c r="AP336" i="89"/>
  <c r="AI336" i="89"/>
  <c r="AI270" i="87"/>
  <c r="AW270" i="87"/>
  <c r="AB270" i="87"/>
  <c r="AP270" i="87"/>
  <c r="BK270" i="87"/>
  <c r="AB279" i="87"/>
  <c r="AI279" i="87"/>
  <c r="AP279" i="87"/>
  <c r="AW279" i="87"/>
  <c r="BK279" i="87"/>
  <c r="AW345" i="89"/>
  <c r="AP345" i="89"/>
  <c r="BK345" i="89"/>
  <c r="AI345" i="89"/>
  <c r="AB312" i="87"/>
  <c r="AI312" i="87"/>
  <c r="AP312" i="87"/>
  <c r="AW312" i="87"/>
  <c r="BK312" i="87"/>
  <c r="AP258" i="87"/>
  <c r="AW258" i="87"/>
  <c r="BK258" i="87"/>
  <c r="AB258" i="87"/>
  <c r="AI258" i="87"/>
  <c r="AP272" i="89"/>
  <c r="BK272" i="89"/>
  <c r="AW272" i="89"/>
  <c r="AI272" i="89"/>
  <c r="AW259" i="88"/>
  <c r="BK259" i="88"/>
  <c r="AI259" i="88"/>
  <c r="AP259" i="88"/>
  <c r="AB259" i="88"/>
  <c r="AP255" i="88"/>
  <c r="AP251" i="88" s="1"/>
  <c r="AI255" i="88"/>
  <c r="AI251" i="88" s="1"/>
  <c r="AB255" i="88"/>
  <c r="AB251" i="88" s="1"/>
  <c r="AW255" i="88"/>
  <c r="AW251" i="88" s="1"/>
  <c r="BK255" i="88"/>
  <c r="BK251" i="88" s="1"/>
  <c r="AW353" i="89"/>
  <c r="BK353" i="89"/>
  <c r="AP353" i="89"/>
  <c r="AI353" i="89"/>
  <c r="AB316" i="87"/>
  <c r="AI316" i="87"/>
  <c r="AP316" i="87"/>
  <c r="AW316" i="87"/>
  <c r="BK316" i="87"/>
  <c r="AW308" i="87"/>
  <c r="AW304" i="87" s="1"/>
  <c r="BK308" i="87"/>
  <c r="BK304" i="87" s="1"/>
  <c r="AP308" i="87"/>
  <c r="AP304" i="87" s="1"/>
  <c r="AI308" i="87"/>
  <c r="AI304" i="87" s="1"/>
  <c r="AB308" i="87"/>
  <c r="AB304" i="87" s="1"/>
  <c r="BK253" i="87"/>
  <c r="AW253" i="87"/>
  <c r="AP253" i="87"/>
  <c r="AB253" i="87"/>
  <c r="AI253" i="87"/>
  <c r="BK268" i="89"/>
  <c r="AW268" i="89"/>
  <c r="AP268" i="89"/>
  <c r="AI268" i="89"/>
  <c r="AI295" i="87"/>
  <c r="BK295" i="87"/>
  <c r="AB295" i="87"/>
  <c r="AW295" i="87"/>
  <c r="AP295" i="87"/>
  <c r="AB181" i="87"/>
  <c r="AI181" i="87"/>
  <c r="AP181" i="87"/>
  <c r="AW181" i="87"/>
  <c r="BK181" i="87"/>
  <c r="AI342" i="87"/>
  <c r="BK342" i="87"/>
  <c r="AP342" i="87"/>
  <c r="AW342" i="87"/>
  <c r="AB342" i="87"/>
  <c r="AP299" i="87"/>
  <c r="AW299" i="87"/>
  <c r="AI299" i="87"/>
  <c r="AB299" i="87"/>
  <c r="BK299" i="87"/>
  <c r="AW291" i="87"/>
  <c r="BK291" i="87"/>
  <c r="AI291" i="87"/>
  <c r="AB291" i="87"/>
  <c r="AP291" i="87"/>
  <c r="AP185" i="87"/>
  <c r="AB185" i="87"/>
  <c r="BK185" i="87"/>
  <c r="AW185" i="87"/>
  <c r="AI185" i="87"/>
  <c r="AI189" i="87"/>
  <c r="BK189" i="87"/>
  <c r="AW189" i="87"/>
  <c r="AB189" i="87"/>
  <c r="AP189" i="87"/>
  <c r="BK302" i="89"/>
  <c r="BK298" i="89" s="1"/>
  <c r="AW302" i="89"/>
  <c r="AW298" i="89" s="1"/>
  <c r="AP302" i="89"/>
  <c r="AP298" i="89" s="1"/>
  <c r="AI302" i="89"/>
  <c r="AI298" i="89" s="1"/>
  <c r="AP240" i="87"/>
  <c r="AI240" i="87"/>
  <c r="BK240" i="87"/>
  <c r="AW240" i="87"/>
  <c r="AB240" i="87"/>
  <c r="AW332" i="89"/>
  <c r="BK332" i="89"/>
  <c r="AP332" i="89"/>
  <c r="AP328" i="89" s="1"/>
  <c r="AI332" i="89"/>
  <c r="AI328" i="89" s="1"/>
  <c r="AP198" i="87"/>
  <c r="AP194" i="87" s="1"/>
  <c r="Y86" i="96" s="1"/>
  <c r="AW198" i="87"/>
  <c r="AW194" i="87" s="1"/>
  <c r="Y87" i="96" s="1"/>
  <c r="BK198" i="87"/>
  <c r="BK194" i="87" s="1"/>
  <c r="Y89" i="96" s="1"/>
  <c r="AB198" i="87"/>
  <c r="AB194" i="87" s="1"/>
  <c r="Y83" i="96" s="1"/>
  <c r="AI198" i="87"/>
  <c r="AI194" i="87" s="1"/>
  <c r="Y85" i="96" s="1"/>
  <c r="AW323" i="89"/>
  <c r="AP323" i="89"/>
  <c r="AI323" i="89"/>
  <c r="BK323" i="89"/>
  <c r="AP289" i="89"/>
  <c r="AW289" i="89"/>
  <c r="BK289" i="89"/>
  <c r="AI289" i="89"/>
  <c r="BK223" i="87"/>
  <c r="AI223" i="87"/>
  <c r="AW223" i="87"/>
  <c r="AB223" i="87"/>
  <c r="AP223" i="87"/>
  <c r="BK219" i="87"/>
  <c r="BK215" i="87" s="1"/>
  <c r="AP219" i="87"/>
  <c r="AP215" i="87" s="1"/>
  <c r="AW219" i="87"/>
  <c r="AW215" i="87" s="1"/>
  <c r="AB219" i="87"/>
  <c r="AB215" i="87" s="1"/>
  <c r="AI219" i="87"/>
  <c r="AI215" i="87" s="1"/>
  <c r="AC338" i="87"/>
  <c r="AJ338" i="87"/>
  <c r="AQ338" i="87"/>
  <c r="AX338" i="87"/>
  <c r="BL338" i="87"/>
  <c r="BV338" i="87"/>
  <c r="AV334" i="87"/>
  <c r="AO334" i="87"/>
  <c r="AA334" i="87"/>
  <c r="BJ334" i="87"/>
  <c r="AH334" i="87"/>
  <c r="AH321" i="87"/>
  <c r="AO321" i="87"/>
  <c r="BJ321" i="87"/>
  <c r="AV321" i="87"/>
  <c r="AA321" i="87"/>
  <c r="BP342" i="87"/>
  <c r="BR342" i="87"/>
  <c r="BQ342" i="87"/>
  <c r="BP338" i="87"/>
  <c r="BP334" i="87" s="1"/>
  <c r="BR338" i="87"/>
  <c r="BR334" i="87" s="1"/>
  <c r="BS338" i="87"/>
  <c r="BQ338" i="87"/>
  <c r="BQ334" i="87" s="1"/>
  <c r="BO334" i="87"/>
  <c r="BP329" i="87"/>
  <c r="BR329" i="87"/>
  <c r="BQ329" i="87"/>
  <c r="BR325" i="87"/>
  <c r="BR321" i="87" s="1"/>
  <c r="BQ325" i="87"/>
  <c r="BQ321" i="87" s="1"/>
  <c r="BP325" i="87"/>
  <c r="BP321" i="87" s="1"/>
  <c r="BO321" i="87"/>
  <c r="BQ316" i="87"/>
  <c r="BP316" i="87"/>
  <c r="BR316" i="87"/>
  <c r="BQ312" i="87"/>
  <c r="BP312" i="87"/>
  <c r="BR312" i="87"/>
  <c r="BR308" i="87"/>
  <c r="BR304" i="87" s="1"/>
  <c r="BQ308" i="87"/>
  <c r="BQ304" i="87" s="1"/>
  <c r="BP308" i="87"/>
  <c r="BP304" i="87" s="1"/>
  <c r="BO304" i="87"/>
  <c r="BR299" i="87"/>
  <c r="BQ299" i="87"/>
  <c r="BP299" i="87"/>
  <c r="BP295" i="87"/>
  <c r="BR295" i="87"/>
  <c r="BQ295" i="87"/>
  <c r="BR291" i="87"/>
  <c r="BQ291" i="87"/>
  <c r="BP291" i="87"/>
  <c r="BQ287" i="87"/>
  <c r="BQ283" i="87" s="1"/>
  <c r="BR287" i="87"/>
  <c r="BR283" i="87" s="1"/>
  <c r="BP287" i="87"/>
  <c r="BP283" i="87" s="1"/>
  <c r="BO283" i="87"/>
  <c r="BQ279" i="87"/>
  <c r="BP279" i="87"/>
  <c r="BR279" i="87"/>
  <c r="BP275" i="87"/>
  <c r="BR275" i="87"/>
  <c r="BQ275" i="87"/>
  <c r="BP270" i="87"/>
  <c r="BR270" i="87"/>
  <c r="BQ270" i="87"/>
  <c r="BR266" i="87"/>
  <c r="BR262" i="87" s="1"/>
  <c r="BQ266" i="87"/>
  <c r="BQ262" i="87" s="1"/>
  <c r="BP266" i="87"/>
  <c r="BP262" i="87" s="1"/>
  <c r="BO262" i="87"/>
  <c r="BR258" i="87"/>
  <c r="BQ258" i="87"/>
  <c r="BP258" i="87"/>
  <c r="BP253" i="87"/>
  <c r="BR253" i="87"/>
  <c r="BQ253" i="87"/>
  <c r="BQ249" i="87"/>
  <c r="BQ245" i="87" s="1"/>
  <c r="BP249" i="87"/>
  <c r="BP245" i="87" s="1"/>
  <c r="BR249" i="87"/>
  <c r="BR245" i="87" s="1"/>
  <c r="BO245" i="87"/>
  <c r="BP240" i="87"/>
  <c r="BR240" i="87"/>
  <c r="BQ240" i="87"/>
  <c r="BP236" i="87"/>
  <c r="BR236" i="87"/>
  <c r="BT236" i="87"/>
  <c r="BS236" i="87"/>
  <c r="BQ236" i="87"/>
  <c r="BR232" i="87"/>
  <c r="BR228" i="87" s="1"/>
  <c r="I90" i="96" s="1"/>
  <c r="BQ232" i="87"/>
  <c r="BQ228" i="87" s="1"/>
  <c r="BP232" i="87"/>
  <c r="BP228" i="87" s="1"/>
  <c r="BO228" i="87"/>
  <c r="BR223" i="87"/>
  <c r="BQ223" i="87"/>
  <c r="BP223" i="87"/>
  <c r="BR219" i="87"/>
  <c r="BR215" i="87" s="1"/>
  <c r="BQ219" i="87"/>
  <c r="BQ215" i="87" s="1"/>
  <c r="BP219" i="87"/>
  <c r="BP215" i="87" s="1"/>
  <c r="BO215" i="87"/>
  <c r="BQ210" i="87"/>
  <c r="BP210" i="87"/>
  <c r="BR210" i="87"/>
  <c r="BP206" i="87"/>
  <c r="BR206" i="87"/>
  <c r="BQ206" i="87"/>
  <c r="BP202" i="87"/>
  <c r="BR202" i="87"/>
  <c r="BQ202" i="87"/>
  <c r="BR198" i="87"/>
  <c r="BR194" i="87" s="1"/>
  <c r="Y90" i="96" s="1"/>
  <c r="BQ198" i="87"/>
  <c r="BQ194" i="87" s="1"/>
  <c r="BP198" i="87"/>
  <c r="BP194" i="87" s="1"/>
  <c r="BO194" i="87"/>
  <c r="BR189" i="87"/>
  <c r="BQ189" i="87"/>
  <c r="BP189" i="87"/>
  <c r="BP185" i="87"/>
  <c r="BR185" i="87"/>
  <c r="BQ185" i="87"/>
  <c r="BR181" i="87"/>
  <c r="BQ181" i="87"/>
  <c r="BP181" i="87"/>
  <c r="BQ177" i="87"/>
  <c r="BQ173" i="87" s="1"/>
  <c r="BP177" i="87"/>
  <c r="BP173" i="87" s="1"/>
  <c r="BR177" i="87"/>
  <c r="BR173" i="87" s="1"/>
  <c r="BO173" i="87"/>
  <c r="BP168" i="87"/>
  <c r="BR168" i="87"/>
  <c r="BQ168" i="87"/>
  <c r="BR164" i="87"/>
  <c r="BQ164" i="87"/>
  <c r="BP164" i="87"/>
  <c r="BQ160" i="87"/>
  <c r="BQ156" i="87" s="1"/>
  <c r="BR160" i="87"/>
  <c r="BR156" i="87" s="1"/>
  <c r="BP160" i="87"/>
  <c r="BP156" i="87" s="1"/>
  <c r="BO156" i="87"/>
  <c r="BP146" i="87"/>
  <c r="BP142" i="87"/>
  <c r="BP138" i="87"/>
  <c r="BP129" i="87"/>
  <c r="BP125" i="87"/>
  <c r="BP121" i="87"/>
  <c r="BP117" i="87"/>
  <c r="BP108" i="87"/>
  <c r="BP104" i="87"/>
  <c r="BP100" i="87"/>
  <c r="BR87" i="87"/>
  <c r="BP87" i="87"/>
  <c r="BR82" i="87"/>
  <c r="BP82" i="87"/>
  <c r="BP76" i="87"/>
  <c r="BR76" i="87"/>
  <c r="BP50" i="87"/>
  <c r="BP45" i="87"/>
  <c r="BP40" i="87"/>
  <c r="BP30" i="87"/>
  <c r="BP24" i="87"/>
  <c r="BP20" i="87"/>
  <c r="BR255" i="88"/>
  <c r="BP255" i="88"/>
  <c r="BQ255" i="88"/>
  <c r="BO251" i="88"/>
  <c r="BP246" i="88"/>
  <c r="BP259" i="88"/>
  <c r="BQ259" i="88"/>
  <c r="BR259" i="88"/>
  <c r="BP353" i="89"/>
  <c r="BR353" i="89"/>
  <c r="BQ353" i="89"/>
  <c r="BP349" i="89"/>
  <c r="BQ349" i="89"/>
  <c r="BR349" i="89"/>
  <c r="BQ345" i="89"/>
  <c r="BO341" i="89"/>
  <c r="BR345" i="89"/>
  <c r="BR341" i="89" s="1"/>
  <c r="BP345" i="89"/>
  <c r="BP341" i="89" s="1"/>
  <c r="BQ336" i="89"/>
  <c r="BP336" i="89"/>
  <c r="BR336" i="89"/>
  <c r="BP332" i="89"/>
  <c r="BP328" i="89" s="1"/>
  <c r="BR332" i="89"/>
  <c r="BQ332" i="89"/>
  <c r="BQ328" i="89" s="1"/>
  <c r="BO328" i="89"/>
  <c r="BR323" i="89"/>
  <c r="BQ323" i="89"/>
  <c r="BP323" i="89"/>
  <c r="BP319" i="89"/>
  <c r="BS319" i="89"/>
  <c r="BT319" i="89"/>
  <c r="BR319" i="89"/>
  <c r="BQ319" i="89"/>
  <c r="BP315" i="89"/>
  <c r="BQ315" i="89"/>
  <c r="BQ311" i="89" s="1"/>
  <c r="BO311" i="89"/>
  <c r="BR315" i="89"/>
  <c r="BR311" i="89" s="1"/>
  <c r="BP306" i="89"/>
  <c r="BR306" i="89"/>
  <c r="BQ306" i="89"/>
  <c r="BQ302" i="89"/>
  <c r="BP302" i="89"/>
  <c r="BP298" i="89" s="1"/>
  <c r="BO298" i="89"/>
  <c r="BR302" i="89"/>
  <c r="BR298" i="89" s="1"/>
  <c r="BP293" i="89"/>
  <c r="BQ293" i="89"/>
  <c r="BR293" i="89"/>
  <c r="BR289" i="89"/>
  <c r="BQ289" i="89"/>
  <c r="BP289" i="89"/>
  <c r="BP285" i="89"/>
  <c r="BR285" i="89"/>
  <c r="BQ285" i="89"/>
  <c r="BP281" i="89"/>
  <c r="BQ281" i="89"/>
  <c r="BO277" i="89"/>
  <c r="BR281" i="89"/>
  <c r="BR277" i="89" s="1"/>
  <c r="AD90" i="96" s="1"/>
  <c r="BR272" i="89"/>
  <c r="BQ272" i="89"/>
  <c r="BP272" i="89"/>
  <c r="BQ268" i="89"/>
  <c r="BP268" i="89"/>
  <c r="BR268" i="89"/>
  <c r="BP264" i="89"/>
  <c r="BP260" i="89" s="1"/>
  <c r="BR264" i="89"/>
  <c r="BR260" i="89" s="1"/>
  <c r="BQ264" i="89"/>
  <c r="BQ260" i="89" s="1"/>
  <c r="BO260" i="89"/>
  <c r="BP255" i="89"/>
  <c r="BP251" i="89"/>
  <c r="BP247" i="89"/>
  <c r="BP175" i="89"/>
  <c r="BP171" i="89"/>
  <c r="BP167" i="89"/>
  <c r="BP163" i="89"/>
  <c r="BP154" i="89"/>
  <c r="BP150" i="89"/>
  <c r="BP146" i="89"/>
  <c r="BP142" i="89"/>
  <c r="BP133" i="89"/>
  <c r="BP129" i="89"/>
  <c r="BP120" i="89"/>
  <c r="BP115" i="89"/>
  <c r="BP111" i="89"/>
  <c r="BP102" i="89"/>
  <c r="BP98" i="89"/>
  <c r="BP89" i="89"/>
  <c r="BP85" i="89"/>
  <c r="BP81" i="89"/>
  <c r="BP77" i="89"/>
  <c r="BP68" i="89"/>
  <c r="BP64" i="89"/>
  <c r="BP60" i="89"/>
  <c r="BP56" i="89"/>
  <c r="BP47" i="89"/>
  <c r="BP43" i="89"/>
  <c r="BP39" i="89"/>
  <c r="BP35" i="89"/>
  <c r="BP26" i="89"/>
  <c r="BP22" i="89"/>
  <c r="BP18" i="89"/>
  <c r="BP14" i="89"/>
  <c r="AH304" i="87"/>
  <c r="AO304" i="87"/>
  <c r="BJ304" i="87"/>
  <c r="AV304" i="87"/>
  <c r="AA304" i="87"/>
  <c r="AV262" i="87"/>
  <c r="AO262" i="87"/>
  <c r="AA262" i="87"/>
  <c r="AH262" i="87"/>
  <c r="BJ262" i="87"/>
  <c r="AV228" i="87"/>
  <c r="AO228" i="87"/>
  <c r="AA228" i="87"/>
  <c r="AH228" i="87"/>
  <c r="BJ228" i="87"/>
  <c r="AO215" i="87"/>
  <c r="BJ215" i="87"/>
  <c r="AH215" i="87"/>
  <c r="AA215" i="87"/>
  <c r="AV215" i="87"/>
  <c r="AV194" i="87"/>
  <c r="AO194" i="87"/>
  <c r="AA194" i="87"/>
  <c r="AH194" i="87"/>
  <c r="BJ194" i="87"/>
  <c r="AH311" i="89"/>
  <c r="AO311" i="89"/>
  <c r="AV311" i="89"/>
  <c r="BJ311" i="89"/>
  <c r="AO156" i="87"/>
  <c r="AH156" i="87"/>
  <c r="BJ156" i="87"/>
  <c r="AA156" i="87"/>
  <c r="AV156" i="87"/>
  <c r="BJ245" i="87"/>
  <c r="AO245" i="87"/>
  <c r="AH245" i="87"/>
  <c r="AA245" i="87"/>
  <c r="AV245" i="87"/>
  <c r="AH283" i="87"/>
  <c r="BJ283" i="87"/>
  <c r="AO283" i="87"/>
  <c r="AA283" i="87"/>
  <c r="AV283" i="87"/>
  <c r="AA173" i="87"/>
  <c r="AH173" i="87"/>
  <c r="AO173" i="87"/>
  <c r="AV173" i="87"/>
  <c r="BJ173" i="87"/>
  <c r="BJ251" i="88"/>
  <c r="AV251" i="88"/>
  <c r="AO251" i="88"/>
  <c r="AA251" i="88"/>
  <c r="AH251" i="88"/>
  <c r="AH341" i="89"/>
  <c r="BJ341" i="89"/>
  <c r="AV341" i="89"/>
  <c r="AH328" i="89"/>
  <c r="AO328" i="89"/>
  <c r="BJ328" i="89"/>
  <c r="AV328" i="89"/>
  <c r="AH298" i="89"/>
  <c r="AH260" i="89"/>
  <c r="AO260" i="89"/>
  <c r="BJ260" i="89"/>
  <c r="AV260" i="89"/>
  <c r="AP334" i="87"/>
  <c r="AB334" i="87"/>
  <c r="AW334" i="87"/>
  <c r="AI334" i="87"/>
  <c r="BK334" i="87"/>
  <c r="AH277" i="89"/>
  <c r="AO277" i="89"/>
  <c r="AV277" i="89"/>
  <c r="BJ277" i="89"/>
  <c r="AA260" i="89"/>
  <c r="AW260" i="89"/>
  <c r="AB268" i="89"/>
  <c r="AC195" i="95"/>
  <c r="AD159" i="95"/>
  <c r="AB272" i="89"/>
  <c r="AB264" i="89"/>
  <c r="AA298" i="89"/>
  <c r="AA311" i="89"/>
  <c r="AC198" i="95"/>
  <c r="BN212" i="95"/>
  <c r="AC212" i="95"/>
  <c r="AB315" i="89"/>
  <c r="AC208" i="95"/>
  <c r="AC182" i="95"/>
  <c r="AC179" i="95"/>
  <c r="AB289" i="89"/>
  <c r="AC173" i="95"/>
  <c r="AC178" i="95"/>
  <c r="AC187" i="95"/>
  <c r="AZ213" i="95"/>
  <c r="AA277" i="89"/>
  <c r="AA341" i="89"/>
  <c r="AC192" i="95"/>
  <c r="AC162" i="95"/>
  <c r="AC174" i="95"/>
  <c r="AB281" i="89"/>
  <c r="AC202" i="95"/>
  <c r="AC186" i="95"/>
  <c r="AC177" i="95"/>
  <c r="AC169" i="95"/>
  <c r="AC172" i="95"/>
  <c r="AB353" i="89"/>
  <c r="AB285" i="89"/>
  <c r="AC191" i="95"/>
  <c r="AB345" i="89"/>
  <c r="AC190" i="95"/>
  <c r="AB323" i="89"/>
  <c r="AC166" i="95"/>
  <c r="AS211" i="95"/>
  <c r="AB306" i="89"/>
  <c r="AB349" i="89"/>
  <c r="AC207" i="95"/>
  <c r="AC215" i="95"/>
  <c r="AB302" i="89"/>
  <c r="AB336" i="89"/>
  <c r="AC183" i="95"/>
  <c r="AB332" i="89"/>
  <c r="AC218" i="95"/>
  <c r="AC203" i="95"/>
  <c r="AS212" i="95"/>
  <c r="CJ206" i="95"/>
  <c r="CH206" i="95"/>
  <c r="CG206" i="95"/>
  <c r="CH212" i="95"/>
  <c r="CK161" i="95"/>
  <c r="CK158" i="95"/>
  <c r="CG211" i="95"/>
  <c r="CI206" i="95"/>
  <c r="CG158" i="95"/>
  <c r="CK165" i="95"/>
  <c r="CI158" i="95"/>
  <c r="CH165" i="95"/>
  <c r="CG153" i="95"/>
  <c r="CG161" i="95"/>
  <c r="CJ158" i="95"/>
  <c r="CJ165" i="95"/>
  <c r="CH214" i="95"/>
  <c r="CG214" i="95"/>
  <c r="CK214" i="95"/>
  <c r="CI214" i="95"/>
  <c r="CH211" i="95"/>
  <c r="CG212" i="95"/>
  <c r="CJ212" i="95"/>
  <c r="CI212" i="95"/>
  <c r="CJ161" i="95"/>
  <c r="CI161" i="95"/>
  <c r="CI153" i="95"/>
  <c r="CK153" i="95"/>
  <c r="CJ153" i="95"/>
  <c r="CI165" i="95"/>
  <c r="CG210" i="95"/>
  <c r="CK210" i="95"/>
  <c r="CJ210" i="95"/>
  <c r="CI210" i="95"/>
  <c r="CG213" i="95"/>
  <c r="CK201" i="95"/>
  <c r="CG201" i="95"/>
  <c r="CK194" i="95"/>
  <c r="CH194" i="95"/>
  <c r="CJ201" i="95"/>
  <c r="CI211" i="95"/>
  <c r="CJ194" i="95"/>
  <c r="CG194" i="95"/>
  <c r="CI201" i="95"/>
  <c r="CI213" i="95"/>
  <c r="CK171" i="95"/>
  <c r="CI171" i="95"/>
  <c r="CJ171" i="95"/>
  <c r="CG171" i="95"/>
  <c r="CH171" i="95"/>
  <c r="CI189" i="95"/>
  <c r="CG189" i="95"/>
  <c r="CJ189" i="95"/>
  <c r="CK189" i="95"/>
  <c r="CH189" i="95"/>
  <c r="CB211" i="95"/>
  <c r="BG211" i="95"/>
  <c r="BN211" i="95"/>
  <c r="BG212" i="95"/>
  <c r="AZ211" i="95"/>
  <c r="AS213" i="95"/>
  <c r="BN213" i="95"/>
  <c r="AC154" i="95"/>
  <c r="CB212" i="95"/>
  <c r="AZ212" i="95"/>
  <c r="AC155" i="95"/>
  <c r="BG213" i="95"/>
  <c r="CB213" i="95"/>
  <c r="BL285" i="89" l="1"/>
  <c r="AJ285" i="89"/>
  <c r="AX285" i="89"/>
  <c r="AQ285" i="89"/>
  <c r="BS285" i="89"/>
  <c r="BL281" i="89"/>
  <c r="AQ281" i="89"/>
  <c r="AJ281" i="89"/>
  <c r="AX281" i="89"/>
  <c r="BS281" i="89"/>
  <c r="AC270" i="87"/>
  <c r="AJ270" i="87"/>
  <c r="AQ270" i="87"/>
  <c r="AX270" i="87"/>
  <c r="BL270" i="87"/>
  <c r="BV270" i="87"/>
  <c r="BS270" i="87"/>
  <c r="BV332" i="89"/>
  <c r="AX332" i="89"/>
  <c r="BL332" i="89"/>
  <c r="AQ332" i="89"/>
  <c r="AJ332" i="89"/>
  <c r="BS332" i="89"/>
  <c r="BL253" i="87"/>
  <c r="AC253" i="87"/>
  <c r="AJ253" i="87"/>
  <c r="AQ253" i="87"/>
  <c r="AX253" i="87"/>
  <c r="BV253" i="87"/>
  <c r="BS253" i="87"/>
  <c r="BV285" i="89"/>
  <c r="BL302" i="89"/>
  <c r="AX302" i="89"/>
  <c r="AQ302" i="89"/>
  <c r="AJ302" i="89"/>
  <c r="BS302" i="89"/>
  <c r="AX308" i="87"/>
  <c r="AQ308" i="87"/>
  <c r="AC308" i="87"/>
  <c r="BL308" i="87"/>
  <c r="AJ308" i="87"/>
  <c r="BV308" i="87"/>
  <c r="BS308" i="87"/>
  <c r="AC325" i="87"/>
  <c r="AJ325" i="87"/>
  <c r="AX325" i="87"/>
  <c r="BL325" i="87"/>
  <c r="AQ325" i="87"/>
  <c r="BV325" i="87"/>
  <c r="BS325" i="87"/>
  <c r="BL198" i="87"/>
  <c r="AX198" i="87"/>
  <c r="AQ198" i="87"/>
  <c r="AJ198" i="87"/>
  <c r="AC198" i="87"/>
  <c r="AJ323" i="89"/>
  <c r="AQ323" i="89"/>
  <c r="AX323" i="89"/>
  <c r="BL323" i="89"/>
  <c r="BV198" i="87"/>
  <c r="BS198" i="87"/>
  <c r="BS323" i="89"/>
  <c r="AC202" i="87"/>
  <c r="AJ202" i="87"/>
  <c r="AQ202" i="87"/>
  <c r="AX202" i="87"/>
  <c r="BL202" i="87"/>
  <c r="BV202" i="87"/>
  <c r="BS202" i="87"/>
  <c r="AQ177" i="87"/>
  <c r="AC177" i="87"/>
  <c r="AJ177" i="87"/>
  <c r="AX177" i="87"/>
  <c r="BL177" i="87"/>
  <c r="BV177" i="87"/>
  <c r="BS177" i="87"/>
  <c r="BL255" i="88"/>
  <c r="AX255" i="88"/>
  <c r="AQ255" i="88"/>
  <c r="AJ255" i="88"/>
  <c r="AC255" i="88"/>
  <c r="BV255" i="88"/>
  <c r="BS255" i="88"/>
  <c r="BL287" i="87"/>
  <c r="AQ287" i="87"/>
  <c r="AC287" i="87"/>
  <c r="AX287" i="87"/>
  <c r="AJ287" i="87"/>
  <c r="BV287" i="87"/>
  <c r="BS287" i="87"/>
  <c r="BL160" i="87"/>
  <c r="AX160" i="87"/>
  <c r="AC160" i="87"/>
  <c r="AJ160" i="87"/>
  <c r="AQ160" i="87"/>
  <c r="BV160" i="87"/>
  <c r="BS160" i="87"/>
  <c r="BL266" i="87"/>
  <c r="AX266" i="87"/>
  <c r="AQ266" i="87"/>
  <c r="AJ266" i="87"/>
  <c r="AC266" i="87"/>
  <c r="BV266" i="87"/>
  <c r="BS266" i="87"/>
  <c r="AQ185" i="87"/>
  <c r="AC185" i="87"/>
  <c r="AJ185" i="87"/>
  <c r="BL185" i="87"/>
  <c r="AX185" i="87"/>
  <c r="BV185" i="87"/>
  <c r="BS185" i="87"/>
  <c r="BV264" i="89"/>
  <c r="AX264" i="89"/>
  <c r="BL264" i="89"/>
  <c r="AQ264" i="89"/>
  <c r="AJ264" i="89"/>
  <c r="BS264" i="89"/>
  <c r="BL206" i="87"/>
  <c r="AQ206" i="87"/>
  <c r="AC206" i="87"/>
  <c r="AJ206" i="87"/>
  <c r="AX206" i="87"/>
  <c r="BV206" i="87"/>
  <c r="BS206" i="87"/>
  <c r="BL164" i="87"/>
  <c r="AX164" i="87"/>
  <c r="AQ164" i="87"/>
  <c r="AC164" i="87"/>
  <c r="AJ164" i="87"/>
  <c r="BS164" i="87"/>
  <c r="AX291" i="87"/>
  <c r="AJ291" i="87"/>
  <c r="AQ291" i="87"/>
  <c r="BL291" i="87"/>
  <c r="AC291" i="87"/>
  <c r="BV291" i="87"/>
  <c r="BS291" i="87"/>
  <c r="AC181" i="87"/>
  <c r="AJ181" i="87"/>
  <c r="AQ181" i="87"/>
  <c r="AX181" i="87"/>
  <c r="BL181" i="87"/>
  <c r="BV181" i="87"/>
  <c r="BS181" i="87"/>
  <c r="AJ295" i="87"/>
  <c r="AQ295" i="87"/>
  <c r="BL295" i="87"/>
  <c r="AX295" i="87"/>
  <c r="AC295" i="87"/>
  <c r="BV295" i="87"/>
  <c r="BS295" i="87"/>
  <c r="AC249" i="87"/>
  <c r="AJ249" i="87"/>
  <c r="AQ249" i="87"/>
  <c r="AX249" i="87"/>
  <c r="BL249" i="87"/>
  <c r="BV249" i="87"/>
  <c r="BS249" i="87"/>
  <c r="AC312" i="87"/>
  <c r="AQ312" i="87"/>
  <c r="AJ312" i="87"/>
  <c r="AX312" i="87"/>
  <c r="BL312" i="87"/>
  <c r="BV312" i="87"/>
  <c r="BS312" i="87"/>
  <c r="BL232" i="87"/>
  <c r="AX232" i="87"/>
  <c r="AQ232" i="87"/>
  <c r="AJ232" i="87"/>
  <c r="AC232" i="87"/>
  <c r="BV232" i="87"/>
  <c r="BS232" i="87"/>
  <c r="AD338" i="87"/>
  <c r="AK338" i="87"/>
  <c r="AR338" i="87"/>
  <c r="AY338" i="87"/>
  <c r="BM338" i="87"/>
  <c r="BW338" i="87"/>
  <c r="BT338" i="87"/>
  <c r="BL219" i="87"/>
  <c r="AQ219" i="87"/>
  <c r="AJ219" i="87"/>
  <c r="AX219" i="87"/>
  <c r="AC219" i="87"/>
  <c r="BV219" i="87"/>
  <c r="BS219" i="87"/>
  <c r="BQ277" i="89"/>
  <c r="BP277" i="89"/>
  <c r="BQ298" i="89"/>
  <c r="BP311" i="89"/>
  <c r="BR328" i="89"/>
  <c r="BQ341" i="89"/>
  <c r="BQ251" i="88"/>
  <c r="BP251" i="88"/>
  <c r="BR251" i="88"/>
  <c r="AI341" i="89"/>
  <c r="BK341" i="89"/>
  <c r="AP341" i="89"/>
  <c r="AW341" i="89"/>
  <c r="AW328" i="89"/>
  <c r="BK328" i="89"/>
  <c r="AP277" i="89"/>
  <c r="AD86" i="96" s="1"/>
  <c r="AW277" i="89"/>
  <c r="AD87" i="96" s="1"/>
  <c r="BK277" i="89"/>
  <c r="AD89" i="96" s="1"/>
  <c r="AI260" i="89"/>
  <c r="AP260" i="89"/>
  <c r="BK260" i="89"/>
  <c r="BK245" i="87"/>
  <c r="AW245" i="87"/>
  <c r="AP245" i="87"/>
  <c r="AI245" i="87"/>
  <c r="AB245" i="87"/>
  <c r="AI277" i="89"/>
  <c r="AD85" i="96" s="1"/>
  <c r="BK173" i="87"/>
  <c r="AW173" i="87"/>
  <c r="AP173" i="87"/>
  <c r="AI173" i="87"/>
  <c r="AB173" i="87"/>
  <c r="AI283" i="87"/>
  <c r="AW283" i="87"/>
  <c r="AB283" i="87"/>
  <c r="BK283" i="87"/>
  <c r="AP283" i="87"/>
  <c r="BK262" i="87"/>
  <c r="AB262" i="87"/>
  <c r="AI262" i="87"/>
  <c r="AP262" i="87"/>
  <c r="AW262" i="87"/>
  <c r="AP311" i="89"/>
  <c r="AW311" i="89"/>
  <c r="AI311" i="89"/>
  <c r="BK311" i="89"/>
  <c r="BK228" i="87"/>
  <c r="I89" i="96" s="1"/>
  <c r="AW228" i="87"/>
  <c r="I87" i="96" s="1"/>
  <c r="AI228" i="87"/>
  <c r="I85" i="96" s="1"/>
  <c r="AB228" i="87"/>
  <c r="I83" i="96" s="1"/>
  <c r="AP228" i="87"/>
  <c r="I86" i="96" s="1"/>
  <c r="AD195" i="95"/>
  <c r="AC264" i="89"/>
  <c r="AB298" i="89"/>
  <c r="AB341" i="89"/>
  <c r="AB277" i="89"/>
  <c r="AD83" i="96" s="1"/>
  <c r="AD207" i="95"/>
  <c r="AD191" i="95"/>
  <c r="AD179" i="95"/>
  <c r="AD218" i="95"/>
  <c r="AC332" i="89"/>
  <c r="AC281" i="89"/>
  <c r="AD162" i="95"/>
  <c r="AD182" i="95"/>
  <c r="AD203" i="95"/>
  <c r="AD192" i="95"/>
  <c r="AD212" i="95"/>
  <c r="AT212" i="95"/>
  <c r="BA212" i="95"/>
  <c r="BO212" i="95"/>
  <c r="BH212" i="95"/>
  <c r="CC212" i="95"/>
  <c r="AD190" i="95"/>
  <c r="AC323" i="89"/>
  <c r="AB328" i="89"/>
  <c r="AD169" i="95"/>
  <c r="AD198" i="95"/>
  <c r="AD177" i="95"/>
  <c r="AD202" i="95"/>
  <c r="AD183" i="95"/>
  <c r="AD172" i="95"/>
  <c r="AD178" i="95"/>
  <c r="AD186" i="95"/>
  <c r="AD174" i="95"/>
  <c r="AB311" i="89"/>
  <c r="AC285" i="89"/>
  <c r="AD166" i="95"/>
  <c r="AD173" i="95"/>
  <c r="AD208" i="95"/>
  <c r="AD215" i="95"/>
  <c r="AC302" i="89"/>
  <c r="AD187" i="95"/>
  <c r="AD154" i="95"/>
  <c r="AD155" i="95"/>
  <c r="AK285" i="89" l="1"/>
  <c r="AY285" i="89"/>
  <c r="AR285" i="89"/>
  <c r="BM285" i="89"/>
  <c r="BT285" i="89"/>
  <c r="BM281" i="89"/>
  <c r="AK281" i="89"/>
  <c r="AR281" i="89"/>
  <c r="AY281" i="89"/>
  <c r="BT281" i="89"/>
  <c r="AD164" i="87"/>
  <c r="AK164" i="87"/>
  <c r="AR164" i="87"/>
  <c r="AY164" i="87"/>
  <c r="BM164" i="87"/>
  <c r="BW164" i="87"/>
  <c r="BT164" i="87"/>
  <c r="BW285" i="89"/>
  <c r="BM302" i="89"/>
  <c r="AY302" i="89"/>
  <c r="AR302" i="89"/>
  <c r="AK302" i="89"/>
  <c r="BT302" i="89"/>
  <c r="AD312" i="87"/>
  <c r="AK312" i="87"/>
  <c r="AR312" i="87"/>
  <c r="AY312" i="87"/>
  <c r="BM312" i="87"/>
  <c r="BW312" i="87"/>
  <c r="BT312" i="87"/>
  <c r="AY181" i="87"/>
  <c r="BM181" i="87"/>
  <c r="AD181" i="87"/>
  <c r="AK181" i="87"/>
  <c r="AR181" i="87"/>
  <c r="BW181" i="87"/>
  <c r="BT181" i="87"/>
  <c r="AY325" i="87"/>
  <c r="BM325" i="87"/>
  <c r="AR325" i="87"/>
  <c r="AD325" i="87"/>
  <c r="AK325" i="87"/>
  <c r="BW325" i="87"/>
  <c r="BT325" i="87"/>
  <c r="AK185" i="87"/>
  <c r="AR185" i="87"/>
  <c r="AD185" i="87"/>
  <c r="BM185" i="87"/>
  <c r="AY185" i="87"/>
  <c r="BW185" i="87"/>
  <c r="BT185" i="87"/>
  <c r="AK160" i="87"/>
  <c r="BM160" i="87"/>
  <c r="AD160" i="87"/>
  <c r="AY160" i="87"/>
  <c r="AR160" i="87"/>
  <c r="BW160" i="87"/>
  <c r="BT160" i="87"/>
  <c r="AY291" i="87"/>
  <c r="AR291" i="87"/>
  <c r="BM291" i="87"/>
  <c r="AD291" i="87"/>
  <c r="AK291" i="87"/>
  <c r="BW291" i="87"/>
  <c r="BT291" i="87"/>
  <c r="AD177" i="87"/>
  <c r="AK177" i="87"/>
  <c r="AR177" i="87"/>
  <c r="AY177" i="87"/>
  <c r="BM177" i="87"/>
  <c r="BW177" i="87"/>
  <c r="BT177" i="87"/>
  <c r="AD253" i="87"/>
  <c r="AK253" i="87"/>
  <c r="BM253" i="87"/>
  <c r="AR253" i="87"/>
  <c r="AY253" i="87"/>
  <c r="BW253" i="87"/>
  <c r="BT253" i="87"/>
  <c r="AD266" i="87"/>
  <c r="AK266" i="87"/>
  <c r="AR266" i="87"/>
  <c r="AY266" i="87"/>
  <c r="BM266" i="87"/>
  <c r="BW266" i="87"/>
  <c r="BT266" i="87"/>
  <c r="AR287" i="87"/>
  <c r="BM287" i="87"/>
  <c r="AD287" i="87"/>
  <c r="AY287" i="87"/>
  <c r="AK287" i="87"/>
  <c r="BW287" i="87"/>
  <c r="BT287" i="87"/>
  <c r="AD232" i="87"/>
  <c r="AK232" i="87"/>
  <c r="AR232" i="87"/>
  <c r="AY232" i="87"/>
  <c r="BM232" i="87"/>
  <c r="BW232" i="87"/>
  <c r="BT232" i="87"/>
  <c r="AD255" i="88"/>
  <c r="AK255" i="88"/>
  <c r="AR255" i="88"/>
  <c r="AY255" i="88"/>
  <c r="BM255" i="88"/>
  <c r="BW255" i="88"/>
  <c r="BT255" i="88"/>
  <c r="BM323" i="89"/>
  <c r="AY323" i="89"/>
  <c r="AR323" i="89"/>
  <c r="AK323" i="89"/>
  <c r="AD198" i="87"/>
  <c r="AK198" i="87"/>
  <c r="AR198" i="87"/>
  <c r="AY198" i="87"/>
  <c r="BM198" i="87"/>
  <c r="BW198" i="87"/>
  <c r="BT198" i="87"/>
  <c r="BT323" i="89"/>
  <c r="AK206" i="87"/>
  <c r="BM206" i="87"/>
  <c r="AR206" i="87"/>
  <c r="AD206" i="87"/>
  <c r="AY206" i="87"/>
  <c r="BW206" i="87"/>
  <c r="BT206" i="87"/>
  <c r="AD270" i="87"/>
  <c r="AK270" i="87"/>
  <c r="AR270" i="87"/>
  <c r="AY270" i="87"/>
  <c r="BM270" i="87"/>
  <c r="BW270" i="87"/>
  <c r="BT270" i="87"/>
  <c r="BM249" i="87"/>
  <c r="AD249" i="87"/>
  <c r="AY249" i="87"/>
  <c r="AK249" i="87"/>
  <c r="AR249" i="87"/>
  <c r="BW249" i="87"/>
  <c r="BT249" i="87"/>
  <c r="BW264" i="89"/>
  <c r="AY264" i="89"/>
  <c r="AR264" i="89"/>
  <c r="BM264" i="89"/>
  <c r="AK264" i="89"/>
  <c r="BT264" i="89"/>
  <c r="BW332" i="89"/>
  <c r="AY332" i="89"/>
  <c r="AR332" i="89"/>
  <c r="BM332" i="89"/>
  <c r="AK332" i="89"/>
  <c r="BT332" i="89"/>
  <c r="AK295" i="87"/>
  <c r="AR295" i="87"/>
  <c r="BM295" i="87"/>
  <c r="AY295" i="87"/>
  <c r="AD295" i="87"/>
  <c r="BW295" i="87"/>
  <c r="BT295" i="87"/>
  <c r="AD202" i="87"/>
  <c r="AK202" i="87"/>
  <c r="AR202" i="87"/>
  <c r="AY202" i="87"/>
  <c r="BM202" i="87"/>
  <c r="BW202" i="87"/>
  <c r="BT202" i="87"/>
  <c r="AY308" i="87"/>
  <c r="BM308" i="87"/>
  <c r="AD308" i="87"/>
  <c r="AR308" i="87"/>
  <c r="AK308" i="87"/>
  <c r="BW308" i="87"/>
  <c r="BT308" i="87"/>
  <c r="BM219" i="87"/>
  <c r="AR219" i="87"/>
  <c r="AY219" i="87"/>
  <c r="AD219" i="87"/>
  <c r="AK219" i="87"/>
  <c r="BW219" i="87"/>
  <c r="BT219" i="87"/>
  <c r="AD264" i="89"/>
  <c r="AU212" i="95"/>
  <c r="CD212" i="95"/>
  <c r="BP212" i="95"/>
  <c r="BB212" i="95"/>
  <c r="BI212" i="95"/>
  <c r="CK212" i="95"/>
  <c r="AD323" i="89"/>
  <c r="AD302" i="89"/>
  <c r="AD332" i="89"/>
  <c r="AD285" i="89"/>
  <c r="AD281" i="89"/>
  <c r="T25" i="95"/>
  <c r="E54" i="95"/>
  <c r="BY54" i="95" s="1"/>
  <c r="F248" i="88"/>
  <c r="F244" i="88"/>
  <c r="F240" i="88"/>
  <c r="F236" i="88"/>
  <c r="F106" i="87"/>
  <c r="F102" i="87"/>
  <c r="F89" i="87"/>
  <c r="F84" i="87"/>
  <c r="F79" i="87"/>
  <c r="F52" i="87"/>
  <c r="F47" i="87"/>
  <c r="F42" i="87"/>
  <c r="F32" i="87"/>
  <c r="F27" i="87"/>
  <c r="F22" i="87"/>
  <c r="S25" i="95"/>
  <c r="AT96" i="87" s="1"/>
  <c r="Q25" i="95"/>
  <c r="P25" i="95"/>
  <c r="G25" i="95"/>
  <c r="F25" i="95"/>
  <c r="E25" i="95"/>
  <c r="F253" i="89"/>
  <c r="F249" i="89"/>
  <c r="P271" i="95"/>
  <c r="Y96" i="87" l="1"/>
  <c r="AM96" i="87"/>
  <c r="AF96" i="87"/>
  <c r="BO96" i="87"/>
  <c r="AU96" i="87"/>
  <c r="BH96" i="87"/>
  <c r="AA142" i="95"/>
  <c r="AA141" i="95"/>
  <c r="AA140" i="95"/>
  <c r="AA85" i="96"/>
  <c r="AA86" i="96"/>
  <c r="AA87" i="96"/>
  <c r="AA88" i="96"/>
  <c r="AA84" i="96"/>
  <c r="AA89" i="96"/>
  <c r="AA90" i="96"/>
  <c r="T87" i="96"/>
  <c r="T86" i="96"/>
  <c r="T85" i="96"/>
  <c r="T83" i="96"/>
  <c r="AV247" i="89" l="1"/>
  <c r="AO247" i="89"/>
  <c r="BJ247" i="89"/>
  <c r="AH247" i="89"/>
  <c r="BQ247" i="89"/>
  <c r="AH251" i="89"/>
  <c r="AO251" i="89"/>
  <c r="AV251" i="89"/>
  <c r="BJ251" i="89"/>
  <c r="BQ251" i="89"/>
  <c r="AV255" i="89"/>
  <c r="AH255" i="89"/>
  <c r="AO255" i="89"/>
  <c r="BJ255" i="89"/>
  <c r="BQ255" i="89"/>
  <c r="BI96" i="87"/>
  <c r="BP96" i="87"/>
  <c r="AG96" i="87"/>
  <c r="AN96" i="87"/>
  <c r="Z96" i="87"/>
  <c r="AA255" i="89"/>
  <c r="AA251" i="89"/>
  <c r="AA247" i="89"/>
  <c r="I235" i="88"/>
  <c r="E139" i="95" l="1"/>
  <c r="BY139" i="95" s="1"/>
  <c r="F172" i="101"/>
  <c r="F173" i="101"/>
  <c r="F174" i="101"/>
  <c r="F175" i="101"/>
  <c r="F162" i="101"/>
  <c r="F163" i="101"/>
  <c r="F164" i="101"/>
  <c r="F165" i="101"/>
  <c r="F166" i="101"/>
  <c r="W148" i="87"/>
  <c r="W149" i="87"/>
  <c r="W144" i="87"/>
  <c r="W145" i="87"/>
  <c r="W140" i="87"/>
  <c r="W141" i="87"/>
  <c r="V148" i="87"/>
  <c r="V149" i="87"/>
  <c r="V145" i="87"/>
  <c r="V144" i="87"/>
  <c r="V141" i="87"/>
  <c r="V140" i="87"/>
  <c r="J148" i="87"/>
  <c r="K148" i="87"/>
  <c r="L148" i="87"/>
  <c r="O148" i="87"/>
  <c r="P148" i="87"/>
  <c r="Q148" i="87"/>
  <c r="R148" i="87"/>
  <c r="S148" i="87"/>
  <c r="J149" i="87"/>
  <c r="O149" i="87"/>
  <c r="P149" i="87"/>
  <c r="Q149" i="87"/>
  <c r="R149" i="87"/>
  <c r="S149" i="87"/>
  <c r="K147" i="87"/>
  <c r="L147" i="87"/>
  <c r="O147" i="87"/>
  <c r="Q147" i="87"/>
  <c r="S147" i="87"/>
  <c r="J144" i="87"/>
  <c r="K144" i="87"/>
  <c r="L144" i="87"/>
  <c r="O144" i="87"/>
  <c r="P144" i="87"/>
  <c r="Q144" i="87"/>
  <c r="R144" i="87"/>
  <c r="S144" i="87"/>
  <c r="J145" i="87"/>
  <c r="O145" i="87"/>
  <c r="P145" i="87"/>
  <c r="Q145" i="87"/>
  <c r="R145" i="87"/>
  <c r="S145" i="87"/>
  <c r="K143" i="87"/>
  <c r="L143" i="87"/>
  <c r="O143" i="87"/>
  <c r="Q143" i="87"/>
  <c r="S143" i="87"/>
  <c r="K139" i="87"/>
  <c r="L139" i="87"/>
  <c r="O139" i="87"/>
  <c r="Q139" i="87"/>
  <c r="S139" i="87"/>
  <c r="J140" i="87"/>
  <c r="K140" i="87"/>
  <c r="L140" i="87"/>
  <c r="O140" i="87"/>
  <c r="P140" i="87"/>
  <c r="Q140" i="87"/>
  <c r="R140" i="87"/>
  <c r="S140" i="87"/>
  <c r="J141" i="87"/>
  <c r="O141" i="87"/>
  <c r="P141" i="87"/>
  <c r="Q141" i="87"/>
  <c r="R141" i="87"/>
  <c r="S141" i="87"/>
  <c r="C146" i="87"/>
  <c r="E175" i="101" s="1"/>
  <c r="C142" i="87"/>
  <c r="E174" i="101" s="1"/>
  <c r="C138" i="87"/>
  <c r="C134" i="87"/>
  <c r="E172" i="101" s="1"/>
  <c r="V109" i="87"/>
  <c r="K109" i="87"/>
  <c r="L109" i="87"/>
  <c r="O109" i="87"/>
  <c r="S109" i="87"/>
  <c r="J110" i="87"/>
  <c r="K110" i="87"/>
  <c r="L110" i="87"/>
  <c r="O110" i="87"/>
  <c r="P110" i="87"/>
  <c r="R110" i="87"/>
  <c r="S110" i="87"/>
  <c r="J111" i="87"/>
  <c r="O111" i="87"/>
  <c r="P111" i="87"/>
  <c r="R111" i="87"/>
  <c r="S111" i="87"/>
  <c r="W105" i="87"/>
  <c r="V105" i="87"/>
  <c r="T106" i="87"/>
  <c r="T107" i="87"/>
  <c r="T105" i="87"/>
  <c r="N106" i="87"/>
  <c r="N107" i="87"/>
  <c r="N105" i="87"/>
  <c r="J105" i="87"/>
  <c r="I106" i="87"/>
  <c r="I107" i="87"/>
  <c r="I105" i="87"/>
  <c r="W101" i="87"/>
  <c r="V101" i="87"/>
  <c r="T102" i="87"/>
  <c r="T103" i="87"/>
  <c r="T101" i="87"/>
  <c r="Q103" i="87"/>
  <c r="Q102" i="87"/>
  <c r="Q101" i="87"/>
  <c r="N102" i="87"/>
  <c r="N103" i="87"/>
  <c r="N101" i="87"/>
  <c r="J101" i="87"/>
  <c r="I102" i="87"/>
  <c r="I103" i="87"/>
  <c r="I101" i="87"/>
  <c r="W97" i="87"/>
  <c r="V97" i="87"/>
  <c r="C108" i="87"/>
  <c r="E166" i="101" s="1"/>
  <c r="C104" i="87"/>
  <c r="E165" i="101" s="1"/>
  <c r="C100" i="87"/>
  <c r="C96" i="87"/>
  <c r="C92" i="87"/>
  <c r="E162" i="101" s="1"/>
  <c r="F56" i="101"/>
  <c r="F55" i="101"/>
  <c r="F54" i="101"/>
  <c r="F52" i="101"/>
  <c r="E51" i="101"/>
  <c r="F51" i="101"/>
  <c r="F50" i="101"/>
  <c r="F49" i="101"/>
  <c r="F47" i="101"/>
  <c r="AT92" i="87" l="1"/>
  <c r="BO92" i="87"/>
  <c r="AF92" i="87"/>
  <c r="AM92" i="87"/>
  <c r="Y92" i="87"/>
  <c r="BH92" i="87"/>
  <c r="Z92" i="87"/>
  <c r="AN92" i="87"/>
  <c r="BP92" i="87"/>
  <c r="BI92" i="87"/>
  <c r="AU92" i="87"/>
  <c r="AG92" i="87"/>
  <c r="Y134" i="87"/>
  <c r="AM134" i="87"/>
  <c r="AU134" i="87"/>
  <c r="BO134" i="87"/>
  <c r="AF134" i="87"/>
  <c r="BI134" i="87"/>
  <c r="BH134" i="87"/>
  <c r="AG134" i="87"/>
  <c r="AT134" i="87"/>
  <c r="Z134" i="87"/>
  <c r="AN134" i="87"/>
  <c r="BP134" i="87"/>
  <c r="F110" i="87"/>
  <c r="G106" i="87"/>
  <c r="G102" i="87"/>
  <c r="V94" i="87"/>
  <c r="E163" i="101"/>
  <c r="W94" i="87"/>
  <c r="W95" i="87"/>
  <c r="E164" i="101"/>
  <c r="W93" i="87"/>
  <c r="E173" i="101"/>
  <c r="T135" i="87"/>
  <c r="T136" i="87"/>
  <c r="T137" i="87"/>
  <c r="S137" i="87"/>
  <c r="R137" i="87"/>
  <c r="Q137" i="87"/>
  <c r="P137" i="87"/>
  <c r="O137" i="87"/>
  <c r="J137" i="87"/>
  <c r="S136" i="87"/>
  <c r="R136" i="87"/>
  <c r="Q136" i="87"/>
  <c r="P136" i="87"/>
  <c r="O136" i="87"/>
  <c r="L136" i="87"/>
  <c r="F140" i="87"/>
  <c r="K136" i="87"/>
  <c r="J136" i="87"/>
  <c r="S135" i="87"/>
  <c r="Q135" i="87"/>
  <c r="O135" i="87"/>
  <c r="L135" i="87"/>
  <c r="K135" i="87"/>
  <c r="F144" i="87"/>
  <c r="F148" i="87"/>
  <c r="V136" i="87"/>
  <c r="V137" i="87"/>
  <c r="W137" i="87"/>
  <c r="W136" i="87"/>
  <c r="V93" i="87"/>
  <c r="V95" i="87"/>
  <c r="F136" i="87" l="1"/>
  <c r="H142" i="95"/>
  <c r="H141" i="95"/>
  <c r="H140" i="95"/>
  <c r="H60" i="95"/>
  <c r="H59" i="95"/>
  <c r="H58" i="95"/>
  <c r="H44" i="95"/>
  <c r="H36" i="95"/>
  <c r="H34" i="95"/>
  <c r="K107" i="87"/>
  <c r="K103" i="87"/>
  <c r="H5" i="95" l="1"/>
  <c r="L103" i="87"/>
  <c r="F103" i="87" s="1"/>
  <c r="L107" i="87"/>
  <c r="F107" i="87" s="1"/>
  <c r="W239" i="89"/>
  <c r="V239" i="89"/>
  <c r="W235" i="89"/>
  <c r="V235" i="89"/>
  <c r="W231" i="89"/>
  <c r="V231" i="89"/>
  <c r="C238" i="89"/>
  <c r="E56" i="101" s="1"/>
  <c r="C234" i="89"/>
  <c r="E55" i="101" s="1"/>
  <c r="C230" i="89"/>
  <c r="E54" i="101" s="1"/>
  <c r="C226" i="89"/>
  <c r="W218" i="89"/>
  <c r="W214" i="89"/>
  <c r="W210" i="89"/>
  <c r="V218" i="89"/>
  <c r="V214" i="89"/>
  <c r="V210" i="89"/>
  <c r="V206" i="89"/>
  <c r="C217" i="89"/>
  <c r="C213" i="89"/>
  <c r="E50" i="101" s="1"/>
  <c r="C209" i="89"/>
  <c r="E49" i="101" s="1"/>
  <c r="C205" i="89"/>
  <c r="F3" i="101"/>
  <c r="F4" i="101"/>
  <c r="F5" i="101"/>
  <c r="F6" i="101"/>
  <c r="F7" i="101"/>
  <c r="F8" i="101"/>
  <c r="F9" i="101"/>
  <c r="F10" i="101"/>
  <c r="F11" i="101"/>
  <c r="F12" i="101"/>
  <c r="F13" i="101"/>
  <c r="F14" i="101"/>
  <c r="F15" i="101"/>
  <c r="F16" i="101"/>
  <c r="F17" i="101"/>
  <c r="F18" i="101"/>
  <c r="F19" i="101"/>
  <c r="F20" i="101"/>
  <c r="F21" i="101"/>
  <c r="F22" i="101"/>
  <c r="F23" i="101"/>
  <c r="F24" i="101"/>
  <c r="F25" i="101"/>
  <c r="F26" i="101"/>
  <c r="F27" i="101"/>
  <c r="F28" i="101"/>
  <c r="F29" i="101"/>
  <c r="F30" i="101"/>
  <c r="F31" i="101"/>
  <c r="F32" i="101"/>
  <c r="F33" i="101"/>
  <c r="F34" i="101"/>
  <c r="F35" i="101"/>
  <c r="F36" i="101"/>
  <c r="F37" i="101"/>
  <c r="F38" i="101"/>
  <c r="F39" i="101"/>
  <c r="F40" i="101"/>
  <c r="F41" i="101"/>
  <c r="F42" i="101"/>
  <c r="F43" i="101"/>
  <c r="F44" i="101"/>
  <c r="F45" i="101"/>
  <c r="F46" i="101"/>
  <c r="F48" i="101"/>
  <c r="F53" i="101"/>
  <c r="F57" i="101"/>
  <c r="F58" i="101"/>
  <c r="F59" i="101"/>
  <c r="F60" i="101"/>
  <c r="F88" i="101"/>
  <c r="F89" i="101"/>
  <c r="F90" i="101"/>
  <c r="F91" i="101"/>
  <c r="F92" i="101"/>
  <c r="F93" i="101"/>
  <c r="F94" i="101"/>
  <c r="F95" i="101"/>
  <c r="F96" i="101"/>
  <c r="F97" i="101"/>
  <c r="F98" i="101"/>
  <c r="F99" i="101"/>
  <c r="F100" i="101"/>
  <c r="F101" i="101"/>
  <c r="F102" i="101"/>
  <c r="F103" i="101"/>
  <c r="F104" i="101"/>
  <c r="F105" i="101"/>
  <c r="F106" i="101"/>
  <c r="F107" i="101"/>
  <c r="F108" i="101"/>
  <c r="F109" i="101"/>
  <c r="F110" i="101"/>
  <c r="F111" i="101"/>
  <c r="F112" i="101"/>
  <c r="F113" i="101"/>
  <c r="F114" i="101"/>
  <c r="F115" i="101"/>
  <c r="F116" i="101"/>
  <c r="F117" i="101"/>
  <c r="F118" i="101"/>
  <c r="F119" i="101"/>
  <c r="F120" i="101"/>
  <c r="F121" i="101"/>
  <c r="F122" i="101"/>
  <c r="F123" i="101"/>
  <c r="F124" i="101"/>
  <c r="F125" i="101"/>
  <c r="F126" i="101"/>
  <c r="F127" i="101"/>
  <c r="F128" i="101"/>
  <c r="F129" i="101"/>
  <c r="F130" i="101"/>
  <c r="F131" i="101"/>
  <c r="F132" i="101"/>
  <c r="F133" i="101"/>
  <c r="F134" i="101"/>
  <c r="F135" i="101"/>
  <c r="F136" i="101"/>
  <c r="F137" i="101"/>
  <c r="F138" i="101"/>
  <c r="F139" i="101"/>
  <c r="F140" i="101"/>
  <c r="F141" i="101"/>
  <c r="F142" i="101"/>
  <c r="F143" i="101"/>
  <c r="F144" i="101"/>
  <c r="F145" i="101"/>
  <c r="F146" i="101"/>
  <c r="F147" i="101"/>
  <c r="F148" i="101"/>
  <c r="F149" i="101"/>
  <c r="F150" i="101"/>
  <c r="F151" i="101"/>
  <c r="F152" i="101"/>
  <c r="F153" i="101"/>
  <c r="F154" i="101"/>
  <c r="F155" i="101"/>
  <c r="F156" i="101"/>
  <c r="F157" i="101"/>
  <c r="F158" i="101"/>
  <c r="F159" i="101"/>
  <c r="F160" i="101"/>
  <c r="F161" i="101"/>
  <c r="F167" i="101"/>
  <c r="F168" i="101"/>
  <c r="F169" i="101"/>
  <c r="F170" i="101"/>
  <c r="F171" i="101"/>
  <c r="F176" i="101"/>
  <c r="F222" i="101"/>
  <c r="F223" i="101"/>
  <c r="F224" i="101"/>
  <c r="F225" i="101"/>
  <c r="F226" i="101"/>
  <c r="F227" i="101"/>
  <c r="F228" i="101"/>
  <c r="F229" i="101"/>
  <c r="F230" i="101"/>
  <c r="F231" i="101"/>
  <c r="F232" i="101"/>
  <c r="F233" i="101"/>
  <c r="F234" i="101"/>
  <c r="F235" i="101"/>
  <c r="F236" i="101"/>
  <c r="F237" i="101"/>
  <c r="F238" i="101"/>
  <c r="F239" i="101"/>
  <c r="F240" i="101"/>
  <c r="F241" i="101"/>
  <c r="F242" i="101"/>
  <c r="F243" i="101"/>
  <c r="F244" i="101"/>
  <c r="F245" i="101"/>
  <c r="F246" i="101"/>
  <c r="F247" i="101"/>
  <c r="F248" i="101"/>
  <c r="F249" i="101"/>
  <c r="F250" i="101"/>
  <c r="F251" i="101"/>
  <c r="F252" i="101"/>
  <c r="F253" i="101"/>
  <c r="F254" i="101"/>
  <c r="F255" i="101"/>
  <c r="F256" i="101"/>
  <c r="F257" i="101"/>
  <c r="F258" i="101"/>
  <c r="F259" i="101"/>
  <c r="F260" i="101"/>
  <c r="F261" i="101"/>
  <c r="F262" i="101"/>
  <c r="F263" i="101"/>
  <c r="F264" i="101"/>
  <c r="F265" i="101"/>
  <c r="F266" i="101"/>
  <c r="F267" i="101"/>
  <c r="F268" i="101"/>
  <c r="F269" i="101"/>
  <c r="F270" i="101"/>
  <c r="F271" i="101"/>
  <c r="F272" i="101"/>
  <c r="F273" i="101"/>
  <c r="F274" i="101"/>
  <c r="F275" i="101"/>
  <c r="F276" i="101"/>
  <c r="F277" i="101"/>
  <c r="F278" i="101"/>
  <c r="F279" i="101"/>
  <c r="F280" i="101"/>
  <c r="F281" i="101"/>
  <c r="F282" i="101"/>
  <c r="F283" i="101"/>
  <c r="F284" i="101"/>
  <c r="F285" i="101"/>
  <c r="F286" i="101"/>
  <c r="F287" i="101"/>
  <c r="F288" i="101"/>
  <c r="F289" i="101"/>
  <c r="F290" i="101"/>
  <c r="F291" i="101"/>
  <c r="F292" i="101"/>
  <c r="F293" i="101"/>
  <c r="F294" i="101"/>
  <c r="F295" i="101"/>
  <c r="F296" i="101"/>
  <c r="F297" i="101"/>
  <c r="F298" i="101"/>
  <c r="F299" i="101"/>
  <c r="F300" i="101"/>
  <c r="F301" i="101"/>
  <c r="F302" i="101"/>
  <c r="F303" i="101"/>
  <c r="F304" i="101"/>
  <c r="F305" i="101"/>
  <c r="F306" i="101"/>
  <c r="F307" i="101"/>
  <c r="F308" i="101"/>
  <c r="F309" i="101"/>
  <c r="F310" i="101"/>
  <c r="F311" i="101"/>
  <c r="F312" i="101"/>
  <c r="F313" i="101"/>
  <c r="F314" i="101"/>
  <c r="F315" i="101"/>
  <c r="F316" i="101"/>
  <c r="F317" i="101"/>
  <c r="F318" i="101"/>
  <c r="F319" i="101"/>
  <c r="F320" i="101"/>
  <c r="F321" i="101"/>
  <c r="F322" i="101"/>
  <c r="F323" i="101"/>
  <c r="F324" i="101"/>
  <c r="F325" i="101"/>
  <c r="F326" i="101"/>
  <c r="F327" i="101"/>
  <c r="F328" i="101"/>
  <c r="F329" i="101"/>
  <c r="F330" i="101"/>
  <c r="F331" i="101"/>
  <c r="F332" i="101"/>
  <c r="F333" i="101"/>
  <c r="F2" i="101"/>
  <c r="D6" i="102"/>
  <c r="D4" i="102"/>
  <c r="N79" i="101" l="1"/>
  <c r="N80" i="101"/>
  <c r="N81" i="101"/>
  <c r="N82" i="101"/>
  <c r="N83" i="101"/>
  <c r="N84" i="101"/>
  <c r="N85" i="101"/>
  <c r="N86" i="101"/>
  <c r="N87" i="101"/>
  <c r="N70" i="101"/>
  <c r="N71" i="101"/>
  <c r="N72" i="101"/>
  <c r="N73" i="101"/>
  <c r="N74" i="101"/>
  <c r="N75" i="101"/>
  <c r="N76" i="101"/>
  <c r="N77" i="101"/>
  <c r="N62" i="101"/>
  <c r="N63" i="101"/>
  <c r="N64" i="101"/>
  <c r="N65" i="101"/>
  <c r="N66" i="101"/>
  <c r="N67" i="101"/>
  <c r="N61" i="101"/>
  <c r="N68" i="101"/>
  <c r="N69" i="101"/>
  <c r="N78" i="101"/>
  <c r="N207" i="101"/>
  <c r="N208" i="101"/>
  <c r="N209" i="101"/>
  <c r="N210" i="101"/>
  <c r="N211" i="101"/>
  <c r="N212" i="101"/>
  <c r="N213" i="101"/>
  <c r="N214" i="101"/>
  <c r="N215" i="101"/>
  <c r="N216" i="101"/>
  <c r="N217" i="101"/>
  <c r="N218" i="101"/>
  <c r="N198" i="101"/>
  <c r="N199" i="101"/>
  <c r="N200" i="101"/>
  <c r="N201" i="101"/>
  <c r="N202" i="101"/>
  <c r="N203" i="101"/>
  <c r="N204" i="101"/>
  <c r="N191" i="101"/>
  <c r="N192" i="101"/>
  <c r="N193" i="101"/>
  <c r="N194" i="101"/>
  <c r="N195" i="101"/>
  <c r="N196" i="101"/>
  <c r="N197" i="101"/>
  <c r="N185" i="101"/>
  <c r="N186" i="101"/>
  <c r="N187" i="101"/>
  <c r="N188" i="101"/>
  <c r="N189" i="101"/>
  <c r="N190" i="101"/>
  <c r="N205" i="101"/>
  <c r="N177" i="101"/>
  <c r="N178" i="101"/>
  <c r="N179" i="101"/>
  <c r="N180" i="101"/>
  <c r="N181" i="101"/>
  <c r="N182" i="101"/>
  <c r="N183" i="101"/>
  <c r="N184" i="101"/>
  <c r="N206" i="101"/>
  <c r="N219" i="101"/>
  <c r="N221" i="101"/>
  <c r="N220" i="101"/>
  <c r="N2" i="101"/>
  <c r="N3" i="101"/>
  <c r="N4" i="101"/>
  <c r="N5" i="101"/>
  <c r="N6" i="101"/>
  <c r="N7" i="101"/>
  <c r="N8" i="101"/>
  <c r="N9" i="101"/>
  <c r="N10" i="101"/>
  <c r="N11" i="101"/>
  <c r="N12" i="101"/>
  <c r="N13" i="101"/>
  <c r="N14" i="101"/>
  <c r="N15" i="101"/>
  <c r="N16" i="101"/>
  <c r="N17" i="101"/>
  <c r="N18" i="101"/>
  <c r="N19" i="101"/>
  <c r="N20" i="101"/>
  <c r="N21" i="101"/>
  <c r="N22" i="101"/>
  <c r="N23" i="101"/>
  <c r="N24" i="101"/>
  <c r="N25" i="101"/>
  <c r="N26" i="101"/>
  <c r="N27" i="101"/>
  <c r="N28" i="101"/>
  <c r="N29" i="101"/>
  <c r="N30" i="101"/>
  <c r="N31" i="101"/>
  <c r="N32" i="101"/>
  <c r="N33" i="101"/>
  <c r="N34" i="101"/>
  <c r="N35" i="101"/>
  <c r="N36" i="101"/>
  <c r="N37" i="101"/>
  <c r="N38" i="101"/>
  <c r="N39" i="101"/>
  <c r="N40" i="101"/>
  <c r="N41" i="101"/>
  <c r="N42" i="101"/>
  <c r="N43" i="101"/>
  <c r="N44" i="101"/>
  <c r="N45" i="101"/>
  <c r="N46" i="101"/>
  <c r="N47" i="101"/>
  <c r="N48" i="101"/>
  <c r="N49" i="101"/>
  <c r="N50" i="101"/>
  <c r="N51" i="101"/>
  <c r="N52" i="101"/>
  <c r="N53" i="101"/>
  <c r="N54" i="101"/>
  <c r="N55" i="101"/>
  <c r="N56" i="101"/>
  <c r="N57" i="101"/>
  <c r="N58" i="101"/>
  <c r="N59" i="101"/>
  <c r="N60" i="101"/>
  <c r="N88" i="101"/>
  <c r="N89" i="101"/>
  <c r="N90" i="101"/>
  <c r="N91" i="101"/>
  <c r="N92" i="101"/>
  <c r="N93" i="101"/>
  <c r="N94" i="101"/>
  <c r="N95" i="101"/>
  <c r="N96" i="101"/>
  <c r="N97" i="101"/>
  <c r="N98" i="101"/>
  <c r="N99" i="101"/>
  <c r="N100" i="101"/>
  <c r="N101" i="101"/>
  <c r="N102" i="101"/>
  <c r="N103" i="101"/>
  <c r="N104" i="101"/>
  <c r="N105" i="101"/>
  <c r="N106" i="101"/>
  <c r="N107" i="101"/>
  <c r="N108" i="101"/>
  <c r="N109" i="101"/>
  <c r="N110" i="101"/>
  <c r="N111" i="101"/>
  <c r="N112" i="101"/>
  <c r="N113" i="101"/>
  <c r="N114" i="101"/>
  <c r="N115" i="101"/>
  <c r="N116" i="101"/>
  <c r="N117" i="101"/>
  <c r="N118" i="101"/>
  <c r="N119" i="101"/>
  <c r="N120" i="101"/>
  <c r="N121" i="101"/>
  <c r="N122" i="101"/>
  <c r="N123" i="101"/>
  <c r="N124" i="101"/>
  <c r="N125" i="101"/>
  <c r="N126" i="101"/>
  <c r="N127" i="101"/>
  <c r="N128" i="101"/>
  <c r="N129" i="101"/>
  <c r="N130" i="101"/>
  <c r="N131" i="101"/>
  <c r="N132" i="101"/>
  <c r="N133" i="101"/>
  <c r="N134" i="101"/>
  <c r="N135" i="101"/>
  <c r="N136" i="101"/>
  <c r="N137" i="101"/>
  <c r="N138" i="101"/>
  <c r="N139" i="101"/>
  <c r="N140" i="101"/>
  <c r="N141" i="101"/>
  <c r="N142" i="101"/>
  <c r="N143" i="101"/>
  <c r="N144" i="101"/>
  <c r="N145" i="101"/>
  <c r="N146" i="101"/>
  <c r="N147" i="101"/>
  <c r="N148" i="101"/>
  <c r="N149" i="101"/>
  <c r="N150" i="101"/>
  <c r="N151" i="101"/>
  <c r="N152" i="101"/>
  <c r="N153" i="101"/>
  <c r="N154" i="101"/>
  <c r="N155" i="101"/>
  <c r="N156" i="101"/>
  <c r="N157" i="101"/>
  <c r="N158" i="101"/>
  <c r="N159" i="101"/>
  <c r="N160" i="101"/>
  <c r="N161" i="101"/>
  <c r="N162" i="101"/>
  <c r="N163" i="101"/>
  <c r="N164" i="101"/>
  <c r="N165" i="101"/>
  <c r="N166" i="101"/>
  <c r="N167" i="101"/>
  <c r="N168" i="101"/>
  <c r="N169" i="101"/>
  <c r="N170" i="101"/>
  <c r="N171" i="101"/>
  <c r="N172" i="101"/>
  <c r="N173" i="101"/>
  <c r="N174" i="101"/>
  <c r="N175" i="101"/>
  <c r="N176" i="101"/>
  <c r="N271" i="101"/>
  <c r="N272" i="101"/>
  <c r="N273" i="101"/>
  <c r="N274" i="101"/>
  <c r="N275" i="101"/>
  <c r="N276" i="101"/>
  <c r="N277" i="101"/>
  <c r="N278" i="101"/>
  <c r="N279" i="101"/>
  <c r="N280" i="101"/>
  <c r="N281" i="101"/>
  <c r="N282" i="101"/>
  <c r="N283" i="101"/>
  <c r="N284" i="101"/>
  <c r="N285" i="101"/>
  <c r="N286" i="101"/>
  <c r="N287" i="101"/>
  <c r="N288" i="101"/>
  <c r="N289" i="101"/>
  <c r="N290" i="101"/>
  <c r="N291" i="101"/>
  <c r="N292" i="101"/>
  <c r="N293" i="101"/>
  <c r="N294" i="101"/>
  <c r="N295" i="101"/>
  <c r="N296" i="101"/>
  <c r="N297" i="101"/>
  <c r="N298" i="101"/>
  <c r="N299" i="101"/>
  <c r="N300" i="101"/>
  <c r="N301" i="101"/>
  <c r="N302" i="101"/>
  <c r="N303" i="101"/>
  <c r="N304" i="101"/>
  <c r="N305" i="101"/>
  <c r="N306" i="101"/>
  <c r="N307" i="101"/>
  <c r="N308" i="101"/>
  <c r="N309" i="101"/>
  <c r="N310" i="101"/>
  <c r="N312" i="101"/>
  <c r="N313" i="101"/>
  <c r="N314" i="101"/>
  <c r="N315" i="101"/>
  <c r="N316" i="101"/>
  <c r="N317" i="101"/>
  <c r="N318" i="101"/>
  <c r="N319" i="101"/>
  <c r="N320" i="101"/>
  <c r="N321" i="101"/>
  <c r="N322" i="101"/>
  <c r="N323" i="101"/>
  <c r="N324" i="101"/>
  <c r="N325" i="101"/>
  <c r="N326" i="101"/>
  <c r="N327" i="101"/>
  <c r="N328" i="101"/>
  <c r="N329" i="101"/>
  <c r="N330" i="101"/>
  <c r="N332" i="101"/>
  <c r="N334" i="101"/>
  <c r="N336" i="101"/>
  <c r="N337" i="101"/>
  <c r="N338" i="101"/>
  <c r="N339" i="101"/>
  <c r="N342" i="101"/>
  <c r="N343" i="101"/>
  <c r="N346" i="101"/>
  <c r="N347" i="101"/>
  <c r="N335" i="101"/>
  <c r="N344" i="101"/>
  <c r="N345" i="101"/>
  <c r="N341" i="101"/>
  <c r="N340" i="101"/>
  <c r="O70" i="101"/>
  <c r="G70" i="101" s="1"/>
  <c r="O71" i="101"/>
  <c r="G71" i="101" s="1"/>
  <c r="O72" i="101"/>
  <c r="G72" i="101" s="1"/>
  <c r="O191" i="101"/>
  <c r="G191" i="101" s="1"/>
  <c r="O192" i="101"/>
  <c r="G192" i="101" s="1"/>
  <c r="O193" i="101"/>
  <c r="G193" i="101" s="1"/>
  <c r="O334" i="101"/>
  <c r="G334" i="101" s="1"/>
  <c r="O336" i="101"/>
  <c r="G336" i="101" s="1"/>
  <c r="O337" i="101"/>
  <c r="G337" i="101" s="1"/>
  <c r="O338" i="101"/>
  <c r="G338" i="101" s="1"/>
  <c r="O339" i="101"/>
  <c r="G339" i="101" s="1"/>
  <c r="O342" i="101"/>
  <c r="G342" i="101" s="1"/>
  <c r="O343" i="101"/>
  <c r="G343" i="101" s="1"/>
  <c r="O346" i="101"/>
  <c r="G346" i="101" s="1"/>
  <c r="O347" i="101"/>
  <c r="G347" i="101" s="1"/>
  <c r="O335" i="101"/>
  <c r="G335" i="101" s="1"/>
  <c r="O344" i="101"/>
  <c r="G344" i="101" s="1"/>
  <c r="O345" i="101"/>
  <c r="G345" i="101" s="1"/>
  <c r="O341" i="101"/>
  <c r="G341" i="101" s="1"/>
  <c r="O340" i="101"/>
  <c r="G340" i="101" s="1"/>
  <c r="O179" i="101"/>
  <c r="O182" i="101"/>
  <c r="G182" i="101" s="1"/>
  <c r="O183" i="101"/>
  <c r="G183" i="101" s="1"/>
  <c r="O184" i="101"/>
  <c r="G184" i="101" s="1"/>
  <c r="O195" i="101"/>
  <c r="G195" i="101" s="1"/>
  <c r="O196" i="101"/>
  <c r="G196" i="101" s="1"/>
  <c r="O203" i="101"/>
  <c r="G203" i="101" s="1"/>
  <c r="O204" i="101"/>
  <c r="G204" i="101" s="1"/>
  <c r="O213" i="101"/>
  <c r="G213" i="101" s="1"/>
  <c r="O199" i="101"/>
  <c r="O200" i="101"/>
  <c r="O208" i="101"/>
  <c r="O209" i="101"/>
  <c r="O210" i="101"/>
  <c r="O217" i="101"/>
  <c r="O220" i="101"/>
  <c r="O62" i="101"/>
  <c r="O214" i="101"/>
  <c r="G214" i="101" s="1"/>
  <c r="O187" i="101"/>
  <c r="G187" i="101" s="1"/>
  <c r="O189" i="101"/>
  <c r="G189" i="101" s="1"/>
  <c r="O188" i="101"/>
  <c r="G188" i="101" s="1"/>
  <c r="O86" i="101"/>
  <c r="O78" i="101"/>
  <c r="O85" i="101"/>
  <c r="O68" i="101"/>
  <c r="O67" i="101"/>
  <c r="O75" i="101"/>
  <c r="O66" i="101"/>
  <c r="BO222" i="89"/>
  <c r="BH222" i="89"/>
  <c r="AM222" i="89"/>
  <c r="AF222" i="89"/>
  <c r="AT222" i="89"/>
  <c r="AF201" i="89"/>
  <c r="AM201" i="89"/>
  <c r="AT201" i="89"/>
  <c r="BH201" i="89"/>
  <c r="BO201" i="89"/>
  <c r="C222" i="89"/>
  <c r="E52" i="101" s="1"/>
  <c r="C201" i="89"/>
  <c r="E47" i="101" s="1"/>
  <c r="Y222" i="89"/>
  <c r="Y201" i="89"/>
  <c r="G103" i="87"/>
  <c r="G107" i="87"/>
  <c r="V224" i="89"/>
  <c r="W224" i="89"/>
  <c r="V225" i="89"/>
  <c r="W225" i="89"/>
  <c r="V202" i="89"/>
  <c r="W203" i="89"/>
  <c r="W204" i="89"/>
  <c r="V204" i="89"/>
  <c r="V203" i="89"/>
  <c r="I21" i="87" l="1"/>
  <c r="I22" i="87"/>
  <c r="I23" i="87"/>
  <c r="E20" i="95" l="1"/>
  <c r="BY20" i="95" s="1"/>
  <c r="Z29" i="95" l="1"/>
  <c r="F24" i="95"/>
  <c r="G24" i="95"/>
  <c r="H24" i="95"/>
  <c r="P24" i="95"/>
  <c r="Q24" i="95"/>
  <c r="S24" i="95"/>
  <c r="E24" i="95"/>
  <c r="AU151" i="87" l="1"/>
  <c r="AN151" i="87"/>
  <c r="AG151" i="87"/>
  <c r="Z151" i="87"/>
  <c r="BI151" i="87"/>
  <c r="BP151" i="87"/>
  <c r="BY24" i="95"/>
  <c r="CF24" i="95"/>
  <c r="F148" i="95"/>
  <c r="G148" i="95"/>
  <c r="H148" i="95"/>
  <c r="P148" i="95"/>
  <c r="Q148" i="95"/>
  <c r="R148" i="95"/>
  <c r="S148" i="95"/>
  <c r="Z148" i="95"/>
  <c r="E148" i="95"/>
  <c r="F143" i="95"/>
  <c r="G143" i="95"/>
  <c r="H143" i="95"/>
  <c r="P143" i="95"/>
  <c r="Q143" i="95"/>
  <c r="S143" i="95"/>
  <c r="Z143" i="95"/>
  <c r="E143" i="95"/>
  <c r="F139" i="95"/>
  <c r="G139" i="95"/>
  <c r="H139" i="95"/>
  <c r="P139" i="95"/>
  <c r="Q139" i="95"/>
  <c r="S139" i="95"/>
  <c r="F134" i="95"/>
  <c r="G134" i="95"/>
  <c r="H134" i="95"/>
  <c r="P134" i="95"/>
  <c r="S134" i="95"/>
  <c r="E134" i="95"/>
  <c r="BY134" i="95" s="1"/>
  <c r="F129" i="95"/>
  <c r="G129" i="95"/>
  <c r="H129" i="95"/>
  <c r="P129" i="95"/>
  <c r="Q129" i="95"/>
  <c r="S129" i="95"/>
  <c r="E129" i="95"/>
  <c r="BY129" i="95" s="1"/>
  <c r="F124" i="95"/>
  <c r="G124" i="95"/>
  <c r="H124" i="95"/>
  <c r="P124" i="95"/>
  <c r="Q124" i="95"/>
  <c r="S124" i="95"/>
  <c r="E124" i="95"/>
  <c r="BY124" i="95" s="1"/>
  <c r="F121" i="95"/>
  <c r="G121" i="95"/>
  <c r="H121" i="95"/>
  <c r="P121" i="95"/>
  <c r="Q121" i="95"/>
  <c r="S121" i="95"/>
  <c r="Z121" i="95"/>
  <c r="E121" i="95"/>
  <c r="BY121" i="95" s="1"/>
  <c r="F118" i="95"/>
  <c r="G118" i="95"/>
  <c r="H118" i="95"/>
  <c r="P118" i="95"/>
  <c r="Q118" i="95"/>
  <c r="S118" i="95"/>
  <c r="Z118" i="95"/>
  <c r="E118" i="95"/>
  <c r="BY118" i="95" s="1"/>
  <c r="F112" i="95"/>
  <c r="G112" i="95"/>
  <c r="H112" i="95"/>
  <c r="P112" i="95"/>
  <c r="Q112" i="95"/>
  <c r="S112" i="95"/>
  <c r="Z112" i="95"/>
  <c r="E112" i="95"/>
  <c r="BY112" i="95" s="1"/>
  <c r="F107" i="95"/>
  <c r="G107" i="95"/>
  <c r="H107" i="95"/>
  <c r="P107" i="95"/>
  <c r="Q107" i="95"/>
  <c r="S107" i="95"/>
  <c r="Z107" i="95"/>
  <c r="E107" i="95"/>
  <c r="BY107" i="95" s="1"/>
  <c r="F104" i="95"/>
  <c r="G104" i="95"/>
  <c r="H104" i="95"/>
  <c r="P104" i="95"/>
  <c r="Q104" i="95"/>
  <c r="S104" i="95"/>
  <c r="Z104" i="95"/>
  <c r="E104" i="95"/>
  <c r="BY104" i="95" s="1"/>
  <c r="F99" i="95"/>
  <c r="G99" i="95"/>
  <c r="H99" i="95"/>
  <c r="P99" i="95"/>
  <c r="Q99" i="95"/>
  <c r="S99" i="95"/>
  <c r="Z99" i="95"/>
  <c r="E99" i="95"/>
  <c r="BY99" i="95" s="1"/>
  <c r="F94" i="95"/>
  <c r="G94" i="95"/>
  <c r="H94" i="95"/>
  <c r="P94" i="95"/>
  <c r="Q94" i="95"/>
  <c r="S94" i="95"/>
  <c r="Z94" i="95"/>
  <c r="E94" i="95"/>
  <c r="BY94" i="95" s="1"/>
  <c r="F89" i="95"/>
  <c r="G89" i="95"/>
  <c r="H89" i="95"/>
  <c r="P89" i="95"/>
  <c r="Q89" i="95"/>
  <c r="S89" i="95"/>
  <c r="Z89" i="95"/>
  <c r="E89" i="95"/>
  <c r="BY89" i="95" s="1"/>
  <c r="G84" i="95"/>
  <c r="H84" i="95"/>
  <c r="P84" i="95"/>
  <c r="Q84" i="95"/>
  <c r="S84" i="95"/>
  <c r="Z84" i="95"/>
  <c r="F84" i="95"/>
  <c r="E84" i="95"/>
  <c r="BY84" i="95" s="1"/>
  <c r="F78" i="95"/>
  <c r="G78" i="95"/>
  <c r="H78" i="95"/>
  <c r="P78" i="95"/>
  <c r="Q78" i="95"/>
  <c r="S78" i="95"/>
  <c r="Z78" i="95"/>
  <c r="E78" i="95"/>
  <c r="BY78" i="95" s="1"/>
  <c r="F74" i="95"/>
  <c r="G74" i="95"/>
  <c r="H74" i="95"/>
  <c r="P74" i="95"/>
  <c r="Q74" i="95"/>
  <c r="S74" i="95"/>
  <c r="Z74" i="95"/>
  <c r="E74" i="95"/>
  <c r="BY74" i="95" s="1"/>
  <c r="F69" i="95"/>
  <c r="G69" i="95"/>
  <c r="H69" i="95"/>
  <c r="P69" i="95"/>
  <c r="Q69" i="95"/>
  <c r="S69" i="95"/>
  <c r="Z69" i="95"/>
  <c r="E69" i="95"/>
  <c r="BY69" i="95" s="1"/>
  <c r="F65" i="95"/>
  <c r="G65" i="95"/>
  <c r="H65" i="95"/>
  <c r="P65" i="95"/>
  <c r="Q65" i="95"/>
  <c r="S65" i="95"/>
  <c r="Z65" i="95"/>
  <c r="E65" i="95"/>
  <c r="BY65" i="95" s="1"/>
  <c r="F61" i="95"/>
  <c r="G61" i="95"/>
  <c r="H61" i="95"/>
  <c r="P61" i="95"/>
  <c r="Q61" i="95"/>
  <c r="S61" i="95"/>
  <c r="Z61" i="95"/>
  <c r="E61" i="95"/>
  <c r="BY61" i="95" s="1"/>
  <c r="F57" i="95"/>
  <c r="G57" i="95"/>
  <c r="H57" i="95"/>
  <c r="P57" i="95"/>
  <c r="Q57" i="95"/>
  <c r="S57" i="95"/>
  <c r="Z57" i="95"/>
  <c r="E57" i="95"/>
  <c r="BY57" i="95" s="1"/>
  <c r="F54" i="95"/>
  <c r="G54" i="95"/>
  <c r="H54" i="95"/>
  <c r="P54" i="95"/>
  <c r="Q54" i="95"/>
  <c r="S54" i="95"/>
  <c r="Z54" i="95"/>
  <c r="BZ54" i="95" s="1"/>
  <c r="F49" i="95"/>
  <c r="G49" i="95"/>
  <c r="P49" i="95"/>
  <c r="Q49" i="95"/>
  <c r="S49" i="95"/>
  <c r="E49" i="95"/>
  <c r="F44" i="95"/>
  <c r="G44" i="95"/>
  <c r="P44" i="95"/>
  <c r="Q44" i="95"/>
  <c r="S44" i="95"/>
  <c r="Z44" i="95"/>
  <c r="E44" i="95"/>
  <c r="BY44" i="95" s="1"/>
  <c r="F16" i="95"/>
  <c r="G16" i="95"/>
  <c r="H16" i="95"/>
  <c r="P16" i="95"/>
  <c r="Q16" i="95"/>
  <c r="S16" i="95"/>
  <c r="Z16" i="95"/>
  <c r="E16" i="95"/>
  <c r="CF107" i="95" l="1"/>
  <c r="CG107" i="95"/>
  <c r="BZ107" i="95"/>
  <c r="BY148" i="95"/>
  <c r="BZ148" i="95" s="1"/>
  <c r="BY143" i="95"/>
  <c r="BZ143" i="95" s="1"/>
  <c r="BY49" i="95"/>
  <c r="H49" i="95"/>
  <c r="BY16" i="95"/>
  <c r="BZ16" i="95" s="1"/>
  <c r="CF57" i="95"/>
  <c r="CG57" i="95" s="1"/>
  <c r="BZ65" i="95"/>
  <c r="CF74" i="95"/>
  <c r="CG74" i="95" s="1"/>
  <c r="CF84" i="95"/>
  <c r="CG84" i="95" s="1"/>
  <c r="BZ84" i="95"/>
  <c r="CF94" i="95"/>
  <c r="CG94" i="95" s="1"/>
  <c r="BZ104" i="95"/>
  <c r="CF112" i="95"/>
  <c r="CG112" i="95" s="1"/>
  <c r="BZ121" i="95"/>
  <c r="CF124" i="95"/>
  <c r="CF139" i="95"/>
  <c r="BZ61" i="95"/>
  <c r="CF69" i="95"/>
  <c r="BZ78" i="95"/>
  <c r="CF89" i="95"/>
  <c r="BZ99" i="95"/>
  <c r="BZ118" i="95"/>
  <c r="CF16" i="95"/>
  <c r="BZ57" i="95"/>
  <c r="CF65" i="95"/>
  <c r="BZ74" i="95"/>
  <c r="BZ94" i="95"/>
  <c r="CF104" i="95"/>
  <c r="BZ112" i="95"/>
  <c r="CF121" i="95"/>
  <c r="CF134" i="95"/>
  <c r="CF61" i="95"/>
  <c r="BZ69" i="95"/>
  <c r="CF78" i="95"/>
  <c r="BZ89" i="95"/>
  <c r="CF99" i="95"/>
  <c r="CF118" i="95"/>
  <c r="CF129" i="95"/>
  <c r="CF148" i="95"/>
  <c r="CF54" i="95"/>
  <c r="CF49" i="95"/>
  <c r="BZ44" i="95"/>
  <c r="CF143" i="95"/>
  <c r="CF44" i="95"/>
  <c r="T56" i="96"/>
  <c r="S54" i="96"/>
  <c r="C52" i="96"/>
  <c r="Q50" i="96"/>
  <c r="P48" i="96"/>
  <c r="C46" i="96"/>
  <c r="C316" i="95"/>
  <c r="K69" i="87" s="1"/>
  <c r="C314" i="95"/>
  <c r="P301" i="95"/>
  <c r="O153" i="89" s="1"/>
  <c r="O301" i="95"/>
  <c r="O152" i="89" s="1"/>
  <c r="N301" i="95"/>
  <c r="O151" i="89" s="1"/>
  <c r="C300" i="95"/>
  <c r="O300" i="95" s="1"/>
  <c r="O58" i="89" s="1"/>
  <c r="C299" i="95"/>
  <c r="C298" i="95"/>
  <c r="P298" i="95" s="1"/>
  <c r="O54" i="88" s="1"/>
  <c r="C297" i="95"/>
  <c r="P297" i="95" s="1"/>
  <c r="O46" i="88" s="1"/>
  <c r="C296" i="95"/>
  <c r="O296" i="95" s="1"/>
  <c r="O20" i="88" s="1"/>
  <c r="C295" i="95"/>
  <c r="C286" i="95"/>
  <c r="AA152" i="95" s="1"/>
  <c r="O274" i="95"/>
  <c r="Z130" i="95" s="1"/>
  <c r="N271" i="95"/>
  <c r="O271" i="95" s="1"/>
  <c r="O270" i="95"/>
  <c r="O269" i="95"/>
  <c r="Z15" i="95" s="1"/>
  <c r="O268" i="95"/>
  <c r="O267" i="95"/>
  <c r="AW147" i="95"/>
  <c r="AP147" i="95"/>
  <c r="AA147" i="95"/>
  <c r="AA146" i="95"/>
  <c r="AA145" i="95"/>
  <c r="AA144" i="95"/>
  <c r="Z131" i="95"/>
  <c r="Z128" i="95"/>
  <c r="Z127" i="95"/>
  <c r="Z126" i="95"/>
  <c r="Z125" i="95"/>
  <c r="AA123" i="95"/>
  <c r="AA122" i="95"/>
  <c r="AA120" i="95"/>
  <c r="AA119" i="95"/>
  <c r="AA117" i="95"/>
  <c r="AA116" i="95"/>
  <c r="AA115" i="95"/>
  <c r="AA114" i="95"/>
  <c r="AA113" i="95"/>
  <c r="AA111" i="95"/>
  <c r="AA110" i="95"/>
  <c r="AA109" i="95"/>
  <c r="AA108" i="95"/>
  <c r="AA106" i="95"/>
  <c r="AA105" i="95"/>
  <c r="AA103" i="95"/>
  <c r="AA102" i="95"/>
  <c r="AA101" i="95"/>
  <c r="AA100" i="95"/>
  <c r="AA98" i="95"/>
  <c r="AA97" i="95"/>
  <c r="AA96" i="95"/>
  <c r="AA95" i="95"/>
  <c r="AA93" i="95"/>
  <c r="AA92" i="95"/>
  <c r="AA91" i="95"/>
  <c r="AA90" i="95"/>
  <c r="AA88" i="95"/>
  <c r="AA87" i="95"/>
  <c r="AA86" i="95"/>
  <c r="AA85" i="95"/>
  <c r="AA83" i="95"/>
  <c r="AA82" i="95"/>
  <c r="AA81" i="95"/>
  <c r="AA80" i="95"/>
  <c r="AA79" i="95"/>
  <c r="AA77" i="95"/>
  <c r="AA76" i="95"/>
  <c r="AA75" i="95"/>
  <c r="AA73" i="95"/>
  <c r="AA72" i="95"/>
  <c r="AA71" i="95"/>
  <c r="AA70" i="95"/>
  <c r="AA68" i="95"/>
  <c r="AA67" i="95"/>
  <c r="AA66" i="95"/>
  <c r="AA64" i="95"/>
  <c r="AA63" i="95"/>
  <c r="AA62" i="95"/>
  <c r="AA60" i="95"/>
  <c r="AA59" i="95"/>
  <c r="AA58" i="95"/>
  <c r="AA56" i="95"/>
  <c r="AA55" i="95"/>
  <c r="AA48" i="95"/>
  <c r="AA47" i="95"/>
  <c r="AA46" i="95"/>
  <c r="AA45" i="95"/>
  <c r="AA43" i="95"/>
  <c r="AA42" i="95"/>
  <c r="AA41" i="95"/>
  <c r="AA40" i="95"/>
  <c r="AA39" i="95"/>
  <c r="AA38" i="95"/>
  <c r="Z37" i="95"/>
  <c r="S37" i="95"/>
  <c r="Q37" i="95"/>
  <c r="P37" i="95"/>
  <c r="H37" i="95"/>
  <c r="G37" i="95"/>
  <c r="F37" i="95"/>
  <c r="E37" i="95"/>
  <c r="BY37" i="95" s="1"/>
  <c r="AA36" i="95"/>
  <c r="AA35" i="95"/>
  <c r="AA34" i="95"/>
  <c r="AA33" i="95"/>
  <c r="AA32" i="95"/>
  <c r="AA31" i="95"/>
  <c r="Z30" i="95"/>
  <c r="S30" i="95"/>
  <c r="Q30" i="95"/>
  <c r="P30" i="95"/>
  <c r="H30" i="95"/>
  <c r="G30" i="95"/>
  <c r="F30" i="95"/>
  <c r="E30" i="95"/>
  <c r="BY30" i="95" s="1"/>
  <c r="D30" i="95"/>
  <c r="AA29" i="95"/>
  <c r="AC23" i="95"/>
  <c r="AC22" i="95"/>
  <c r="AC21" i="95"/>
  <c r="AB20" i="95"/>
  <c r="CB20" i="95" s="1"/>
  <c r="S20" i="95"/>
  <c r="BK20" i="95" s="1"/>
  <c r="Q20" i="95"/>
  <c r="P20" i="95"/>
  <c r="H20" i="95"/>
  <c r="G20" i="95"/>
  <c r="F20" i="95"/>
  <c r="AP20" i="95"/>
  <c r="AA19" i="95"/>
  <c r="BK18" i="95"/>
  <c r="BL18" i="95" s="1"/>
  <c r="BD18" i="95"/>
  <c r="BE18" i="95" s="1"/>
  <c r="AW18" i="95"/>
  <c r="AP18" i="95"/>
  <c r="AA18" i="95"/>
  <c r="AA17" i="95"/>
  <c r="S12" i="95"/>
  <c r="Q12" i="95"/>
  <c r="P12" i="95"/>
  <c r="G12" i="95"/>
  <c r="F12" i="95"/>
  <c r="E12" i="95"/>
  <c r="P5" i="95"/>
  <c r="G5" i="95"/>
  <c r="F5" i="95"/>
  <c r="E5" i="95"/>
  <c r="C49" i="94"/>
  <c r="B49" i="94"/>
  <c r="F92" i="92"/>
  <c r="E92" i="92"/>
  <c r="D92" i="92"/>
  <c r="I156" i="91"/>
  <c r="H156" i="91" s="1"/>
  <c r="G155" i="91"/>
  <c r="I155" i="91" s="1"/>
  <c r="H155" i="91" s="1"/>
  <c r="I154" i="91"/>
  <c r="H154" i="91" s="1"/>
  <c r="I153" i="91"/>
  <c r="H153" i="91" s="1"/>
  <c r="I152" i="91"/>
  <c r="H152" i="91" s="1"/>
  <c r="I151" i="91"/>
  <c r="H151" i="91" s="1"/>
  <c r="F150" i="91"/>
  <c r="I150" i="91" s="1"/>
  <c r="H150" i="91" s="1"/>
  <c r="I146" i="91"/>
  <c r="H146" i="91" s="1"/>
  <c r="I145" i="91"/>
  <c r="I144" i="91"/>
  <c r="I143" i="91"/>
  <c r="I142" i="91"/>
  <c r="I141" i="91"/>
  <c r="I140" i="91"/>
  <c r="B80" i="91"/>
  <c r="C40" i="91"/>
  <c r="F19" i="91"/>
  <c r="E19" i="91"/>
  <c r="D19" i="91"/>
  <c r="C19" i="91"/>
  <c r="B19" i="91"/>
  <c r="J198" i="90"/>
  <c r="I198" i="90"/>
  <c r="H198" i="90"/>
  <c r="B197" i="90"/>
  <c r="E333" i="101" s="1"/>
  <c r="J192" i="90"/>
  <c r="I192" i="90"/>
  <c r="H192" i="90"/>
  <c r="B191" i="90"/>
  <c r="J186" i="90"/>
  <c r="I186" i="90"/>
  <c r="H186" i="90"/>
  <c r="B185" i="90"/>
  <c r="E331" i="101" s="1"/>
  <c r="J180" i="90"/>
  <c r="I180" i="90"/>
  <c r="H180" i="90"/>
  <c r="B179" i="90"/>
  <c r="E330" i="101" s="1"/>
  <c r="J174" i="90"/>
  <c r="I174" i="90"/>
  <c r="H174" i="90"/>
  <c r="B173" i="90"/>
  <c r="J162" i="90"/>
  <c r="I162" i="90"/>
  <c r="H162" i="90"/>
  <c r="B161" i="90"/>
  <c r="E327" i="101" s="1"/>
  <c r="J156" i="90"/>
  <c r="I156" i="90"/>
  <c r="H156" i="90"/>
  <c r="B155" i="90"/>
  <c r="F147" i="90"/>
  <c r="F145" i="90"/>
  <c r="I324" i="101" s="1"/>
  <c r="M324" i="101" s="1"/>
  <c r="J144" i="90"/>
  <c r="I144" i="90"/>
  <c r="H144" i="90"/>
  <c r="B143" i="90"/>
  <c r="E324" i="101" s="1"/>
  <c r="F140" i="90"/>
  <c r="J139" i="90"/>
  <c r="I139" i="90"/>
  <c r="H139" i="90"/>
  <c r="B138" i="90"/>
  <c r="E323" i="101" s="1"/>
  <c r="F137" i="90"/>
  <c r="F135" i="90"/>
  <c r="J134" i="90"/>
  <c r="I134" i="90"/>
  <c r="H134" i="90"/>
  <c r="B133" i="90"/>
  <c r="F126" i="90"/>
  <c r="F124" i="90"/>
  <c r="I320" i="101" s="1"/>
  <c r="M320" i="101" s="1"/>
  <c r="J123" i="90"/>
  <c r="I123" i="90"/>
  <c r="H123" i="90"/>
  <c r="B122" i="90"/>
  <c r="E320" i="101" s="1"/>
  <c r="F121" i="90"/>
  <c r="K319" i="101" s="1"/>
  <c r="O319" i="101" s="1"/>
  <c r="F119" i="90"/>
  <c r="I319" i="101" s="1"/>
  <c r="M319" i="101" s="1"/>
  <c r="J118" i="90"/>
  <c r="I118" i="90"/>
  <c r="H118" i="90"/>
  <c r="B117" i="90"/>
  <c r="E319" i="101" s="1"/>
  <c r="J113" i="90"/>
  <c r="I113" i="90"/>
  <c r="H113" i="90"/>
  <c r="B112" i="90"/>
  <c r="J102" i="90"/>
  <c r="I102" i="90"/>
  <c r="H102" i="90"/>
  <c r="B101" i="90"/>
  <c r="E316" i="101" s="1"/>
  <c r="J96" i="90"/>
  <c r="I96" i="90"/>
  <c r="H96" i="90"/>
  <c r="B95" i="90"/>
  <c r="E315" i="101" s="1"/>
  <c r="J90" i="90"/>
  <c r="I90" i="90"/>
  <c r="B89" i="90"/>
  <c r="J84" i="90"/>
  <c r="I84" i="90"/>
  <c r="H84" i="90"/>
  <c r="B83" i="90"/>
  <c r="E313" i="101" s="1"/>
  <c r="J78" i="90"/>
  <c r="I78" i="90"/>
  <c r="H78" i="90"/>
  <c r="B77" i="90"/>
  <c r="E312" i="101" s="1"/>
  <c r="J72" i="90"/>
  <c r="I72" i="90"/>
  <c r="B71" i="90"/>
  <c r="E311" i="101" s="1"/>
  <c r="J66" i="90"/>
  <c r="I66" i="90"/>
  <c r="H66" i="90"/>
  <c r="B65" i="90"/>
  <c r="E310" i="101" s="1"/>
  <c r="J60" i="90"/>
  <c r="I60" i="90"/>
  <c r="H60" i="90"/>
  <c r="B59" i="90"/>
  <c r="E309" i="101" s="1"/>
  <c r="J54" i="90"/>
  <c r="I54" i="90"/>
  <c r="H54" i="90"/>
  <c r="B53" i="90"/>
  <c r="E308" i="101" s="1"/>
  <c r="J48" i="90"/>
  <c r="I48" i="90"/>
  <c r="H48" i="90"/>
  <c r="B47" i="90"/>
  <c r="E307" i="101" s="1"/>
  <c r="J42" i="90"/>
  <c r="I42" i="90"/>
  <c r="H42" i="90"/>
  <c r="B41" i="90"/>
  <c r="E306" i="101" s="1"/>
  <c r="J36" i="90"/>
  <c r="I36" i="90"/>
  <c r="H36" i="90"/>
  <c r="B35" i="90"/>
  <c r="E305" i="101" s="1"/>
  <c r="J30" i="90"/>
  <c r="I30" i="90"/>
  <c r="H30" i="90"/>
  <c r="B29" i="90"/>
  <c r="E304" i="101" s="1"/>
  <c r="J24" i="90"/>
  <c r="I24" i="90"/>
  <c r="H24" i="90"/>
  <c r="B23" i="90"/>
  <c r="E303" i="101" s="1"/>
  <c r="J19" i="90"/>
  <c r="I19" i="90"/>
  <c r="H19" i="90"/>
  <c r="B18" i="90"/>
  <c r="E302" i="101" s="1"/>
  <c r="J14" i="90"/>
  <c r="I14" i="90"/>
  <c r="H14" i="90"/>
  <c r="B13" i="90"/>
  <c r="AX4" i="90"/>
  <c r="Q258" i="89"/>
  <c r="N258" i="89"/>
  <c r="K258" i="89"/>
  <c r="I258" i="89"/>
  <c r="Q257" i="89"/>
  <c r="N257" i="89"/>
  <c r="I257" i="89"/>
  <c r="W256" i="89"/>
  <c r="V256" i="89"/>
  <c r="T256" i="89"/>
  <c r="Q256" i="89"/>
  <c r="P256" i="89"/>
  <c r="N256" i="89"/>
  <c r="J256" i="89"/>
  <c r="I256" i="89"/>
  <c r="C255" i="89"/>
  <c r="E60" i="101" s="1"/>
  <c r="Q254" i="89"/>
  <c r="N254" i="89"/>
  <c r="K254" i="89"/>
  <c r="I254" i="89"/>
  <c r="Q253" i="89"/>
  <c r="N253" i="89"/>
  <c r="I253" i="89"/>
  <c r="W252" i="89"/>
  <c r="V252" i="89"/>
  <c r="T252" i="89"/>
  <c r="Q252" i="89"/>
  <c r="P252" i="89"/>
  <c r="N252" i="89"/>
  <c r="J252" i="89"/>
  <c r="I252" i="89"/>
  <c r="C251" i="89"/>
  <c r="E59" i="101" s="1"/>
  <c r="Q250" i="89"/>
  <c r="N250" i="89"/>
  <c r="K250" i="89"/>
  <c r="I250" i="89"/>
  <c r="Q249" i="89"/>
  <c r="N249" i="89"/>
  <c r="I249" i="89"/>
  <c r="W248" i="89"/>
  <c r="V248" i="89"/>
  <c r="T248" i="89"/>
  <c r="Q248" i="89"/>
  <c r="P248" i="89"/>
  <c r="N248" i="89"/>
  <c r="J248" i="89"/>
  <c r="I248" i="89"/>
  <c r="C247" i="89"/>
  <c r="W227" i="89"/>
  <c r="W223" i="89" s="1"/>
  <c r="V227" i="89"/>
  <c r="V223" i="89" s="1"/>
  <c r="E53" i="101"/>
  <c r="W206" i="89"/>
  <c r="W202" i="89" s="1"/>
  <c r="E48" i="101"/>
  <c r="N199" i="89"/>
  <c r="K199" i="89"/>
  <c r="I199" i="89"/>
  <c r="N198" i="89"/>
  <c r="I198" i="89"/>
  <c r="F198" i="89"/>
  <c r="W197" i="89"/>
  <c r="V197" i="89"/>
  <c r="T197" i="89"/>
  <c r="N197" i="89"/>
  <c r="J197" i="89"/>
  <c r="I197" i="89"/>
  <c r="C196" i="89"/>
  <c r="E46" i="101" s="1"/>
  <c r="N195" i="89"/>
  <c r="K195" i="89"/>
  <c r="I195" i="89"/>
  <c r="N194" i="89"/>
  <c r="I194" i="89"/>
  <c r="F194" i="89"/>
  <c r="W193" i="89"/>
  <c r="V193" i="89"/>
  <c r="T193" i="89"/>
  <c r="N193" i="89"/>
  <c r="J193" i="89"/>
  <c r="I193" i="89"/>
  <c r="C192" i="89"/>
  <c r="E45" i="101" s="1"/>
  <c r="N191" i="89"/>
  <c r="K191" i="89"/>
  <c r="L191" i="89" s="1"/>
  <c r="F191" i="89" s="1"/>
  <c r="I191" i="89"/>
  <c r="N190" i="89"/>
  <c r="I190" i="89"/>
  <c r="F190" i="89"/>
  <c r="W189" i="89"/>
  <c r="V189" i="89"/>
  <c r="T189" i="89"/>
  <c r="N189" i="89"/>
  <c r="J189" i="89"/>
  <c r="I189" i="89"/>
  <c r="C188" i="89"/>
  <c r="E44" i="101" s="1"/>
  <c r="N187" i="89"/>
  <c r="K187" i="89"/>
  <c r="I187" i="89"/>
  <c r="N186" i="89"/>
  <c r="I186" i="89"/>
  <c r="F186" i="89"/>
  <c r="F228" i="89" s="1"/>
  <c r="W185" i="89"/>
  <c r="V185" i="89"/>
  <c r="T185" i="89"/>
  <c r="N185" i="89"/>
  <c r="J185" i="89"/>
  <c r="I185" i="89"/>
  <c r="C184" i="89"/>
  <c r="N178" i="89"/>
  <c r="K178" i="89"/>
  <c r="L178" i="89" s="1"/>
  <c r="I178" i="89"/>
  <c r="N177" i="89"/>
  <c r="I177" i="89"/>
  <c r="F177" i="89"/>
  <c r="W176" i="89"/>
  <c r="V176" i="89"/>
  <c r="P176" i="89"/>
  <c r="N176" i="89"/>
  <c r="J176" i="89"/>
  <c r="I176" i="89"/>
  <c r="C175" i="89"/>
  <c r="E41" i="101" s="1"/>
  <c r="N174" i="89"/>
  <c r="K174" i="89"/>
  <c r="L174" i="89" s="1"/>
  <c r="F174" i="89" s="1"/>
  <c r="I174" i="89"/>
  <c r="N173" i="89"/>
  <c r="I173" i="89"/>
  <c r="F173" i="89"/>
  <c r="W172" i="89"/>
  <c r="V172" i="89"/>
  <c r="P172" i="89"/>
  <c r="N172" i="89"/>
  <c r="J172" i="89"/>
  <c r="I172" i="89"/>
  <c r="C171" i="89"/>
  <c r="E40" i="101" s="1"/>
  <c r="N170" i="89"/>
  <c r="K170" i="89"/>
  <c r="L170" i="89" s="1"/>
  <c r="F170" i="89" s="1"/>
  <c r="I170" i="89"/>
  <c r="N169" i="89"/>
  <c r="I169" i="89"/>
  <c r="F169" i="89"/>
  <c r="W168" i="89"/>
  <c r="V168" i="89"/>
  <c r="P168" i="89"/>
  <c r="N168" i="89"/>
  <c r="J168" i="89"/>
  <c r="I168" i="89"/>
  <c r="C167" i="89"/>
  <c r="E39" i="101" s="1"/>
  <c r="N166" i="89"/>
  <c r="K166" i="89"/>
  <c r="I166" i="89"/>
  <c r="N165" i="89"/>
  <c r="I165" i="89"/>
  <c r="F165" i="89"/>
  <c r="W164" i="89"/>
  <c r="V164" i="89"/>
  <c r="N164" i="89"/>
  <c r="J164" i="89"/>
  <c r="I164" i="89"/>
  <c r="C163" i="89"/>
  <c r="N157" i="89"/>
  <c r="K157" i="89"/>
  <c r="L157" i="89" s="1"/>
  <c r="I157" i="89"/>
  <c r="N156" i="89"/>
  <c r="I156" i="89"/>
  <c r="F156" i="89"/>
  <c r="W155" i="89"/>
  <c r="V155" i="89"/>
  <c r="P155" i="89"/>
  <c r="N155" i="89"/>
  <c r="J155" i="89"/>
  <c r="I155" i="89"/>
  <c r="C154" i="89"/>
  <c r="E36" i="101" s="1"/>
  <c r="K153" i="89"/>
  <c r="I153" i="89"/>
  <c r="I152" i="89"/>
  <c r="F152" i="89"/>
  <c r="W151" i="89"/>
  <c r="V151" i="89"/>
  <c r="J151" i="89"/>
  <c r="I151" i="89"/>
  <c r="F151" i="89"/>
  <c r="C150" i="89"/>
  <c r="E35" i="101" s="1"/>
  <c r="N149" i="89"/>
  <c r="K149" i="89"/>
  <c r="I149" i="89"/>
  <c r="N148" i="89"/>
  <c r="I148" i="89"/>
  <c r="F148" i="89"/>
  <c r="W147" i="89"/>
  <c r="V147" i="89"/>
  <c r="P147" i="89"/>
  <c r="N147" i="89"/>
  <c r="J147" i="89"/>
  <c r="I147" i="89"/>
  <c r="C146" i="89"/>
  <c r="N145" i="89"/>
  <c r="K145" i="89"/>
  <c r="L145" i="89" s="1"/>
  <c r="I145" i="89"/>
  <c r="N144" i="89"/>
  <c r="I144" i="89"/>
  <c r="F144" i="89"/>
  <c r="W143" i="89"/>
  <c r="V143" i="89"/>
  <c r="P143" i="89"/>
  <c r="N143" i="89"/>
  <c r="J143" i="89"/>
  <c r="I143" i="89"/>
  <c r="C142" i="89"/>
  <c r="N136" i="89"/>
  <c r="K136" i="89"/>
  <c r="I136" i="89"/>
  <c r="N135" i="89"/>
  <c r="I135" i="89"/>
  <c r="F135" i="89"/>
  <c r="W134" i="89"/>
  <c r="V134" i="89"/>
  <c r="P134" i="89"/>
  <c r="N134" i="89"/>
  <c r="J134" i="89"/>
  <c r="I134" i="89"/>
  <c r="C133" i="89"/>
  <c r="E31" i="101" s="1"/>
  <c r="N132" i="89"/>
  <c r="K132" i="89"/>
  <c r="I132" i="89"/>
  <c r="N131" i="89"/>
  <c r="I131" i="89"/>
  <c r="F131" i="89"/>
  <c r="W130" i="89"/>
  <c r="V130" i="89"/>
  <c r="P130" i="89"/>
  <c r="N130" i="89"/>
  <c r="J130" i="89"/>
  <c r="I130" i="89"/>
  <c r="C129" i="89"/>
  <c r="N123" i="89"/>
  <c r="K123" i="89"/>
  <c r="L123" i="89" s="1"/>
  <c r="I123" i="89"/>
  <c r="N122" i="89"/>
  <c r="I122" i="89"/>
  <c r="F122" i="89"/>
  <c r="W121" i="89"/>
  <c r="V121" i="89"/>
  <c r="P121" i="89"/>
  <c r="N121" i="89"/>
  <c r="J121" i="89"/>
  <c r="I121" i="89"/>
  <c r="C120" i="89"/>
  <c r="E28" i="101" s="1"/>
  <c r="N118" i="89"/>
  <c r="K118" i="89"/>
  <c r="L118" i="89" s="1"/>
  <c r="F118" i="89" s="1"/>
  <c r="I118" i="89"/>
  <c r="N117" i="89"/>
  <c r="I117" i="89"/>
  <c r="F117" i="89"/>
  <c r="W116" i="89"/>
  <c r="V116" i="89"/>
  <c r="P116" i="89"/>
  <c r="N116" i="89"/>
  <c r="J116" i="89"/>
  <c r="I116" i="89"/>
  <c r="C115" i="89"/>
  <c r="E27" i="101" s="1"/>
  <c r="N114" i="89"/>
  <c r="K114" i="89"/>
  <c r="L114" i="89" s="1"/>
  <c r="I114" i="89"/>
  <c r="N113" i="89"/>
  <c r="I113" i="89"/>
  <c r="F113" i="89"/>
  <c r="W112" i="89"/>
  <c r="V112" i="89"/>
  <c r="P112" i="89"/>
  <c r="N112" i="89"/>
  <c r="J112" i="89"/>
  <c r="I112" i="89"/>
  <c r="C111" i="89"/>
  <c r="N105" i="89"/>
  <c r="K105" i="89"/>
  <c r="L105" i="89" s="1"/>
  <c r="I105" i="89"/>
  <c r="N104" i="89"/>
  <c r="I104" i="89"/>
  <c r="F104" i="89"/>
  <c r="W103" i="89"/>
  <c r="V103" i="89"/>
  <c r="P103" i="89"/>
  <c r="N103" i="89"/>
  <c r="J103" i="89"/>
  <c r="I103" i="89"/>
  <c r="C102" i="89"/>
  <c r="E24" i="101" s="1"/>
  <c r="N101" i="89"/>
  <c r="K101" i="89"/>
  <c r="L101" i="89" s="1"/>
  <c r="I101" i="89"/>
  <c r="N100" i="89"/>
  <c r="I100" i="89"/>
  <c r="F100" i="89"/>
  <c r="W99" i="89"/>
  <c r="V99" i="89"/>
  <c r="P99" i="89"/>
  <c r="N99" i="89"/>
  <c r="J99" i="89"/>
  <c r="I99" i="89"/>
  <c r="C98" i="89"/>
  <c r="N92" i="89"/>
  <c r="K92" i="89"/>
  <c r="L92" i="89" s="1"/>
  <c r="F92" i="89" s="1"/>
  <c r="I92" i="89"/>
  <c r="N91" i="89"/>
  <c r="I91" i="89"/>
  <c r="F91" i="89"/>
  <c r="W90" i="89"/>
  <c r="V90" i="89"/>
  <c r="P90" i="89"/>
  <c r="N90" i="89"/>
  <c r="J90" i="89"/>
  <c r="I90" i="89"/>
  <c r="C89" i="89"/>
  <c r="E21" i="101" s="1"/>
  <c r="N88" i="89"/>
  <c r="K88" i="89"/>
  <c r="I88" i="89"/>
  <c r="N87" i="89"/>
  <c r="I87" i="89"/>
  <c r="F87" i="89"/>
  <c r="W86" i="89"/>
  <c r="V86" i="89"/>
  <c r="P86" i="89"/>
  <c r="N86" i="89"/>
  <c r="J86" i="89"/>
  <c r="I86" i="89"/>
  <c r="C85" i="89"/>
  <c r="E20" i="101" s="1"/>
  <c r="N84" i="89"/>
  <c r="K84" i="89"/>
  <c r="I84" i="89"/>
  <c r="N83" i="89"/>
  <c r="I83" i="89"/>
  <c r="F83" i="89"/>
  <c r="W82" i="89"/>
  <c r="V82" i="89"/>
  <c r="P82" i="89"/>
  <c r="N82" i="89"/>
  <c r="J82" i="89"/>
  <c r="I82" i="89"/>
  <c r="C81" i="89"/>
  <c r="E19" i="101" s="1"/>
  <c r="N80" i="89"/>
  <c r="K80" i="89"/>
  <c r="L80" i="89" s="1"/>
  <c r="I80" i="89"/>
  <c r="N79" i="89"/>
  <c r="I79" i="89"/>
  <c r="F79" i="89"/>
  <c r="W78" i="89"/>
  <c r="V78" i="89"/>
  <c r="P78" i="89"/>
  <c r="N78" i="89"/>
  <c r="J78" i="89"/>
  <c r="I78" i="89"/>
  <c r="C77" i="89"/>
  <c r="N71" i="89"/>
  <c r="K71" i="89"/>
  <c r="L71" i="89" s="1"/>
  <c r="F71" i="89" s="1"/>
  <c r="I71" i="89"/>
  <c r="N70" i="89"/>
  <c r="I70" i="89"/>
  <c r="F70" i="89"/>
  <c r="W69" i="89"/>
  <c r="V69" i="89"/>
  <c r="P69" i="89"/>
  <c r="N69" i="89"/>
  <c r="J69" i="89"/>
  <c r="I69" i="89"/>
  <c r="C68" i="89"/>
  <c r="N67" i="89"/>
  <c r="K67" i="89"/>
  <c r="I67" i="89"/>
  <c r="N66" i="89"/>
  <c r="I66" i="89"/>
  <c r="F66" i="89"/>
  <c r="W65" i="89"/>
  <c r="V65" i="89"/>
  <c r="N65" i="89"/>
  <c r="J65" i="89"/>
  <c r="I65" i="89"/>
  <c r="C64" i="89"/>
  <c r="E15" i="101" s="1"/>
  <c r="N63" i="89"/>
  <c r="K63" i="89"/>
  <c r="L63" i="89" s="1"/>
  <c r="I63" i="89"/>
  <c r="N62" i="89"/>
  <c r="I62" i="89"/>
  <c r="F62" i="89"/>
  <c r="W61" i="89"/>
  <c r="V61" i="89"/>
  <c r="P61" i="89"/>
  <c r="N61" i="89"/>
  <c r="J61" i="89"/>
  <c r="I61" i="89"/>
  <c r="C60" i="89"/>
  <c r="E14" i="101" s="1"/>
  <c r="K59" i="89"/>
  <c r="I59" i="89"/>
  <c r="I58" i="89"/>
  <c r="F58" i="89"/>
  <c r="W57" i="89"/>
  <c r="V57" i="89"/>
  <c r="P57" i="89"/>
  <c r="J57" i="89"/>
  <c r="I57" i="89"/>
  <c r="F57" i="89"/>
  <c r="C56" i="89"/>
  <c r="N50" i="89"/>
  <c r="K50" i="89"/>
  <c r="I50" i="89"/>
  <c r="N49" i="89"/>
  <c r="I49" i="89"/>
  <c r="F49" i="89"/>
  <c r="W48" i="89"/>
  <c r="V48" i="89"/>
  <c r="N48" i="89"/>
  <c r="J48" i="89"/>
  <c r="I48" i="89"/>
  <c r="C47" i="89"/>
  <c r="N46" i="89"/>
  <c r="K46" i="89"/>
  <c r="L46" i="89" s="1"/>
  <c r="I46" i="89"/>
  <c r="N45" i="89"/>
  <c r="I45" i="89"/>
  <c r="F45" i="89"/>
  <c r="W44" i="89"/>
  <c r="V44" i="89"/>
  <c r="N44" i="89"/>
  <c r="J44" i="89"/>
  <c r="I44" i="89"/>
  <c r="C43" i="89"/>
  <c r="E10" i="101" s="1"/>
  <c r="N42" i="89"/>
  <c r="K42" i="89"/>
  <c r="I42" i="89"/>
  <c r="N41" i="89"/>
  <c r="I41" i="89"/>
  <c r="F41" i="89"/>
  <c r="W40" i="89"/>
  <c r="V40" i="89"/>
  <c r="N40" i="89"/>
  <c r="J40" i="89"/>
  <c r="I40" i="89"/>
  <c r="C39" i="89"/>
  <c r="E9" i="101" s="1"/>
  <c r="N38" i="89"/>
  <c r="K38" i="89"/>
  <c r="I38" i="89"/>
  <c r="N37" i="89"/>
  <c r="I37" i="89"/>
  <c r="F37" i="89"/>
  <c r="W36" i="89"/>
  <c r="V36" i="89"/>
  <c r="N36" i="89"/>
  <c r="J36" i="89"/>
  <c r="I36" i="89"/>
  <c r="C35" i="89"/>
  <c r="N29" i="89"/>
  <c r="K29" i="89"/>
  <c r="L29" i="89" s="1"/>
  <c r="I29" i="89"/>
  <c r="N28" i="89"/>
  <c r="I28" i="89"/>
  <c r="F28" i="89"/>
  <c r="W27" i="89"/>
  <c r="V27" i="89"/>
  <c r="P27" i="89"/>
  <c r="N27" i="89"/>
  <c r="J27" i="89"/>
  <c r="I27" i="89"/>
  <c r="C26" i="89"/>
  <c r="E6" i="101" s="1"/>
  <c r="N25" i="89"/>
  <c r="K25" i="89"/>
  <c r="I25" i="89"/>
  <c r="N24" i="89"/>
  <c r="I24" i="89"/>
  <c r="F24" i="89"/>
  <c r="W23" i="89"/>
  <c r="V23" i="89"/>
  <c r="N23" i="89"/>
  <c r="J23" i="89"/>
  <c r="I23" i="89"/>
  <c r="C22" i="89"/>
  <c r="E5" i="101" s="1"/>
  <c r="N21" i="89"/>
  <c r="K21" i="89"/>
  <c r="I21" i="89"/>
  <c r="N20" i="89"/>
  <c r="I20" i="89"/>
  <c r="F20" i="89"/>
  <c r="W19" i="89"/>
  <c r="V19" i="89"/>
  <c r="P19" i="89"/>
  <c r="N19" i="89"/>
  <c r="J19" i="89"/>
  <c r="I19" i="89"/>
  <c r="C18" i="89"/>
  <c r="E4" i="101" s="1"/>
  <c r="N17" i="89"/>
  <c r="K17" i="89"/>
  <c r="I17" i="89"/>
  <c r="N16" i="89"/>
  <c r="I16" i="89"/>
  <c r="F16" i="89"/>
  <c r="W15" i="89"/>
  <c r="V15" i="89"/>
  <c r="N15" i="89"/>
  <c r="J15" i="89"/>
  <c r="I15" i="89"/>
  <c r="C14" i="89"/>
  <c r="CI5" i="89"/>
  <c r="F353" i="89" s="1"/>
  <c r="Q249" i="88"/>
  <c r="N249" i="88"/>
  <c r="K249" i="88"/>
  <c r="I249" i="88"/>
  <c r="Q248" i="88"/>
  <c r="N248" i="88"/>
  <c r="I248" i="88"/>
  <c r="W247" i="88"/>
  <c r="V247" i="88"/>
  <c r="Q247" i="88"/>
  <c r="P247" i="88"/>
  <c r="N247" i="88"/>
  <c r="J247" i="88"/>
  <c r="I247" i="88"/>
  <c r="C246" i="88"/>
  <c r="E144" i="101" s="1"/>
  <c r="Q245" i="88"/>
  <c r="N245" i="88"/>
  <c r="K245" i="88"/>
  <c r="I245" i="88"/>
  <c r="Q244" i="88"/>
  <c r="N244" i="88"/>
  <c r="I244" i="88"/>
  <c r="W243" i="88"/>
  <c r="V243" i="88"/>
  <c r="Q243" i="88"/>
  <c r="P243" i="88"/>
  <c r="N243" i="88"/>
  <c r="J243" i="88"/>
  <c r="I243" i="88"/>
  <c r="C242" i="88"/>
  <c r="E143" i="101" s="1"/>
  <c r="Q241" i="88"/>
  <c r="N241" i="88"/>
  <c r="K241" i="88"/>
  <c r="I241" i="88"/>
  <c r="Q240" i="88"/>
  <c r="N240" i="88"/>
  <c r="I240" i="88"/>
  <c r="W239" i="88"/>
  <c r="V239" i="88"/>
  <c r="Q239" i="88"/>
  <c r="N239" i="88"/>
  <c r="J239" i="88"/>
  <c r="I239" i="88"/>
  <c r="C238" i="88"/>
  <c r="E142" i="101" s="1"/>
  <c r="Q237" i="88"/>
  <c r="N237" i="88"/>
  <c r="K237" i="88"/>
  <c r="I237" i="88"/>
  <c r="Q236" i="88"/>
  <c r="N236" i="88"/>
  <c r="I236" i="88"/>
  <c r="W235" i="88"/>
  <c r="V235" i="88"/>
  <c r="N235" i="88"/>
  <c r="J235" i="88"/>
  <c r="C234" i="88"/>
  <c r="N228" i="88"/>
  <c r="K228" i="88"/>
  <c r="L228" i="88" s="1"/>
  <c r="N227" i="88"/>
  <c r="G227" i="88" s="1"/>
  <c r="U227" i="88" s="1"/>
  <c r="H227" i="88" s="1"/>
  <c r="F227" i="88"/>
  <c r="W226" i="88"/>
  <c r="V226" i="88"/>
  <c r="P226" i="88"/>
  <c r="N226" i="88"/>
  <c r="J226" i="88"/>
  <c r="C225" i="88"/>
  <c r="E139" i="101" s="1"/>
  <c r="N223" i="88"/>
  <c r="K223" i="88"/>
  <c r="L223" i="88" s="1"/>
  <c r="I223" i="88"/>
  <c r="N222" i="88"/>
  <c r="I222" i="88"/>
  <c r="F222" i="88"/>
  <c r="W221" i="88"/>
  <c r="V221" i="88"/>
  <c r="P221" i="88"/>
  <c r="N221" i="88"/>
  <c r="J221" i="88"/>
  <c r="I221" i="88"/>
  <c r="C220" i="88"/>
  <c r="E138" i="101" s="1"/>
  <c r="N219" i="88"/>
  <c r="K219" i="88"/>
  <c r="L219" i="88" s="1"/>
  <c r="I219" i="88"/>
  <c r="N218" i="88"/>
  <c r="I218" i="88"/>
  <c r="F218" i="88"/>
  <c r="W217" i="88"/>
  <c r="V217" i="88"/>
  <c r="P217" i="88"/>
  <c r="N217" i="88"/>
  <c r="J217" i="88"/>
  <c r="I217" i="88"/>
  <c r="C216" i="88"/>
  <c r="E137" i="101" s="1"/>
  <c r="N215" i="88"/>
  <c r="K215" i="88"/>
  <c r="L215" i="88" s="1"/>
  <c r="F215" i="88" s="1"/>
  <c r="I215" i="88"/>
  <c r="N214" i="88"/>
  <c r="I214" i="88"/>
  <c r="F214" i="88"/>
  <c r="W213" i="88"/>
  <c r="V213" i="88"/>
  <c r="P213" i="88"/>
  <c r="N213" i="88"/>
  <c r="J213" i="88"/>
  <c r="I213" i="88"/>
  <c r="C212" i="88"/>
  <c r="E136" i="101" s="1"/>
  <c r="N211" i="88"/>
  <c r="K211" i="88"/>
  <c r="I211" i="88"/>
  <c r="N210" i="88"/>
  <c r="I210" i="88"/>
  <c r="F210" i="88"/>
  <c r="W209" i="88"/>
  <c r="V209" i="88"/>
  <c r="P209" i="88"/>
  <c r="N209" i="88"/>
  <c r="J209" i="88"/>
  <c r="I209" i="88"/>
  <c r="C208" i="88"/>
  <c r="N202" i="88"/>
  <c r="K202" i="88"/>
  <c r="I202" i="88"/>
  <c r="N201" i="88"/>
  <c r="I201" i="88"/>
  <c r="F201" i="88"/>
  <c r="W200" i="88"/>
  <c r="V200" i="88"/>
  <c r="P200" i="88"/>
  <c r="N200" i="88"/>
  <c r="J200" i="88"/>
  <c r="I200" i="88"/>
  <c r="C199" i="88"/>
  <c r="E133" i="101" s="1"/>
  <c r="N198" i="88"/>
  <c r="K198" i="88"/>
  <c r="I198" i="88"/>
  <c r="N197" i="88"/>
  <c r="I197" i="88"/>
  <c r="F197" i="88"/>
  <c r="W196" i="88"/>
  <c r="V196" i="88"/>
  <c r="P196" i="88"/>
  <c r="N196" i="88"/>
  <c r="J196" i="88"/>
  <c r="I196" i="88"/>
  <c r="C195" i="88"/>
  <c r="E132" i="101" s="1"/>
  <c r="N194" i="88"/>
  <c r="K194" i="88"/>
  <c r="L194" i="88" s="1"/>
  <c r="I194" i="88"/>
  <c r="N193" i="88"/>
  <c r="I193" i="88"/>
  <c r="F193" i="88"/>
  <c r="W192" i="88"/>
  <c r="V192" i="88"/>
  <c r="P192" i="88"/>
  <c r="N192" i="88"/>
  <c r="J192" i="88"/>
  <c r="I192" i="88"/>
  <c r="C191" i="88"/>
  <c r="N185" i="88"/>
  <c r="K185" i="88"/>
  <c r="L185" i="88" s="1"/>
  <c r="F185" i="88" s="1"/>
  <c r="I185" i="88"/>
  <c r="N184" i="88"/>
  <c r="I184" i="88"/>
  <c r="F184" i="88"/>
  <c r="W183" i="88"/>
  <c r="V183" i="88"/>
  <c r="P183" i="88"/>
  <c r="N183" i="88"/>
  <c r="J183" i="88"/>
  <c r="I183" i="88"/>
  <c r="C182" i="88"/>
  <c r="E129" i="101" s="1"/>
  <c r="N181" i="88"/>
  <c r="K181" i="88"/>
  <c r="L181" i="88" s="1"/>
  <c r="I181" i="88"/>
  <c r="N180" i="88"/>
  <c r="I180" i="88"/>
  <c r="F180" i="88"/>
  <c r="W179" i="88"/>
  <c r="V179" i="88"/>
  <c r="P179" i="88"/>
  <c r="N179" i="88"/>
  <c r="J179" i="88"/>
  <c r="I179" i="88"/>
  <c r="C178" i="88"/>
  <c r="E128" i="101" s="1"/>
  <c r="N177" i="88"/>
  <c r="K177" i="88"/>
  <c r="I177" i="88"/>
  <c r="N176" i="88"/>
  <c r="I176" i="88"/>
  <c r="F176" i="88"/>
  <c r="W175" i="88"/>
  <c r="V175" i="88"/>
  <c r="P175" i="88"/>
  <c r="N175" i="88"/>
  <c r="J175" i="88"/>
  <c r="I175" i="88"/>
  <c r="C174" i="88"/>
  <c r="N168" i="88"/>
  <c r="K168" i="88"/>
  <c r="L168" i="88" s="1"/>
  <c r="F168" i="88" s="1"/>
  <c r="I168" i="88"/>
  <c r="N167" i="88"/>
  <c r="I167" i="88"/>
  <c r="F167" i="88"/>
  <c r="W166" i="88"/>
  <c r="V166" i="88"/>
  <c r="P166" i="88"/>
  <c r="N166" i="88"/>
  <c r="J166" i="88"/>
  <c r="I166" i="88"/>
  <c r="C165" i="88"/>
  <c r="E125" i="101" s="1"/>
  <c r="N164" i="88"/>
  <c r="K164" i="88"/>
  <c r="L164" i="88" s="1"/>
  <c r="I164" i="88"/>
  <c r="N163" i="88"/>
  <c r="I163" i="88"/>
  <c r="F163" i="88"/>
  <c r="W162" i="88"/>
  <c r="V162" i="88"/>
  <c r="N162" i="88"/>
  <c r="J162" i="88"/>
  <c r="I162" i="88"/>
  <c r="C161" i="88"/>
  <c r="E124" i="101" s="1"/>
  <c r="N160" i="88"/>
  <c r="K160" i="88"/>
  <c r="L160" i="88" s="1"/>
  <c r="I160" i="88"/>
  <c r="N159" i="88"/>
  <c r="I159" i="88"/>
  <c r="F159" i="88"/>
  <c r="W158" i="88"/>
  <c r="V158" i="88"/>
  <c r="P158" i="88"/>
  <c r="N158" i="88"/>
  <c r="J158" i="88"/>
  <c r="I158" i="88"/>
  <c r="C157" i="88"/>
  <c r="N151" i="88"/>
  <c r="K151" i="88"/>
  <c r="L151" i="88" s="1"/>
  <c r="I151" i="88"/>
  <c r="N150" i="88"/>
  <c r="I150" i="88"/>
  <c r="F150" i="88"/>
  <c r="W149" i="88"/>
  <c r="V149" i="88"/>
  <c r="P149" i="88"/>
  <c r="N149" i="88"/>
  <c r="J149" i="88"/>
  <c r="I149" i="88"/>
  <c r="C148" i="88"/>
  <c r="E121" i="101" s="1"/>
  <c r="N147" i="88"/>
  <c r="K147" i="88"/>
  <c r="L147" i="88" s="1"/>
  <c r="F147" i="88" s="1"/>
  <c r="I147" i="88"/>
  <c r="N146" i="88"/>
  <c r="I146" i="88"/>
  <c r="F146" i="88"/>
  <c r="W145" i="88"/>
  <c r="V145" i="88"/>
  <c r="N145" i="88"/>
  <c r="J145" i="88"/>
  <c r="I145" i="88"/>
  <c r="C144" i="88"/>
  <c r="N143" i="88"/>
  <c r="K143" i="88"/>
  <c r="I143" i="88"/>
  <c r="N142" i="88"/>
  <c r="I142" i="88"/>
  <c r="F142" i="88"/>
  <c r="W141" i="88"/>
  <c r="V141" i="88"/>
  <c r="P141" i="88"/>
  <c r="N141" i="88"/>
  <c r="J141" i="88"/>
  <c r="I141" i="88"/>
  <c r="C140" i="88"/>
  <c r="N134" i="88"/>
  <c r="K134" i="88"/>
  <c r="L134" i="88" s="1"/>
  <c r="I134" i="88"/>
  <c r="N133" i="88"/>
  <c r="I133" i="88"/>
  <c r="F133" i="88"/>
  <c r="W132" i="88"/>
  <c r="V132" i="88"/>
  <c r="N132" i="88"/>
  <c r="J132" i="88"/>
  <c r="I132" i="88"/>
  <c r="C131" i="88"/>
  <c r="E117" i="101" s="1"/>
  <c r="N130" i="88"/>
  <c r="K130" i="88"/>
  <c r="L130" i="88" s="1"/>
  <c r="I130" i="88"/>
  <c r="N129" i="88"/>
  <c r="I129" i="88"/>
  <c r="F129" i="88"/>
  <c r="W128" i="88"/>
  <c r="V128" i="88"/>
  <c r="N128" i="88"/>
  <c r="J128" i="88"/>
  <c r="I128" i="88"/>
  <c r="C127" i="88"/>
  <c r="N121" i="88"/>
  <c r="K121" i="88"/>
  <c r="L121" i="88" s="1"/>
  <c r="I121" i="88"/>
  <c r="N120" i="88"/>
  <c r="I120" i="88"/>
  <c r="F120" i="88"/>
  <c r="W119" i="88"/>
  <c r="V119" i="88"/>
  <c r="P119" i="88"/>
  <c r="N119" i="88"/>
  <c r="J119" i="88"/>
  <c r="I119" i="88"/>
  <c r="C118" i="88"/>
  <c r="E114" i="101" s="1"/>
  <c r="N117" i="88"/>
  <c r="K117" i="88"/>
  <c r="I117" i="88"/>
  <c r="N116" i="88"/>
  <c r="I116" i="88"/>
  <c r="F116" i="88"/>
  <c r="W115" i="88"/>
  <c r="V115" i="88"/>
  <c r="P115" i="88"/>
  <c r="N115" i="88"/>
  <c r="J115" i="88"/>
  <c r="I115" i="88"/>
  <c r="C114" i="88"/>
  <c r="N108" i="88"/>
  <c r="K108" i="88"/>
  <c r="I108" i="88"/>
  <c r="N107" i="88"/>
  <c r="I107" i="88"/>
  <c r="F107" i="88"/>
  <c r="W106" i="88"/>
  <c r="V106" i="88"/>
  <c r="P106" i="88"/>
  <c r="N106" i="88"/>
  <c r="J106" i="88"/>
  <c r="I106" i="88"/>
  <c r="C105" i="88"/>
  <c r="E111" i="101" s="1"/>
  <c r="N104" i="88"/>
  <c r="K104" i="88"/>
  <c r="I104" i="88"/>
  <c r="N103" i="88"/>
  <c r="I103" i="88"/>
  <c r="F103" i="88"/>
  <c r="W102" i="88"/>
  <c r="V102" i="88"/>
  <c r="P102" i="88"/>
  <c r="N102" i="88"/>
  <c r="J102" i="88"/>
  <c r="I102" i="88"/>
  <c r="C101" i="88"/>
  <c r="E110" i="101" s="1"/>
  <c r="N100" i="88"/>
  <c r="K100" i="88"/>
  <c r="L100" i="88" s="1"/>
  <c r="I100" i="88"/>
  <c r="N99" i="88"/>
  <c r="I99" i="88"/>
  <c r="F99" i="88"/>
  <c r="W98" i="88"/>
  <c r="V98" i="88"/>
  <c r="N98" i="88"/>
  <c r="J98" i="88"/>
  <c r="I98" i="88"/>
  <c r="C97" i="88"/>
  <c r="N91" i="88"/>
  <c r="K91" i="88"/>
  <c r="L91" i="88" s="1"/>
  <c r="F91" i="88" s="1"/>
  <c r="I91" i="88"/>
  <c r="N90" i="88"/>
  <c r="I90" i="88"/>
  <c r="F90" i="88"/>
  <c r="W89" i="88"/>
  <c r="V89" i="88"/>
  <c r="P89" i="88"/>
  <c r="N89" i="88"/>
  <c r="J89" i="88"/>
  <c r="I89" i="88"/>
  <c r="C88" i="88"/>
  <c r="E107" i="101" s="1"/>
  <c r="K87" i="88"/>
  <c r="L87" i="88" s="1"/>
  <c r="F87" i="88" s="1"/>
  <c r="I87" i="88"/>
  <c r="I86" i="88"/>
  <c r="F86" i="88"/>
  <c r="W85" i="88"/>
  <c r="V85" i="88"/>
  <c r="J85" i="88"/>
  <c r="I85" i="88"/>
  <c r="F85" i="88"/>
  <c r="C84" i="88"/>
  <c r="E106" i="101" s="1"/>
  <c r="N83" i="88"/>
  <c r="K83" i="88"/>
  <c r="I83" i="88"/>
  <c r="N82" i="88"/>
  <c r="I82" i="88"/>
  <c r="F82" i="88"/>
  <c r="W81" i="88"/>
  <c r="V81" i="88"/>
  <c r="P81" i="88"/>
  <c r="N81" i="88"/>
  <c r="J81" i="88"/>
  <c r="I81" i="88"/>
  <c r="C80" i="88"/>
  <c r="E105" i="101" s="1"/>
  <c r="K79" i="88"/>
  <c r="L79" i="88" s="1"/>
  <c r="I79" i="88"/>
  <c r="I78" i="88"/>
  <c r="G78" i="88" s="1"/>
  <c r="F78" i="88"/>
  <c r="W77" i="88"/>
  <c r="V77" i="88"/>
  <c r="P77" i="88"/>
  <c r="P85" i="88" s="1"/>
  <c r="J77" i="88"/>
  <c r="I77" i="88"/>
  <c r="F77" i="88"/>
  <c r="C76" i="88"/>
  <c r="K75" i="88"/>
  <c r="I75" i="88"/>
  <c r="I74" i="88"/>
  <c r="F74" i="88"/>
  <c r="W73" i="88"/>
  <c r="V73" i="88"/>
  <c r="J73" i="88"/>
  <c r="I73" i="88"/>
  <c r="F73" i="88"/>
  <c r="C72" i="88"/>
  <c r="N66" i="88"/>
  <c r="K66" i="88"/>
  <c r="L66" i="88" s="1"/>
  <c r="F66" i="88" s="1"/>
  <c r="I66" i="88"/>
  <c r="N65" i="88"/>
  <c r="I65" i="88"/>
  <c r="F65" i="88"/>
  <c r="W64" i="88"/>
  <c r="V64" i="88"/>
  <c r="N64" i="88"/>
  <c r="J64" i="88"/>
  <c r="I64" i="88"/>
  <c r="C63" i="88"/>
  <c r="E101" i="101" s="1"/>
  <c r="N62" i="88"/>
  <c r="K62" i="88"/>
  <c r="L62" i="88" s="1"/>
  <c r="I62" i="88"/>
  <c r="N61" i="88"/>
  <c r="I61" i="88"/>
  <c r="F61" i="88"/>
  <c r="W60" i="88"/>
  <c r="V60" i="88"/>
  <c r="P60" i="88"/>
  <c r="N60" i="88"/>
  <c r="J60" i="88"/>
  <c r="I60" i="88"/>
  <c r="C59" i="88"/>
  <c r="E100" i="101" s="1"/>
  <c r="K58" i="88"/>
  <c r="L58" i="88" s="1"/>
  <c r="I58" i="88"/>
  <c r="I57" i="88"/>
  <c r="G57" i="88" s="1"/>
  <c r="F57" i="88"/>
  <c r="W56" i="88"/>
  <c r="V56" i="88"/>
  <c r="P56" i="88"/>
  <c r="J56" i="88"/>
  <c r="I56" i="88"/>
  <c r="F56" i="88"/>
  <c r="C55" i="88"/>
  <c r="E99" i="101" s="1"/>
  <c r="K54" i="88"/>
  <c r="L54" i="88" s="1"/>
  <c r="I54" i="88"/>
  <c r="I53" i="88"/>
  <c r="F53" i="88"/>
  <c r="W52" i="88"/>
  <c r="V52" i="88"/>
  <c r="J52" i="88"/>
  <c r="I52" i="88"/>
  <c r="F52" i="88"/>
  <c r="C51" i="88"/>
  <c r="E98" i="101" s="1"/>
  <c r="N50" i="88"/>
  <c r="K50" i="88"/>
  <c r="L50" i="88" s="1"/>
  <c r="I50" i="88"/>
  <c r="N49" i="88"/>
  <c r="I49" i="88"/>
  <c r="F49" i="88"/>
  <c r="W48" i="88"/>
  <c r="V48" i="88"/>
  <c r="P48" i="88"/>
  <c r="N48" i="88"/>
  <c r="J48" i="88"/>
  <c r="I48" i="88"/>
  <c r="C47" i="88"/>
  <c r="E97" i="101" s="1"/>
  <c r="K46" i="88"/>
  <c r="L46" i="88" s="1"/>
  <c r="F46" i="88" s="1"/>
  <c r="I46" i="88"/>
  <c r="I45" i="88"/>
  <c r="F45" i="88"/>
  <c r="W44" i="88"/>
  <c r="V44" i="88"/>
  <c r="P44" i="88"/>
  <c r="J44" i="88"/>
  <c r="I44" i="88"/>
  <c r="F44" i="88"/>
  <c r="C43" i="88"/>
  <c r="N37" i="88"/>
  <c r="K37" i="88"/>
  <c r="L37" i="88" s="1"/>
  <c r="F37" i="88" s="1"/>
  <c r="I37" i="88"/>
  <c r="N36" i="88"/>
  <c r="I36" i="88"/>
  <c r="F36" i="88"/>
  <c r="W35" i="88"/>
  <c r="V35" i="88"/>
  <c r="P35" i="88"/>
  <c r="N35" i="88"/>
  <c r="J35" i="88"/>
  <c r="I35" i="88"/>
  <c r="C34" i="88"/>
  <c r="E94" i="101" s="1"/>
  <c r="K33" i="88"/>
  <c r="L33" i="88" s="1"/>
  <c r="F33" i="88" s="1"/>
  <c r="I33" i="88"/>
  <c r="I32" i="88"/>
  <c r="F32" i="88"/>
  <c r="W31" i="88"/>
  <c r="V31" i="88"/>
  <c r="J31" i="88"/>
  <c r="I31" i="88"/>
  <c r="F31" i="88"/>
  <c r="C30" i="88"/>
  <c r="E93" i="101" s="1"/>
  <c r="N29" i="88"/>
  <c r="K29" i="88"/>
  <c r="L29" i="88" s="1"/>
  <c r="F29" i="88" s="1"/>
  <c r="I29" i="88"/>
  <c r="N28" i="88"/>
  <c r="I28" i="88"/>
  <c r="F28" i="88"/>
  <c r="W27" i="88"/>
  <c r="V27" i="88"/>
  <c r="P27" i="88"/>
  <c r="N27" i="88"/>
  <c r="J27" i="88"/>
  <c r="I27" i="88"/>
  <c r="C26" i="88"/>
  <c r="K25" i="88"/>
  <c r="I25" i="88"/>
  <c r="I24" i="88"/>
  <c r="G24" i="88" s="1"/>
  <c r="U24" i="88" s="1"/>
  <c r="H24" i="88" s="1"/>
  <c r="I91" i="101" s="1"/>
  <c r="M91" i="101" s="1"/>
  <c r="F24" i="88"/>
  <c r="W23" i="88"/>
  <c r="V23" i="88"/>
  <c r="P23" i="88"/>
  <c r="J23" i="88"/>
  <c r="I23" i="88"/>
  <c r="F23" i="88"/>
  <c r="C22" i="88"/>
  <c r="E91" i="101" s="1"/>
  <c r="K21" i="88"/>
  <c r="I21" i="88"/>
  <c r="I20" i="88"/>
  <c r="F20" i="88"/>
  <c r="W19" i="88"/>
  <c r="V19" i="88"/>
  <c r="J19" i="88"/>
  <c r="I19" i="88"/>
  <c r="F19" i="88"/>
  <c r="C18" i="88"/>
  <c r="E90" i="101" s="1"/>
  <c r="K17" i="88"/>
  <c r="L17" i="88" s="1"/>
  <c r="I17" i="88"/>
  <c r="I16" i="88"/>
  <c r="F16" i="88"/>
  <c r="W15" i="88"/>
  <c r="V15" i="88"/>
  <c r="P15" i="88"/>
  <c r="J15" i="88"/>
  <c r="I15" i="88"/>
  <c r="F15" i="88"/>
  <c r="C14" i="88"/>
  <c r="CE15" i="88"/>
  <c r="T154" i="87"/>
  <c r="N154" i="87"/>
  <c r="K154" i="87"/>
  <c r="L154" i="87" s="1"/>
  <c r="I154" i="87"/>
  <c r="T153" i="87"/>
  <c r="N153" i="87"/>
  <c r="I153" i="87"/>
  <c r="F153" i="87"/>
  <c r="W152" i="87"/>
  <c r="V152" i="87"/>
  <c r="T152" i="87"/>
  <c r="P152" i="87"/>
  <c r="N152" i="87"/>
  <c r="J152" i="87"/>
  <c r="I152" i="87"/>
  <c r="C151" i="87"/>
  <c r="E176" i="101" s="1"/>
  <c r="T132" i="87"/>
  <c r="N132" i="87"/>
  <c r="N149" i="87" s="1"/>
  <c r="K132" i="87"/>
  <c r="K149" i="87" s="1"/>
  <c r="I132" i="87"/>
  <c r="I149" i="87" s="1"/>
  <c r="T131" i="87"/>
  <c r="N131" i="87"/>
  <c r="N148" i="87" s="1"/>
  <c r="I131" i="87"/>
  <c r="I148" i="87" s="1"/>
  <c r="F131" i="87"/>
  <c r="W130" i="87"/>
  <c r="V130" i="87"/>
  <c r="V147" i="87" s="1"/>
  <c r="T130" i="87"/>
  <c r="R130" i="87"/>
  <c r="R147" i="87" s="1"/>
  <c r="F147" i="87" s="1"/>
  <c r="P130" i="87"/>
  <c r="P147" i="87" s="1"/>
  <c r="N130" i="87"/>
  <c r="N147" i="87" s="1"/>
  <c r="J130" i="87"/>
  <c r="J147" i="87" s="1"/>
  <c r="I130" i="87"/>
  <c r="I147" i="87" s="1"/>
  <c r="C129" i="87"/>
  <c r="E171" i="101" s="1"/>
  <c r="T128" i="87"/>
  <c r="N128" i="87"/>
  <c r="N145" i="87" s="1"/>
  <c r="K128" i="87"/>
  <c r="I128" i="87"/>
  <c r="I145" i="87" s="1"/>
  <c r="T127" i="87"/>
  <c r="N127" i="87"/>
  <c r="N144" i="87" s="1"/>
  <c r="I127" i="87"/>
  <c r="I144" i="87" s="1"/>
  <c r="F127" i="87"/>
  <c r="W126" i="87"/>
  <c r="V126" i="87"/>
  <c r="V143" i="87" s="1"/>
  <c r="T126" i="87"/>
  <c r="R126" i="87"/>
  <c r="P126" i="87"/>
  <c r="P143" i="87" s="1"/>
  <c r="N126" i="87"/>
  <c r="N143" i="87" s="1"/>
  <c r="J126" i="87"/>
  <c r="J143" i="87" s="1"/>
  <c r="I126" i="87"/>
  <c r="I143" i="87" s="1"/>
  <c r="C125" i="87"/>
  <c r="E170" i="101" s="1"/>
  <c r="T124" i="87"/>
  <c r="N124" i="87"/>
  <c r="K124" i="87"/>
  <c r="I124" i="87"/>
  <c r="T123" i="87"/>
  <c r="N123" i="87"/>
  <c r="I123" i="87"/>
  <c r="F123" i="87"/>
  <c r="W122" i="87"/>
  <c r="V122" i="87"/>
  <c r="T122" i="87"/>
  <c r="R122" i="87"/>
  <c r="F122" i="87" s="1"/>
  <c r="P122" i="87"/>
  <c r="N122" i="87"/>
  <c r="J122" i="87"/>
  <c r="I122" i="87"/>
  <c r="C121" i="87"/>
  <c r="E169" i="101" s="1"/>
  <c r="T120" i="87"/>
  <c r="N120" i="87"/>
  <c r="N141" i="87" s="1"/>
  <c r="K120" i="87"/>
  <c r="K141" i="87" s="1"/>
  <c r="I120" i="87"/>
  <c r="I141" i="87" s="1"/>
  <c r="T119" i="87"/>
  <c r="N119" i="87"/>
  <c r="N140" i="87" s="1"/>
  <c r="I119" i="87"/>
  <c r="I140" i="87" s="1"/>
  <c r="F119" i="87"/>
  <c r="W118" i="87"/>
  <c r="V118" i="87"/>
  <c r="V139" i="87" s="1"/>
  <c r="T118" i="87"/>
  <c r="R118" i="87"/>
  <c r="P118" i="87"/>
  <c r="P139" i="87" s="1"/>
  <c r="N118" i="87"/>
  <c r="N139" i="87" s="1"/>
  <c r="J118" i="87"/>
  <c r="J139" i="87" s="1"/>
  <c r="I118" i="87"/>
  <c r="I139" i="87" s="1"/>
  <c r="C117" i="87"/>
  <c r="T90" i="87"/>
  <c r="T111" i="87" s="1"/>
  <c r="Q90" i="87"/>
  <c r="Q111" i="87" s="1"/>
  <c r="N90" i="87"/>
  <c r="N111" i="87" s="1"/>
  <c r="K90" i="87"/>
  <c r="I90" i="87"/>
  <c r="T89" i="87"/>
  <c r="T110" i="87" s="1"/>
  <c r="Q89" i="87"/>
  <c r="Q110" i="87" s="1"/>
  <c r="N89" i="87"/>
  <c r="N110" i="87" s="1"/>
  <c r="I89" i="87"/>
  <c r="W88" i="87"/>
  <c r="V88" i="87"/>
  <c r="T88" i="87"/>
  <c r="T109" i="87" s="1"/>
  <c r="Q88" i="87"/>
  <c r="Q109" i="87" s="1"/>
  <c r="P88" i="87"/>
  <c r="N88" i="87"/>
  <c r="N109" i="87" s="1"/>
  <c r="J88" i="87"/>
  <c r="J109" i="87" s="1"/>
  <c r="I88" i="87"/>
  <c r="I109" i="87" s="1"/>
  <c r="C87" i="87"/>
  <c r="E161" i="101" s="1"/>
  <c r="T85" i="87"/>
  <c r="Q85" i="87"/>
  <c r="N85" i="87"/>
  <c r="K85" i="87"/>
  <c r="I85" i="87"/>
  <c r="T84" i="87"/>
  <c r="Q84" i="87"/>
  <c r="N84" i="87"/>
  <c r="I84" i="87"/>
  <c r="W83" i="87"/>
  <c r="V83" i="87"/>
  <c r="T83" i="87"/>
  <c r="Q83" i="87"/>
  <c r="N83" i="87"/>
  <c r="J83" i="87"/>
  <c r="I83" i="87"/>
  <c r="C82" i="87"/>
  <c r="E160" i="101" s="1"/>
  <c r="T80" i="87"/>
  <c r="Q80" i="87"/>
  <c r="N80" i="87"/>
  <c r="K80" i="87"/>
  <c r="I80" i="87"/>
  <c r="T79" i="87"/>
  <c r="Q79" i="87"/>
  <c r="N79" i="87"/>
  <c r="I79" i="87"/>
  <c r="W78" i="87"/>
  <c r="V78" i="87"/>
  <c r="T78" i="87"/>
  <c r="Q78" i="87"/>
  <c r="N78" i="87"/>
  <c r="J78" i="87"/>
  <c r="I78" i="87"/>
  <c r="C77" i="87"/>
  <c r="Q70" i="87"/>
  <c r="N70" i="87"/>
  <c r="I70" i="87"/>
  <c r="Q69" i="87"/>
  <c r="N69" i="87"/>
  <c r="I69" i="87"/>
  <c r="W68" i="87"/>
  <c r="V68" i="87"/>
  <c r="T68" i="87"/>
  <c r="R68" i="87"/>
  <c r="Q68" i="87"/>
  <c r="P68" i="87"/>
  <c r="N68" i="87"/>
  <c r="J68" i="87"/>
  <c r="I68" i="87"/>
  <c r="C67" i="87"/>
  <c r="E157" i="101" s="1"/>
  <c r="Q66" i="87"/>
  <c r="N66" i="87"/>
  <c r="I66" i="87"/>
  <c r="Q65" i="87"/>
  <c r="N65" i="87"/>
  <c r="K65" i="87"/>
  <c r="I65" i="87"/>
  <c r="W64" i="87"/>
  <c r="V64" i="87"/>
  <c r="T64" i="87"/>
  <c r="R64" i="87"/>
  <c r="Q64" i="87"/>
  <c r="P64" i="87"/>
  <c r="N64" i="87"/>
  <c r="J64" i="87"/>
  <c r="I64" i="87"/>
  <c r="C63" i="87"/>
  <c r="E156" i="101" s="1"/>
  <c r="Q62" i="87"/>
  <c r="N62" i="87"/>
  <c r="I62" i="87"/>
  <c r="Q61" i="87"/>
  <c r="N61" i="87"/>
  <c r="K61" i="87"/>
  <c r="I61" i="87"/>
  <c r="W60" i="87"/>
  <c r="V60" i="87"/>
  <c r="T60" i="87"/>
  <c r="R60" i="87"/>
  <c r="Q60" i="87"/>
  <c r="P60" i="87"/>
  <c r="N60" i="87"/>
  <c r="J60" i="87"/>
  <c r="I60" i="87"/>
  <c r="C59" i="87"/>
  <c r="T53" i="87"/>
  <c r="Q53" i="87"/>
  <c r="N53" i="87"/>
  <c r="K53" i="87"/>
  <c r="I53" i="87"/>
  <c r="T52" i="87"/>
  <c r="Q52" i="87"/>
  <c r="N52" i="87"/>
  <c r="I52" i="87"/>
  <c r="W51" i="87"/>
  <c r="V51" i="87"/>
  <c r="T51" i="87"/>
  <c r="R51" i="87"/>
  <c r="F51" i="87" s="1"/>
  <c r="Q51" i="87"/>
  <c r="N51" i="87"/>
  <c r="J51" i="87"/>
  <c r="I51" i="87"/>
  <c r="C50" i="87"/>
  <c r="T48" i="87"/>
  <c r="Q48" i="87"/>
  <c r="N48" i="87"/>
  <c r="K48" i="87"/>
  <c r="I48" i="87"/>
  <c r="T47" i="87"/>
  <c r="Q47" i="87"/>
  <c r="N47" i="87"/>
  <c r="I47" i="87"/>
  <c r="W46" i="87"/>
  <c r="V46" i="87"/>
  <c r="T46" i="87"/>
  <c r="R46" i="87"/>
  <c r="F46" i="87" s="1"/>
  <c r="Q46" i="87"/>
  <c r="N46" i="87"/>
  <c r="J46" i="87"/>
  <c r="I46" i="87"/>
  <c r="C45" i="87"/>
  <c r="E152" i="101" s="1"/>
  <c r="T43" i="87"/>
  <c r="Q43" i="87"/>
  <c r="N43" i="87"/>
  <c r="K43" i="87"/>
  <c r="I43" i="87"/>
  <c r="T42" i="87"/>
  <c r="Q42" i="87"/>
  <c r="N42" i="87"/>
  <c r="I42" i="87"/>
  <c r="W41" i="87"/>
  <c r="V41" i="87"/>
  <c r="T41" i="87"/>
  <c r="R41" i="87"/>
  <c r="F41" i="87" s="1"/>
  <c r="Q41" i="87"/>
  <c r="N41" i="87"/>
  <c r="J41" i="87"/>
  <c r="I41" i="87"/>
  <c r="C40" i="87"/>
  <c r="T33" i="87"/>
  <c r="Q33" i="87"/>
  <c r="N33" i="87"/>
  <c r="K33" i="87"/>
  <c r="I33" i="87"/>
  <c r="T32" i="87"/>
  <c r="Q32" i="87"/>
  <c r="N32" i="87"/>
  <c r="I32" i="87"/>
  <c r="W31" i="87"/>
  <c r="V31" i="87"/>
  <c r="T31" i="87"/>
  <c r="R31" i="87"/>
  <c r="F31" i="87" s="1"/>
  <c r="Q31" i="87"/>
  <c r="N31" i="87"/>
  <c r="J31" i="87"/>
  <c r="I31" i="87"/>
  <c r="C30" i="87"/>
  <c r="E149" i="101" s="1"/>
  <c r="T28" i="87"/>
  <c r="Q28" i="87"/>
  <c r="N28" i="87"/>
  <c r="K28" i="87"/>
  <c r="I28" i="87"/>
  <c r="T27" i="87"/>
  <c r="Q27" i="87"/>
  <c r="N27" i="87"/>
  <c r="I27" i="87"/>
  <c r="W26" i="87"/>
  <c r="V26" i="87"/>
  <c r="T26" i="87"/>
  <c r="R26" i="87"/>
  <c r="F26" i="87" s="1"/>
  <c r="Q26" i="87"/>
  <c r="N26" i="87"/>
  <c r="J26" i="87"/>
  <c r="I26" i="87"/>
  <c r="C25" i="87"/>
  <c r="T23" i="87"/>
  <c r="Q23" i="87"/>
  <c r="N23" i="87"/>
  <c r="K23" i="87"/>
  <c r="T22" i="87"/>
  <c r="Q22" i="87"/>
  <c r="N22" i="87"/>
  <c r="W21" i="87"/>
  <c r="V21" i="87"/>
  <c r="T21" i="87"/>
  <c r="R21" i="87"/>
  <c r="F21" i="87" s="1"/>
  <c r="Q21" i="87"/>
  <c r="N21" i="87"/>
  <c r="J21" i="87"/>
  <c r="C20" i="87"/>
  <c r="P169" i="86"/>
  <c r="F169" i="86" s="1"/>
  <c r="R169" i="86" s="1"/>
  <c r="G169" i="86" s="1"/>
  <c r="L299" i="101" s="1"/>
  <c r="P299" i="101" s="1"/>
  <c r="O168" i="86"/>
  <c r="F168" i="86" s="1"/>
  <c r="R168" i="86" s="1"/>
  <c r="G168" i="86" s="1"/>
  <c r="O167" i="86"/>
  <c r="F167" i="86" s="1"/>
  <c r="R167" i="86" s="1"/>
  <c r="G167" i="86" s="1"/>
  <c r="I299" i="101" s="1"/>
  <c r="M299" i="101" s="1"/>
  <c r="T166" i="86"/>
  <c r="S166" i="86"/>
  <c r="Q166" i="86"/>
  <c r="O166" i="86"/>
  <c r="F166" i="86" s="1"/>
  <c r="E166" i="86"/>
  <c r="C165" i="86"/>
  <c r="P164" i="86"/>
  <c r="F164" i="86" s="1"/>
  <c r="R164" i="86" s="1"/>
  <c r="G164" i="86" s="1"/>
  <c r="L298" i="101" s="1"/>
  <c r="P298" i="101" s="1"/>
  <c r="O163" i="86"/>
  <c r="F163" i="86" s="1"/>
  <c r="O162" i="86"/>
  <c r="F162" i="86"/>
  <c r="R162" i="86" s="1"/>
  <c r="G162" i="86" s="1"/>
  <c r="I298" i="101" s="1"/>
  <c r="M298" i="101" s="1"/>
  <c r="T161" i="86"/>
  <c r="S161" i="86"/>
  <c r="Q161" i="86"/>
  <c r="O161" i="86"/>
  <c r="F161" i="86" s="1"/>
  <c r="E161" i="86"/>
  <c r="C160" i="86"/>
  <c r="P153" i="86"/>
  <c r="F153" i="86" s="1"/>
  <c r="R153" i="86" s="1"/>
  <c r="G153" i="86" s="1"/>
  <c r="L296" i="101" s="1"/>
  <c r="P296" i="101" s="1"/>
  <c r="O152" i="86"/>
  <c r="F152" i="86" s="1"/>
  <c r="R152" i="86" s="1"/>
  <c r="G152" i="86" s="1"/>
  <c r="K296" i="101" s="1"/>
  <c r="O296" i="101" s="1"/>
  <c r="O151" i="86"/>
  <c r="F151" i="86" s="1"/>
  <c r="R151" i="86" s="1"/>
  <c r="T150" i="86"/>
  <c r="S150" i="86"/>
  <c r="Q150" i="86"/>
  <c r="O150" i="86"/>
  <c r="F150" i="86" s="1"/>
  <c r="E150" i="86"/>
  <c r="C149" i="86"/>
  <c r="P148" i="86"/>
  <c r="F148" i="86" s="1"/>
  <c r="O147" i="86"/>
  <c r="O146" i="86"/>
  <c r="F146" i="86" s="1"/>
  <c r="R146" i="86" s="1"/>
  <c r="G146" i="86" s="1"/>
  <c r="I295" i="101" s="1"/>
  <c r="M295" i="101" s="1"/>
  <c r="T145" i="86"/>
  <c r="S145" i="86"/>
  <c r="Q145" i="86"/>
  <c r="O145" i="86"/>
  <c r="F145" i="86" s="1"/>
  <c r="E145" i="86"/>
  <c r="C144" i="86"/>
  <c r="E295" i="101" s="1"/>
  <c r="F137" i="86"/>
  <c r="E137" i="86"/>
  <c r="J136" i="86"/>
  <c r="E136" i="86" s="1"/>
  <c r="I136" i="86"/>
  <c r="J135" i="86"/>
  <c r="E135" i="86" s="1"/>
  <c r="I135" i="86"/>
  <c r="T134" i="86"/>
  <c r="S134" i="86"/>
  <c r="Q134" i="86"/>
  <c r="N134" i="86"/>
  <c r="M134" i="86"/>
  <c r="L134" i="86"/>
  <c r="J134" i="86"/>
  <c r="I134" i="86"/>
  <c r="H134" i="86"/>
  <c r="C133" i="86"/>
  <c r="E293" i="101" s="1"/>
  <c r="F131" i="86"/>
  <c r="E131" i="86"/>
  <c r="J130" i="86"/>
  <c r="E130" i="86" s="1"/>
  <c r="I130" i="86"/>
  <c r="J129" i="86"/>
  <c r="E129" i="86" s="1"/>
  <c r="I129" i="86"/>
  <c r="T128" i="86"/>
  <c r="S128" i="86"/>
  <c r="Q128" i="86"/>
  <c r="N128" i="86"/>
  <c r="M128" i="86"/>
  <c r="L128" i="86"/>
  <c r="J128" i="86"/>
  <c r="I128" i="86"/>
  <c r="H128" i="86"/>
  <c r="C127" i="86"/>
  <c r="E292" i="101" s="1"/>
  <c r="P125" i="86"/>
  <c r="F125" i="86" s="1"/>
  <c r="R125" i="86" s="1"/>
  <c r="G125" i="86" s="1"/>
  <c r="L291" i="101" s="1"/>
  <c r="P291" i="101" s="1"/>
  <c r="O124" i="86"/>
  <c r="F124" i="86" s="1"/>
  <c r="R124" i="86" s="1"/>
  <c r="G124" i="86" s="1"/>
  <c r="O123" i="86"/>
  <c r="F123" i="86" s="1"/>
  <c r="R123" i="86" s="1"/>
  <c r="G123" i="86" s="1"/>
  <c r="T122" i="86"/>
  <c r="S122" i="86"/>
  <c r="Q122" i="86"/>
  <c r="O122" i="86"/>
  <c r="F122" i="86" s="1"/>
  <c r="E122" i="86"/>
  <c r="C121" i="86"/>
  <c r="P119" i="86"/>
  <c r="F119" i="86" s="1"/>
  <c r="R119" i="86" s="1"/>
  <c r="G119" i="86" s="1"/>
  <c r="L290" i="101" s="1"/>
  <c r="P290" i="101" s="1"/>
  <c r="O118" i="86"/>
  <c r="F118" i="86" s="1"/>
  <c r="R118" i="86" s="1"/>
  <c r="G118" i="86" s="1"/>
  <c r="K290" i="101" s="1"/>
  <c r="O290" i="101" s="1"/>
  <c r="O117" i="86"/>
  <c r="F117" i="86" s="1"/>
  <c r="R117" i="86" s="1"/>
  <c r="G117" i="86" s="1"/>
  <c r="T116" i="86"/>
  <c r="S116" i="86"/>
  <c r="Q116" i="86"/>
  <c r="O116" i="86"/>
  <c r="F116" i="86" s="1"/>
  <c r="E116" i="86"/>
  <c r="C115" i="86"/>
  <c r="P113" i="86"/>
  <c r="F113" i="86" s="1"/>
  <c r="R113" i="86" s="1"/>
  <c r="G113" i="86" s="1"/>
  <c r="L289" i="101" s="1"/>
  <c r="P289" i="101" s="1"/>
  <c r="O112" i="86"/>
  <c r="F112" i="86" s="1"/>
  <c r="R112" i="86" s="1"/>
  <c r="G112" i="86" s="1"/>
  <c r="K289" i="101" s="1"/>
  <c r="O289" i="101" s="1"/>
  <c r="O111" i="86"/>
  <c r="F111" i="86" s="1"/>
  <c r="R111" i="86" s="1"/>
  <c r="G111" i="86" s="1"/>
  <c r="I289" i="101" s="1"/>
  <c r="M289" i="101" s="1"/>
  <c r="T110" i="86"/>
  <c r="S110" i="86"/>
  <c r="Q110" i="86"/>
  <c r="O110" i="86"/>
  <c r="F110" i="86"/>
  <c r="E110" i="86"/>
  <c r="C109" i="86"/>
  <c r="P108" i="86"/>
  <c r="F108" i="86" s="1"/>
  <c r="R108" i="86" s="1"/>
  <c r="G108" i="86" s="1"/>
  <c r="L288" i="101" s="1"/>
  <c r="P288" i="101" s="1"/>
  <c r="O107" i="86"/>
  <c r="F107" i="86" s="1"/>
  <c r="R107" i="86" s="1"/>
  <c r="G107" i="86" s="1"/>
  <c r="K288" i="101" s="1"/>
  <c r="O288" i="101" s="1"/>
  <c r="O106" i="86"/>
  <c r="F106" i="86" s="1"/>
  <c r="R106" i="86" s="1"/>
  <c r="G106" i="86" s="1"/>
  <c r="I288" i="101" s="1"/>
  <c r="M288" i="101" s="1"/>
  <c r="T105" i="86"/>
  <c r="S105" i="86"/>
  <c r="Q105" i="86"/>
  <c r="O105" i="86"/>
  <c r="F105" i="86" s="1"/>
  <c r="E105" i="86"/>
  <c r="C104" i="86"/>
  <c r="E288" i="101" s="1"/>
  <c r="P103" i="86"/>
  <c r="F103" i="86" s="1"/>
  <c r="R103" i="86" s="1"/>
  <c r="G103" i="86" s="1"/>
  <c r="L287" i="101" s="1"/>
  <c r="P287" i="101" s="1"/>
  <c r="O102" i="86"/>
  <c r="F102" i="86" s="1"/>
  <c r="R102" i="86" s="1"/>
  <c r="G102" i="86" s="1"/>
  <c r="K287" i="101" s="1"/>
  <c r="O287" i="101" s="1"/>
  <c r="O101" i="86"/>
  <c r="F101" i="86" s="1"/>
  <c r="R101" i="86" s="1"/>
  <c r="G101" i="86" s="1"/>
  <c r="I287" i="101" s="1"/>
  <c r="M287" i="101" s="1"/>
  <c r="T100" i="86"/>
  <c r="S100" i="86"/>
  <c r="Q100" i="86"/>
  <c r="O100" i="86"/>
  <c r="F100" i="86" s="1"/>
  <c r="E100" i="86"/>
  <c r="C99" i="86"/>
  <c r="P98" i="86"/>
  <c r="F98" i="86" s="1"/>
  <c r="O97" i="86"/>
  <c r="F97" i="86" s="1"/>
  <c r="R97" i="86" s="1"/>
  <c r="G97" i="86" s="1"/>
  <c r="K286" i="101" s="1"/>
  <c r="O286" i="101" s="1"/>
  <c r="O96" i="86"/>
  <c r="F96" i="86" s="1"/>
  <c r="R96" i="86" s="1"/>
  <c r="G96" i="86" s="1"/>
  <c r="I286" i="101" s="1"/>
  <c r="M286" i="101" s="1"/>
  <c r="T95" i="86"/>
  <c r="S95" i="86"/>
  <c r="Q95" i="86"/>
  <c r="O95" i="86"/>
  <c r="F95" i="86" s="1"/>
  <c r="E95" i="86"/>
  <c r="C94" i="86"/>
  <c r="P87" i="86"/>
  <c r="F87" i="86" s="1"/>
  <c r="R87" i="86" s="1"/>
  <c r="G87" i="86" s="1"/>
  <c r="L284" i="101" s="1"/>
  <c r="P284" i="101" s="1"/>
  <c r="O86" i="86"/>
  <c r="F86" i="86" s="1"/>
  <c r="R86" i="86" s="1"/>
  <c r="G86" i="86" s="1"/>
  <c r="K284" i="101" s="1"/>
  <c r="O284" i="101" s="1"/>
  <c r="O85" i="86"/>
  <c r="F85" i="86" s="1"/>
  <c r="R85" i="86" s="1"/>
  <c r="G85" i="86" s="1"/>
  <c r="I284" i="101" s="1"/>
  <c r="M284" i="101" s="1"/>
  <c r="T84" i="86"/>
  <c r="S84" i="86"/>
  <c r="Q84" i="86"/>
  <c r="O84" i="86"/>
  <c r="F84" i="86" s="1"/>
  <c r="E84" i="86"/>
  <c r="C83" i="86"/>
  <c r="E284" i="101" s="1"/>
  <c r="P82" i="86"/>
  <c r="F82" i="86" s="1"/>
  <c r="R82" i="86" s="1"/>
  <c r="G82" i="86" s="1"/>
  <c r="L283" i="101" s="1"/>
  <c r="P283" i="101" s="1"/>
  <c r="O81" i="86"/>
  <c r="F81" i="86" s="1"/>
  <c r="R81" i="86" s="1"/>
  <c r="G81" i="86" s="1"/>
  <c r="K283" i="101" s="1"/>
  <c r="O283" i="101" s="1"/>
  <c r="O80" i="86"/>
  <c r="F80" i="86" s="1"/>
  <c r="R80" i="86" s="1"/>
  <c r="G80" i="86" s="1"/>
  <c r="I283" i="101" s="1"/>
  <c r="M283" i="101" s="1"/>
  <c r="T79" i="86"/>
  <c r="S79" i="86"/>
  <c r="Q79" i="86"/>
  <c r="O79" i="86"/>
  <c r="F79" i="86" s="1"/>
  <c r="E79" i="86"/>
  <c r="C78" i="86"/>
  <c r="P77" i="86"/>
  <c r="F77" i="86" s="1"/>
  <c r="O76" i="86"/>
  <c r="F76" i="86" s="1"/>
  <c r="R76" i="86" s="1"/>
  <c r="G76" i="86" s="1"/>
  <c r="K282" i="101" s="1"/>
  <c r="O282" i="101" s="1"/>
  <c r="O75" i="86"/>
  <c r="F75" i="86" s="1"/>
  <c r="R75" i="86" s="1"/>
  <c r="G75" i="86" s="1"/>
  <c r="I282" i="101" s="1"/>
  <c r="M282" i="101" s="1"/>
  <c r="T74" i="86"/>
  <c r="S74" i="86"/>
  <c r="Q74" i="86"/>
  <c r="O74" i="86"/>
  <c r="E74" i="86"/>
  <c r="C73" i="86"/>
  <c r="P66" i="86"/>
  <c r="F66" i="86" s="1"/>
  <c r="R66" i="86" s="1"/>
  <c r="G66" i="86" s="1"/>
  <c r="L280" i="101" s="1"/>
  <c r="P280" i="101" s="1"/>
  <c r="O65" i="86"/>
  <c r="F65" i="86" s="1"/>
  <c r="R65" i="86" s="1"/>
  <c r="G65" i="86" s="1"/>
  <c r="K280" i="101" s="1"/>
  <c r="O280" i="101" s="1"/>
  <c r="O64" i="86"/>
  <c r="F64" i="86" s="1"/>
  <c r="R64" i="86" s="1"/>
  <c r="G64" i="86" s="1"/>
  <c r="I280" i="101" s="1"/>
  <c r="M280" i="101" s="1"/>
  <c r="T63" i="86"/>
  <c r="S63" i="86"/>
  <c r="Q63" i="86"/>
  <c r="O63" i="86"/>
  <c r="F63" i="86" s="1"/>
  <c r="E63" i="86"/>
  <c r="C62" i="86"/>
  <c r="E280" i="101" s="1"/>
  <c r="P61" i="86"/>
  <c r="F61" i="86" s="1"/>
  <c r="R61" i="86" s="1"/>
  <c r="G61" i="86" s="1"/>
  <c r="L279" i="101" s="1"/>
  <c r="P279" i="101" s="1"/>
  <c r="O60" i="86"/>
  <c r="F60" i="86" s="1"/>
  <c r="R60" i="86" s="1"/>
  <c r="G60" i="86" s="1"/>
  <c r="K279" i="101" s="1"/>
  <c r="O279" i="101" s="1"/>
  <c r="O59" i="86"/>
  <c r="F59" i="86" s="1"/>
  <c r="R59" i="86" s="1"/>
  <c r="G59" i="86" s="1"/>
  <c r="I279" i="101" s="1"/>
  <c r="M279" i="101" s="1"/>
  <c r="T58" i="86"/>
  <c r="S58" i="86"/>
  <c r="Q58" i="86"/>
  <c r="O58" i="86"/>
  <c r="F58" i="86" s="1"/>
  <c r="E58" i="86"/>
  <c r="C57" i="86"/>
  <c r="E279" i="101" s="1"/>
  <c r="T47" i="86"/>
  <c r="S47" i="86"/>
  <c r="C46" i="86"/>
  <c r="T42" i="86"/>
  <c r="S42" i="86"/>
  <c r="C41" i="86"/>
  <c r="P34" i="86"/>
  <c r="F34" i="86" s="1"/>
  <c r="O33" i="86"/>
  <c r="F33" i="86" s="1"/>
  <c r="O32" i="86"/>
  <c r="F32" i="86" s="1"/>
  <c r="T31" i="86"/>
  <c r="S31" i="86"/>
  <c r="Q31" i="86"/>
  <c r="O31" i="86"/>
  <c r="F31" i="86" s="1"/>
  <c r="E31" i="86"/>
  <c r="C30" i="86"/>
  <c r="P29" i="86"/>
  <c r="F29" i="86" s="1"/>
  <c r="O28" i="86"/>
  <c r="F28" i="86" s="1"/>
  <c r="O27" i="86"/>
  <c r="F27" i="86" s="1"/>
  <c r="T26" i="86"/>
  <c r="S26" i="86"/>
  <c r="Q26" i="86"/>
  <c r="O26" i="86"/>
  <c r="F26" i="86" s="1"/>
  <c r="E26" i="86"/>
  <c r="C25" i="86"/>
  <c r="F18" i="86"/>
  <c r="R18" i="86" s="1"/>
  <c r="E18" i="86"/>
  <c r="J17" i="86"/>
  <c r="E17" i="86" s="1"/>
  <c r="I17" i="86"/>
  <c r="J16" i="86"/>
  <c r="E16" i="86" s="1"/>
  <c r="I16" i="86"/>
  <c r="T15" i="86"/>
  <c r="S15" i="86"/>
  <c r="Q15" i="86"/>
  <c r="N15" i="86"/>
  <c r="M15" i="86"/>
  <c r="L15" i="86"/>
  <c r="H15" i="86"/>
  <c r="BE9" i="86"/>
  <c r="S157" i="85"/>
  <c r="R157" i="85"/>
  <c r="P157" i="85"/>
  <c r="B156" i="85"/>
  <c r="E270" i="101" s="1"/>
  <c r="S152" i="85"/>
  <c r="R152" i="85"/>
  <c r="P152" i="85"/>
  <c r="B151" i="85"/>
  <c r="S141" i="85"/>
  <c r="R141" i="85"/>
  <c r="P141" i="85"/>
  <c r="B140" i="85"/>
  <c r="E267" i="101" s="1"/>
  <c r="S136" i="85"/>
  <c r="R136" i="85"/>
  <c r="P136" i="85"/>
  <c r="B135" i="85"/>
  <c r="S125" i="85"/>
  <c r="R125" i="85"/>
  <c r="P125" i="85"/>
  <c r="B124" i="85"/>
  <c r="E264" i="101" s="1"/>
  <c r="S120" i="85"/>
  <c r="R120" i="85"/>
  <c r="P120" i="85"/>
  <c r="B119" i="85"/>
  <c r="E263" i="101" s="1"/>
  <c r="S115" i="85"/>
  <c r="R115" i="85"/>
  <c r="P115" i="85"/>
  <c r="B114" i="85"/>
  <c r="S110" i="85"/>
  <c r="R110" i="85"/>
  <c r="P110" i="85"/>
  <c r="B109" i="85"/>
  <c r="S99" i="85"/>
  <c r="R99" i="85"/>
  <c r="P99" i="85"/>
  <c r="B98" i="85"/>
  <c r="E259" i="101" s="1"/>
  <c r="S94" i="85"/>
  <c r="R94" i="85"/>
  <c r="P94" i="85"/>
  <c r="B93" i="85"/>
  <c r="E258" i="101" s="1"/>
  <c r="S89" i="85"/>
  <c r="R89" i="85"/>
  <c r="P89" i="85"/>
  <c r="B88" i="85"/>
  <c r="S84" i="85"/>
  <c r="R84" i="85"/>
  <c r="P84" i="85"/>
  <c r="B83" i="85"/>
  <c r="S73" i="85"/>
  <c r="R73" i="85"/>
  <c r="P73" i="85"/>
  <c r="B72" i="85"/>
  <c r="E254" i="101" s="1"/>
  <c r="S68" i="85"/>
  <c r="R68" i="85"/>
  <c r="P68" i="85"/>
  <c r="B67" i="85"/>
  <c r="S57" i="85"/>
  <c r="R57" i="85"/>
  <c r="P57" i="85"/>
  <c r="B56" i="85"/>
  <c r="S52" i="85"/>
  <c r="R52" i="85"/>
  <c r="P52" i="85"/>
  <c r="B51" i="85"/>
  <c r="S41" i="85"/>
  <c r="R41" i="85"/>
  <c r="P41" i="85"/>
  <c r="B40" i="85"/>
  <c r="E248" i="101" s="1"/>
  <c r="S36" i="85"/>
  <c r="R36" i="85"/>
  <c r="P36" i="85"/>
  <c r="B35" i="85"/>
  <c r="E247" i="101" s="1"/>
  <c r="S31" i="85"/>
  <c r="R31" i="85"/>
  <c r="P31" i="85"/>
  <c r="B30" i="85"/>
  <c r="S20" i="85"/>
  <c r="R20" i="85"/>
  <c r="P20" i="85"/>
  <c r="B19" i="85"/>
  <c r="E244" i="101" s="1"/>
  <c r="BH7" i="85"/>
  <c r="Q267" i="84"/>
  <c r="Q266" i="84"/>
  <c r="T264" i="84"/>
  <c r="S264" i="84"/>
  <c r="Q264" i="84"/>
  <c r="C263" i="84"/>
  <c r="E243" i="101" s="1"/>
  <c r="B263" i="84"/>
  <c r="Q262" i="84"/>
  <c r="O262" i="84"/>
  <c r="N262" i="84"/>
  <c r="M262" i="84"/>
  <c r="Q261" i="84"/>
  <c r="O260" i="84"/>
  <c r="N260" i="84"/>
  <c r="L260" i="84"/>
  <c r="J260" i="84"/>
  <c r="T259" i="84"/>
  <c r="S259" i="84"/>
  <c r="Q259" i="84"/>
  <c r="P259" i="84"/>
  <c r="M259" i="84"/>
  <c r="L259" i="84"/>
  <c r="K259" i="84"/>
  <c r="J259" i="84"/>
  <c r="C258" i="84"/>
  <c r="E242" i="101" s="1"/>
  <c r="B258" i="84"/>
  <c r="Q257" i="84"/>
  <c r="L257" i="84"/>
  <c r="K257" i="84"/>
  <c r="J257" i="84"/>
  <c r="I257" i="84"/>
  <c r="Q256" i="84"/>
  <c r="M255" i="84"/>
  <c r="K255" i="84"/>
  <c r="I256" i="84"/>
  <c r="G256" i="84" s="1"/>
  <c r="T254" i="84"/>
  <c r="S254" i="84"/>
  <c r="Q254" i="84"/>
  <c r="P254" i="84"/>
  <c r="O254" i="84"/>
  <c r="I254" i="84"/>
  <c r="Q252" i="84"/>
  <c r="L252" i="84"/>
  <c r="K252" i="84"/>
  <c r="J252" i="84"/>
  <c r="I252" i="84"/>
  <c r="Q251" i="84"/>
  <c r="M250" i="84"/>
  <c r="K250" i="84"/>
  <c r="I251" i="84"/>
  <c r="G251" i="84" s="1"/>
  <c r="T249" i="84"/>
  <c r="S249" i="84"/>
  <c r="Q249" i="84"/>
  <c r="P249" i="84"/>
  <c r="O249" i="84"/>
  <c r="I249" i="84"/>
  <c r="Q247" i="84"/>
  <c r="L247" i="84"/>
  <c r="K247" i="84"/>
  <c r="J247" i="84"/>
  <c r="I247" i="84"/>
  <c r="Q246" i="84"/>
  <c r="M245" i="84"/>
  <c r="K245" i="84"/>
  <c r="I246" i="84"/>
  <c r="G246" i="84" s="1"/>
  <c r="T244" i="84"/>
  <c r="S244" i="84"/>
  <c r="Q244" i="84"/>
  <c r="P244" i="84"/>
  <c r="O244" i="84"/>
  <c r="I244" i="84"/>
  <c r="T239" i="84"/>
  <c r="S239" i="84"/>
  <c r="P237" i="84"/>
  <c r="P242" i="84" s="1"/>
  <c r="O237" i="84"/>
  <c r="O242" i="84" s="1"/>
  <c r="N237" i="84"/>
  <c r="N242" i="84" s="1"/>
  <c r="M237" i="84"/>
  <c r="M242" i="84" s="1"/>
  <c r="P235" i="84"/>
  <c r="P240" i="84" s="1"/>
  <c r="O235" i="84"/>
  <c r="O240" i="84" s="1"/>
  <c r="N235" i="84"/>
  <c r="N240" i="84" s="1"/>
  <c r="L235" i="84"/>
  <c r="L240" i="84" s="1"/>
  <c r="J235" i="84"/>
  <c r="J240" i="84" s="1"/>
  <c r="M234" i="84"/>
  <c r="M239" i="84" s="1"/>
  <c r="L234" i="84"/>
  <c r="L239" i="84" s="1"/>
  <c r="K234" i="84"/>
  <c r="K239" i="84" s="1"/>
  <c r="J234" i="84"/>
  <c r="J239" i="84" s="1"/>
  <c r="L232" i="84"/>
  <c r="K232" i="84"/>
  <c r="J232" i="84"/>
  <c r="I232" i="84"/>
  <c r="M230" i="84"/>
  <c r="K230" i="84"/>
  <c r="I231" i="84"/>
  <c r="G231" i="84" s="1"/>
  <c r="P229" i="84"/>
  <c r="O229" i="84"/>
  <c r="I229" i="84"/>
  <c r="Q227" i="84"/>
  <c r="Q237" i="84" s="1"/>
  <c r="L227" i="84"/>
  <c r="K227" i="84"/>
  <c r="J227" i="84"/>
  <c r="I227" i="84"/>
  <c r="Q226" i="84"/>
  <c r="Q236" i="84" s="1"/>
  <c r="M225" i="84"/>
  <c r="K225" i="84"/>
  <c r="I226" i="84"/>
  <c r="G226" i="84" s="1"/>
  <c r="Q224" i="84"/>
  <c r="Q234" i="84" s="1"/>
  <c r="Q239" i="84" s="1"/>
  <c r="P224" i="84"/>
  <c r="O224" i="84"/>
  <c r="I224" i="84"/>
  <c r="L222" i="84"/>
  <c r="K222" i="84"/>
  <c r="J222" i="84"/>
  <c r="I222" i="84"/>
  <c r="M220" i="84"/>
  <c r="K220" i="84"/>
  <c r="I221" i="84"/>
  <c r="G221" i="84" s="1"/>
  <c r="R221" i="84" s="1"/>
  <c r="O219" i="84"/>
  <c r="I219" i="84"/>
  <c r="L217" i="84"/>
  <c r="K217" i="84"/>
  <c r="J217" i="84"/>
  <c r="I217" i="84"/>
  <c r="M215" i="84"/>
  <c r="K215" i="84"/>
  <c r="I216" i="84"/>
  <c r="G216" i="84" s="1"/>
  <c r="R216" i="84" s="1"/>
  <c r="O214" i="84"/>
  <c r="I214" i="84"/>
  <c r="L212" i="84"/>
  <c r="K212" i="84"/>
  <c r="J212" i="84"/>
  <c r="I212" i="84"/>
  <c r="M210" i="84"/>
  <c r="K210" i="84"/>
  <c r="I211" i="84"/>
  <c r="G211" i="84" s="1"/>
  <c r="R211" i="84" s="1"/>
  <c r="O209" i="84"/>
  <c r="I209" i="84"/>
  <c r="L207" i="84"/>
  <c r="K207" i="84"/>
  <c r="J207" i="84"/>
  <c r="I207" i="84"/>
  <c r="M205" i="84"/>
  <c r="K205" i="84"/>
  <c r="I206" i="84"/>
  <c r="G206" i="84" s="1"/>
  <c r="R206" i="84" s="1"/>
  <c r="O204" i="84"/>
  <c r="I204" i="84"/>
  <c r="L202" i="84"/>
  <c r="K202" i="84"/>
  <c r="J202" i="84"/>
  <c r="I202" i="84"/>
  <c r="M200" i="84"/>
  <c r="K200" i="84"/>
  <c r="I201" i="84"/>
  <c r="G201" i="84" s="1"/>
  <c r="R201" i="84" s="1"/>
  <c r="O199" i="84"/>
  <c r="I199" i="84"/>
  <c r="L197" i="84"/>
  <c r="K197" i="84"/>
  <c r="J197" i="84"/>
  <c r="I197" i="84"/>
  <c r="M195" i="84"/>
  <c r="K195" i="84"/>
  <c r="I196" i="84"/>
  <c r="G196" i="84" s="1"/>
  <c r="R196" i="84" s="1"/>
  <c r="O194" i="84"/>
  <c r="I194" i="84"/>
  <c r="Q192" i="84"/>
  <c r="O192" i="84"/>
  <c r="N192" i="84"/>
  <c r="M192" i="84"/>
  <c r="Q191" i="84"/>
  <c r="O190" i="84"/>
  <c r="N190" i="84"/>
  <c r="L190" i="84"/>
  <c r="J190" i="84"/>
  <c r="T189" i="84"/>
  <c r="S189" i="84"/>
  <c r="Q189" i="84"/>
  <c r="P189" i="84"/>
  <c r="M189" i="84"/>
  <c r="L189" i="84"/>
  <c r="K189" i="84"/>
  <c r="J189" i="84"/>
  <c r="C188" i="84"/>
  <c r="E237" i="101" s="1"/>
  <c r="T184" i="84"/>
  <c r="S184" i="84"/>
  <c r="C183" i="84"/>
  <c r="P182" i="84"/>
  <c r="P187" i="84" s="1"/>
  <c r="O182" i="84"/>
  <c r="O187" i="84" s="1"/>
  <c r="N182" i="84"/>
  <c r="N187" i="84" s="1"/>
  <c r="M182" i="84"/>
  <c r="M187" i="84" s="1"/>
  <c r="P185" i="84"/>
  <c r="O180" i="84"/>
  <c r="O185" i="84" s="1"/>
  <c r="N180" i="84"/>
  <c r="N185" i="84" s="1"/>
  <c r="L180" i="84"/>
  <c r="L185" i="84" s="1"/>
  <c r="J180" i="84"/>
  <c r="J185" i="84" s="1"/>
  <c r="M179" i="84"/>
  <c r="M184" i="84" s="1"/>
  <c r="L179" i="84"/>
  <c r="L184" i="84" s="1"/>
  <c r="K179" i="84"/>
  <c r="K184" i="84" s="1"/>
  <c r="J179" i="84"/>
  <c r="J184" i="84" s="1"/>
  <c r="L177" i="84"/>
  <c r="K177" i="84"/>
  <c r="J177" i="84"/>
  <c r="I177" i="84"/>
  <c r="M175" i="84"/>
  <c r="K175" i="84"/>
  <c r="I176" i="84"/>
  <c r="G176" i="84" s="1"/>
  <c r="R176" i="84" s="1"/>
  <c r="P174" i="84"/>
  <c r="O174" i="84"/>
  <c r="I174" i="84"/>
  <c r="Q172" i="84"/>
  <c r="L172" i="84"/>
  <c r="K172" i="84"/>
  <c r="J172" i="84"/>
  <c r="I172" i="84"/>
  <c r="Q171" i="84"/>
  <c r="M170" i="84"/>
  <c r="K170" i="84"/>
  <c r="I171" i="84"/>
  <c r="G171" i="84" s="1"/>
  <c r="Q169" i="84"/>
  <c r="Q179" i="84" s="1"/>
  <c r="Q184" i="84" s="1"/>
  <c r="P169" i="84"/>
  <c r="O169" i="84"/>
  <c r="I169" i="84"/>
  <c r="Q167" i="84"/>
  <c r="L167" i="84"/>
  <c r="K167" i="84"/>
  <c r="J167" i="84"/>
  <c r="I167" i="84"/>
  <c r="Q166" i="84"/>
  <c r="M165" i="84"/>
  <c r="K165" i="84"/>
  <c r="I166" i="84"/>
  <c r="G166" i="84" s="1"/>
  <c r="T164" i="84"/>
  <c r="S164" i="84"/>
  <c r="Q164" i="84"/>
  <c r="P164" i="84"/>
  <c r="O164" i="84"/>
  <c r="I164" i="84"/>
  <c r="C163" i="84"/>
  <c r="Q162" i="84"/>
  <c r="L162" i="84"/>
  <c r="L262" i="84" s="1"/>
  <c r="K162" i="84"/>
  <c r="K262" i="84" s="1"/>
  <c r="J162" i="84"/>
  <c r="J262" i="84" s="1"/>
  <c r="I162" i="84"/>
  <c r="Q161" i="84"/>
  <c r="M160" i="84"/>
  <c r="K160" i="84"/>
  <c r="K260" i="84" s="1"/>
  <c r="I161" i="84"/>
  <c r="T159" i="84"/>
  <c r="S159" i="84"/>
  <c r="Q159" i="84"/>
  <c r="P159" i="84"/>
  <c r="O159" i="84"/>
  <c r="I159" i="84"/>
  <c r="C158" i="84"/>
  <c r="Q157" i="84"/>
  <c r="L157" i="84"/>
  <c r="K157" i="84"/>
  <c r="J157" i="84"/>
  <c r="I157" i="84"/>
  <c r="Q156" i="84"/>
  <c r="M155" i="84"/>
  <c r="K155" i="84"/>
  <c r="I156" i="84"/>
  <c r="G156" i="84" s="1"/>
  <c r="T154" i="84"/>
  <c r="S154" i="84"/>
  <c r="Q154" i="84"/>
  <c r="P154" i="84"/>
  <c r="O154" i="84"/>
  <c r="I154" i="84"/>
  <c r="C153" i="84"/>
  <c r="Q152" i="84"/>
  <c r="L152" i="84"/>
  <c r="K152" i="84"/>
  <c r="J152" i="84"/>
  <c r="I152" i="84"/>
  <c r="Q151" i="84"/>
  <c r="M150" i="84"/>
  <c r="I151" i="84"/>
  <c r="G151" i="84" s="1"/>
  <c r="T149" i="84"/>
  <c r="S149" i="84"/>
  <c r="Q149" i="84"/>
  <c r="P149" i="84"/>
  <c r="O149" i="84"/>
  <c r="I149" i="84"/>
  <c r="C148" i="84"/>
  <c r="Q147" i="84"/>
  <c r="L147" i="84"/>
  <c r="K147" i="84"/>
  <c r="J147" i="84"/>
  <c r="I147" i="84"/>
  <c r="Q146" i="84"/>
  <c r="M145" i="84"/>
  <c r="K145" i="84"/>
  <c r="I146" i="84"/>
  <c r="G146" i="84" s="1"/>
  <c r="T144" i="84"/>
  <c r="S144" i="84"/>
  <c r="Q144" i="84"/>
  <c r="P144" i="84"/>
  <c r="O144" i="84"/>
  <c r="C143" i="84"/>
  <c r="T139" i="84"/>
  <c r="S139" i="84"/>
  <c r="C138" i="84"/>
  <c r="P137" i="84"/>
  <c r="O137" i="84"/>
  <c r="N137" i="84"/>
  <c r="M137" i="84"/>
  <c r="P135" i="84"/>
  <c r="O135" i="84"/>
  <c r="N135" i="84"/>
  <c r="L135" i="84"/>
  <c r="J135" i="84"/>
  <c r="J140" i="84" s="1"/>
  <c r="M134" i="84"/>
  <c r="L134" i="84"/>
  <c r="K134" i="84"/>
  <c r="J134" i="84"/>
  <c r="L132" i="84"/>
  <c r="K132" i="84"/>
  <c r="J132" i="84"/>
  <c r="I132" i="84"/>
  <c r="M130" i="84"/>
  <c r="K130" i="84"/>
  <c r="I131" i="84"/>
  <c r="G131" i="84" s="1"/>
  <c r="P129" i="84"/>
  <c r="O129" i="84"/>
  <c r="I129" i="84"/>
  <c r="Q127" i="84"/>
  <c r="Q137" i="84" s="1"/>
  <c r="Q141" i="84" s="1"/>
  <c r="L127" i="84"/>
  <c r="K127" i="84"/>
  <c r="J127" i="84"/>
  <c r="I127" i="84"/>
  <c r="Q126" i="84"/>
  <c r="Q136" i="84" s="1"/>
  <c r="O11" i="85" s="1"/>
  <c r="K125" i="84"/>
  <c r="I126" i="84"/>
  <c r="G126" i="84" s="1"/>
  <c r="Q124" i="84"/>
  <c r="Q134" i="84" s="1"/>
  <c r="P124" i="84"/>
  <c r="O124" i="84"/>
  <c r="I124" i="84"/>
  <c r="L122" i="84"/>
  <c r="K122" i="84"/>
  <c r="J122" i="84"/>
  <c r="I122" i="84"/>
  <c r="M120" i="84"/>
  <c r="K120" i="84"/>
  <c r="I121" i="84"/>
  <c r="G121" i="84" s="1"/>
  <c r="R121" i="84" s="1"/>
  <c r="O119" i="84"/>
  <c r="I119" i="84"/>
  <c r="L117" i="84"/>
  <c r="K117" i="84"/>
  <c r="J117" i="84"/>
  <c r="I117" i="84"/>
  <c r="M115" i="84"/>
  <c r="K115" i="84"/>
  <c r="I116" i="84"/>
  <c r="G116" i="84" s="1"/>
  <c r="R116" i="84" s="1"/>
  <c r="O114" i="84"/>
  <c r="I114" i="84"/>
  <c r="L112" i="84"/>
  <c r="K112" i="84"/>
  <c r="J112" i="84"/>
  <c r="I112" i="84"/>
  <c r="M110" i="84"/>
  <c r="K110" i="84"/>
  <c r="I111" i="84"/>
  <c r="G111" i="84" s="1"/>
  <c r="R111" i="84" s="1"/>
  <c r="O109" i="84"/>
  <c r="I109" i="84"/>
  <c r="L107" i="84"/>
  <c r="K107" i="84"/>
  <c r="J107" i="84"/>
  <c r="I107" i="84"/>
  <c r="M105" i="84"/>
  <c r="K105" i="84"/>
  <c r="I106" i="84"/>
  <c r="G106" i="84" s="1"/>
  <c r="R106" i="84" s="1"/>
  <c r="O104" i="84"/>
  <c r="I104" i="84"/>
  <c r="L102" i="84"/>
  <c r="K102" i="84"/>
  <c r="J102" i="84"/>
  <c r="I102" i="84"/>
  <c r="M101" i="84"/>
  <c r="F101" i="84" s="1"/>
  <c r="K100" i="84"/>
  <c r="I101" i="84"/>
  <c r="O99" i="84"/>
  <c r="I99" i="84"/>
  <c r="L97" i="84"/>
  <c r="K97" i="84"/>
  <c r="J97" i="84"/>
  <c r="I97" i="84"/>
  <c r="M95" i="84"/>
  <c r="K95" i="84"/>
  <c r="I96" i="84"/>
  <c r="G96" i="84" s="1"/>
  <c r="R96" i="84" s="1"/>
  <c r="O94" i="84"/>
  <c r="I94" i="84"/>
  <c r="L92" i="84"/>
  <c r="K92" i="84"/>
  <c r="J92" i="84"/>
  <c r="I92" i="84"/>
  <c r="M90" i="84"/>
  <c r="K90" i="84"/>
  <c r="I91" i="84"/>
  <c r="G91" i="84" s="1"/>
  <c r="R91" i="84" s="1"/>
  <c r="O89" i="84"/>
  <c r="I89" i="84"/>
  <c r="Q87" i="84"/>
  <c r="O87" i="84"/>
  <c r="N87" i="84"/>
  <c r="M87" i="84"/>
  <c r="Q86" i="84"/>
  <c r="O85" i="84"/>
  <c r="N85" i="84"/>
  <c r="L85" i="84"/>
  <c r="J85" i="84"/>
  <c r="T84" i="84"/>
  <c r="S84" i="84"/>
  <c r="Q84" i="84"/>
  <c r="P84" i="84"/>
  <c r="M84" i="84"/>
  <c r="L84" i="84"/>
  <c r="K84" i="84"/>
  <c r="J84" i="84"/>
  <c r="C83" i="84"/>
  <c r="BD78" i="84" s="1"/>
  <c r="B83" i="84"/>
  <c r="O71" i="84"/>
  <c r="N71" i="84"/>
  <c r="M71" i="84"/>
  <c r="O69" i="84"/>
  <c r="L69" i="84"/>
  <c r="T68" i="84"/>
  <c r="S68" i="84"/>
  <c r="P68" i="84"/>
  <c r="M68" i="84"/>
  <c r="L68" i="84"/>
  <c r="K68" i="84"/>
  <c r="C67" i="84"/>
  <c r="E233" i="101" s="1"/>
  <c r="L66" i="84"/>
  <c r="L71" i="84" s="1"/>
  <c r="K66" i="84"/>
  <c r="K71" i="84" s="1"/>
  <c r="J66" i="84"/>
  <c r="I66" i="84"/>
  <c r="K64" i="84"/>
  <c r="K69" i="84" s="1"/>
  <c r="J65" i="84"/>
  <c r="I65" i="84"/>
  <c r="T63" i="84"/>
  <c r="S63" i="84"/>
  <c r="P63" i="84"/>
  <c r="O63" i="84"/>
  <c r="J63" i="84"/>
  <c r="I68" i="84"/>
  <c r="C62" i="84"/>
  <c r="Q55" i="84"/>
  <c r="P55" i="84"/>
  <c r="O55" i="84"/>
  <c r="N55" i="84"/>
  <c r="Q54" i="84"/>
  <c r="P54" i="84"/>
  <c r="O54" i="84"/>
  <c r="N54" i="84"/>
  <c r="L53" i="84"/>
  <c r="T52" i="84"/>
  <c r="S52" i="84"/>
  <c r="Q52" i="84"/>
  <c r="L52" i="84"/>
  <c r="K52" i="84"/>
  <c r="C51" i="84"/>
  <c r="E230" i="101" s="1"/>
  <c r="Q50" i="84"/>
  <c r="P50" i="84"/>
  <c r="L50" i="84"/>
  <c r="K50" i="84"/>
  <c r="J50" i="84"/>
  <c r="I50" i="84"/>
  <c r="Q49" i="84"/>
  <c r="P49" i="84"/>
  <c r="K48" i="84"/>
  <c r="J48" i="84"/>
  <c r="I49" i="84"/>
  <c r="T47" i="84"/>
  <c r="S47" i="84"/>
  <c r="Q47" i="84"/>
  <c r="P47" i="84"/>
  <c r="O47" i="84"/>
  <c r="J47" i="84"/>
  <c r="I47" i="84"/>
  <c r="C46" i="84"/>
  <c r="E229" i="101" s="1"/>
  <c r="Q45" i="84"/>
  <c r="L45" i="84"/>
  <c r="K45" i="84"/>
  <c r="J45" i="84"/>
  <c r="I45" i="84"/>
  <c r="Q44" i="84"/>
  <c r="K43" i="84"/>
  <c r="J44" i="84"/>
  <c r="F44" i="84" s="1"/>
  <c r="I44" i="84"/>
  <c r="T42" i="84"/>
  <c r="S42" i="84"/>
  <c r="Q42" i="84"/>
  <c r="O42" i="84"/>
  <c r="J42" i="84"/>
  <c r="I42" i="84"/>
  <c r="C41" i="84"/>
  <c r="Q34" i="84"/>
  <c r="P34" i="84"/>
  <c r="O34" i="84"/>
  <c r="N34" i="84"/>
  <c r="M34" i="84"/>
  <c r="Q33" i="84"/>
  <c r="P32" i="84"/>
  <c r="O32" i="84"/>
  <c r="L32" i="84"/>
  <c r="T31" i="84"/>
  <c r="S31" i="84"/>
  <c r="Q31" i="84"/>
  <c r="M31" i="84"/>
  <c r="L31" i="84"/>
  <c r="K31" i="84"/>
  <c r="C30" i="84"/>
  <c r="E226" i="101" s="1"/>
  <c r="Q29" i="84"/>
  <c r="L29" i="84"/>
  <c r="K29" i="84"/>
  <c r="J29" i="84"/>
  <c r="I29" i="84"/>
  <c r="Q28" i="84"/>
  <c r="M27" i="84"/>
  <c r="K27" i="84"/>
  <c r="J28" i="84"/>
  <c r="F28" i="84" s="1"/>
  <c r="I28" i="84"/>
  <c r="T26" i="84"/>
  <c r="S26" i="84"/>
  <c r="Q26" i="84"/>
  <c r="P26" i="84"/>
  <c r="P31" i="84" s="1"/>
  <c r="O26" i="84"/>
  <c r="J26" i="84"/>
  <c r="I26" i="84"/>
  <c r="C25" i="84"/>
  <c r="E225" i="101" s="1"/>
  <c r="Q24" i="84"/>
  <c r="L24" i="84"/>
  <c r="K24" i="84"/>
  <c r="J24" i="84"/>
  <c r="I24" i="84"/>
  <c r="Q23" i="84"/>
  <c r="M22" i="84"/>
  <c r="K22" i="84"/>
  <c r="J23" i="84"/>
  <c r="F23" i="84" s="1"/>
  <c r="I23" i="84"/>
  <c r="T21" i="84"/>
  <c r="S21" i="84"/>
  <c r="Q21" i="84"/>
  <c r="P21" i="84"/>
  <c r="O21" i="84"/>
  <c r="J21" i="84"/>
  <c r="I21" i="84"/>
  <c r="C20" i="84"/>
  <c r="E224" i="101" s="1"/>
  <c r="Q19" i="84"/>
  <c r="L19" i="84"/>
  <c r="K19" i="84"/>
  <c r="J19" i="84"/>
  <c r="I19" i="84"/>
  <c r="Q18" i="84"/>
  <c r="M17" i="84"/>
  <c r="K17" i="84"/>
  <c r="J18" i="84"/>
  <c r="F18" i="84" s="1"/>
  <c r="I18" i="84"/>
  <c r="T16" i="84"/>
  <c r="S16" i="84"/>
  <c r="Q16" i="84"/>
  <c r="P16" i="84"/>
  <c r="O16" i="84"/>
  <c r="J16" i="84"/>
  <c r="I16" i="84"/>
  <c r="C15" i="84"/>
  <c r="CA8" i="84"/>
  <c r="E332" i="101"/>
  <c r="E329" i="101"/>
  <c r="K324" i="101"/>
  <c r="O324" i="101" s="1"/>
  <c r="K323" i="101"/>
  <c r="O323" i="101" s="1"/>
  <c r="I323" i="101"/>
  <c r="M323" i="101" s="1"/>
  <c r="K322" i="101"/>
  <c r="O322" i="101" s="1"/>
  <c r="I322" i="101"/>
  <c r="M322" i="101" s="1"/>
  <c r="K320" i="101"/>
  <c r="O320" i="101" s="1"/>
  <c r="E314" i="101"/>
  <c r="E299" i="101"/>
  <c r="E298" i="101"/>
  <c r="E296" i="101"/>
  <c r="D292" i="101"/>
  <c r="C292" i="101"/>
  <c r="E291" i="101"/>
  <c r="D291" i="101"/>
  <c r="E290" i="101"/>
  <c r="E289" i="101"/>
  <c r="E286" i="101"/>
  <c r="E282" i="101"/>
  <c r="E277" i="101"/>
  <c r="E274" i="101"/>
  <c r="E273" i="101"/>
  <c r="E271" i="101"/>
  <c r="E262" i="101"/>
  <c r="E257" i="101"/>
  <c r="E251" i="101"/>
  <c r="E246" i="101"/>
  <c r="E241" i="101"/>
  <c r="E240" i="101"/>
  <c r="E239" i="101"/>
  <c r="E238" i="101"/>
  <c r="T14" i="86" l="1"/>
  <c r="S14" i="86"/>
  <c r="Q14" i="86"/>
  <c r="I14" i="86"/>
  <c r="O14" i="86"/>
  <c r="J14" i="86"/>
  <c r="P14" i="86"/>
  <c r="N14" i="86"/>
  <c r="M14" i="86"/>
  <c r="K14" i="86"/>
  <c r="L14" i="86"/>
  <c r="N16" i="85"/>
  <c r="Q105" i="87"/>
  <c r="AA138" i="87"/>
  <c r="AH138" i="87"/>
  <c r="AA146" i="87"/>
  <c r="AH146" i="87"/>
  <c r="P295" i="95"/>
  <c r="O17" i="88" s="1"/>
  <c r="N295" i="95"/>
  <c r="AO128" i="90"/>
  <c r="AP128" i="90"/>
  <c r="AK128" i="90"/>
  <c r="AL128" i="90"/>
  <c r="AG128" i="90"/>
  <c r="AH128" i="90"/>
  <c r="AC128" i="90"/>
  <c r="AD128" i="90"/>
  <c r="Y128" i="90"/>
  <c r="Z128" i="90"/>
  <c r="U128" i="90"/>
  <c r="V128" i="90"/>
  <c r="Q128" i="90"/>
  <c r="R128" i="90"/>
  <c r="H145" i="91"/>
  <c r="AE263" i="84"/>
  <c r="AF263" i="84" s="1"/>
  <c r="BT263" i="84"/>
  <c r="BU263" i="84" s="1"/>
  <c r="Y263" i="84"/>
  <c r="Z263" i="84" s="1"/>
  <c r="BQ263" i="84"/>
  <c r="BR263" i="84" s="1"/>
  <c r="BK263" i="84"/>
  <c r="BL263" i="84" s="1"/>
  <c r="BE263" i="84"/>
  <c r="BF263" i="84" s="1"/>
  <c r="AQ263" i="84"/>
  <c r="AR263" i="84" s="1"/>
  <c r="AK263" i="84"/>
  <c r="AL263" i="84" s="1"/>
  <c r="AY263" i="84"/>
  <c r="AZ263" i="84" s="1"/>
  <c r="BA246" i="88"/>
  <c r="BA24" i="87"/>
  <c r="BA15" i="87" s="1"/>
  <c r="BA30" i="87"/>
  <c r="BA40" i="87"/>
  <c r="BA63" i="87"/>
  <c r="BA76" i="87"/>
  <c r="BA82" i="87"/>
  <c r="BA87" i="87"/>
  <c r="BA72" i="87" s="1"/>
  <c r="BA100" i="87"/>
  <c r="BA104" i="87"/>
  <c r="BA108" i="87"/>
  <c r="BA117" i="87"/>
  <c r="BA125" i="87"/>
  <c r="BA129" i="87"/>
  <c r="BA151" i="87"/>
  <c r="BA160" i="87"/>
  <c r="BA164" i="87"/>
  <c r="BA168" i="87"/>
  <c r="BA181" i="87"/>
  <c r="BA185" i="87"/>
  <c r="BA198" i="87"/>
  <c r="BA202" i="87"/>
  <c r="BA206" i="87"/>
  <c r="BA223" i="87"/>
  <c r="BA232" i="87"/>
  <c r="BA240" i="87"/>
  <c r="BA249" i="87"/>
  <c r="BA253" i="87"/>
  <c r="BA266" i="87"/>
  <c r="BA270" i="87"/>
  <c r="BA275" i="87"/>
  <c r="BA279" i="87"/>
  <c r="BA287" i="87"/>
  <c r="BA295" i="87"/>
  <c r="BA312" i="87"/>
  <c r="BA316" i="87"/>
  <c r="BA325" i="87"/>
  <c r="BA338" i="87"/>
  <c r="BA342" i="87"/>
  <c r="BA50" i="87"/>
  <c r="BA10" i="87" s="1"/>
  <c r="BA45" i="87"/>
  <c r="BA308" i="87"/>
  <c r="BA219" i="87"/>
  <c r="BA210" i="87"/>
  <c r="BA291" i="87"/>
  <c r="BA59" i="87"/>
  <c r="BA258" i="87"/>
  <c r="BA177" i="87"/>
  <c r="BA329" i="87"/>
  <c r="BA236" i="87"/>
  <c r="BA121" i="87"/>
  <c r="BA189" i="87"/>
  <c r="BA299" i="87"/>
  <c r="BA67" i="87"/>
  <c r="BA259" i="88"/>
  <c r="BA255" i="88"/>
  <c r="BA264" i="89"/>
  <c r="BA268" i="89"/>
  <c r="BA272" i="89"/>
  <c r="BA332" i="89"/>
  <c r="BA336" i="89"/>
  <c r="BA345" i="89"/>
  <c r="BA349" i="89"/>
  <c r="BA353" i="89"/>
  <c r="BA293" i="89"/>
  <c r="BA281" i="89"/>
  <c r="BA302" i="89"/>
  <c r="BA315" i="89"/>
  <c r="BA319" i="89"/>
  <c r="BA323" i="89"/>
  <c r="BA285" i="89"/>
  <c r="BA289" i="89"/>
  <c r="BA306" i="89"/>
  <c r="BA14" i="89"/>
  <c r="BA18" i="89"/>
  <c r="BA22" i="89"/>
  <c r="BA26" i="89"/>
  <c r="BA35" i="89"/>
  <c r="BA39" i="89"/>
  <c r="BA43" i="89"/>
  <c r="BA31" i="89" s="1"/>
  <c r="BA47" i="89"/>
  <c r="BA56" i="89"/>
  <c r="BA60" i="89"/>
  <c r="BA64" i="89"/>
  <c r="BA68" i="89"/>
  <c r="BA77" i="89"/>
  <c r="BA81" i="89"/>
  <c r="BA85" i="89"/>
  <c r="BA73" i="89" s="1"/>
  <c r="BA89" i="89"/>
  <c r="BA98" i="89"/>
  <c r="BA102" i="89"/>
  <c r="BA111" i="89"/>
  <c r="BA146" i="89"/>
  <c r="BA154" i="89"/>
  <c r="BA184" i="89"/>
  <c r="BA188" i="89"/>
  <c r="BA180" i="89" s="1"/>
  <c r="BA192" i="89"/>
  <c r="BA196" i="89"/>
  <c r="BA205" i="89"/>
  <c r="BA209" i="89"/>
  <c r="BA213" i="89"/>
  <c r="BA217" i="89"/>
  <c r="BA226" i="89"/>
  <c r="BA230" i="89"/>
  <c r="BA234" i="89"/>
  <c r="BA238" i="89"/>
  <c r="BA251" i="89"/>
  <c r="BA225" i="88"/>
  <c r="BA150" i="89"/>
  <c r="BA163" i="89"/>
  <c r="BA247" i="89"/>
  <c r="BA167" i="89"/>
  <c r="BA159" i="89" s="1"/>
  <c r="BA171" i="89"/>
  <c r="BA255" i="89"/>
  <c r="BA175" i="89"/>
  <c r="BA115" i="89"/>
  <c r="BA120" i="89"/>
  <c r="BA129" i="89"/>
  <c r="BA133" i="89"/>
  <c r="BA142" i="89"/>
  <c r="BA138" i="89" s="1"/>
  <c r="BA96" i="87"/>
  <c r="AC76" i="87"/>
  <c r="AJ76" i="87"/>
  <c r="AQ76" i="87"/>
  <c r="AX76" i="87"/>
  <c r="BL76" i="87"/>
  <c r="BS76" i="87"/>
  <c r="AX82" i="87"/>
  <c r="AQ82" i="87"/>
  <c r="AC82" i="87"/>
  <c r="AJ82" i="87"/>
  <c r="BL82" i="87"/>
  <c r="BS82" i="87"/>
  <c r="AJ87" i="87"/>
  <c r="BL87" i="87"/>
  <c r="AC87" i="87"/>
  <c r="AQ87" i="87"/>
  <c r="AX87" i="87"/>
  <c r="BS87" i="87"/>
  <c r="AO151" i="87"/>
  <c r="AA151" i="87"/>
  <c r="AH151" i="87"/>
  <c r="BJ151" i="87"/>
  <c r="AV151" i="87"/>
  <c r="BQ151" i="87"/>
  <c r="AH14" i="89"/>
  <c r="AO14" i="89"/>
  <c r="BJ14" i="89"/>
  <c r="AV14" i="89"/>
  <c r="BQ14" i="89"/>
  <c r="AV18" i="89"/>
  <c r="AO18" i="89"/>
  <c r="AH18" i="89"/>
  <c r="BJ18" i="89"/>
  <c r="BQ18" i="89"/>
  <c r="AH22" i="89"/>
  <c r="AV22" i="89"/>
  <c r="BJ22" i="89"/>
  <c r="AO22" i="89"/>
  <c r="BQ22" i="89"/>
  <c r="BJ26" i="89"/>
  <c r="AV26" i="89"/>
  <c r="AO26" i="89"/>
  <c r="AH26" i="89"/>
  <c r="BQ26" i="89"/>
  <c r="BJ77" i="89"/>
  <c r="AV77" i="89"/>
  <c r="AH77" i="89"/>
  <c r="AO77" i="89"/>
  <c r="BQ77" i="89"/>
  <c r="AO81" i="89"/>
  <c r="AV81" i="89"/>
  <c r="AH81" i="89"/>
  <c r="BJ81" i="89"/>
  <c r="BQ81" i="89"/>
  <c r="AV85" i="89"/>
  <c r="AO85" i="89"/>
  <c r="AH85" i="89"/>
  <c r="BJ85" i="89"/>
  <c r="BQ85" i="89"/>
  <c r="AH89" i="89"/>
  <c r="AV89" i="89"/>
  <c r="BJ89" i="89"/>
  <c r="AO89" i="89"/>
  <c r="BQ89" i="89"/>
  <c r="AV56" i="89"/>
  <c r="AH56" i="89"/>
  <c r="BJ56" i="89"/>
  <c r="AO56" i="89"/>
  <c r="BQ56" i="89"/>
  <c r="BJ60" i="89"/>
  <c r="AV60" i="89"/>
  <c r="AO60" i="89"/>
  <c r="AH60" i="89"/>
  <c r="BQ60" i="89"/>
  <c r="AH64" i="89"/>
  <c r="AO64" i="89"/>
  <c r="AV64" i="89"/>
  <c r="BJ64" i="89"/>
  <c r="BQ64" i="89"/>
  <c r="AV68" i="89"/>
  <c r="AO68" i="89"/>
  <c r="AH68" i="89"/>
  <c r="BJ68" i="89"/>
  <c r="BQ68" i="89"/>
  <c r="AV35" i="89"/>
  <c r="AH35" i="89"/>
  <c r="AO35" i="89"/>
  <c r="BJ35" i="89"/>
  <c r="BQ35" i="89"/>
  <c r="BJ39" i="89"/>
  <c r="AH39" i="89"/>
  <c r="AV39" i="89"/>
  <c r="AO39" i="89"/>
  <c r="BQ39" i="89"/>
  <c r="BJ43" i="89"/>
  <c r="AV43" i="89"/>
  <c r="AO43" i="89"/>
  <c r="AH43" i="89"/>
  <c r="BQ43" i="89"/>
  <c r="AV47" i="89"/>
  <c r="AO47" i="89"/>
  <c r="AH47" i="89"/>
  <c r="BJ47" i="89"/>
  <c r="BQ47" i="89"/>
  <c r="AA111" i="89"/>
  <c r="AV111" i="89"/>
  <c r="BJ111" i="89"/>
  <c r="AO111" i="89"/>
  <c r="AH111" i="89"/>
  <c r="BQ111" i="89"/>
  <c r="AV115" i="89"/>
  <c r="AO115" i="89"/>
  <c r="AH115" i="89"/>
  <c r="BJ115" i="89"/>
  <c r="BQ115" i="89"/>
  <c r="AO142" i="89"/>
  <c r="AV142" i="89"/>
  <c r="BJ142" i="89"/>
  <c r="AH142" i="89"/>
  <c r="BQ142" i="89"/>
  <c r="BJ146" i="89"/>
  <c r="AV146" i="89"/>
  <c r="AO146" i="89"/>
  <c r="AH146" i="89"/>
  <c r="BQ146" i="89"/>
  <c r="AO150" i="89"/>
  <c r="AH150" i="89"/>
  <c r="AV150" i="89"/>
  <c r="BJ150" i="89"/>
  <c r="BQ150" i="89"/>
  <c r="AO154" i="89"/>
  <c r="AH154" i="89"/>
  <c r="AV154" i="89"/>
  <c r="BJ154" i="89"/>
  <c r="BQ154" i="89"/>
  <c r="BJ163" i="89"/>
  <c r="AV163" i="89"/>
  <c r="AO163" i="89"/>
  <c r="AH163" i="89"/>
  <c r="BQ163" i="89"/>
  <c r="AH167" i="89"/>
  <c r="AO167" i="89"/>
  <c r="AV167" i="89"/>
  <c r="BJ167" i="89"/>
  <c r="BQ167" i="89"/>
  <c r="AO171" i="89"/>
  <c r="AH171" i="89"/>
  <c r="BJ171" i="89"/>
  <c r="AV171" i="89"/>
  <c r="BQ171" i="89"/>
  <c r="BJ175" i="89"/>
  <c r="AV175" i="89"/>
  <c r="AO175" i="89"/>
  <c r="AH175" i="89"/>
  <c r="BQ175" i="89"/>
  <c r="AO120" i="89"/>
  <c r="AH120" i="89"/>
  <c r="AV120" i="89"/>
  <c r="BJ120" i="89"/>
  <c r="BQ120" i="89"/>
  <c r="AV129" i="89"/>
  <c r="BJ129" i="89"/>
  <c r="AO129" i="89"/>
  <c r="AH129" i="89"/>
  <c r="BQ129" i="89"/>
  <c r="AH133" i="89"/>
  <c r="AV133" i="89"/>
  <c r="BJ133" i="89"/>
  <c r="AO133" i="89"/>
  <c r="BQ133" i="89"/>
  <c r="AH98" i="89"/>
  <c r="AO98" i="89"/>
  <c r="AV98" i="89"/>
  <c r="BJ98" i="89"/>
  <c r="BQ98" i="89"/>
  <c r="AO102" i="89"/>
  <c r="AV102" i="89"/>
  <c r="AH102" i="89"/>
  <c r="BJ102" i="89"/>
  <c r="BQ102" i="89"/>
  <c r="BI184" i="89"/>
  <c r="AU184" i="89"/>
  <c r="AN184" i="89"/>
  <c r="AG184" i="89"/>
  <c r="BP184" i="89"/>
  <c r="AU188" i="89"/>
  <c r="AN188" i="89"/>
  <c r="BI188" i="89"/>
  <c r="AG188" i="89"/>
  <c r="BP188" i="89"/>
  <c r="AU192" i="89"/>
  <c r="AN192" i="89"/>
  <c r="BI192" i="89"/>
  <c r="AG192" i="89"/>
  <c r="BP192" i="89"/>
  <c r="AG196" i="89"/>
  <c r="AN196" i="89"/>
  <c r="AU196" i="89"/>
  <c r="BI196" i="89"/>
  <c r="BP196" i="89"/>
  <c r="AU209" i="89"/>
  <c r="AN209" i="89"/>
  <c r="AG209" i="89"/>
  <c r="BI209" i="89"/>
  <c r="BP209" i="89"/>
  <c r="BJ142" i="87"/>
  <c r="AV142" i="87"/>
  <c r="AO142" i="87"/>
  <c r="AH142" i="87"/>
  <c r="AA142" i="87"/>
  <c r="BQ142" i="87"/>
  <c r="BJ138" i="87"/>
  <c r="AV138" i="87"/>
  <c r="AO138" i="87"/>
  <c r="BQ138" i="87"/>
  <c r="AV146" i="87"/>
  <c r="AO146" i="87"/>
  <c r="BJ146" i="87"/>
  <c r="BQ146" i="87"/>
  <c r="AN67" i="87"/>
  <c r="AG67" i="87"/>
  <c r="AU67" i="87"/>
  <c r="BI67" i="87"/>
  <c r="Z67" i="87"/>
  <c r="BP67" i="87"/>
  <c r="AN205" i="89"/>
  <c r="AG205" i="89"/>
  <c r="AU205" i="89"/>
  <c r="BI205" i="89"/>
  <c r="BP205" i="89"/>
  <c r="AV129" i="87"/>
  <c r="AH129" i="87"/>
  <c r="BJ129" i="87"/>
  <c r="AA129" i="87"/>
  <c r="AO129" i="87"/>
  <c r="BQ129" i="87"/>
  <c r="F266" i="90"/>
  <c r="F271" i="90"/>
  <c r="F256" i="90"/>
  <c r="F261" i="90"/>
  <c r="BD133" i="84"/>
  <c r="AE133" i="84"/>
  <c r="BP133" i="84"/>
  <c r="BU133" i="84"/>
  <c r="AP133" i="84"/>
  <c r="BE133" i="84"/>
  <c r="AF133" i="84"/>
  <c r="BT133" i="84"/>
  <c r="AJ133" i="84"/>
  <c r="AD133" i="84"/>
  <c r="BQ133" i="84"/>
  <c r="BF133" i="84"/>
  <c r="AQ133" i="84"/>
  <c r="BJ133" i="84"/>
  <c r="AK133" i="84"/>
  <c r="BK133" i="84"/>
  <c r="BL133" i="84"/>
  <c r="AR133" i="84"/>
  <c r="AL133" i="84"/>
  <c r="BR133" i="84"/>
  <c r="AX133" i="84"/>
  <c r="X133" i="84"/>
  <c r="AY133" i="84"/>
  <c r="Y133" i="84"/>
  <c r="AZ133" i="84"/>
  <c r="Z133" i="84"/>
  <c r="AZ36" i="84"/>
  <c r="AD36" i="84"/>
  <c r="BA36" i="84"/>
  <c r="AI36" i="84"/>
  <c r="AH36" i="84"/>
  <c r="AV36" i="84"/>
  <c r="AF36" i="84"/>
  <c r="AE36" i="84"/>
  <c r="BD36" i="84"/>
  <c r="BE36" i="84"/>
  <c r="AT36" i="84"/>
  <c r="AX36" i="84"/>
  <c r="AS36" i="84"/>
  <c r="AJ36" i="84"/>
  <c r="BB36" i="84"/>
  <c r="AR36" i="84"/>
  <c r="AW36" i="84"/>
  <c r="BD57" i="84"/>
  <c r="AZ57" i="84"/>
  <c r="AR57" i="84"/>
  <c r="AH57" i="84"/>
  <c r="AV57" i="84"/>
  <c r="AD57" i="84"/>
  <c r="AE57" i="84"/>
  <c r="BE57" i="84"/>
  <c r="AS57" i="84"/>
  <c r="BA57" i="84"/>
  <c r="AI57" i="84"/>
  <c r="AW57" i="84"/>
  <c r="AF57" i="84"/>
  <c r="BB57" i="84"/>
  <c r="AX57" i="84"/>
  <c r="AJ57" i="84"/>
  <c r="AT57" i="84"/>
  <c r="BG73" i="84"/>
  <c r="BH73" i="84"/>
  <c r="BE73" i="84"/>
  <c r="AD73" i="84"/>
  <c r="BE78" i="84"/>
  <c r="AD78" i="84"/>
  <c r="AP78" i="84"/>
  <c r="BT78" i="84"/>
  <c r="BD73" i="84"/>
  <c r="BP78" i="84"/>
  <c r="BI73" i="84"/>
  <c r="AJ78" i="84"/>
  <c r="BU78" i="84"/>
  <c r="BF78" i="84"/>
  <c r="AQ73" i="84"/>
  <c r="AP73" i="84"/>
  <c r="BQ78" i="84"/>
  <c r="AQ78" i="84"/>
  <c r="BQ73" i="84"/>
  <c r="AE73" i="84"/>
  <c r="BJ78" i="84"/>
  <c r="BP73" i="84"/>
  <c r="AK73" i="84"/>
  <c r="BK78" i="84"/>
  <c r="AJ73" i="84"/>
  <c r="BF73" i="84"/>
  <c r="AK78" i="84"/>
  <c r="BK73" i="84"/>
  <c r="BJ73" i="84"/>
  <c r="AE78" i="84"/>
  <c r="BL78" i="84"/>
  <c r="AR78" i="84"/>
  <c r="AL78" i="84"/>
  <c r="BR73" i="84"/>
  <c r="AR73" i="84"/>
  <c r="AL73" i="84"/>
  <c r="AF73" i="84"/>
  <c r="BR78" i="84"/>
  <c r="BL73" i="84"/>
  <c r="AF78" i="84"/>
  <c r="AX78" i="84"/>
  <c r="AX73" i="84"/>
  <c r="X78" i="84"/>
  <c r="X73" i="84"/>
  <c r="Y78" i="84"/>
  <c r="Y73" i="84"/>
  <c r="AY78" i="84"/>
  <c r="AY73" i="84"/>
  <c r="AZ78" i="84"/>
  <c r="AZ73" i="84"/>
  <c r="Z78" i="84"/>
  <c r="AY10" i="84"/>
  <c r="AN10" i="84"/>
  <c r="AL10" i="84"/>
  <c r="W10" i="84"/>
  <c r="V10" i="84"/>
  <c r="BD10" i="84"/>
  <c r="AZ10" i="84"/>
  <c r="AH10" i="84"/>
  <c r="AE10" i="84"/>
  <c r="AD10" i="84"/>
  <c r="AM10" i="84"/>
  <c r="X10" i="84"/>
  <c r="AR10" i="84"/>
  <c r="BA10" i="84"/>
  <c r="AV10" i="84"/>
  <c r="AW10" i="84"/>
  <c r="AO10" i="84"/>
  <c r="BE10" i="84"/>
  <c r="AF10" i="84"/>
  <c r="AI10" i="84"/>
  <c r="AS10" i="84"/>
  <c r="AT10" i="84"/>
  <c r="AX10" i="84"/>
  <c r="AP10" i="84"/>
  <c r="BB10" i="84"/>
  <c r="AJ10" i="84"/>
  <c r="R166" i="84"/>
  <c r="O64" i="85"/>
  <c r="S66" i="85"/>
  <c r="P64" i="85"/>
  <c r="R64" i="85"/>
  <c r="S64" i="85"/>
  <c r="H65" i="85"/>
  <c r="I65" i="85"/>
  <c r="J65" i="85"/>
  <c r="P65" i="85"/>
  <c r="K65" i="85"/>
  <c r="G64" i="85"/>
  <c r="L65" i="85"/>
  <c r="M65" i="85"/>
  <c r="R66" i="85"/>
  <c r="N65" i="85"/>
  <c r="R65" i="85"/>
  <c r="S65" i="85"/>
  <c r="P66" i="85"/>
  <c r="BA45" i="85"/>
  <c r="BB45" i="85"/>
  <c r="AK45" i="85"/>
  <c r="AO45" i="85"/>
  <c r="Y45" i="85"/>
  <c r="AG45" i="85"/>
  <c r="AW45" i="85"/>
  <c r="AS45" i="85"/>
  <c r="AC45" i="85"/>
  <c r="AL45" i="85"/>
  <c r="Z45" i="85"/>
  <c r="AX45" i="85"/>
  <c r="AH45" i="85"/>
  <c r="AP45" i="85"/>
  <c r="AD45" i="85"/>
  <c r="AT45" i="85"/>
  <c r="AM45" i="85"/>
  <c r="AQ45" i="85"/>
  <c r="AI45" i="85"/>
  <c r="AU45" i="85"/>
  <c r="AE45" i="85"/>
  <c r="AA45" i="85"/>
  <c r="AY45" i="85"/>
  <c r="J49" i="85"/>
  <c r="K49" i="85"/>
  <c r="L49" i="85"/>
  <c r="M49" i="85"/>
  <c r="N49" i="85"/>
  <c r="P49" i="85"/>
  <c r="R49" i="85"/>
  <c r="S49" i="85"/>
  <c r="P48" i="85"/>
  <c r="P50" i="85"/>
  <c r="H49" i="85"/>
  <c r="G48" i="85"/>
  <c r="R50" i="85"/>
  <c r="O48" i="85"/>
  <c r="S50" i="85"/>
  <c r="R48" i="85"/>
  <c r="S48" i="85"/>
  <c r="I49" i="85"/>
  <c r="D49" i="85"/>
  <c r="U45" i="85"/>
  <c r="V45" i="85"/>
  <c r="W45" i="85"/>
  <c r="S80" i="85"/>
  <c r="BA77" i="85"/>
  <c r="BB77" i="85"/>
  <c r="AO77" i="85"/>
  <c r="AK77" i="85"/>
  <c r="AC77" i="85"/>
  <c r="AS77" i="85"/>
  <c r="Y77" i="85"/>
  <c r="AW77" i="85"/>
  <c r="AG77" i="85"/>
  <c r="AX77" i="85"/>
  <c r="AD77" i="85"/>
  <c r="AL77" i="85"/>
  <c r="AP77" i="85"/>
  <c r="AT77" i="85"/>
  <c r="Z77" i="85"/>
  <c r="AH77" i="85"/>
  <c r="AA77" i="85"/>
  <c r="AY77" i="85"/>
  <c r="AM77" i="85"/>
  <c r="AI77" i="85"/>
  <c r="AU77" i="85"/>
  <c r="AE77" i="85"/>
  <c r="AQ77" i="85"/>
  <c r="D81" i="85"/>
  <c r="H81" i="85"/>
  <c r="I81" i="85"/>
  <c r="J81" i="85"/>
  <c r="K81" i="85"/>
  <c r="N81" i="85"/>
  <c r="L81" i="85"/>
  <c r="M81" i="85"/>
  <c r="P81" i="85"/>
  <c r="R81" i="85"/>
  <c r="S81" i="85"/>
  <c r="U77" i="85"/>
  <c r="V77" i="85"/>
  <c r="W77" i="85"/>
  <c r="BA103" i="85"/>
  <c r="AX103" i="85"/>
  <c r="AK103" i="85"/>
  <c r="AP103" i="85"/>
  <c r="AW103" i="85"/>
  <c r="AC103" i="85"/>
  <c r="AS103" i="85"/>
  <c r="Y103" i="85"/>
  <c r="AD103" i="85"/>
  <c r="AO103" i="85"/>
  <c r="BB103" i="85"/>
  <c r="AG103" i="85"/>
  <c r="AE103" i="85"/>
  <c r="AH103" i="85"/>
  <c r="AT103" i="85"/>
  <c r="Z103" i="85"/>
  <c r="AQ103" i="85"/>
  <c r="AL103" i="85"/>
  <c r="AY103" i="85"/>
  <c r="AM103" i="85"/>
  <c r="AU103" i="85"/>
  <c r="AI103" i="85"/>
  <c r="AA103" i="85"/>
  <c r="O106" i="85"/>
  <c r="S107" i="85"/>
  <c r="R107" i="85"/>
  <c r="P106" i="85"/>
  <c r="P108" i="85"/>
  <c r="R106" i="85"/>
  <c r="R108" i="85"/>
  <c r="S106" i="85"/>
  <c r="S108" i="85"/>
  <c r="D107" i="85"/>
  <c r="E107" i="85"/>
  <c r="F107" i="85"/>
  <c r="I260" i="101" s="1"/>
  <c r="M260" i="101" s="1"/>
  <c r="H107" i="85"/>
  <c r="I107" i="85"/>
  <c r="J107" i="85"/>
  <c r="G106" i="85"/>
  <c r="K107" i="85"/>
  <c r="L107" i="85"/>
  <c r="M107" i="85"/>
  <c r="N107" i="85"/>
  <c r="P107" i="85"/>
  <c r="U103" i="85"/>
  <c r="V103" i="85"/>
  <c r="W103" i="85"/>
  <c r="E266" i="101"/>
  <c r="BA129" i="85"/>
  <c r="AK129" i="85"/>
  <c r="AS129" i="85"/>
  <c r="AC129" i="85"/>
  <c r="AG129" i="85"/>
  <c r="Y129" i="85"/>
  <c r="AO129" i="85"/>
  <c r="BB129" i="85"/>
  <c r="AW129" i="85"/>
  <c r="Z129" i="85"/>
  <c r="AT129" i="85"/>
  <c r="AX129" i="85"/>
  <c r="AP129" i="85"/>
  <c r="AH129" i="85"/>
  <c r="AL129" i="85"/>
  <c r="AD129" i="85"/>
  <c r="AA129" i="85"/>
  <c r="AM129" i="85"/>
  <c r="AY129" i="85"/>
  <c r="AE129" i="85"/>
  <c r="AI129" i="85"/>
  <c r="AQ129" i="85"/>
  <c r="AU129" i="85"/>
  <c r="H133" i="85"/>
  <c r="I133" i="85"/>
  <c r="J133" i="85"/>
  <c r="K133" i="85"/>
  <c r="L133" i="85"/>
  <c r="M133" i="85"/>
  <c r="N133" i="85"/>
  <c r="P133" i="85"/>
  <c r="R133" i="85"/>
  <c r="S133" i="85"/>
  <c r="D133" i="85"/>
  <c r="U129" i="85"/>
  <c r="V129" i="85"/>
  <c r="W129" i="85"/>
  <c r="BB25" i="85"/>
  <c r="BA25" i="85"/>
  <c r="L91" i="96" s="1"/>
  <c r="Y25" i="85"/>
  <c r="L84" i="96" s="1"/>
  <c r="AW25" i="85"/>
  <c r="L90" i="96" s="1"/>
  <c r="AS25" i="85"/>
  <c r="L89" i="96" s="1"/>
  <c r="AO25" i="85"/>
  <c r="L88" i="96" s="1"/>
  <c r="AC25" i="85"/>
  <c r="L85" i="96" s="1"/>
  <c r="AK25" i="85"/>
  <c r="L87" i="96" s="1"/>
  <c r="AG25" i="85"/>
  <c r="L86" i="96" s="1"/>
  <c r="AP25" i="85"/>
  <c r="AD25" i="85"/>
  <c r="Z25" i="85"/>
  <c r="AH25" i="85"/>
  <c r="AX25" i="85"/>
  <c r="AL25" i="85"/>
  <c r="AT25" i="85"/>
  <c r="AA25" i="85"/>
  <c r="AQ25" i="85"/>
  <c r="AI25" i="85"/>
  <c r="AY25" i="85"/>
  <c r="AU25" i="85"/>
  <c r="AE25" i="85"/>
  <c r="AM25" i="85"/>
  <c r="I28" i="85"/>
  <c r="J28" i="85"/>
  <c r="K28" i="85"/>
  <c r="M28" i="85"/>
  <c r="N28" i="85"/>
  <c r="P28" i="85"/>
  <c r="R28" i="85"/>
  <c r="R27" i="85"/>
  <c r="S27" i="85"/>
  <c r="S28" i="85"/>
  <c r="P29" i="85"/>
  <c r="R29" i="85"/>
  <c r="S29" i="85"/>
  <c r="G27" i="85"/>
  <c r="O27" i="85"/>
  <c r="P27" i="85"/>
  <c r="L28" i="85"/>
  <c r="U25" i="85"/>
  <c r="L83" i="96" s="1"/>
  <c r="V25" i="85"/>
  <c r="W25" i="85"/>
  <c r="B62" i="85"/>
  <c r="E252" i="101" s="1"/>
  <c r="AO61" i="85"/>
  <c r="AP61" i="85"/>
  <c r="BA61" i="85"/>
  <c r="AC61" i="85"/>
  <c r="AG61" i="85"/>
  <c r="Y61" i="85"/>
  <c r="AD61" i="85"/>
  <c r="AS61" i="85"/>
  <c r="AW61" i="85"/>
  <c r="AQ61" i="85"/>
  <c r="AK61" i="85"/>
  <c r="AX61" i="85"/>
  <c r="BB61" i="85"/>
  <c r="AL61" i="85"/>
  <c r="AY61" i="85"/>
  <c r="AM61" i="85"/>
  <c r="AT61" i="85"/>
  <c r="AE61" i="85"/>
  <c r="Z61" i="85"/>
  <c r="AH61" i="85"/>
  <c r="AI61" i="85"/>
  <c r="AU61" i="85"/>
  <c r="AA61" i="85"/>
  <c r="D65" i="85"/>
  <c r="U61" i="85"/>
  <c r="V61" i="85"/>
  <c r="W61" i="85"/>
  <c r="E269" i="101"/>
  <c r="BA145" i="85"/>
  <c r="AT145" i="85"/>
  <c r="AP145" i="85"/>
  <c r="AO145" i="85"/>
  <c r="AU145" i="85"/>
  <c r="AS145" i="85"/>
  <c r="BB145" i="85"/>
  <c r="AG145" i="85"/>
  <c r="AD145" i="85"/>
  <c r="AK145" i="85"/>
  <c r="Y145" i="85"/>
  <c r="AQ145" i="85"/>
  <c r="Z145" i="85"/>
  <c r="AW145" i="85"/>
  <c r="AL145" i="85"/>
  <c r="AC145" i="85"/>
  <c r="AX145" i="85"/>
  <c r="AA145" i="85"/>
  <c r="AM145" i="85"/>
  <c r="AE145" i="85"/>
  <c r="AH145" i="85"/>
  <c r="AY145" i="85"/>
  <c r="AI145" i="85"/>
  <c r="H149" i="85"/>
  <c r="I149" i="85"/>
  <c r="J149" i="85"/>
  <c r="K149" i="85"/>
  <c r="L149" i="85"/>
  <c r="M149" i="85"/>
  <c r="N149" i="85"/>
  <c r="P149" i="85"/>
  <c r="R149" i="85"/>
  <c r="S149" i="85"/>
  <c r="D149" i="85"/>
  <c r="U145" i="85"/>
  <c r="V145" i="85"/>
  <c r="W145" i="85"/>
  <c r="AM113" i="87"/>
  <c r="Y113" i="87"/>
  <c r="BA113" i="87"/>
  <c r="BH113" i="87"/>
  <c r="AF113" i="87"/>
  <c r="BI113" i="87"/>
  <c r="BO113" i="87"/>
  <c r="AT113" i="87"/>
  <c r="Z113" i="87"/>
  <c r="AU113" i="87"/>
  <c r="AN113" i="87"/>
  <c r="BP113" i="87"/>
  <c r="AG113" i="87"/>
  <c r="Y15" i="87"/>
  <c r="BH15" i="87"/>
  <c r="AM10" i="87"/>
  <c r="AF10" i="87"/>
  <c r="BO10" i="87"/>
  <c r="AT10" i="87"/>
  <c r="AT15" i="87"/>
  <c r="BO15" i="87"/>
  <c r="BH10" i="87"/>
  <c r="BI10" i="87"/>
  <c r="Y10" i="87"/>
  <c r="AF15" i="87"/>
  <c r="BI15" i="87"/>
  <c r="AM15" i="87"/>
  <c r="AG10" i="87"/>
  <c r="AG15" i="87"/>
  <c r="AU10" i="87"/>
  <c r="AU15" i="87"/>
  <c r="Z10" i="87"/>
  <c r="AN10" i="87"/>
  <c r="BP10" i="87"/>
  <c r="Z15" i="87"/>
  <c r="AN15" i="87"/>
  <c r="BP15" i="87"/>
  <c r="BH35" i="87"/>
  <c r="Y35" i="87"/>
  <c r="AF35" i="87"/>
  <c r="AT35" i="87"/>
  <c r="AU35" i="87"/>
  <c r="AG35" i="87"/>
  <c r="BA35" i="87"/>
  <c r="BI35" i="87"/>
  <c r="AN35" i="87"/>
  <c r="Z35" i="87"/>
  <c r="AM35" i="87"/>
  <c r="BO35" i="87"/>
  <c r="BP35" i="87"/>
  <c r="AT72" i="87"/>
  <c r="BO72" i="87"/>
  <c r="Y72" i="87"/>
  <c r="BH72" i="87"/>
  <c r="AF72" i="87"/>
  <c r="AG72" i="87"/>
  <c r="Z72" i="87"/>
  <c r="AN72" i="87"/>
  <c r="AM72" i="87"/>
  <c r="AU72" i="87"/>
  <c r="BI72" i="87"/>
  <c r="BK72" i="87"/>
  <c r="H89" i="96" s="1"/>
  <c r="AQ72" i="87"/>
  <c r="AW72" i="87"/>
  <c r="AJ72" i="87"/>
  <c r="BL72" i="87"/>
  <c r="BP72" i="87"/>
  <c r="BS72" i="87"/>
  <c r="AB72" i="87"/>
  <c r="AP72" i="87"/>
  <c r="AI72" i="87"/>
  <c r="AC72" i="87"/>
  <c r="AX72" i="87"/>
  <c r="BR72" i="87"/>
  <c r="H90" i="96" s="1"/>
  <c r="BA55" i="87"/>
  <c r="AT55" i="87"/>
  <c r="BO55" i="87"/>
  <c r="AF55" i="87"/>
  <c r="AM55" i="87"/>
  <c r="Y55" i="87"/>
  <c r="BH55" i="87"/>
  <c r="P31" i="88"/>
  <c r="BH243" i="89"/>
  <c r="BO243" i="89"/>
  <c r="AT243" i="89"/>
  <c r="AO243" i="89"/>
  <c r="AM243" i="89"/>
  <c r="AV243" i="89"/>
  <c r="AN243" i="89"/>
  <c r="AF243" i="89"/>
  <c r="AU243" i="89"/>
  <c r="BI243" i="89"/>
  <c r="AG243" i="89"/>
  <c r="BQ243" i="89"/>
  <c r="BP243" i="89"/>
  <c r="AH243" i="89"/>
  <c r="BJ243" i="89"/>
  <c r="BA243" i="89"/>
  <c r="AM10" i="89"/>
  <c r="AT10" i="89"/>
  <c r="BO10" i="89"/>
  <c r="AF10" i="89"/>
  <c r="BH10" i="89"/>
  <c r="BP10" i="89"/>
  <c r="AU10" i="89"/>
  <c r="AN10" i="89"/>
  <c r="AO10" i="89"/>
  <c r="BJ10" i="89"/>
  <c r="AV10" i="89"/>
  <c r="AG10" i="89"/>
  <c r="BQ10" i="89"/>
  <c r="BI10" i="89"/>
  <c r="AH10" i="89"/>
  <c r="BA10" i="89"/>
  <c r="AF107" i="89"/>
  <c r="AM107" i="89"/>
  <c r="AN107" i="89"/>
  <c r="BH107" i="89"/>
  <c r="BI107" i="89"/>
  <c r="BO107" i="89"/>
  <c r="AH107" i="89"/>
  <c r="AG107" i="89"/>
  <c r="AT107" i="89"/>
  <c r="AO107" i="89"/>
  <c r="BP107" i="89"/>
  <c r="AV107" i="89"/>
  <c r="BQ107" i="89"/>
  <c r="BJ107" i="89"/>
  <c r="AU107" i="89"/>
  <c r="BA107" i="89"/>
  <c r="BO31" i="89"/>
  <c r="AM31" i="89"/>
  <c r="AF31" i="89"/>
  <c r="AU31" i="89"/>
  <c r="AG31" i="89"/>
  <c r="AV31" i="89"/>
  <c r="BI31" i="89"/>
  <c r="AT31" i="89"/>
  <c r="AN31" i="89"/>
  <c r="AH31" i="89"/>
  <c r="BP31" i="89"/>
  <c r="BH31" i="89"/>
  <c r="BQ31" i="89"/>
  <c r="BJ31" i="89"/>
  <c r="AO31" i="89"/>
  <c r="BH52" i="89"/>
  <c r="BO52" i="89"/>
  <c r="AG52" i="89"/>
  <c r="AN52" i="89"/>
  <c r="AV52" i="89"/>
  <c r="AF52" i="89"/>
  <c r="AM52" i="89"/>
  <c r="BP52" i="89"/>
  <c r="BI52" i="89"/>
  <c r="AU52" i="89"/>
  <c r="AT52" i="89"/>
  <c r="BQ52" i="89"/>
  <c r="AH52" i="89"/>
  <c r="BJ52" i="89"/>
  <c r="AO52" i="89"/>
  <c r="BA52" i="89"/>
  <c r="AM138" i="89"/>
  <c r="AF138" i="89"/>
  <c r="BI138" i="89"/>
  <c r="AO138" i="89"/>
  <c r="AT138" i="89"/>
  <c r="BH138" i="89"/>
  <c r="AN138" i="89"/>
  <c r="BO138" i="89"/>
  <c r="AU138" i="89"/>
  <c r="AV138" i="89"/>
  <c r="BQ138" i="89"/>
  <c r="BP138" i="89"/>
  <c r="BJ138" i="89"/>
  <c r="AH138" i="89"/>
  <c r="AG138" i="89"/>
  <c r="BH73" i="89"/>
  <c r="BO73" i="89"/>
  <c r="AM73" i="89"/>
  <c r="AF73" i="89"/>
  <c r="AT73" i="89"/>
  <c r="AU73" i="89"/>
  <c r="AV73" i="89"/>
  <c r="AN73" i="89"/>
  <c r="AH73" i="89"/>
  <c r="AG73" i="89"/>
  <c r="BQ73" i="89"/>
  <c r="AO73" i="89"/>
  <c r="BI73" i="89"/>
  <c r="BP73" i="89"/>
  <c r="BJ73" i="89"/>
  <c r="AM159" i="89"/>
  <c r="AT159" i="89"/>
  <c r="BO159" i="89"/>
  <c r="AF159" i="89"/>
  <c r="BI159" i="89"/>
  <c r="BH159" i="89"/>
  <c r="BP159" i="89"/>
  <c r="BJ159" i="89"/>
  <c r="BQ159" i="89"/>
  <c r="AN159" i="89"/>
  <c r="AG159" i="89"/>
  <c r="AU159" i="89"/>
  <c r="AV159" i="89"/>
  <c r="AO159" i="89"/>
  <c r="AH159" i="89"/>
  <c r="BO180" i="89"/>
  <c r="AT180" i="89"/>
  <c r="BH180" i="89"/>
  <c r="AM180" i="89"/>
  <c r="AU180" i="89"/>
  <c r="AF180" i="89"/>
  <c r="AG180" i="89"/>
  <c r="BP180" i="89"/>
  <c r="BI180" i="89"/>
  <c r="AN180" i="89"/>
  <c r="AO94" i="89"/>
  <c r="AF94" i="89"/>
  <c r="AV94" i="89"/>
  <c r="BH94" i="89"/>
  <c r="BO94" i="89"/>
  <c r="AG94" i="89"/>
  <c r="AM94" i="89"/>
  <c r="AT94" i="89"/>
  <c r="BI94" i="89"/>
  <c r="AH94" i="89"/>
  <c r="AN94" i="89"/>
  <c r="BP94" i="89"/>
  <c r="BQ94" i="89"/>
  <c r="BJ94" i="89"/>
  <c r="AU94" i="89"/>
  <c r="BA94" i="89"/>
  <c r="BH125" i="89"/>
  <c r="BQ125" i="89"/>
  <c r="BO125" i="89"/>
  <c r="AF125" i="89"/>
  <c r="AV125" i="89"/>
  <c r="AT125" i="89"/>
  <c r="BJ125" i="89"/>
  <c r="BP125" i="89"/>
  <c r="BI125" i="89"/>
  <c r="AM125" i="89"/>
  <c r="AO125" i="89"/>
  <c r="AU125" i="89"/>
  <c r="AH125" i="89"/>
  <c r="AG125" i="89"/>
  <c r="AN125" i="89"/>
  <c r="BA125" i="89"/>
  <c r="F245" i="90"/>
  <c r="F250" i="90"/>
  <c r="F240" i="90"/>
  <c r="F235" i="90"/>
  <c r="M128" i="90"/>
  <c r="N128" i="90"/>
  <c r="F209" i="90"/>
  <c r="F219" i="90"/>
  <c r="F224" i="90"/>
  <c r="F203" i="90"/>
  <c r="F214" i="90"/>
  <c r="F229" i="90"/>
  <c r="H110" i="90"/>
  <c r="I110" i="90"/>
  <c r="J110" i="90"/>
  <c r="G109" i="90"/>
  <c r="H109" i="90"/>
  <c r="I109" i="90"/>
  <c r="J109" i="90"/>
  <c r="R256" i="84"/>
  <c r="H256" i="84" s="1"/>
  <c r="I241" i="101" s="1"/>
  <c r="M241" i="101" s="1"/>
  <c r="R251" i="84"/>
  <c r="R191" i="84"/>
  <c r="R246" i="84"/>
  <c r="H246" i="84" s="1"/>
  <c r="I239" i="101" s="1"/>
  <c r="M239" i="101" s="1"/>
  <c r="R171" i="84"/>
  <c r="R181" i="84" s="1"/>
  <c r="R186" i="84" s="1"/>
  <c r="H186" i="84" s="1"/>
  <c r="I236" i="101" s="1"/>
  <c r="M236" i="101" s="1"/>
  <c r="R146" i="84"/>
  <c r="H146" i="84" s="1"/>
  <c r="R151" i="84"/>
  <c r="H151" i="84" s="1"/>
  <c r="R156" i="84"/>
  <c r="H156" i="84" s="1"/>
  <c r="AM36" i="84"/>
  <c r="AO36" i="84"/>
  <c r="AP36" i="84"/>
  <c r="W36" i="84"/>
  <c r="X36" i="84"/>
  <c r="V36" i="84"/>
  <c r="AL36" i="84"/>
  <c r="AN36" i="84"/>
  <c r="W57" i="84"/>
  <c r="AM57" i="84"/>
  <c r="AO57" i="84"/>
  <c r="X57" i="84"/>
  <c r="AN57" i="84"/>
  <c r="AP57" i="84"/>
  <c r="V57" i="84"/>
  <c r="AL57" i="84"/>
  <c r="M13" i="84"/>
  <c r="N13" i="84"/>
  <c r="O13" i="84"/>
  <c r="P13" i="84"/>
  <c r="Q13" i="84"/>
  <c r="S13" i="84"/>
  <c r="T13" i="84"/>
  <c r="R300" i="87"/>
  <c r="R296" i="87"/>
  <c r="R292" i="87"/>
  <c r="R288" i="87"/>
  <c r="R343" i="87"/>
  <c r="R339" i="87"/>
  <c r="T73" i="87"/>
  <c r="R165" i="87"/>
  <c r="R169" i="87"/>
  <c r="R161" i="87"/>
  <c r="R256" i="89"/>
  <c r="F256" i="89" s="1"/>
  <c r="R273" i="89"/>
  <c r="R254" i="87"/>
  <c r="R269" i="89"/>
  <c r="R330" i="87"/>
  <c r="R250" i="87"/>
  <c r="R265" i="89"/>
  <c r="R326" i="87"/>
  <c r="R258" i="87"/>
  <c r="R367" i="89"/>
  <c r="R363" i="89"/>
  <c r="R350" i="89"/>
  <c r="R346" i="89"/>
  <c r="R371" i="89"/>
  <c r="R354" i="89"/>
  <c r="R337" i="89"/>
  <c r="R333" i="89"/>
  <c r="R294" i="89"/>
  <c r="R290" i="89"/>
  <c r="R286" i="89"/>
  <c r="R282" i="89"/>
  <c r="R316" i="89"/>
  <c r="R320" i="89"/>
  <c r="R324" i="89"/>
  <c r="H259" i="88"/>
  <c r="G259" i="88"/>
  <c r="F259" i="88"/>
  <c r="G255" i="88"/>
  <c r="F255" i="88"/>
  <c r="H255" i="88"/>
  <c r="G251" i="88"/>
  <c r="H251" i="88"/>
  <c r="F251" i="88"/>
  <c r="BA174" i="88"/>
  <c r="BB174" i="88" s="1"/>
  <c r="BB170" i="88" s="1"/>
  <c r="BA84" i="88"/>
  <c r="BB84" i="88" s="1"/>
  <c r="BA63" i="88"/>
  <c r="BB63" i="88" s="1"/>
  <c r="BA43" i="88"/>
  <c r="BB43" i="88" s="1"/>
  <c r="BA178" i="88"/>
  <c r="BB178" i="88" s="1"/>
  <c r="BA26" i="88"/>
  <c r="BB26" i="88" s="1"/>
  <c r="BA59" i="88"/>
  <c r="BB59" i="88" s="1"/>
  <c r="BA47" i="88"/>
  <c r="BB47" i="88" s="1"/>
  <c r="BA22" i="88"/>
  <c r="BB22" i="88" s="1"/>
  <c r="BA30" i="88"/>
  <c r="BB30" i="88" s="1"/>
  <c r="BA51" i="88"/>
  <c r="BB51" i="88" s="1"/>
  <c r="BA88" i="88"/>
  <c r="BB88" i="88" s="1"/>
  <c r="BA212" i="88"/>
  <c r="BB212" i="88" s="1"/>
  <c r="BA34" i="88"/>
  <c r="BB34" i="88" s="1"/>
  <c r="BA72" i="88"/>
  <c r="BB72" i="88" s="1"/>
  <c r="BA182" i="88"/>
  <c r="BB182" i="88" s="1"/>
  <c r="BA76" i="88"/>
  <c r="BB76" i="88" s="1"/>
  <c r="BA55" i="88"/>
  <c r="BB55" i="88" s="1"/>
  <c r="BA191" i="88"/>
  <c r="BB191" i="88" s="1"/>
  <c r="BA18" i="88"/>
  <c r="BB18" i="88" s="1"/>
  <c r="BA127" i="88"/>
  <c r="BB127" i="88" s="1"/>
  <c r="BA144" i="88"/>
  <c r="BB144" i="88" s="1"/>
  <c r="BA131" i="88"/>
  <c r="BB131" i="88" s="1"/>
  <c r="BA238" i="88"/>
  <c r="BB238" i="88" s="1"/>
  <c r="BA101" i="88"/>
  <c r="BB101" i="88" s="1"/>
  <c r="BB93" i="88" s="1"/>
  <c r="BB225" i="88"/>
  <c r="BA97" i="88"/>
  <c r="BB97" i="88" s="1"/>
  <c r="BA140" i="88"/>
  <c r="BB140" i="88" s="1"/>
  <c r="BA195" i="88"/>
  <c r="BB195" i="88" s="1"/>
  <c r="BA80" i="88"/>
  <c r="BB80" i="88" s="1"/>
  <c r="BA242" i="88"/>
  <c r="BB242" i="88" s="1"/>
  <c r="BA105" i="88"/>
  <c r="BB105" i="88" s="1"/>
  <c r="BA148" i="88"/>
  <c r="BB148" i="88" s="1"/>
  <c r="BB136" i="88" s="1"/>
  <c r="BA157" i="88"/>
  <c r="BB157" i="88" s="1"/>
  <c r="BA199" i="88"/>
  <c r="BB199" i="88" s="1"/>
  <c r="BA216" i="88"/>
  <c r="BB216" i="88" s="1"/>
  <c r="BA114" i="88"/>
  <c r="BB114" i="88" s="1"/>
  <c r="BA161" i="88"/>
  <c r="BB161" i="88" s="1"/>
  <c r="BA208" i="88"/>
  <c r="BB208" i="88" s="1"/>
  <c r="BA234" i="88"/>
  <c r="BB234" i="88" s="1"/>
  <c r="BA14" i="88"/>
  <c r="BB14" i="88" s="1"/>
  <c r="BB10" i="88" s="1"/>
  <c r="BA220" i="88"/>
  <c r="BB220" i="88" s="1"/>
  <c r="BA165" i="88"/>
  <c r="BB165" i="88" s="1"/>
  <c r="BA118" i="88"/>
  <c r="BB118" i="88" s="1"/>
  <c r="H338" i="89"/>
  <c r="H339" i="89"/>
  <c r="H275" i="89"/>
  <c r="K64" i="101" s="1"/>
  <c r="O64" i="101" s="1"/>
  <c r="H372" i="89"/>
  <c r="H295" i="89"/>
  <c r="H373" i="89"/>
  <c r="H274" i="89"/>
  <c r="I64" i="101" s="1"/>
  <c r="M64" i="101" s="1"/>
  <c r="H296" i="89"/>
  <c r="H355" i="89"/>
  <c r="I83" i="101" s="1"/>
  <c r="M83" i="101" s="1"/>
  <c r="H356" i="89"/>
  <c r="K83" i="101" s="1"/>
  <c r="O83" i="101" s="1"/>
  <c r="H307" i="89"/>
  <c r="H299" i="89" s="1"/>
  <c r="H308" i="89"/>
  <c r="H300" i="89" s="1"/>
  <c r="H309" i="89"/>
  <c r="H301" i="89" s="1"/>
  <c r="H326" i="89"/>
  <c r="K76" i="101" s="1"/>
  <c r="O76" i="101" s="1"/>
  <c r="H325" i="89"/>
  <c r="I76" i="101" s="1"/>
  <c r="M76" i="101" s="1"/>
  <c r="AC239" i="95"/>
  <c r="AD239" i="95" s="1"/>
  <c r="AC227" i="95"/>
  <c r="AD227" i="95" s="1"/>
  <c r="AC157" i="95"/>
  <c r="AC164" i="95"/>
  <c r="AC213" i="95"/>
  <c r="AC223" i="95"/>
  <c r="AC219" i="95"/>
  <c r="AC216" i="95"/>
  <c r="AC184" i="95"/>
  <c r="H141" i="91"/>
  <c r="H301" i="87"/>
  <c r="H302" i="87"/>
  <c r="AC180" i="95"/>
  <c r="H142" i="91"/>
  <c r="AC170" i="95"/>
  <c r="H143" i="91"/>
  <c r="H241" i="87"/>
  <c r="H260" i="87"/>
  <c r="H213" i="87"/>
  <c r="H197" i="87" s="1"/>
  <c r="H259" i="87"/>
  <c r="H212" i="87"/>
  <c r="H196" i="87" s="1"/>
  <c r="H279" i="87"/>
  <c r="H211" i="87"/>
  <c r="H280" i="87"/>
  <c r="I206" i="101" s="1"/>
  <c r="M206" i="101" s="1"/>
  <c r="H226" i="87"/>
  <c r="H218" i="87" s="1"/>
  <c r="H281" i="87"/>
  <c r="K206" i="101" s="1"/>
  <c r="O206" i="101" s="1"/>
  <c r="H192" i="87"/>
  <c r="H225" i="87"/>
  <c r="H217" i="87" s="1"/>
  <c r="H331" i="87"/>
  <c r="H170" i="87"/>
  <c r="I180" i="101" s="1"/>
  <c r="M180" i="101" s="1"/>
  <c r="H191" i="87"/>
  <c r="H224" i="87"/>
  <c r="H332" i="87"/>
  <c r="H171" i="87"/>
  <c r="K180" i="101" s="1"/>
  <c r="O180" i="101" s="1"/>
  <c r="H190" i="87"/>
  <c r="H242" i="87"/>
  <c r="H230" i="87" s="1"/>
  <c r="H344" i="87"/>
  <c r="H336" i="87" s="1"/>
  <c r="H345" i="87"/>
  <c r="H337" i="87" s="1"/>
  <c r="H243" i="87"/>
  <c r="H231" i="87" s="1"/>
  <c r="H318" i="87"/>
  <c r="H319" i="87"/>
  <c r="H317" i="87"/>
  <c r="H215" i="101" s="1"/>
  <c r="AC233" i="95"/>
  <c r="AD233" i="95" s="1"/>
  <c r="AC188" i="95"/>
  <c r="AC196" i="95"/>
  <c r="AC160" i="95"/>
  <c r="AC175" i="95"/>
  <c r="AC209" i="95"/>
  <c r="AC193" i="95"/>
  <c r="AC167" i="95"/>
  <c r="AC200" i="95"/>
  <c r="AC205" i="95"/>
  <c r="I246" i="89"/>
  <c r="K246" i="89"/>
  <c r="N246" i="89"/>
  <c r="Q246" i="89"/>
  <c r="I244" i="89"/>
  <c r="T244" i="89"/>
  <c r="I245" i="89"/>
  <c r="C243" i="89"/>
  <c r="V245" i="89"/>
  <c r="V246" i="89"/>
  <c r="W245" i="89"/>
  <c r="W246" i="89"/>
  <c r="F245" i="89"/>
  <c r="J245" i="89"/>
  <c r="J246" i="89"/>
  <c r="K244" i="89"/>
  <c r="K245" i="89"/>
  <c r="L244" i="89"/>
  <c r="L245" i="89"/>
  <c r="O244" i="89"/>
  <c r="O245" i="89"/>
  <c r="O246" i="89"/>
  <c r="P245" i="89"/>
  <c r="P246" i="89"/>
  <c r="R245" i="89"/>
  <c r="R246" i="89"/>
  <c r="S244" i="89"/>
  <c r="S245" i="89"/>
  <c r="S246" i="89"/>
  <c r="T245" i="89"/>
  <c r="T246" i="89"/>
  <c r="J244" i="89"/>
  <c r="N244" i="89"/>
  <c r="P244" i="89"/>
  <c r="Q244" i="89"/>
  <c r="V244" i="89"/>
  <c r="W244" i="89"/>
  <c r="N245" i="89"/>
  <c r="Q245" i="89"/>
  <c r="F302" i="89"/>
  <c r="F197" i="84"/>
  <c r="H251" i="84"/>
  <c r="I240" i="101" s="1"/>
  <c r="M240" i="101" s="1"/>
  <c r="H191" i="84"/>
  <c r="I237" i="101" s="1"/>
  <c r="M237" i="101" s="1"/>
  <c r="K39" i="84"/>
  <c r="L39" i="84"/>
  <c r="M39" i="84"/>
  <c r="N39" i="84"/>
  <c r="O39" i="84"/>
  <c r="Q39" i="84"/>
  <c r="S39" i="84"/>
  <c r="T39" i="84"/>
  <c r="Q182" i="84"/>
  <c r="Q187" i="84" s="1"/>
  <c r="S60" i="84"/>
  <c r="T60" i="84"/>
  <c r="K60" i="84"/>
  <c r="Q60" i="84"/>
  <c r="L60" i="84"/>
  <c r="M60" i="84"/>
  <c r="N60" i="84"/>
  <c r="O60" i="84"/>
  <c r="P60" i="84"/>
  <c r="G101" i="84"/>
  <c r="R101" i="84" s="1"/>
  <c r="G197" i="84"/>
  <c r="R197" i="84" s="1"/>
  <c r="N140" i="84"/>
  <c r="L10" i="85"/>
  <c r="L153" i="85" s="1"/>
  <c r="I261" i="84"/>
  <c r="G261" i="84" s="1"/>
  <c r="G161" i="84"/>
  <c r="H166" i="84"/>
  <c r="Q185" i="84"/>
  <c r="Q181" i="84"/>
  <c r="L76" i="84"/>
  <c r="M76" i="84"/>
  <c r="O76" i="84"/>
  <c r="P76" i="84"/>
  <c r="S76" i="84"/>
  <c r="J76" i="84"/>
  <c r="N76" i="84"/>
  <c r="K76" i="84"/>
  <c r="T76" i="84"/>
  <c r="C180" i="89"/>
  <c r="E42" i="101" s="1"/>
  <c r="G302" i="89"/>
  <c r="F306" i="89"/>
  <c r="G306" i="89"/>
  <c r="H306" i="89"/>
  <c r="H302" i="89"/>
  <c r="Y138" i="89"/>
  <c r="Z138" i="89"/>
  <c r="E38" i="101"/>
  <c r="Z159" i="89"/>
  <c r="Y159" i="89"/>
  <c r="E58" i="101"/>
  <c r="Z243" i="89"/>
  <c r="Y243" i="89"/>
  <c r="AA243" i="89"/>
  <c r="E43" i="101"/>
  <c r="Y180" i="89"/>
  <c r="E318" i="101"/>
  <c r="E322" i="101"/>
  <c r="F131" i="90"/>
  <c r="G10" i="90"/>
  <c r="H10" i="90"/>
  <c r="I10" i="90"/>
  <c r="J10" i="90"/>
  <c r="H11" i="90"/>
  <c r="I11" i="90"/>
  <c r="J11" i="90"/>
  <c r="H12" i="90"/>
  <c r="I12" i="90"/>
  <c r="J12" i="90"/>
  <c r="F76" i="84"/>
  <c r="G49" i="84"/>
  <c r="I70" i="84"/>
  <c r="G65" i="84"/>
  <c r="R65" i="84" s="1"/>
  <c r="J70" i="84"/>
  <c r="F70" i="84" s="1"/>
  <c r="F65" i="84"/>
  <c r="F17" i="84"/>
  <c r="G23" i="84"/>
  <c r="G28" i="84"/>
  <c r="F13" i="84"/>
  <c r="G18" i="84"/>
  <c r="AA43" i="89"/>
  <c r="AA102" i="89"/>
  <c r="AA47" i="89"/>
  <c r="Z184" i="89"/>
  <c r="AA14" i="89"/>
  <c r="Z188" i="89"/>
  <c r="BJ191" i="88"/>
  <c r="AO191" i="88"/>
  <c r="AV191" i="88"/>
  <c r="BQ191" i="88"/>
  <c r="AH191" i="88"/>
  <c r="AA191" i="88"/>
  <c r="BC191" i="88"/>
  <c r="AA18" i="89"/>
  <c r="AA115" i="89"/>
  <c r="Z192" i="89"/>
  <c r="BJ195" i="88"/>
  <c r="BQ195" i="88"/>
  <c r="AA195" i="88"/>
  <c r="AH195" i="88"/>
  <c r="AO195" i="88"/>
  <c r="AV195" i="88"/>
  <c r="AA22" i="89"/>
  <c r="AA142" i="89"/>
  <c r="Z196" i="89"/>
  <c r="BJ199" i="88"/>
  <c r="AA199" i="88"/>
  <c r="AO199" i="88"/>
  <c r="AV199" i="88"/>
  <c r="AH199" i="88"/>
  <c r="BQ199" i="88"/>
  <c r="BC199" i="88"/>
  <c r="AA26" i="89"/>
  <c r="AA146" i="89"/>
  <c r="Z209" i="89"/>
  <c r="Z205" i="89"/>
  <c r="AA208" i="88"/>
  <c r="BJ208" i="88"/>
  <c r="BQ208" i="88"/>
  <c r="AH208" i="88"/>
  <c r="AV208" i="88"/>
  <c r="AO208" i="88"/>
  <c r="BC208" i="88"/>
  <c r="AA77" i="89"/>
  <c r="AA150" i="89"/>
  <c r="Z132" i="95"/>
  <c r="BJ212" i="88"/>
  <c r="AH212" i="88"/>
  <c r="AV212" i="88"/>
  <c r="AO212" i="88"/>
  <c r="AA212" i="88"/>
  <c r="BQ212" i="88"/>
  <c r="BC212" i="88"/>
  <c r="AA81" i="89"/>
  <c r="AA154" i="89"/>
  <c r="Z135" i="95"/>
  <c r="BJ216" i="88"/>
  <c r="AA216" i="88"/>
  <c r="AV216" i="88"/>
  <c r="AH216" i="88"/>
  <c r="AO216" i="88"/>
  <c r="BQ216" i="88"/>
  <c r="BC216" i="88"/>
  <c r="AA85" i="89"/>
  <c r="AA163" i="89"/>
  <c r="Z136" i="95"/>
  <c r="BJ220" i="88"/>
  <c r="AO220" i="88"/>
  <c r="AA220" i="88"/>
  <c r="AV220" i="88"/>
  <c r="AH220" i="88"/>
  <c r="BQ220" i="88"/>
  <c r="AA89" i="89"/>
  <c r="AA167" i="89"/>
  <c r="Z138" i="95"/>
  <c r="BJ225" i="88"/>
  <c r="AV225" i="88"/>
  <c r="AA225" i="88"/>
  <c r="AH225" i="88"/>
  <c r="BQ225" i="88"/>
  <c r="AO225" i="88"/>
  <c r="BC225" i="88"/>
  <c r="AA56" i="89"/>
  <c r="AA171" i="89"/>
  <c r="BJ178" i="88"/>
  <c r="AV178" i="88"/>
  <c r="AA178" i="88"/>
  <c r="AO178" i="88"/>
  <c r="BQ178" i="88"/>
  <c r="AH178" i="88"/>
  <c r="BC178" i="88"/>
  <c r="AA60" i="89"/>
  <c r="AA175" i="89"/>
  <c r="BJ182" i="88"/>
  <c r="AA182" i="88"/>
  <c r="AV182" i="88"/>
  <c r="AH182" i="88"/>
  <c r="AO182" i="88"/>
  <c r="BQ182" i="88"/>
  <c r="BC182" i="88"/>
  <c r="AA64" i="89"/>
  <c r="AA120" i="89"/>
  <c r="AA68" i="89"/>
  <c r="AA129" i="89"/>
  <c r="AA35" i="89"/>
  <c r="AA133" i="89"/>
  <c r="AA39" i="89"/>
  <c r="AA98" i="89"/>
  <c r="E23" i="101"/>
  <c r="Y94" i="89"/>
  <c r="Z94" i="89"/>
  <c r="E30" i="101"/>
  <c r="Z125" i="89"/>
  <c r="Y125" i="89"/>
  <c r="E3" i="101"/>
  <c r="Y10" i="89"/>
  <c r="Z10" i="89"/>
  <c r="E8" i="101"/>
  <c r="Y31" i="89"/>
  <c r="Z31" i="89"/>
  <c r="Y52" i="89"/>
  <c r="Z52" i="89"/>
  <c r="E26" i="101"/>
  <c r="Z107" i="89"/>
  <c r="Y107" i="89"/>
  <c r="AA107" i="89"/>
  <c r="E18" i="101"/>
  <c r="Y73" i="89"/>
  <c r="Z73" i="89"/>
  <c r="E141" i="101"/>
  <c r="AG230" i="88"/>
  <c r="AT230" i="88"/>
  <c r="AU230" i="88"/>
  <c r="Z230" i="88"/>
  <c r="BH230" i="88"/>
  <c r="BP230" i="88"/>
  <c r="AM230" i="88"/>
  <c r="Y230" i="88"/>
  <c r="AF230" i="88"/>
  <c r="BO230" i="88"/>
  <c r="AN230" i="88"/>
  <c r="BI230" i="88"/>
  <c r="E103" i="101"/>
  <c r="AT68" i="88"/>
  <c r="Y68" i="88"/>
  <c r="AF68" i="88"/>
  <c r="BH68" i="88"/>
  <c r="AM68" i="88"/>
  <c r="BO68" i="88"/>
  <c r="AN68" i="88"/>
  <c r="BP68" i="88"/>
  <c r="AU68" i="88"/>
  <c r="AG68" i="88"/>
  <c r="BI68" i="88"/>
  <c r="Z68" i="88"/>
  <c r="AF110" i="88"/>
  <c r="AN110" i="88"/>
  <c r="AM110" i="88"/>
  <c r="Y110" i="88"/>
  <c r="BO110" i="88"/>
  <c r="AU110" i="88"/>
  <c r="BP110" i="88"/>
  <c r="AT110" i="88"/>
  <c r="AG110" i="88"/>
  <c r="Z110" i="88"/>
  <c r="BH110" i="88"/>
  <c r="BA110" i="88"/>
  <c r="BI110" i="88"/>
  <c r="BB110" i="88"/>
  <c r="E135" i="101"/>
  <c r="AU204" i="88"/>
  <c r="AM204" i="88"/>
  <c r="BO204" i="88"/>
  <c r="AT204" i="88"/>
  <c r="AF204" i="88"/>
  <c r="BH204" i="88"/>
  <c r="AG204" i="88"/>
  <c r="Y204" i="88"/>
  <c r="BP204" i="88"/>
  <c r="AN204" i="88"/>
  <c r="BI204" i="88"/>
  <c r="Z204" i="88"/>
  <c r="E127" i="101"/>
  <c r="Z170" i="88"/>
  <c r="AM170" i="88"/>
  <c r="Y170" i="88"/>
  <c r="AT170" i="88"/>
  <c r="BH170" i="88"/>
  <c r="AU170" i="88"/>
  <c r="AG170" i="88"/>
  <c r="AF170" i="88"/>
  <c r="BP170" i="88"/>
  <c r="BO170" i="88"/>
  <c r="BA170" i="88"/>
  <c r="BI170" i="88"/>
  <c r="AN170" i="88"/>
  <c r="E119" i="101"/>
  <c r="BH136" i="88"/>
  <c r="AT136" i="88"/>
  <c r="AM136" i="88"/>
  <c r="BP136" i="88"/>
  <c r="Y136" i="88"/>
  <c r="AF136" i="88"/>
  <c r="AG136" i="88"/>
  <c r="BO136" i="88"/>
  <c r="Z136" i="88"/>
  <c r="AU136" i="88"/>
  <c r="AN136" i="88"/>
  <c r="BI136" i="88"/>
  <c r="E89" i="101"/>
  <c r="AT10" i="88"/>
  <c r="AF10" i="88"/>
  <c r="AN10" i="88"/>
  <c r="BH10" i="88"/>
  <c r="AM10" i="88"/>
  <c r="Y10" i="88"/>
  <c r="BO10" i="88"/>
  <c r="Z10" i="88"/>
  <c r="BI10" i="88"/>
  <c r="AU10" i="88"/>
  <c r="BP10" i="88"/>
  <c r="AG10" i="88"/>
  <c r="E109" i="101"/>
  <c r="AT93" i="88"/>
  <c r="BH93" i="88"/>
  <c r="BO93" i="88"/>
  <c r="AU93" i="88"/>
  <c r="Y93" i="88"/>
  <c r="AM93" i="88"/>
  <c r="AG93" i="88"/>
  <c r="AF93" i="88"/>
  <c r="Z93" i="88"/>
  <c r="BP93" i="88"/>
  <c r="BI93" i="88"/>
  <c r="AN93" i="88"/>
  <c r="E131" i="101"/>
  <c r="BH187" i="88"/>
  <c r="AG187" i="88"/>
  <c r="AT187" i="88"/>
  <c r="Z187" i="88"/>
  <c r="AF187" i="88"/>
  <c r="Y187" i="88"/>
  <c r="BP187" i="88"/>
  <c r="AM187" i="88"/>
  <c r="BO187" i="88"/>
  <c r="AU187" i="88"/>
  <c r="AN187" i="88"/>
  <c r="BI187" i="88"/>
  <c r="E96" i="101"/>
  <c r="AT39" i="88"/>
  <c r="Y39" i="88"/>
  <c r="BO39" i="88"/>
  <c r="AM39" i="88"/>
  <c r="AG39" i="88"/>
  <c r="BH39" i="88"/>
  <c r="Z39" i="88"/>
  <c r="BP39" i="88"/>
  <c r="AF39" i="88"/>
  <c r="BA39" i="88"/>
  <c r="BI39" i="88"/>
  <c r="AN39" i="88"/>
  <c r="AU39" i="88"/>
  <c r="BB39" i="88"/>
  <c r="E116" i="101"/>
  <c r="AM123" i="88"/>
  <c r="AF123" i="88"/>
  <c r="BO123" i="88"/>
  <c r="BP123" i="88"/>
  <c r="BH123" i="88"/>
  <c r="AU123" i="88"/>
  <c r="AT123" i="88"/>
  <c r="AG123" i="88"/>
  <c r="Y123" i="88"/>
  <c r="Z123" i="88"/>
  <c r="AN123" i="88"/>
  <c r="BI123" i="88"/>
  <c r="BA123" i="88"/>
  <c r="BB123" i="88"/>
  <c r="AG153" i="88"/>
  <c r="Z153" i="88"/>
  <c r="BH153" i="88"/>
  <c r="AT153" i="88"/>
  <c r="AF153" i="88"/>
  <c r="BO153" i="88"/>
  <c r="Y153" i="88"/>
  <c r="AM153" i="88"/>
  <c r="BI153" i="88"/>
  <c r="BP153" i="88"/>
  <c r="BA153" i="88"/>
  <c r="AU153" i="88"/>
  <c r="AN153" i="88"/>
  <c r="BB153" i="88"/>
  <c r="AH161" i="88"/>
  <c r="AA161" i="88"/>
  <c r="BJ161" i="88"/>
  <c r="BQ161" i="88"/>
  <c r="AV161" i="88"/>
  <c r="AO161" i="88"/>
  <c r="BC161" i="88"/>
  <c r="BQ165" i="88"/>
  <c r="BJ165" i="88"/>
  <c r="AA165" i="88"/>
  <c r="AH165" i="88"/>
  <c r="AV165" i="88"/>
  <c r="AO165" i="88"/>
  <c r="BC165" i="88"/>
  <c r="AA174" i="88"/>
  <c r="BQ174" i="88"/>
  <c r="AO174" i="88"/>
  <c r="AV174" i="88"/>
  <c r="BJ174" i="88"/>
  <c r="AH174" i="88"/>
  <c r="AA118" i="88"/>
  <c r="AV118" i="88"/>
  <c r="BQ118" i="88"/>
  <c r="AH118" i="88"/>
  <c r="AO118" i="88"/>
  <c r="BJ118" i="88"/>
  <c r="BC118" i="88"/>
  <c r="BQ127" i="88"/>
  <c r="AO127" i="88"/>
  <c r="BJ127" i="88"/>
  <c r="AA127" i="88"/>
  <c r="AH127" i="88"/>
  <c r="AV127" i="88"/>
  <c r="BC127" i="88"/>
  <c r="AO131" i="88"/>
  <c r="AV131" i="88"/>
  <c r="BQ131" i="88"/>
  <c r="BJ131" i="88"/>
  <c r="AH131" i="88"/>
  <c r="AA131" i="88"/>
  <c r="BC131" i="88"/>
  <c r="AV140" i="88"/>
  <c r="AH140" i="88"/>
  <c r="AO140" i="88"/>
  <c r="BJ140" i="88"/>
  <c r="BQ140" i="88"/>
  <c r="AA140" i="88"/>
  <c r="BC140" i="88"/>
  <c r="AO144" i="88"/>
  <c r="BQ144" i="88"/>
  <c r="AH144" i="88"/>
  <c r="AA144" i="88"/>
  <c r="AV144" i="88"/>
  <c r="BJ144" i="88"/>
  <c r="BC144" i="88"/>
  <c r="AO148" i="88"/>
  <c r="AV148" i="88"/>
  <c r="BQ148" i="88"/>
  <c r="AH148" i="88"/>
  <c r="BJ148" i="88"/>
  <c r="AA148" i="88"/>
  <c r="BC148" i="88"/>
  <c r="BJ157" i="88"/>
  <c r="AH157" i="88"/>
  <c r="AO157" i="88"/>
  <c r="BQ157" i="88"/>
  <c r="AA157" i="88"/>
  <c r="AV157" i="88"/>
  <c r="BC157" i="88"/>
  <c r="BQ76" i="88"/>
  <c r="BJ76" i="88"/>
  <c r="AO76" i="88"/>
  <c r="AH76" i="88"/>
  <c r="AA76" i="88"/>
  <c r="AV76" i="88"/>
  <c r="AA80" i="88"/>
  <c r="AH80" i="88"/>
  <c r="AV80" i="88"/>
  <c r="BC80" i="88"/>
  <c r="BJ80" i="88"/>
  <c r="AO80" i="88"/>
  <c r="BQ80" i="88"/>
  <c r="AV84" i="88"/>
  <c r="BQ84" i="88"/>
  <c r="BJ84" i="88"/>
  <c r="AH84" i="88"/>
  <c r="AA84" i="88"/>
  <c r="AO84" i="88"/>
  <c r="BC84" i="88"/>
  <c r="AV88" i="88"/>
  <c r="BJ88" i="88"/>
  <c r="AH88" i="88"/>
  <c r="AO88" i="88"/>
  <c r="AA88" i="88"/>
  <c r="BQ88" i="88"/>
  <c r="BC88" i="88"/>
  <c r="AO43" i="88"/>
  <c r="AA43" i="88"/>
  <c r="AH43" i="88"/>
  <c r="AV43" i="88"/>
  <c r="BJ43" i="88"/>
  <c r="BQ43" i="88"/>
  <c r="BC43" i="88"/>
  <c r="BJ47" i="88"/>
  <c r="AH47" i="88"/>
  <c r="AV47" i="88"/>
  <c r="AA47" i="88"/>
  <c r="AO47" i="88"/>
  <c r="BQ47" i="88"/>
  <c r="BC47" i="88"/>
  <c r="AH14" i="88"/>
  <c r="AA14" i="88"/>
  <c r="BQ14" i="88"/>
  <c r="BJ14" i="88"/>
  <c r="AV14" i="88"/>
  <c r="AO14" i="88"/>
  <c r="BJ51" i="88"/>
  <c r="AO51" i="88"/>
  <c r="BQ51" i="88"/>
  <c r="AA51" i="88"/>
  <c r="AH51" i="88"/>
  <c r="AV51" i="88"/>
  <c r="BC51" i="88"/>
  <c r="BC18" i="88"/>
  <c r="AH18" i="88"/>
  <c r="AO18" i="88"/>
  <c r="AV18" i="88"/>
  <c r="BJ18" i="88"/>
  <c r="AA18" i="88"/>
  <c r="BQ18" i="88"/>
  <c r="AA55" i="88"/>
  <c r="BQ55" i="88"/>
  <c r="AV55" i="88"/>
  <c r="AH55" i="88"/>
  <c r="BJ55" i="88"/>
  <c r="AO55" i="88"/>
  <c r="BC55" i="88"/>
  <c r="AV22" i="88"/>
  <c r="BJ22" i="88"/>
  <c r="AA22" i="88"/>
  <c r="BQ22" i="88"/>
  <c r="AO22" i="88"/>
  <c r="AH22" i="88"/>
  <c r="AV59" i="88"/>
  <c r="BQ59" i="88"/>
  <c r="BJ59" i="88"/>
  <c r="AA59" i="88"/>
  <c r="AH59" i="88"/>
  <c r="AO59" i="88"/>
  <c r="BC59" i="88"/>
  <c r="BC26" i="88"/>
  <c r="AO26" i="88"/>
  <c r="AA26" i="88"/>
  <c r="AV26" i="88"/>
  <c r="BQ26" i="88"/>
  <c r="BJ26" i="88"/>
  <c r="AH26" i="88"/>
  <c r="AA63" i="88"/>
  <c r="AV63" i="88"/>
  <c r="AH63" i="88"/>
  <c r="AO63" i="88"/>
  <c r="BQ63" i="88"/>
  <c r="BJ63" i="88"/>
  <c r="BC63" i="88"/>
  <c r="AH114" i="88"/>
  <c r="AH110" i="88" s="1"/>
  <c r="AV114" i="88"/>
  <c r="BJ114" i="88"/>
  <c r="AO114" i="88"/>
  <c r="AA114" i="88"/>
  <c r="BQ114" i="88"/>
  <c r="BC114" i="88"/>
  <c r="BJ30" i="88"/>
  <c r="AO30" i="88"/>
  <c r="AA30" i="88"/>
  <c r="AV30" i="88"/>
  <c r="BQ30" i="88"/>
  <c r="BC30" i="88"/>
  <c r="AH30" i="88"/>
  <c r="BQ97" i="88"/>
  <c r="BC97" i="88"/>
  <c r="AV97" i="88"/>
  <c r="AA97" i="88"/>
  <c r="AO97" i="88"/>
  <c r="BJ97" i="88"/>
  <c r="AH97" i="88"/>
  <c r="AA34" i="88"/>
  <c r="BJ34" i="88"/>
  <c r="BQ34" i="88"/>
  <c r="AH34" i="88"/>
  <c r="BC34" i="88"/>
  <c r="AO34" i="88"/>
  <c r="AV34" i="88"/>
  <c r="AH101" i="88"/>
  <c r="AA101" i="88"/>
  <c r="AO101" i="88"/>
  <c r="AV101" i="88"/>
  <c r="BJ101" i="88"/>
  <c r="BQ101" i="88"/>
  <c r="AO105" i="88"/>
  <c r="AV105" i="88"/>
  <c r="BJ105" i="88"/>
  <c r="AA105" i="88"/>
  <c r="AH105" i="88"/>
  <c r="BQ105" i="88"/>
  <c r="BC105" i="88"/>
  <c r="AV72" i="88"/>
  <c r="BQ72" i="88"/>
  <c r="AO72" i="88"/>
  <c r="BJ72" i="88"/>
  <c r="AH72" i="88"/>
  <c r="AA72" i="88"/>
  <c r="BV82" i="87"/>
  <c r="BV87" i="87"/>
  <c r="BV77" i="87"/>
  <c r="BV72" i="87" s="1"/>
  <c r="N156" i="86"/>
  <c r="E168" i="101"/>
  <c r="F11" i="87"/>
  <c r="F17" i="87"/>
  <c r="F16" i="87"/>
  <c r="Z137" i="95"/>
  <c r="AP5" i="95"/>
  <c r="Z133" i="95"/>
  <c r="V135" i="87"/>
  <c r="R221" i="88"/>
  <c r="F221" i="88" s="1"/>
  <c r="CQ236" i="95"/>
  <c r="CT236" i="95" s="1"/>
  <c r="CQ235" i="95"/>
  <c r="CT235" i="95" s="1"/>
  <c r="AA28" i="95"/>
  <c r="AA27" i="95"/>
  <c r="AA26" i="95"/>
  <c r="AA25" i="95"/>
  <c r="AD157" i="95"/>
  <c r="C73" i="84"/>
  <c r="E234" i="101" s="1"/>
  <c r="BY12" i="95"/>
  <c r="K70" i="87"/>
  <c r="L70" i="87" s="1"/>
  <c r="F70" i="87" s="1"/>
  <c r="K66" i="87"/>
  <c r="L66" i="87" s="1"/>
  <c r="G66" i="87" s="1"/>
  <c r="G20" i="88"/>
  <c r="U20" i="88" s="1"/>
  <c r="H20" i="88" s="1"/>
  <c r="I90" i="101" s="1"/>
  <c r="M90" i="101" s="1"/>
  <c r="AC84" i="96"/>
  <c r="AC88" i="96"/>
  <c r="AC86" i="96"/>
  <c r="AC85" i="96"/>
  <c r="AC83" i="96"/>
  <c r="E151" i="101"/>
  <c r="E150" i="101" s="1"/>
  <c r="P42" i="84"/>
  <c r="J151" i="90"/>
  <c r="E261" i="101"/>
  <c r="E250" i="101"/>
  <c r="E253" i="101"/>
  <c r="B25" i="85"/>
  <c r="E245" i="101" s="1"/>
  <c r="B46" i="85"/>
  <c r="E249" i="101" s="1"/>
  <c r="P47" i="85"/>
  <c r="B146" i="85"/>
  <c r="E268" i="101" s="1"/>
  <c r="B130" i="85"/>
  <c r="E265" i="101" s="1"/>
  <c r="B78" i="85"/>
  <c r="E255" i="101" s="1"/>
  <c r="E256" i="101"/>
  <c r="R82" i="85"/>
  <c r="P82" i="85"/>
  <c r="S150" i="85"/>
  <c r="S82" i="85"/>
  <c r="S132" i="85"/>
  <c r="P80" i="85"/>
  <c r="S134" i="85"/>
  <c r="R80" i="85"/>
  <c r="P147" i="85"/>
  <c r="S148" i="85"/>
  <c r="B104" i="85"/>
  <c r="E260" i="101" s="1"/>
  <c r="P132" i="85"/>
  <c r="P148" i="85"/>
  <c r="R132" i="85"/>
  <c r="R148" i="85"/>
  <c r="P134" i="85"/>
  <c r="P150" i="85"/>
  <c r="R134" i="85"/>
  <c r="R150" i="85"/>
  <c r="P45" i="84"/>
  <c r="G45" i="84" s="1"/>
  <c r="R45" i="84" s="1"/>
  <c r="P52" i="84"/>
  <c r="P44" i="84"/>
  <c r="G43" i="84" s="1"/>
  <c r="R43" i="84" s="1"/>
  <c r="K237" i="84"/>
  <c r="K242" i="84" s="1"/>
  <c r="O157" i="86"/>
  <c r="T40" i="86"/>
  <c r="E158" i="86"/>
  <c r="N158" i="86"/>
  <c r="K157" i="86"/>
  <c r="L156" i="86"/>
  <c r="C155" i="86"/>
  <c r="E297" i="101" s="1"/>
  <c r="K159" i="86"/>
  <c r="F130" i="86"/>
  <c r="R130" i="86" s="1"/>
  <c r="G130" i="86" s="1"/>
  <c r="K292" i="101" s="1"/>
  <c r="O292" i="101" s="1"/>
  <c r="J156" i="86"/>
  <c r="T158" i="86"/>
  <c r="P21" i="86"/>
  <c r="E157" i="86"/>
  <c r="G232" i="84"/>
  <c r="E236" i="101"/>
  <c r="H156" i="86"/>
  <c r="M157" i="86"/>
  <c r="O159" i="86"/>
  <c r="I156" i="86"/>
  <c r="N157" i="86"/>
  <c r="E276" i="101"/>
  <c r="H21" i="86"/>
  <c r="Q24" i="86"/>
  <c r="M156" i="86"/>
  <c r="K158" i="86"/>
  <c r="F17" i="86"/>
  <c r="R17" i="86" s="1"/>
  <c r="F135" i="86"/>
  <c r="R135" i="86" s="1"/>
  <c r="G135" i="86" s="1"/>
  <c r="I293" i="101" s="1"/>
  <c r="M293" i="101" s="1"/>
  <c r="M24" i="86"/>
  <c r="J72" i="86"/>
  <c r="K90" i="86"/>
  <c r="K143" i="86"/>
  <c r="E156" i="86"/>
  <c r="CF30" i="95"/>
  <c r="CG30" i="95" s="1"/>
  <c r="F69" i="87"/>
  <c r="R86" i="89"/>
  <c r="F86" i="89" s="1"/>
  <c r="R121" i="89"/>
  <c r="F121" i="89" s="1"/>
  <c r="R143" i="89"/>
  <c r="F143" i="89" s="1"/>
  <c r="R23" i="89"/>
  <c r="F23" i="89" s="1"/>
  <c r="R99" i="89"/>
  <c r="F99" i="89" s="1"/>
  <c r="R36" i="89"/>
  <c r="F36" i="89" s="1"/>
  <c r="R61" i="89"/>
  <c r="F61" i="89" s="1"/>
  <c r="R176" i="89"/>
  <c r="F176" i="89" s="1"/>
  <c r="R64" i="88"/>
  <c r="F64" i="88" s="1"/>
  <c r="R217" i="88"/>
  <c r="F217" i="88" s="1"/>
  <c r="R48" i="88"/>
  <c r="F48" i="88" s="1"/>
  <c r="R252" i="89"/>
  <c r="F252" i="89" s="1"/>
  <c r="N129" i="84"/>
  <c r="F129" i="84" s="1"/>
  <c r="CQ188" i="95"/>
  <c r="CT188" i="95" s="1"/>
  <c r="CQ187" i="95"/>
  <c r="CT187" i="95" s="1"/>
  <c r="CQ186" i="95"/>
  <c r="CT186" i="95" s="1"/>
  <c r="R65" i="89"/>
  <c r="F65" i="89" s="1"/>
  <c r="CQ225" i="95"/>
  <c r="CT225" i="95" s="1"/>
  <c r="CQ163" i="95"/>
  <c r="CT163" i="95" s="1"/>
  <c r="CW163" i="95" s="1"/>
  <c r="CX163" i="95" s="1"/>
  <c r="CQ167" i="95"/>
  <c r="CT167" i="95" s="1"/>
  <c r="CW167" i="95" s="1"/>
  <c r="CX167" i="95" s="1"/>
  <c r="CQ223" i="95"/>
  <c r="CT223" i="95" s="1"/>
  <c r="CQ162" i="95"/>
  <c r="CT162" i="95" s="1"/>
  <c r="CW162" i="95" s="1"/>
  <c r="CQ166" i="95"/>
  <c r="CT166" i="95" s="1"/>
  <c r="CW166" i="95" s="1"/>
  <c r="CQ221" i="95"/>
  <c r="CT221" i="95" s="1"/>
  <c r="CQ218" i="95"/>
  <c r="CT218" i="95" s="1"/>
  <c r="CQ222" i="95"/>
  <c r="CT222" i="95" s="1"/>
  <c r="CQ184" i="95"/>
  <c r="CT184" i="95" s="1"/>
  <c r="CQ227" i="95"/>
  <c r="CT227" i="95" s="1"/>
  <c r="CQ219" i="95"/>
  <c r="CT219" i="95" s="1"/>
  <c r="CQ183" i="95"/>
  <c r="CT183" i="95" s="1"/>
  <c r="CQ226" i="95"/>
  <c r="CT226" i="95" s="1"/>
  <c r="CQ164" i="95"/>
  <c r="CT164" i="95" s="1"/>
  <c r="CW164" i="95" s="1"/>
  <c r="CX164" i="95" s="1"/>
  <c r="CQ182" i="95"/>
  <c r="CT182" i="95" s="1"/>
  <c r="CQ156" i="95"/>
  <c r="CT156" i="95" s="1"/>
  <c r="CQ157" i="95"/>
  <c r="CT157" i="95" s="1"/>
  <c r="CQ155" i="95"/>
  <c r="CT155" i="95" s="1"/>
  <c r="CW155" i="95" s="1"/>
  <c r="CX155" i="95" s="1"/>
  <c r="CQ154" i="95"/>
  <c r="N16" i="84"/>
  <c r="F16" i="84" s="1"/>
  <c r="CQ178" i="95"/>
  <c r="CT178" i="95" s="1"/>
  <c r="CQ177" i="95"/>
  <c r="CT177" i="95" s="1"/>
  <c r="CQ179" i="95"/>
  <c r="CT179" i="95" s="1"/>
  <c r="CQ180" i="95"/>
  <c r="CT180" i="95" s="1"/>
  <c r="R247" i="88"/>
  <c r="F247" i="88" s="1"/>
  <c r="CQ160" i="95"/>
  <c r="CT160" i="95" s="1"/>
  <c r="CW160" i="95" s="1"/>
  <c r="CX160" i="95" s="1"/>
  <c r="CQ159" i="95"/>
  <c r="CT159" i="95" s="1"/>
  <c r="CW159" i="95" s="1"/>
  <c r="S47" i="85"/>
  <c r="F257" i="84"/>
  <c r="CF12" i="95"/>
  <c r="CF20" i="95"/>
  <c r="CI20" i="95" s="1"/>
  <c r="BZ30" i="95"/>
  <c r="AB40" i="95"/>
  <c r="AB76" i="95"/>
  <c r="AB86" i="95"/>
  <c r="AB96" i="95"/>
  <c r="AB106" i="95"/>
  <c r="AA150" i="95"/>
  <c r="AB31" i="95"/>
  <c r="CF37" i="95"/>
  <c r="AB46" i="95"/>
  <c r="AB72" i="95"/>
  <c r="AB82" i="95"/>
  <c r="AB92" i="95"/>
  <c r="AB102" i="95"/>
  <c r="AB123" i="95"/>
  <c r="CG44" i="95"/>
  <c r="CG54" i="95"/>
  <c r="CG99" i="95"/>
  <c r="CG104" i="95"/>
  <c r="AB42" i="95"/>
  <c r="AB68" i="95"/>
  <c r="AB98" i="95"/>
  <c r="AB109" i="95"/>
  <c r="CG143" i="95"/>
  <c r="AB33" i="95"/>
  <c r="AB39" i="95"/>
  <c r="AB48" i="95"/>
  <c r="AB64" i="95"/>
  <c r="CG78" i="95"/>
  <c r="AB71" i="95"/>
  <c r="AB81" i="95"/>
  <c r="AB101" i="95"/>
  <c r="AB111" i="95"/>
  <c r="CG65" i="95"/>
  <c r="CG89" i="95"/>
  <c r="AB18" i="95"/>
  <c r="AS18" i="95" s="1"/>
  <c r="CA18" i="95"/>
  <c r="CH18" i="95"/>
  <c r="AB35" i="95"/>
  <c r="BZ37" i="95"/>
  <c r="AB41" i="95"/>
  <c r="AB56" i="95"/>
  <c r="AC56" i="95" s="1"/>
  <c r="BV131" i="88" s="1"/>
  <c r="AB67" i="95"/>
  <c r="AB87" i="95"/>
  <c r="AB97" i="95"/>
  <c r="AB117" i="95"/>
  <c r="AA151" i="95"/>
  <c r="CG148" i="95"/>
  <c r="CG61" i="95"/>
  <c r="AB32" i="95"/>
  <c r="AB47" i="95"/>
  <c r="AB63" i="95"/>
  <c r="AB73" i="95"/>
  <c r="AB93" i="95"/>
  <c r="AB114" i="95"/>
  <c r="CG16" i="95"/>
  <c r="CG69" i="95"/>
  <c r="AB43" i="95"/>
  <c r="AB59" i="95"/>
  <c r="CG118" i="95"/>
  <c r="CG121" i="95"/>
  <c r="C36" i="86"/>
  <c r="E275" i="101" s="1"/>
  <c r="S157" i="86"/>
  <c r="P158" i="86"/>
  <c r="M159" i="86"/>
  <c r="Q93" i="86"/>
  <c r="J157" i="86"/>
  <c r="T157" i="86"/>
  <c r="S158" i="86"/>
  <c r="F129" i="86"/>
  <c r="R129" i="86" s="1"/>
  <c r="G129" i="86" s="1"/>
  <c r="I292" i="101" s="1"/>
  <c r="M292" i="101" s="1"/>
  <c r="S143" i="86"/>
  <c r="K156" i="86"/>
  <c r="L157" i="86"/>
  <c r="J158" i="86"/>
  <c r="I159" i="86"/>
  <c r="M22" i="86"/>
  <c r="K54" i="86"/>
  <c r="M158" i="86"/>
  <c r="N159" i="86"/>
  <c r="O23" i="86"/>
  <c r="K69" i="86"/>
  <c r="I71" i="86"/>
  <c r="I92" i="86"/>
  <c r="P156" i="86"/>
  <c r="Q157" i="86"/>
  <c r="O158" i="86"/>
  <c r="S159" i="86"/>
  <c r="R163" i="86"/>
  <c r="G163" i="86" s="1"/>
  <c r="K298" i="101" s="1"/>
  <c r="O298" i="101" s="1"/>
  <c r="F158" i="86"/>
  <c r="T24" i="86"/>
  <c r="F16" i="86"/>
  <c r="R16" i="86" s="1"/>
  <c r="I22" i="86"/>
  <c r="P70" i="86"/>
  <c r="M140" i="86"/>
  <c r="L159" i="86"/>
  <c r="H70" i="86"/>
  <c r="E142" i="86"/>
  <c r="K23" i="86"/>
  <c r="E53" i="86"/>
  <c r="Q71" i="86"/>
  <c r="N53" i="86"/>
  <c r="T23" i="86"/>
  <c r="F136" i="86"/>
  <c r="R136" i="86" s="1"/>
  <c r="G136" i="86" s="1"/>
  <c r="K293" i="101" s="1"/>
  <c r="O293" i="101" s="1"/>
  <c r="T159" i="86"/>
  <c r="F140" i="86"/>
  <c r="Q143" i="86"/>
  <c r="C139" i="86"/>
  <c r="E294" i="101" s="1"/>
  <c r="J141" i="86"/>
  <c r="N142" i="86"/>
  <c r="T143" i="86"/>
  <c r="F156" i="86"/>
  <c r="L24" i="86"/>
  <c r="H140" i="86"/>
  <c r="M141" i="86"/>
  <c r="Q142" i="86"/>
  <c r="L21" i="86"/>
  <c r="I24" i="86"/>
  <c r="K140" i="86"/>
  <c r="P141" i="86"/>
  <c r="S142" i="86"/>
  <c r="O142" i="86"/>
  <c r="I157" i="86"/>
  <c r="R157" i="86"/>
  <c r="L158" i="86"/>
  <c r="E159" i="86"/>
  <c r="P159" i="86"/>
  <c r="T38" i="86"/>
  <c r="L140" i="86"/>
  <c r="Q141" i="86"/>
  <c r="J143" i="86"/>
  <c r="H159" i="86"/>
  <c r="Q159" i="86"/>
  <c r="F23" i="86"/>
  <c r="S40" i="86"/>
  <c r="H91" i="86"/>
  <c r="P140" i="86"/>
  <c r="I142" i="86"/>
  <c r="L143" i="86"/>
  <c r="Q22" i="86"/>
  <c r="T56" i="86"/>
  <c r="Q72" i="86"/>
  <c r="P91" i="86"/>
  <c r="H141" i="86"/>
  <c r="J142" i="86"/>
  <c r="O143" i="86"/>
  <c r="I141" i="86"/>
  <c r="K142" i="86"/>
  <c r="H158" i="86"/>
  <c r="R98" i="86"/>
  <c r="F93" i="86"/>
  <c r="R148" i="86"/>
  <c r="F143" i="86"/>
  <c r="G151" i="86"/>
  <c r="I296" i="101" s="1"/>
  <c r="M296" i="101" s="1"/>
  <c r="R141" i="86"/>
  <c r="R77" i="86"/>
  <c r="F72" i="86"/>
  <c r="R159" i="86"/>
  <c r="I291" i="101"/>
  <c r="M291" i="101" s="1"/>
  <c r="K291" i="101"/>
  <c r="O291" i="101" s="1"/>
  <c r="C20" i="86"/>
  <c r="E272" i="101" s="1"/>
  <c r="M21" i="86"/>
  <c r="J22" i="86"/>
  <c r="S22" i="86"/>
  <c r="L23" i="86"/>
  <c r="E24" i="86"/>
  <c r="N24" i="86"/>
  <c r="F53" i="86"/>
  <c r="O53" i="86"/>
  <c r="L54" i="86"/>
  <c r="T54" i="86"/>
  <c r="M55" i="86"/>
  <c r="E56" i="86"/>
  <c r="N56" i="86"/>
  <c r="L69" i="86"/>
  <c r="I70" i="86"/>
  <c r="Q70" i="86"/>
  <c r="J71" i="86"/>
  <c r="R71" i="86"/>
  <c r="K72" i="86"/>
  <c r="S72" i="86"/>
  <c r="L90" i="86"/>
  <c r="I91" i="86"/>
  <c r="Q91" i="86"/>
  <c r="J92" i="86"/>
  <c r="R92" i="86"/>
  <c r="K93" i="86"/>
  <c r="S93" i="86"/>
  <c r="F157" i="86"/>
  <c r="S54" i="86"/>
  <c r="J93" i="86"/>
  <c r="E21" i="86"/>
  <c r="N21" i="86"/>
  <c r="K22" i="86"/>
  <c r="T22" i="86"/>
  <c r="M23" i="86"/>
  <c r="F24" i="86"/>
  <c r="O24" i="86"/>
  <c r="S37" i="86"/>
  <c r="H53" i="86"/>
  <c r="P53" i="86"/>
  <c r="M54" i="86"/>
  <c r="E55" i="86"/>
  <c r="N55" i="86"/>
  <c r="F56" i="86"/>
  <c r="O56" i="86"/>
  <c r="C68" i="86"/>
  <c r="E281" i="101" s="1"/>
  <c r="M69" i="86"/>
  <c r="J70" i="86"/>
  <c r="R70" i="86"/>
  <c r="K71" i="86"/>
  <c r="S71" i="86"/>
  <c r="L72" i="86"/>
  <c r="T72" i="86"/>
  <c r="C89" i="86"/>
  <c r="E285" i="101" s="1"/>
  <c r="M90" i="86"/>
  <c r="J91" i="86"/>
  <c r="R91" i="86"/>
  <c r="K92" i="86"/>
  <c r="S92" i="86"/>
  <c r="L93" i="86"/>
  <c r="T93" i="86"/>
  <c r="E140" i="86"/>
  <c r="N140" i="86"/>
  <c r="K141" i="86"/>
  <c r="S141" i="86"/>
  <c r="L142" i="86"/>
  <c r="T142" i="86"/>
  <c r="M143" i="86"/>
  <c r="H157" i="86"/>
  <c r="P157" i="86"/>
  <c r="I158" i="86"/>
  <c r="Q158" i="86"/>
  <c r="J159" i="86"/>
  <c r="M56" i="86"/>
  <c r="Q92" i="86"/>
  <c r="F21" i="86"/>
  <c r="O21" i="86"/>
  <c r="L22" i="86"/>
  <c r="E23" i="86"/>
  <c r="N23" i="86"/>
  <c r="H24" i="86"/>
  <c r="P24" i="86"/>
  <c r="S38" i="86"/>
  <c r="I53" i="86"/>
  <c r="E54" i="86"/>
  <c r="N54" i="86"/>
  <c r="F55" i="86"/>
  <c r="O55" i="86"/>
  <c r="H56" i="86"/>
  <c r="P56" i="86"/>
  <c r="E69" i="86"/>
  <c r="N69" i="86"/>
  <c r="K70" i="86"/>
  <c r="S70" i="86"/>
  <c r="L71" i="86"/>
  <c r="T71" i="86"/>
  <c r="M72" i="86"/>
  <c r="E90" i="86"/>
  <c r="N90" i="86"/>
  <c r="K91" i="86"/>
  <c r="S91" i="86"/>
  <c r="L92" i="86"/>
  <c r="T92" i="86"/>
  <c r="M93" i="86"/>
  <c r="O140" i="86"/>
  <c r="L141" i="86"/>
  <c r="T141" i="86"/>
  <c r="M142" i="86"/>
  <c r="E143" i="86"/>
  <c r="N143" i="86"/>
  <c r="F147" i="86"/>
  <c r="L55" i="86"/>
  <c r="J53" i="86"/>
  <c r="F54" i="86"/>
  <c r="O54" i="86"/>
  <c r="H55" i="86"/>
  <c r="P55" i="86"/>
  <c r="I56" i="86"/>
  <c r="Q56" i="86"/>
  <c r="O69" i="86"/>
  <c r="L70" i="86"/>
  <c r="T70" i="86"/>
  <c r="M71" i="86"/>
  <c r="E72" i="86"/>
  <c r="N72" i="86"/>
  <c r="F90" i="86"/>
  <c r="O90" i="86"/>
  <c r="L91" i="86"/>
  <c r="T91" i="86"/>
  <c r="M92" i="86"/>
  <c r="E93" i="86"/>
  <c r="N93" i="86"/>
  <c r="I21" i="86"/>
  <c r="E22" i="86"/>
  <c r="N22" i="86"/>
  <c r="H23" i="86"/>
  <c r="P23" i="86"/>
  <c r="J24" i="86"/>
  <c r="S24" i="86"/>
  <c r="S39" i="86"/>
  <c r="K53" i="86"/>
  <c r="H54" i="86"/>
  <c r="P54" i="86"/>
  <c r="I55" i="86"/>
  <c r="Q55" i="86"/>
  <c r="J56" i="86"/>
  <c r="R56" i="86"/>
  <c r="H69" i="86"/>
  <c r="P69" i="86"/>
  <c r="M70" i="86"/>
  <c r="E71" i="86"/>
  <c r="N71" i="86"/>
  <c r="O72" i="86"/>
  <c r="H90" i="86"/>
  <c r="P90" i="86"/>
  <c r="M91" i="86"/>
  <c r="E92" i="86"/>
  <c r="N92" i="86"/>
  <c r="O93" i="86"/>
  <c r="I140" i="86"/>
  <c r="E141" i="86"/>
  <c r="N141" i="86"/>
  <c r="H143" i="86"/>
  <c r="P143" i="86"/>
  <c r="E287" i="101"/>
  <c r="J21" i="86"/>
  <c r="F22" i="86"/>
  <c r="O22" i="86"/>
  <c r="I23" i="86"/>
  <c r="Q23" i="86"/>
  <c r="K24" i="86"/>
  <c r="T39" i="86"/>
  <c r="L53" i="86"/>
  <c r="I54" i="86"/>
  <c r="Q54" i="86"/>
  <c r="J55" i="86"/>
  <c r="R55" i="86"/>
  <c r="K56" i="86"/>
  <c r="S56" i="86"/>
  <c r="I69" i="86"/>
  <c r="E70" i="86"/>
  <c r="E68" i="86" s="1"/>
  <c r="N70" i="86"/>
  <c r="F71" i="86"/>
  <c r="O71" i="86"/>
  <c r="H72" i="86"/>
  <c r="P72" i="86"/>
  <c r="I90" i="86"/>
  <c r="E91" i="86"/>
  <c r="N91" i="86"/>
  <c r="F92" i="86"/>
  <c r="O92" i="86"/>
  <c r="H93" i="86"/>
  <c r="P93" i="86"/>
  <c r="J140" i="86"/>
  <c r="F141" i="86"/>
  <c r="O141" i="86"/>
  <c r="H142" i="86"/>
  <c r="P142" i="86"/>
  <c r="I143" i="86"/>
  <c r="O156" i="86"/>
  <c r="T55" i="86"/>
  <c r="E283" i="101"/>
  <c r="K21" i="86"/>
  <c r="H22" i="86"/>
  <c r="H10" i="86" s="1"/>
  <c r="P22" i="86"/>
  <c r="J23" i="86"/>
  <c r="S23" i="86"/>
  <c r="C52" i="86"/>
  <c r="E278" i="101" s="1"/>
  <c r="M53" i="86"/>
  <c r="J54" i="86"/>
  <c r="R54" i="86"/>
  <c r="K55" i="86"/>
  <c r="S55" i="86"/>
  <c r="L56" i="86"/>
  <c r="L12" i="86" s="1"/>
  <c r="J69" i="86"/>
  <c r="F70" i="86"/>
  <c r="O70" i="86"/>
  <c r="H71" i="86"/>
  <c r="P71" i="86"/>
  <c r="I72" i="86"/>
  <c r="J90" i="86"/>
  <c r="F91" i="86"/>
  <c r="O91" i="86"/>
  <c r="H92" i="86"/>
  <c r="P92" i="86"/>
  <c r="I93" i="86"/>
  <c r="F159" i="86"/>
  <c r="S21" i="86"/>
  <c r="R63" i="85"/>
  <c r="S131" i="85"/>
  <c r="N119" i="84"/>
  <c r="G119" i="84" s="1"/>
  <c r="R119" i="84" s="1"/>
  <c r="K15" i="86"/>
  <c r="F15" i="86" s="1"/>
  <c r="R15" i="86" s="1"/>
  <c r="G15" i="86" s="1"/>
  <c r="G14" i="86" s="1"/>
  <c r="R83" i="87"/>
  <c r="F83" i="87" s="1"/>
  <c r="N244" i="84"/>
  <c r="F244" i="84" s="1"/>
  <c r="N249" i="84"/>
  <c r="F249" i="84" s="1"/>
  <c r="N254" i="84"/>
  <c r="G254" i="84" s="1"/>
  <c r="N42" i="84"/>
  <c r="N63" i="84"/>
  <c r="N68" i="84" s="1"/>
  <c r="N99" i="84"/>
  <c r="G99" i="84" s="1"/>
  <c r="R99" i="84" s="1"/>
  <c r="N164" i="84"/>
  <c r="F164" i="84" s="1"/>
  <c r="N169" i="84"/>
  <c r="R88" i="87"/>
  <c r="F88" i="87" s="1"/>
  <c r="N21" i="84"/>
  <c r="F21" i="84" s="1"/>
  <c r="F130" i="87"/>
  <c r="BR165" i="95"/>
  <c r="BR171" i="95"/>
  <c r="BR211" i="95"/>
  <c r="BR220" i="95"/>
  <c r="BR185" i="95"/>
  <c r="BR197" i="95"/>
  <c r="BR213" i="95"/>
  <c r="BR214" i="95"/>
  <c r="BR194" i="95"/>
  <c r="BR161" i="95"/>
  <c r="BR201" i="95"/>
  <c r="BR206" i="95"/>
  <c r="BR158" i="95"/>
  <c r="BR181" i="95"/>
  <c r="BR210" i="95"/>
  <c r="BR212" i="95"/>
  <c r="BR153" i="95"/>
  <c r="BR168" i="95"/>
  <c r="BR189" i="95"/>
  <c r="BR217" i="95"/>
  <c r="BR176" i="95"/>
  <c r="K128" i="86"/>
  <c r="F128" i="86" s="1"/>
  <c r="R78" i="87"/>
  <c r="F78" i="87" s="1"/>
  <c r="N26" i="84"/>
  <c r="F26" i="84" s="1"/>
  <c r="N47" i="84"/>
  <c r="R47" i="85"/>
  <c r="AA8" i="95"/>
  <c r="AA22" i="95"/>
  <c r="AB146" i="95"/>
  <c r="AD22" i="95"/>
  <c r="AA131" i="95"/>
  <c r="AA52" i="95"/>
  <c r="AA10" i="95"/>
  <c r="AA21" i="95"/>
  <c r="AA127" i="95"/>
  <c r="AB147" i="95"/>
  <c r="AA7" i="95"/>
  <c r="AD21" i="95"/>
  <c r="AB145" i="95"/>
  <c r="AA137" i="95"/>
  <c r="AA126" i="95"/>
  <c r="AA23" i="95"/>
  <c r="AA138" i="95"/>
  <c r="AB152" i="95"/>
  <c r="AA6" i="95"/>
  <c r="AA11" i="95"/>
  <c r="AD23" i="95"/>
  <c r="AB29" i="95"/>
  <c r="AA128" i="95"/>
  <c r="N159" i="84"/>
  <c r="N259" i="84" s="1"/>
  <c r="N204" i="84"/>
  <c r="F204" i="84" s="1"/>
  <c r="N224" i="84"/>
  <c r="G224" i="84" s="1"/>
  <c r="R27" i="88"/>
  <c r="F27" i="88" s="1"/>
  <c r="R35" i="88"/>
  <c r="F35" i="88" s="1"/>
  <c r="R102" i="88"/>
  <c r="F102" i="88" s="1"/>
  <c r="R128" i="88"/>
  <c r="F128" i="88" s="1"/>
  <c r="R149" i="88"/>
  <c r="F149" i="88" s="1"/>
  <c r="R175" i="88"/>
  <c r="F175" i="88" s="1"/>
  <c r="R196" i="88"/>
  <c r="F196" i="88" s="1"/>
  <c r="N209" i="84"/>
  <c r="F209" i="84" s="1"/>
  <c r="K134" i="86"/>
  <c r="E134" i="86" s="1"/>
  <c r="E133" i="86" s="1"/>
  <c r="R98" i="88"/>
  <c r="F98" i="88" s="1"/>
  <c r="R119" i="88"/>
  <c r="F119" i="88" s="1"/>
  <c r="R145" i="88"/>
  <c r="F145" i="88" s="1"/>
  <c r="F144" i="88" s="1"/>
  <c r="R166" i="88"/>
  <c r="F166" i="88" s="1"/>
  <c r="F165" i="88" s="1"/>
  <c r="R192" i="88"/>
  <c r="F192" i="88" s="1"/>
  <c r="R213" i="88"/>
  <c r="F213" i="88" s="1"/>
  <c r="N104" i="84"/>
  <c r="G104" i="84" s="1"/>
  <c r="R104" i="84" s="1"/>
  <c r="N124" i="84"/>
  <c r="N194" i="84"/>
  <c r="F194" i="84" s="1"/>
  <c r="N214" i="84"/>
  <c r="F214" i="84" s="1"/>
  <c r="R152" i="87"/>
  <c r="F152" i="87" s="1"/>
  <c r="R60" i="88"/>
  <c r="F60" i="88" s="1"/>
  <c r="R81" i="88"/>
  <c r="F81" i="88" s="1"/>
  <c r="R89" i="88"/>
  <c r="F89" i="88" s="1"/>
  <c r="F88" i="88" s="1"/>
  <c r="R115" i="88"/>
  <c r="F115" i="88" s="1"/>
  <c r="R141" i="88"/>
  <c r="F141" i="88" s="1"/>
  <c r="R162" i="88"/>
  <c r="F162" i="88" s="1"/>
  <c r="R183" i="88"/>
  <c r="F183" i="88" s="1"/>
  <c r="R209" i="88"/>
  <c r="F209" i="88" s="1"/>
  <c r="N89" i="84"/>
  <c r="F89" i="84" s="1"/>
  <c r="N109" i="84"/>
  <c r="F109" i="84" s="1"/>
  <c r="N144" i="84"/>
  <c r="F144" i="84" s="1"/>
  <c r="H140" i="91"/>
  <c r="AC156" i="95"/>
  <c r="N149" i="84"/>
  <c r="G149" i="84" s="1"/>
  <c r="N199" i="84"/>
  <c r="G199" i="84" s="1"/>
  <c r="R199" i="84" s="1"/>
  <c r="N219" i="84"/>
  <c r="F219" i="84" s="1"/>
  <c r="N229" i="84"/>
  <c r="G229" i="84" s="1"/>
  <c r="R106" i="88"/>
  <c r="F106" i="88" s="1"/>
  <c r="R132" i="88"/>
  <c r="F132" i="88" s="1"/>
  <c r="R158" i="88"/>
  <c r="F158" i="88" s="1"/>
  <c r="R179" i="88"/>
  <c r="F179" i="88" s="1"/>
  <c r="R200" i="88"/>
  <c r="F200" i="88" s="1"/>
  <c r="N94" i="84"/>
  <c r="G94" i="84" s="1"/>
  <c r="R94" i="84" s="1"/>
  <c r="N114" i="84"/>
  <c r="F114" i="84" s="1"/>
  <c r="N154" i="84"/>
  <c r="G154" i="84" s="1"/>
  <c r="R154" i="84" s="1"/>
  <c r="N174" i="84"/>
  <c r="F174" i="84" s="1"/>
  <c r="W135" i="87"/>
  <c r="G253" i="89"/>
  <c r="U253" i="89" s="1"/>
  <c r="H253" i="89" s="1"/>
  <c r="I59" i="101" s="1"/>
  <c r="M59" i="101" s="1"/>
  <c r="Z20" i="95"/>
  <c r="G240" i="88"/>
  <c r="U240" i="88" s="1"/>
  <c r="H240" i="88" s="1"/>
  <c r="I142" i="101" s="1"/>
  <c r="M142" i="101" s="1"/>
  <c r="G84" i="87"/>
  <c r="U84" i="87" s="1"/>
  <c r="H84" i="87" s="1"/>
  <c r="I160" i="101" s="1"/>
  <c r="M160" i="101" s="1"/>
  <c r="G32" i="87"/>
  <c r="U32" i="87" s="1"/>
  <c r="F81" i="96" s="1"/>
  <c r="G42" i="87"/>
  <c r="U42" i="87" s="1"/>
  <c r="G244" i="88"/>
  <c r="U244" i="88" s="1"/>
  <c r="H244" i="88" s="1"/>
  <c r="I143" i="101" s="1"/>
  <c r="M143" i="101" s="1"/>
  <c r="Z14" i="95"/>
  <c r="F65" i="87"/>
  <c r="F60" i="87"/>
  <c r="Z13" i="95"/>
  <c r="I139" i="101"/>
  <c r="M139" i="101" s="1"/>
  <c r="G22" i="87"/>
  <c r="AA149" i="95"/>
  <c r="F64" i="87"/>
  <c r="G31" i="87"/>
  <c r="U31" i="87" s="1"/>
  <c r="F80" i="96" s="1"/>
  <c r="F68" i="87"/>
  <c r="G41" i="87"/>
  <c r="U41" i="87" s="1"/>
  <c r="H41" i="87" s="1"/>
  <c r="H151" i="101" s="1"/>
  <c r="G249" i="89"/>
  <c r="L53" i="87"/>
  <c r="G53" i="87" s="1"/>
  <c r="U53" i="87" s="1"/>
  <c r="H53" i="87" s="1"/>
  <c r="I110" i="87"/>
  <c r="G110" i="87" s="1"/>
  <c r="U110" i="87" s="1"/>
  <c r="H110" i="87" s="1"/>
  <c r="I166" i="101" s="1"/>
  <c r="M166" i="101" s="1"/>
  <c r="G89" i="87"/>
  <c r="U89" i="87" s="1"/>
  <c r="H89" i="87" s="1"/>
  <c r="I161" i="101" s="1"/>
  <c r="M161" i="101" s="1"/>
  <c r="G46" i="87"/>
  <c r="U46" i="87" s="1"/>
  <c r="H46" i="87" s="1"/>
  <c r="G47" i="87"/>
  <c r="U47" i="87" s="1"/>
  <c r="H47" i="87" s="1"/>
  <c r="I152" i="101" s="1"/>
  <c r="M152" i="101" s="1"/>
  <c r="G236" i="88"/>
  <c r="G257" i="89"/>
  <c r="U257" i="89" s="1"/>
  <c r="H257" i="89" s="1"/>
  <c r="I60" i="101" s="1"/>
  <c r="M60" i="101" s="1"/>
  <c r="AA118" i="95"/>
  <c r="CA118" i="95" s="1"/>
  <c r="L33" i="87"/>
  <c r="G33" i="87" s="1"/>
  <c r="U33" i="87" s="1"/>
  <c r="F82" i="96" s="1"/>
  <c r="L85" i="87"/>
  <c r="G85" i="87" s="1"/>
  <c r="U85" i="87" s="1"/>
  <c r="H85" i="87" s="1"/>
  <c r="K160" i="101" s="1"/>
  <c r="O160" i="101" s="1"/>
  <c r="G26" i="87"/>
  <c r="U26" i="87" s="1"/>
  <c r="H26" i="87" s="1"/>
  <c r="G27" i="87"/>
  <c r="U27" i="87" s="1"/>
  <c r="H27" i="87" s="1"/>
  <c r="I148" i="101" s="1"/>
  <c r="M148" i="101" s="1"/>
  <c r="G51" i="87"/>
  <c r="G52" i="87"/>
  <c r="U52" i="87" s="1"/>
  <c r="H52" i="87" s="1"/>
  <c r="G79" i="87"/>
  <c r="J135" i="87"/>
  <c r="G21" i="87"/>
  <c r="L43" i="87"/>
  <c r="G43" i="87" s="1"/>
  <c r="I111" i="87"/>
  <c r="L254" i="89"/>
  <c r="G254" i="89" s="1"/>
  <c r="U254" i="89" s="1"/>
  <c r="H254" i="89" s="1"/>
  <c r="K59" i="101" s="1"/>
  <c r="O59" i="101" s="1"/>
  <c r="L258" i="89"/>
  <c r="L23" i="87"/>
  <c r="G23" i="87" s="1"/>
  <c r="F37" i="87"/>
  <c r="F36" i="87"/>
  <c r="L48" i="87"/>
  <c r="G48" i="87" s="1"/>
  <c r="U48" i="87" s="1"/>
  <c r="H48" i="87" s="1"/>
  <c r="K152" i="101" s="1"/>
  <c r="O152" i="101" s="1"/>
  <c r="L249" i="88"/>
  <c r="G249" i="88" s="1"/>
  <c r="U249" i="88" s="1"/>
  <c r="H249" i="88" s="1"/>
  <c r="K144" i="101" s="1"/>
  <c r="O144" i="101" s="1"/>
  <c r="L245" i="88"/>
  <c r="G245" i="88" s="1"/>
  <c r="U245" i="88" s="1"/>
  <c r="H245" i="88" s="1"/>
  <c r="K143" i="101" s="1"/>
  <c r="O143" i="101" s="1"/>
  <c r="L241" i="88"/>
  <c r="F241" i="88" s="1"/>
  <c r="G248" i="88"/>
  <c r="U248" i="88" s="1"/>
  <c r="H248" i="88" s="1"/>
  <c r="I144" i="101" s="1"/>
  <c r="M144" i="101" s="1"/>
  <c r="L237" i="88"/>
  <c r="G237" i="88" s="1"/>
  <c r="U237" i="88" s="1"/>
  <c r="N135" i="87"/>
  <c r="N136" i="87"/>
  <c r="P135" i="87"/>
  <c r="G144" i="87"/>
  <c r="G147" i="87"/>
  <c r="G148" i="87"/>
  <c r="N137" i="87"/>
  <c r="I232" i="88"/>
  <c r="G190" i="89"/>
  <c r="G232" i="89" s="1"/>
  <c r="J169" i="90"/>
  <c r="J111" i="90"/>
  <c r="G130" i="90"/>
  <c r="E326" i="101"/>
  <c r="I135" i="87"/>
  <c r="F118" i="87"/>
  <c r="R139" i="87"/>
  <c r="I136" i="87"/>
  <c r="G140" i="87"/>
  <c r="I137" i="87"/>
  <c r="F126" i="87"/>
  <c r="R143" i="87"/>
  <c r="L128" i="87"/>
  <c r="L145" i="87" s="1"/>
  <c r="K145" i="87"/>
  <c r="J111" i="88"/>
  <c r="F211" i="89"/>
  <c r="F232" i="89"/>
  <c r="F212" i="89"/>
  <c r="F233" i="89"/>
  <c r="F215" i="89"/>
  <c r="F236" i="89"/>
  <c r="F219" i="89"/>
  <c r="F240" i="89"/>
  <c r="B128" i="90"/>
  <c r="E321" i="101" s="1"/>
  <c r="R105" i="87"/>
  <c r="F105" i="87" s="1"/>
  <c r="R101" i="87"/>
  <c r="Q235" i="88"/>
  <c r="Q231" i="88" s="1"/>
  <c r="AW16" i="95"/>
  <c r="AP24" i="95"/>
  <c r="AW24" i="95"/>
  <c r="BK24" i="95"/>
  <c r="U106" i="87"/>
  <c r="H106" i="87" s="1"/>
  <c r="I165" i="101" s="1"/>
  <c r="M165" i="101" s="1"/>
  <c r="U102" i="87"/>
  <c r="H102" i="87" s="1"/>
  <c r="I164" i="101" s="1"/>
  <c r="M164" i="101" s="1"/>
  <c r="U103" i="87"/>
  <c r="H103" i="87" s="1"/>
  <c r="K164" i="101" s="1"/>
  <c r="O164" i="101" s="1"/>
  <c r="U107" i="87"/>
  <c r="H107" i="87" s="1"/>
  <c r="K165" i="101" s="1"/>
  <c r="O165" i="101" s="1"/>
  <c r="L90" i="87"/>
  <c r="L111" i="87" s="1"/>
  <c r="K111" i="87"/>
  <c r="P97" i="87"/>
  <c r="P93" i="87" s="1"/>
  <c r="K99" i="87"/>
  <c r="N99" i="87"/>
  <c r="N95" i="87" s="1"/>
  <c r="R99" i="87"/>
  <c r="R95" i="87" s="1"/>
  <c r="Q97" i="87"/>
  <c r="K98" i="87"/>
  <c r="S97" i="87"/>
  <c r="S93" i="87" s="1"/>
  <c r="O99" i="87"/>
  <c r="O95" i="87" s="1"/>
  <c r="T97" i="87"/>
  <c r="T93" i="87" s="1"/>
  <c r="P99" i="87"/>
  <c r="P95" i="87" s="1"/>
  <c r="J98" i="87"/>
  <c r="J94" i="87" s="1"/>
  <c r="O97" i="87"/>
  <c r="O93" i="87" s="1"/>
  <c r="Q99" i="87"/>
  <c r="Q95" i="87" s="1"/>
  <c r="L98" i="87"/>
  <c r="L94" i="87" s="1"/>
  <c r="S99" i="87"/>
  <c r="S95" i="87" s="1"/>
  <c r="N98" i="87"/>
  <c r="N94" i="87" s="1"/>
  <c r="T99" i="87"/>
  <c r="T95" i="87" s="1"/>
  <c r="O98" i="87"/>
  <c r="O94" i="87" s="1"/>
  <c r="I99" i="87"/>
  <c r="P98" i="87"/>
  <c r="P94" i="87" s="1"/>
  <c r="R98" i="87"/>
  <c r="R94" i="87" s="1"/>
  <c r="I97" i="87"/>
  <c r="J97" i="87"/>
  <c r="J93" i="87" s="1"/>
  <c r="Q98" i="87"/>
  <c r="Q94" i="87" s="1"/>
  <c r="I98" i="87"/>
  <c r="K97" i="87"/>
  <c r="J99" i="87"/>
  <c r="J95" i="87" s="1"/>
  <c r="L97" i="87"/>
  <c r="L93" i="87" s="1"/>
  <c r="S98" i="87"/>
  <c r="S94" i="87" s="1"/>
  <c r="N97" i="87"/>
  <c r="N93" i="87" s="1"/>
  <c r="T98" i="87"/>
  <c r="T94" i="87" s="1"/>
  <c r="E147" i="101"/>
  <c r="I16" i="87"/>
  <c r="I17" i="87"/>
  <c r="I18" i="87"/>
  <c r="H150" i="90"/>
  <c r="B167" i="90"/>
  <c r="E328" i="101" s="1"/>
  <c r="G129" i="90"/>
  <c r="H153" i="90"/>
  <c r="E301" i="101"/>
  <c r="H130" i="90"/>
  <c r="H171" i="90"/>
  <c r="F132" i="90"/>
  <c r="G132" i="90"/>
  <c r="F130" i="90"/>
  <c r="B8" i="90"/>
  <c r="E300" i="101" s="1"/>
  <c r="I9" i="90"/>
  <c r="I130" i="90"/>
  <c r="I153" i="90"/>
  <c r="I171" i="90"/>
  <c r="J130" i="90"/>
  <c r="J153" i="90"/>
  <c r="J171" i="90"/>
  <c r="B107" i="90"/>
  <c r="E317" i="101" s="1"/>
  <c r="H132" i="90"/>
  <c r="I132" i="90"/>
  <c r="J132" i="90"/>
  <c r="H111" i="90"/>
  <c r="I111" i="90"/>
  <c r="B149" i="90"/>
  <c r="E325" i="101" s="1"/>
  <c r="J150" i="90"/>
  <c r="I168" i="90"/>
  <c r="H129" i="90"/>
  <c r="H151" i="90"/>
  <c r="H169" i="90"/>
  <c r="I151" i="90"/>
  <c r="I169" i="90"/>
  <c r="I113" i="88"/>
  <c r="K113" i="88"/>
  <c r="I111" i="88"/>
  <c r="N111" i="88"/>
  <c r="V111" i="88"/>
  <c r="I112" i="88"/>
  <c r="N112" i="88"/>
  <c r="E113" i="101"/>
  <c r="F112" i="88"/>
  <c r="K111" i="88"/>
  <c r="J113" i="88"/>
  <c r="J112" i="88"/>
  <c r="K112" i="88"/>
  <c r="L111" i="88"/>
  <c r="L112" i="88"/>
  <c r="Q111" i="88"/>
  <c r="Q112" i="88"/>
  <c r="R113" i="88"/>
  <c r="S112" i="88"/>
  <c r="T112" i="88"/>
  <c r="T113" i="88"/>
  <c r="V112" i="88"/>
  <c r="P113" i="88"/>
  <c r="R112" i="88"/>
  <c r="T111" i="88"/>
  <c r="O111" i="88"/>
  <c r="O112" i="88"/>
  <c r="O113" i="88"/>
  <c r="P112" i="88"/>
  <c r="Q113" i="88"/>
  <c r="S111" i="88"/>
  <c r="W113" i="88"/>
  <c r="S113" i="88"/>
  <c r="W112" i="88"/>
  <c r="V113" i="88"/>
  <c r="P111" i="88"/>
  <c r="N113" i="88"/>
  <c r="W111" i="88"/>
  <c r="I136" i="84"/>
  <c r="F110" i="84"/>
  <c r="C78" i="84"/>
  <c r="E235" i="101" s="1"/>
  <c r="F112" i="84"/>
  <c r="K137" i="84"/>
  <c r="I12" i="85" s="1"/>
  <c r="J237" i="84"/>
  <c r="J242" i="84" s="1"/>
  <c r="M32" i="84"/>
  <c r="M12" i="84" s="1"/>
  <c r="G230" i="84"/>
  <c r="G112" i="84"/>
  <c r="R112" i="84" s="1"/>
  <c r="F200" i="84"/>
  <c r="K182" i="84"/>
  <c r="K187" i="84" s="1"/>
  <c r="O59" i="84"/>
  <c r="G97" i="84"/>
  <c r="R97" i="84" s="1"/>
  <c r="F120" i="84"/>
  <c r="J87" i="84"/>
  <c r="F122" i="84"/>
  <c r="G195" i="84"/>
  <c r="R195" i="84" s="1"/>
  <c r="F207" i="84"/>
  <c r="F175" i="84"/>
  <c r="Q59" i="84"/>
  <c r="T75" i="84"/>
  <c r="F250" i="84"/>
  <c r="F255" i="84"/>
  <c r="F95" i="84"/>
  <c r="J137" i="84"/>
  <c r="J142" i="84" s="1"/>
  <c r="L182" i="84"/>
  <c r="L187" i="84" s="1"/>
  <c r="I236" i="84"/>
  <c r="K235" i="84"/>
  <c r="K240" i="84" s="1"/>
  <c r="G212" i="84"/>
  <c r="R212" i="84" s="1"/>
  <c r="S40" i="84"/>
  <c r="K55" i="84"/>
  <c r="K40" i="84" s="1"/>
  <c r="K192" i="84"/>
  <c r="F205" i="84"/>
  <c r="F100" i="84"/>
  <c r="F117" i="84"/>
  <c r="E232" i="101"/>
  <c r="M14" i="84"/>
  <c r="S12" i="84"/>
  <c r="J52" i="84"/>
  <c r="J37" i="84" s="1"/>
  <c r="F97" i="84"/>
  <c r="G217" i="84"/>
  <c r="R217" i="84" s="1"/>
  <c r="T12" i="84"/>
  <c r="F105" i="84"/>
  <c r="F217" i="84"/>
  <c r="F230" i="84"/>
  <c r="F90" i="84"/>
  <c r="G122" i="84"/>
  <c r="R122" i="84" s="1"/>
  <c r="L137" i="84"/>
  <c r="J12" i="85" s="1"/>
  <c r="J39" i="85" s="1"/>
  <c r="G210" i="84"/>
  <c r="R210" i="84" s="1"/>
  <c r="M235" i="84"/>
  <c r="M240" i="84" s="1"/>
  <c r="O12" i="84"/>
  <c r="L58" i="84"/>
  <c r="F107" i="84"/>
  <c r="G115" i="84"/>
  <c r="R115" i="84" s="1"/>
  <c r="I134" i="84"/>
  <c r="I139" i="84" s="1"/>
  <c r="G175" i="84"/>
  <c r="R175" i="84" s="1"/>
  <c r="F212" i="84"/>
  <c r="G220" i="84"/>
  <c r="R220" i="84" s="1"/>
  <c r="I237" i="84"/>
  <c r="I242" i="84" s="1"/>
  <c r="E228" i="101"/>
  <c r="N59" i="84"/>
  <c r="F232" i="84"/>
  <c r="J54" i="84"/>
  <c r="G117" i="84"/>
  <c r="R117" i="84" s="1"/>
  <c r="L237" i="84"/>
  <c r="L242" i="84" s="1"/>
  <c r="M59" i="84"/>
  <c r="G110" i="84"/>
  <c r="R110" i="84" s="1"/>
  <c r="T77" i="84"/>
  <c r="G132" i="84"/>
  <c r="M180" i="84"/>
  <c r="M185" i="84" s="1"/>
  <c r="E223" i="101"/>
  <c r="G95" i="84"/>
  <c r="R95" i="84" s="1"/>
  <c r="K135" i="84"/>
  <c r="I10" i="85" s="1"/>
  <c r="F132" i="84"/>
  <c r="G215" i="84"/>
  <c r="R215" i="84" s="1"/>
  <c r="C36" i="84"/>
  <c r="E227" i="101" s="1"/>
  <c r="I182" i="84"/>
  <c r="I187" i="84" s="1"/>
  <c r="F215" i="84"/>
  <c r="Q58" i="84"/>
  <c r="K85" i="84"/>
  <c r="N12" i="84"/>
  <c r="G92" i="84"/>
  <c r="R92" i="84" s="1"/>
  <c r="F125" i="84"/>
  <c r="L192" i="84"/>
  <c r="G205" i="84"/>
  <c r="R205" i="84" s="1"/>
  <c r="G105" i="84"/>
  <c r="R105" i="84" s="1"/>
  <c r="G130" i="84"/>
  <c r="I181" i="84"/>
  <c r="G177" i="84"/>
  <c r="R177" i="84" s="1"/>
  <c r="Q61" i="84"/>
  <c r="I84" i="84"/>
  <c r="G120" i="84"/>
  <c r="R120" i="84" s="1"/>
  <c r="F177" i="84"/>
  <c r="T14" i="84"/>
  <c r="T61" i="84"/>
  <c r="L59" i="84"/>
  <c r="L87" i="84"/>
  <c r="F227" i="84"/>
  <c r="S77" i="84"/>
  <c r="I192" i="84"/>
  <c r="F220" i="84"/>
  <c r="G227" i="84"/>
  <c r="G107" i="84"/>
  <c r="R107" i="84" s="1"/>
  <c r="F127" i="84"/>
  <c r="I86" i="84"/>
  <c r="G86" i="84" s="1"/>
  <c r="I137" i="84"/>
  <c r="G12" i="85" s="1"/>
  <c r="F172" i="84"/>
  <c r="G200" i="84"/>
  <c r="R200" i="84" s="1"/>
  <c r="G222" i="84"/>
  <c r="R222" i="84" s="1"/>
  <c r="F222" i="84"/>
  <c r="G27" i="84"/>
  <c r="R27" i="84" s="1"/>
  <c r="G102" i="84"/>
  <c r="R102" i="84" s="1"/>
  <c r="S75" i="84"/>
  <c r="G202" i="84"/>
  <c r="R202" i="84" s="1"/>
  <c r="G64" i="84"/>
  <c r="R64" i="84" s="1"/>
  <c r="H64" i="84" s="1"/>
  <c r="J232" i="101" s="1"/>
  <c r="N232" i="101" s="1"/>
  <c r="M85" i="84"/>
  <c r="K87" i="84"/>
  <c r="M190" i="84"/>
  <c r="F210" i="84"/>
  <c r="G90" i="84"/>
  <c r="R90" i="84" s="1"/>
  <c r="G17" i="84"/>
  <c r="R17" i="84" s="1"/>
  <c r="T40" i="84"/>
  <c r="K37" i="84"/>
  <c r="I52" i="84"/>
  <c r="I37" i="84" s="1"/>
  <c r="L55" i="84"/>
  <c r="L40" i="84" s="1"/>
  <c r="P59" i="84"/>
  <c r="G127" i="84"/>
  <c r="K180" i="84"/>
  <c r="K185" i="84" s="1"/>
  <c r="L37" i="84"/>
  <c r="I191" i="84"/>
  <c r="G191" i="84" s="1"/>
  <c r="O14" i="84"/>
  <c r="M37" i="84"/>
  <c r="F50" i="84"/>
  <c r="S59" i="84"/>
  <c r="G100" i="84"/>
  <c r="R100" i="84" s="1"/>
  <c r="S14" i="84"/>
  <c r="L38" i="84"/>
  <c r="T59" i="84"/>
  <c r="K190" i="84"/>
  <c r="C10" i="84"/>
  <c r="E222" i="101" s="1"/>
  <c r="M38" i="84"/>
  <c r="L61" i="84"/>
  <c r="N38" i="84"/>
  <c r="M61" i="84"/>
  <c r="K11" i="84"/>
  <c r="L34" i="84"/>
  <c r="L14" i="84" s="1"/>
  <c r="O38" i="84"/>
  <c r="N61" i="84"/>
  <c r="F102" i="84"/>
  <c r="F195" i="84"/>
  <c r="L11" i="84"/>
  <c r="F24" i="84"/>
  <c r="S38" i="84"/>
  <c r="C57" i="84"/>
  <c r="E231" i="101" s="1"/>
  <c r="O61" i="84"/>
  <c r="G66" i="84"/>
  <c r="R66" i="84" s="1"/>
  <c r="I234" i="84"/>
  <c r="I239" i="84" s="1"/>
  <c r="M11" i="84"/>
  <c r="T38" i="84"/>
  <c r="K58" i="84"/>
  <c r="P61" i="84"/>
  <c r="F66" i="84"/>
  <c r="I87" i="84"/>
  <c r="G207" i="84"/>
  <c r="R207" i="84" s="1"/>
  <c r="F92" i="84"/>
  <c r="F202" i="84"/>
  <c r="L12" i="84"/>
  <c r="M40" i="84"/>
  <c r="M58" i="84"/>
  <c r="S61" i="84"/>
  <c r="G125" i="84"/>
  <c r="F130" i="84"/>
  <c r="N40" i="84"/>
  <c r="F115" i="84"/>
  <c r="J192" i="84"/>
  <c r="O40" i="84"/>
  <c r="F225" i="84"/>
  <c r="K10" i="85"/>
  <c r="K116" i="85" s="1"/>
  <c r="G225" i="84"/>
  <c r="K34" i="84"/>
  <c r="K14" i="84" s="1"/>
  <c r="G24" i="84"/>
  <c r="K59" i="84"/>
  <c r="I55" i="84"/>
  <c r="I40" i="84" s="1"/>
  <c r="N14" i="84"/>
  <c r="Q38" i="84"/>
  <c r="R26" i="85"/>
  <c r="P105" i="85"/>
  <c r="G54" i="86"/>
  <c r="I278" i="101" s="1"/>
  <c r="M278" i="101" s="1"/>
  <c r="H168" i="90"/>
  <c r="S26" i="85"/>
  <c r="G159" i="86"/>
  <c r="L297" i="101" s="1"/>
  <c r="P297" i="101" s="1"/>
  <c r="J168" i="90"/>
  <c r="I290" i="101"/>
  <c r="M290" i="101" s="1"/>
  <c r="J129" i="90"/>
  <c r="K299" i="101"/>
  <c r="O299" i="101" s="1"/>
  <c r="P131" i="85"/>
  <c r="G157" i="86"/>
  <c r="I297" i="101" s="1"/>
  <c r="M297" i="101" s="1"/>
  <c r="G56" i="86"/>
  <c r="L278" i="101" s="1"/>
  <c r="P278" i="101" s="1"/>
  <c r="O31" i="84"/>
  <c r="O11" i="84" s="1"/>
  <c r="O134" i="84"/>
  <c r="M9" i="85" s="1"/>
  <c r="M84" i="85" s="1"/>
  <c r="R226" i="88"/>
  <c r="F226" i="88" s="1"/>
  <c r="I150" i="90"/>
  <c r="I179" i="84"/>
  <c r="I184" i="84" s="1"/>
  <c r="F147" i="84"/>
  <c r="R235" i="88"/>
  <c r="F235" i="88" s="1"/>
  <c r="R239" i="88"/>
  <c r="F239" i="88" s="1"/>
  <c r="R243" i="88"/>
  <c r="F243" i="88" s="1"/>
  <c r="G147" i="84"/>
  <c r="R105" i="86"/>
  <c r="G105" i="86" s="1"/>
  <c r="H288" i="101" s="1"/>
  <c r="G288" i="101" s="1"/>
  <c r="F157" i="84"/>
  <c r="F162" i="84"/>
  <c r="R79" i="86"/>
  <c r="G79" i="86" s="1"/>
  <c r="F134" i="90"/>
  <c r="H322" i="101" s="1"/>
  <c r="G322" i="101" s="1"/>
  <c r="I189" i="84"/>
  <c r="R95" i="86"/>
  <c r="G95" i="86" s="1"/>
  <c r="H286" i="101" s="1"/>
  <c r="G286" i="101" s="1"/>
  <c r="R116" i="86"/>
  <c r="G116" i="86" s="1"/>
  <c r="G115" i="86" s="1"/>
  <c r="P179" i="84"/>
  <c r="P184" i="84" s="1"/>
  <c r="J31" i="84"/>
  <c r="J11" i="84" s="1"/>
  <c r="F27" i="84"/>
  <c r="G50" i="84"/>
  <c r="K61" i="84"/>
  <c r="I54" i="84"/>
  <c r="K32" i="84"/>
  <c r="K12" i="84" s="1"/>
  <c r="K53" i="84"/>
  <c r="K38" i="84" s="1"/>
  <c r="Q11" i="84"/>
  <c r="P12" i="84"/>
  <c r="P14" i="84"/>
  <c r="O52" i="84"/>
  <c r="O37" i="84" s="1"/>
  <c r="J68" i="84"/>
  <c r="J58" i="84" s="1"/>
  <c r="P58" i="84"/>
  <c r="S58" i="84"/>
  <c r="H9" i="85"/>
  <c r="H52" i="85" s="1"/>
  <c r="J139" i="84"/>
  <c r="I9" i="85"/>
  <c r="I31" i="85" s="1"/>
  <c r="K139" i="84"/>
  <c r="J9" i="85"/>
  <c r="J110" i="85" s="1"/>
  <c r="L139" i="84"/>
  <c r="K9" i="85"/>
  <c r="K52" i="85" s="1"/>
  <c r="M139" i="84"/>
  <c r="H10" i="85"/>
  <c r="J10" i="85"/>
  <c r="J15" i="85" s="1"/>
  <c r="L140" i="84"/>
  <c r="M10" i="85"/>
  <c r="M116" i="85" s="1"/>
  <c r="O140" i="84"/>
  <c r="N10" i="85"/>
  <c r="P140" i="84"/>
  <c r="P75" i="84" s="1"/>
  <c r="K12" i="85"/>
  <c r="K92" i="85" s="1"/>
  <c r="M142" i="84"/>
  <c r="L12" i="85"/>
  <c r="L55" i="85" s="1"/>
  <c r="N142" i="84"/>
  <c r="M12" i="85"/>
  <c r="M87" i="85" s="1"/>
  <c r="O142" i="84"/>
  <c r="N12" i="85"/>
  <c r="N92" i="85" s="1"/>
  <c r="P142" i="84"/>
  <c r="P77" i="84" s="1"/>
  <c r="G150" i="84"/>
  <c r="R150" i="84" s="1"/>
  <c r="F152" i="84"/>
  <c r="G165" i="84"/>
  <c r="R165" i="84" s="1"/>
  <c r="F167" i="84"/>
  <c r="J264" i="84"/>
  <c r="K264" i="84"/>
  <c r="L264" i="84"/>
  <c r="M264" i="84"/>
  <c r="J265" i="84"/>
  <c r="L265" i="84"/>
  <c r="N265" i="84"/>
  <c r="O265" i="84"/>
  <c r="M267" i="84"/>
  <c r="N267" i="84"/>
  <c r="O267" i="84"/>
  <c r="P234" i="84"/>
  <c r="P239" i="84" s="1"/>
  <c r="F245" i="84"/>
  <c r="P26" i="85"/>
  <c r="P63" i="85"/>
  <c r="S63" i="85"/>
  <c r="R105" i="85"/>
  <c r="S105" i="85"/>
  <c r="R131" i="85"/>
  <c r="R147" i="85"/>
  <c r="S147" i="85"/>
  <c r="T21" i="86"/>
  <c r="R43" i="86"/>
  <c r="R27" i="86"/>
  <c r="G27" i="86" s="1"/>
  <c r="I273" i="101" s="1"/>
  <c r="M273" i="101" s="1"/>
  <c r="R44" i="86"/>
  <c r="G44" i="86" s="1"/>
  <c r="K276" i="101" s="1"/>
  <c r="O276" i="101" s="1"/>
  <c r="R28" i="86"/>
  <c r="R45" i="86"/>
  <c r="G45" i="86" s="1"/>
  <c r="L276" i="101" s="1"/>
  <c r="P276" i="101" s="1"/>
  <c r="R29" i="86"/>
  <c r="R47" i="86"/>
  <c r="G47" i="86" s="1"/>
  <c r="H277" i="101" s="1"/>
  <c r="R48" i="86"/>
  <c r="G48" i="86" s="1"/>
  <c r="I277" i="101" s="1"/>
  <c r="M277" i="101" s="1"/>
  <c r="R32" i="86"/>
  <c r="G32" i="86" s="1"/>
  <c r="R49" i="86"/>
  <c r="G49" i="86" s="1"/>
  <c r="R33" i="86"/>
  <c r="G33" i="86" s="1"/>
  <c r="K274" i="101" s="1"/>
  <c r="O274" i="101" s="1"/>
  <c r="R50" i="86"/>
  <c r="G50" i="86" s="1"/>
  <c r="L277" i="101" s="1"/>
  <c r="P277" i="101" s="1"/>
  <c r="R34" i="86"/>
  <c r="G34" i="86" s="1"/>
  <c r="L274" i="101" s="1"/>
  <c r="P274" i="101" s="1"/>
  <c r="R58" i="86"/>
  <c r="G58" i="86" s="1"/>
  <c r="S53" i="86"/>
  <c r="G55" i="86"/>
  <c r="R74" i="86"/>
  <c r="G74" i="86" s="1"/>
  <c r="G70" i="86"/>
  <c r="R84" i="86"/>
  <c r="G84" i="86" s="1"/>
  <c r="T69" i="86"/>
  <c r="S90" i="86"/>
  <c r="G91" i="86"/>
  <c r="I285" i="101" s="1"/>
  <c r="M285" i="101" s="1"/>
  <c r="R110" i="86"/>
  <c r="G110" i="86" s="1"/>
  <c r="H289" i="101" s="1"/>
  <c r="G289" i="101" s="1"/>
  <c r="R122" i="86"/>
  <c r="G122" i="86" s="1"/>
  <c r="Q140" i="86"/>
  <c r="S140" i="86"/>
  <c r="G141" i="86"/>
  <c r="I294" i="101" s="1"/>
  <c r="M294" i="101" s="1"/>
  <c r="R150" i="86"/>
  <c r="G150" i="86" s="1"/>
  <c r="H296" i="101" s="1"/>
  <c r="R161" i="86"/>
  <c r="G161" i="86" s="1"/>
  <c r="H298" i="101" s="1"/>
  <c r="T156" i="86"/>
  <c r="R166" i="86"/>
  <c r="G166" i="86" s="1"/>
  <c r="H299" i="101" s="1"/>
  <c r="S156" i="86"/>
  <c r="H9" i="90"/>
  <c r="H108" i="90"/>
  <c r="F139" i="90"/>
  <c r="F144" i="90"/>
  <c r="AP16" i="95"/>
  <c r="BD16" i="95"/>
  <c r="BK16" i="95"/>
  <c r="AW20" i="95"/>
  <c r="AZ20" i="95" s="1"/>
  <c r="BD20" i="95"/>
  <c r="Z24" i="95"/>
  <c r="BD24" i="95"/>
  <c r="Q134" i="95"/>
  <c r="AA135" i="95"/>
  <c r="R143" i="95"/>
  <c r="AP148" i="95"/>
  <c r="AW148" i="95"/>
  <c r="BD148" i="95"/>
  <c r="BK148" i="95"/>
  <c r="N299" i="95"/>
  <c r="O73" i="88" s="1"/>
  <c r="O85" i="88" s="1"/>
  <c r="G85" i="88" s="1"/>
  <c r="U85" i="88" s="1"/>
  <c r="H85" i="88" s="1"/>
  <c r="P299" i="95"/>
  <c r="O75" i="88" s="1"/>
  <c r="O87" i="88" s="1"/>
  <c r="G87" i="88" s="1"/>
  <c r="U87" i="88" s="1"/>
  <c r="H87" i="88" s="1"/>
  <c r="K106" i="101" s="1"/>
  <c r="O106" i="101" s="1"/>
  <c r="O299" i="95"/>
  <c r="O74" i="88" s="1"/>
  <c r="O86" i="88" s="1"/>
  <c r="G86" i="88" s="1"/>
  <c r="U86" i="88" s="1"/>
  <c r="H86" i="88" s="1"/>
  <c r="I106" i="101" s="1"/>
  <c r="M106" i="101" s="1"/>
  <c r="O12" i="85"/>
  <c r="O34" i="85" s="1"/>
  <c r="Q142" i="84"/>
  <c r="F78" i="86"/>
  <c r="Q40" i="84"/>
  <c r="Q21" i="86"/>
  <c r="T37" i="86"/>
  <c r="O179" i="84"/>
  <c r="O184" i="84" s="1"/>
  <c r="S79" i="85"/>
  <c r="G155" i="84"/>
  <c r="R155" i="84" s="1"/>
  <c r="O189" i="84"/>
  <c r="G92" i="86"/>
  <c r="K285" i="101" s="1"/>
  <c r="O285" i="101" s="1"/>
  <c r="T140" i="86"/>
  <c r="F30" i="88"/>
  <c r="J108" i="90"/>
  <c r="Q12" i="84"/>
  <c r="S37" i="84"/>
  <c r="G152" i="84"/>
  <c r="T37" i="84"/>
  <c r="G160" i="84"/>
  <c r="R160" i="84" s="1"/>
  <c r="G245" i="84"/>
  <c r="R245" i="84" s="1"/>
  <c r="F20" i="86"/>
  <c r="G157" i="84"/>
  <c r="G250" i="84"/>
  <c r="R250" i="84" s="1"/>
  <c r="G255" i="84"/>
  <c r="R255" i="84" s="1"/>
  <c r="T53" i="86"/>
  <c r="G162" i="84"/>
  <c r="G172" i="84"/>
  <c r="R172" i="84" s="1"/>
  <c r="R182" i="84" s="1"/>
  <c r="R187" i="84" s="1"/>
  <c r="R31" i="86"/>
  <c r="G31" i="86" s="1"/>
  <c r="J9" i="90"/>
  <c r="I108" i="90"/>
  <c r="G247" i="84"/>
  <c r="T11" i="84"/>
  <c r="G167" i="84"/>
  <c r="F247" i="84"/>
  <c r="G252" i="84"/>
  <c r="G71" i="86"/>
  <c r="P11" i="84"/>
  <c r="F252" i="84"/>
  <c r="G257" i="84"/>
  <c r="R79" i="85"/>
  <c r="S11" i="84"/>
  <c r="S74" i="84"/>
  <c r="F43" i="88"/>
  <c r="Q14" i="84"/>
  <c r="Q37" i="84"/>
  <c r="T74" i="84"/>
  <c r="F160" i="86"/>
  <c r="T58" i="84"/>
  <c r="G145" i="84"/>
  <c r="R145" i="84" s="1"/>
  <c r="Q69" i="86"/>
  <c r="O91" i="85"/>
  <c r="O112" i="85"/>
  <c r="O117" i="85"/>
  <c r="O86" i="85"/>
  <c r="O70" i="85"/>
  <c r="O38" i="85"/>
  <c r="O22" i="85"/>
  <c r="O138" i="85"/>
  <c r="O154" i="85"/>
  <c r="O54" i="85"/>
  <c r="O16" i="85"/>
  <c r="O33" i="85"/>
  <c r="Q241" i="84"/>
  <c r="O9" i="85"/>
  <c r="Q139" i="84"/>
  <c r="Q74" i="84" s="1"/>
  <c r="Q242" i="84"/>
  <c r="Q76" i="84" s="1"/>
  <c r="F262" i="84"/>
  <c r="F170" i="84"/>
  <c r="P134" i="84"/>
  <c r="G170" i="84"/>
  <c r="R170" i="84" s="1"/>
  <c r="R180" i="84" s="1"/>
  <c r="R185" i="84" s="1"/>
  <c r="I259" i="84"/>
  <c r="O68" i="84"/>
  <c r="O58" i="84" s="1"/>
  <c r="J182" i="84"/>
  <c r="P79" i="85"/>
  <c r="R42" i="86"/>
  <c r="R26" i="86"/>
  <c r="E144" i="86"/>
  <c r="O234" i="84"/>
  <c r="M260" i="84"/>
  <c r="G260" i="84" s="1"/>
  <c r="R260" i="84" s="1"/>
  <c r="F145" i="84"/>
  <c r="F150" i="84"/>
  <c r="F155" i="84"/>
  <c r="F160" i="84"/>
  <c r="F165" i="84"/>
  <c r="R100" i="86"/>
  <c r="G100" i="86" s="1"/>
  <c r="H287" i="101" s="1"/>
  <c r="G287" i="101" s="1"/>
  <c r="Q90" i="86"/>
  <c r="Q140" i="84"/>
  <c r="O259" i="84"/>
  <c r="T90" i="86"/>
  <c r="E121" i="86"/>
  <c r="E109" i="86"/>
  <c r="E99" i="86"/>
  <c r="E62" i="86"/>
  <c r="F149" i="86"/>
  <c r="E149" i="86"/>
  <c r="F83" i="86"/>
  <c r="F73" i="86"/>
  <c r="E83" i="86"/>
  <c r="E73" i="86"/>
  <c r="F25" i="86"/>
  <c r="E160" i="86"/>
  <c r="F115" i="86"/>
  <c r="F104" i="86"/>
  <c r="F94" i="86"/>
  <c r="F57" i="86"/>
  <c r="E115" i="86"/>
  <c r="E104" i="86"/>
  <c r="E94" i="86"/>
  <c r="E57" i="86"/>
  <c r="F155" i="86"/>
  <c r="F144" i="86"/>
  <c r="E20" i="86"/>
  <c r="E155" i="86"/>
  <c r="E78" i="86"/>
  <c r="E52" i="86"/>
  <c r="F30" i="86"/>
  <c r="F165" i="86"/>
  <c r="E30" i="86"/>
  <c r="E165" i="86"/>
  <c r="E139" i="86"/>
  <c r="F121" i="86"/>
  <c r="F109" i="86"/>
  <c r="F99" i="86"/>
  <c r="F62" i="86"/>
  <c r="R63" i="86"/>
  <c r="G63" i="86" s="1"/>
  <c r="Q53" i="86"/>
  <c r="S69" i="86"/>
  <c r="O84" i="84"/>
  <c r="I262" i="84"/>
  <c r="G262" i="84" s="1"/>
  <c r="G48" i="84"/>
  <c r="R48" i="84" s="1"/>
  <c r="E25" i="86"/>
  <c r="F63" i="88"/>
  <c r="R147" i="89"/>
  <c r="AB149" i="95"/>
  <c r="Q156" i="86"/>
  <c r="R134" i="89"/>
  <c r="F134" i="89" s="1"/>
  <c r="R130" i="89"/>
  <c r="F130" i="89" s="1"/>
  <c r="R48" i="89"/>
  <c r="R116" i="89"/>
  <c r="F116" i="89" s="1"/>
  <c r="F115" i="89" s="1"/>
  <c r="F212" i="88"/>
  <c r="R44" i="89"/>
  <c r="F44" i="89" s="1"/>
  <c r="R112" i="89"/>
  <c r="F112" i="89" s="1"/>
  <c r="R40" i="89"/>
  <c r="R103" i="89"/>
  <c r="F103" i="89" s="1"/>
  <c r="R185" i="89"/>
  <c r="F185" i="89" s="1"/>
  <c r="F227" i="89" s="1"/>
  <c r="R189" i="89"/>
  <c r="F189" i="89" s="1"/>
  <c r="F231" i="89" s="1"/>
  <c r="R193" i="89"/>
  <c r="F193" i="89" s="1"/>
  <c r="R197" i="89"/>
  <c r="F197" i="89" s="1"/>
  <c r="I129" i="90"/>
  <c r="BR18" i="95"/>
  <c r="BS18" i="95" s="1"/>
  <c r="AA143" i="95"/>
  <c r="R27" i="89"/>
  <c r="F27" i="89" s="1"/>
  <c r="R90" i="89"/>
  <c r="F90" i="89" s="1"/>
  <c r="F89" i="89" s="1"/>
  <c r="R172" i="89"/>
  <c r="F172" i="89" s="1"/>
  <c r="F171" i="89" s="1"/>
  <c r="F26" i="88"/>
  <c r="R168" i="89"/>
  <c r="F168" i="89" s="1"/>
  <c r="F167" i="89" s="1"/>
  <c r="R145" i="86"/>
  <c r="F182" i="88"/>
  <c r="R19" i="89"/>
  <c r="F19" i="89" s="1"/>
  <c r="R82" i="89"/>
  <c r="F82" i="89" s="1"/>
  <c r="R164" i="89"/>
  <c r="F164" i="89" s="1"/>
  <c r="R15" i="89"/>
  <c r="F15" i="89" s="1"/>
  <c r="R78" i="89"/>
  <c r="F78" i="89" s="1"/>
  <c r="R155" i="89"/>
  <c r="F155" i="89" s="1"/>
  <c r="R69" i="89"/>
  <c r="F69" i="89" s="1"/>
  <c r="F68" i="89" s="1"/>
  <c r="R248" i="89"/>
  <c r="F84" i="88"/>
  <c r="AP143" i="95"/>
  <c r="AW143" i="95"/>
  <c r="BK143" i="95"/>
  <c r="AP139" i="95"/>
  <c r="AW139" i="95"/>
  <c r="BD139" i="95"/>
  <c r="BK139" i="95"/>
  <c r="AP134" i="95"/>
  <c r="BK134" i="95"/>
  <c r="BD129" i="95"/>
  <c r="BK129" i="95"/>
  <c r="BD118" i="95"/>
  <c r="AP129" i="95"/>
  <c r="AW129" i="95"/>
  <c r="AA125" i="95"/>
  <c r="Z124" i="95"/>
  <c r="AP124" i="95"/>
  <c r="AW124" i="95"/>
  <c r="BD124" i="95"/>
  <c r="BK124" i="95"/>
  <c r="BD54" i="95"/>
  <c r="AP104" i="95"/>
  <c r="AA121" i="95"/>
  <c r="CA121" i="95" s="1"/>
  <c r="AP121" i="95"/>
  <c r="AW121" i="95"/>
  <c r="BD121" i="95"/>
  <c r="BK121" i="95"/>
  <c r="BK118" i="95"/>
  <c r="AP118" i="95"/>
  <c r="AA112" i="95"/>
  <c r="AW118" i="95"/>
  <c r="AP112" i="95"/>
  <c r="AW112" i="95"/>
  <c r="BD112" i="95"/>
  <c r="BK112" i="95"/>
  <c r="P300" i="95"/>
  <c r="O59" i="89" s="1"/>
  <c r="O55" i="89" s="1"/>
  <c r="AA107" i="95"/>
  <c r="O15" i="88"/>
  <c r="G15" i="88" s="1"/>
  <c r="O295" i="95"/>
  <c r="O16" i="88" s="1"/>
  <c r="G16" i="88" s="1"/>
  <c r="U16" i="88" s="1"/>
  <c r="P296" i="95"/>
  <c r="O21" i="88" s="1"/>
  <c r="O33" i="88" s="1"/>
  <c r="O13" i="88" s="1"/>
  <c r="N297" i="95"/>
  <c r="O44" i="88" s="1"/>
  <c r="G44" i="88" s="1"/>
  <c r="U44" i="88" s="1"/>
  <c r="O297" i="95"/>
  <c r="O45" i="88" s="1"/>
  <c r="G45" i="88" s="1"/>
  <c r="U45" i="88" s="1"/>
  <c r="H45" i="88" s="1"/>
  <c r="AB105" i="95"/>
  <c r="AA104" i="95"/>
  <c r="CA104" i="95" s="1"/>
  <c r="AW104" i="95"/>
  <c r="BD104" i="95"/>
  <c r="BK104" i="95"/>
  <c r="AB100" i="95"/>
  <c r="AA99" i="95"/>
  <c r="CA99" i="95" s="1"/>
  <c r="AP99" i="95"/>
  <c r="AW99" i="95"/>
  <c r="BD99" i="95"/>
  <c r="BK99" i="95"/>
  <c r="BK94" i="95"/>
  <c r="G83" i="89"/>
  <c r="U83" i="89" s="1"/>
  <c r="H83" i="89" s="1"/>
  <c r="I19" i="101" s="1"/>
  <c r="M19" i="101" s="1"/>
  <c r="W110" i="89"/>
  <c r="BD94" i="95"/>
  <c r="AA94" i="95"/>
  <c r="AP94" i="95"/>
  <c r="AW94" i="95"/>
  <c r="AB90" i="95"/>
  <c r="AA89" i="95"/>
  <c r="CA89" i="95" s="1"/>
  <c r="AW89" i="95"/>
  <c r="K155" i="88"/>
  <c r="BD89" i="95"/>
  <c r="BK89" i="95"/>
  <c r="AP89" i="95"/>
  <c r="E123" i="101"/>
  <c r="AW84" i="95"/>
  <c r="AR147" i="95"/>
  <c r="AA84" i="95"/>
  <c r="AP84" i="95"/>
  <c r="BD84" i="95"/>
  <c r="BK84" i="95"/>
  <c r="AW65" i="95"/>
  <c r="AA78" i="95"/>
  <c r="CA78" i="95" s="1"/>
  <c r="AP78" i="95"/>
  <c r="AW78" i="95"/>
  <c r="AY147" i="95"/>
  <c r="BD78" i="95"/>
  <c r="BK78" i="95"/>
  <c r="BK74" i="95"/>
  <c r="AQ147" i="95"/>
  <c r="G16" i="89"/>
  <c r="U16" i="89" s="1"/>
  <c r="H16" i="89" s="1"/>
  <c r="I3" i="101" s="1"/>
  <c r="M3" i="101" s="1"/>
  <c r="AW61" i="95"/>
  <c r="BD65" i="95"/>
  <c r="BK69" i="95"/>
  <c r="AB75" i="95"/>
  <c r="AA74" i="95"/>
  <c r="AP74" i="95"/>
  <c r="AW74" i="95"/>
  <c r="BD74" i="95"/>
  <c r="AB70" i="95"/>
  <c r="AA69" i="95"/>
  <c r="CA69" i="95" s="1"/>
  <c r="AP69" i="95"/>
  <c r="AW69" i="95"/>
  <c r="BD69" i="95"/>
  <c r="AB66" i="95"/>
  <c r="AA65" i="95"/>
  <c r="CA65" i="95" s="1"/>
  <c r="AP65" i="95"/>
  <c r="BK65" i="95"/>
  <c r="W154" i="88"/>
  <c r="AB62" i="95"/>
  <c r="AA61" i="95"/>
  <c r="CA61" i="95" s="1"/>
  <c r="AP61" i="95"/>
  <c r="BD61" i="95"/>
  <c r="BK61" i="95"/>
  <c r="BD49" i="95"/>
  <c r="J96" i="88"/>
  <c r="S37" i="87"/>
  <c r="O154" i="88"/>
  <c r="G45" i="89"/>
  <c r="U45" i="89" s="1"/>
  <c r="H45" i="89" s="1"/>
  <c r="I10" i="101" s="1"/>
  <c r="M10" i="101" s="1"/>
  <c r="O75" i="87"/>
  <c r="S154" i="88"/>
  <c r="AB85" i="95"/>
  <c r="V155" i="88"/>
  <c r="R156" i="88"/>
  <c r="G104" i="89"/>
  <c r="U104" i="89" s="1"/>
  <c r="H104" i="89" s="1"/>
  <c r="AB58" i="95"/>
  <c r="AA57" i="95"/>
  <c r="AP57" i="95"/>
  <c r="AW57" i="95"/>
  <c r="BD57" i="95"/>
  <c r="BK57" i="95"/>
  <c r="AP54" i="95"/>
  <c r="AB119" i="95"/>
  <c r="AW54" i="95"/>
  <c r="G28" i="89"/>
  <c r="U28" i="89" s="1"/>
  <c r="H28" i="89" s="1"/>
  <c r="I6" i="101" s="1"/>
  <c r="M6" i="101" s="1"/>
  <c r="P64" i="88"/>
  <c r="G64" i="88" s="1"/>
  <c r="U64" i="88" s="1"/>
  <c r="H64" i="88" s="1"/>
  <c r="H101" i="101" s="1"/>
  <c r="Q156" i="88"/>
  <c r="T156" i="88"/>
  <c r="V13" i="89"/>
  <c r="AB55" i="95"/>
  <c r="AA54" i="95"/>
  <c r="CA54" i="95" s="1"/>
  <c r="Q124" i="88"/>
  <c r="R155" i="88"/>
  <c r="AC20" i="95"/>
  <c r="BK54" i="95"/>
  <c r="AA44" i="95"/>
  <c r="CA44" i="95" s="1"/>
  <c r="G20" i="89"/>
  <c r="W70" i="88"/>
  <c r="AP49" i="95"/>
  <c r="J207" i="88"/>
  <c r="BK49" i="95"/>
  <c r="AB95" i="95"/>
  <c r="K108" i="89"/>
  <c r="AA37" i="95"/>
  <c r="CA37" i="95" s="1"/>
  <c r="Q108" i="89"/>
  <c r="F160" i="88"/>
  <c r="G164" i="88"/>
  <c r="U164" i="88" s="1"/>
  <c r="H164" i="88" s="1"/>
  <c r="K124" i="101" s="1"/>
  <c r="O124" i="101" s="1"/>
  <c r="G133" i="88"/>
  <c r="U133" i="88" s="1"/>
  <c r="H133" i="88" s="1"/>
  <c r="I117" i="101" s="1"/>
  <c r="M117" i="101" s="1"/>
  <c r="E159" i="101"/>
  <c r="S141" i="89"/>
  <c r="AW49" i="95"/>
  <c r="J70" i="88"/>
  <c r="T76" i="89"/>
  <c r="G218" i="88"/>
  <c r="U218" i="88" s="1"/>
  <c r="H218" i="88" s="1"/>
  <c r="I137" i="101" s="1"/>
  <c r="M137" i="101" s="1"/>
  <c r="AB116" i="95"/>
  <c r="E33" i="101"/>
  <c r="G65" i="88"/>
  <c r="U65" i="88" s="1"/>
  <c r="H65" i="88" s="1"/>
  <c r="I101" i="101" s="1"/>
  <c r="M101" i="101" s="1"/>
  <c r="G176" i="88"/>
  <c r="U176" i="88" s="1"/>
  <c r="H176" i="88" s="1"/>
  <c r="G103" i="88"/>
  <c r="U103" i="88" s="1"/>
  <c r="H103" i="88" s="1"/>
  <c r="I110" i="101" s="1"/>
  <c r="M110" i="101" s="1"/>
  <c r="S125" i="88"/>
  <c r="P127" i="89"/>
  <c r="F109" i="89"/>
  <c r="T13" i="89"/>
  <c r="S109" i="89"/>
  <c r="G143" i="89"/>
  <c r="U143" i="89" s="1"/>
  <c r="R110" i="89"/>
  <c r="G201" i="88"/>
  <c r="U201" i="88" s="1"/>
  <c r="H201" i="88" s="1"/>
  <c r="I133" i="101" s="1"/>
  <c r="M133" i="101" s="1"/>
  <c r="G131" i="87"/>
  <c r="U131" i="87" s="1"/>
  <c r="I127" i="89"/>
  <c r="AC102" i="95"/>
  <c r="AC98" i="95"/>
  <c r="AC87" i="95"/>
  <c r="G100" i="88"/>
  <c r="U100" i="88" s="1"/>
  <c r="T95" i="88"/>
  <c r="V125" i="88"/>
  <c r="T139" i="88"/>
  <c r="S207" i="88"/>
  <c r="I128" i="89"/>
  <c r="BM18" i="95"/>
  <c r="W125" i="88"/>
  <c r="G113" i="89"/>
  <c r="U113" i="89" s="1"/>
  <c r="AB103" i="95"/>
  <c r="G177" i="89"/>
  <c r="U177" i="89" s="1"/>
  <c r="H177" i="89" s="1"/>
  <c r="I41" i="101" s="1"/>
  <c r="M41" i="101" s="1"/>
  <c r="G194" i="89"/>
  <c r="G236" i="89" s="1"/>
  <c r="AB83" i="95"/>
  <c r="W171" i="88"/>
  <c r="G66" i="89"/>
  <c r="U66" i="89" s="1"/>
  <c r="H66" i="89" s="1"/>
  <c r="I15" i="101" s="1"/>
  <c r="M15" i="101" s="1"/>
  <c r="AB115" i="95"/>
  <c r="K41" i="88"/>
  <c r="G61" i="87"/>
  <c r="U61" i="87" s="1"/>
  <c r="H61" i="87" s="1"/>
  <c r="I155" i="101" s="1"/>
  <c r="M155" i="101" s="1"/>
  <c r="G58" i="89"/>
  <c r="U58" i="89" s="1"/>
  <c r="K36" i="87"/>
  <c r="AW30" i="95"/>
  <c r="S36" i="87"/>
  <c r="AB45" i="95"/>
  <c r="AB91" i="95"/>
  <c r="V37" i="87"/>
  <c r="AB122" i="95"/>
  <c r="S160" i="89"/>
  <c r="AB60" i="95"/>
  <c r="G99" i="88"/>
  <c r="U99" i="88" s="1"/>
  <c r="I124" i="88"/>
  <c r="I126" i="88"/>
  <c r="AC67" i="95"/>
  <c r="AC64" i="95"/>
  <c r="BV165" i="88" s="1"/>
  <c r="AC47" i="95"/>
  <c r="BV105" i="88" s="1"/>
  <c r="AS20" i="95"/>
  <c r="AB11" i="95"/>
  <c r="AB77" i="95"/>
  <c r="AB126" i="95"/>
  <c r="V205" i="88"/>
  <c r="L110" i="89"/>
  <c r="C125" i="89"/>
  <c r="E29" i="101" s="1"/>
  <c r="AC109" i="95"/>
  <c r="AC117" i="95"/>
  <c r="R207" i="88"/>
  <c r="V110" i="89"/>
  <c r="BD37" i="95"/>
  <c r="AW44" i="95"/>
  <c r="G151" i="89"/>
  <c r="U151" i="89" s="1"/>
  <c r="H151" i="89" s="1"/>
  <c r="AA9" i="95"/>
  <c r="BD44" i="95"/>
  <c r="L40" i="88"/>
  <c r="V128" i="89"/>
  <c r="AB108" i="95"/>
  <c r="AB120" i="95"/>
  <c r="AA15" i="95"/>
  <c r="V41" i="88"/>
  <c r="N108" i="89"/>
  <c r="BK44" i="95"/>
  <c r="AB79" i="95"/>
  <c r="O73" i="87"/>
  <c r="O115" i="87"/>
  <c r="P108" i="89"/>
  <c r="G146" i="88"/>
  <c r="U146" i="88" s="1"/>
  <c r="H146" i="88" s="1"/>
  <c r="I120" i="101" s="1"/>
  <c r="M120" i="101" s="1"/>
  <c r="G152" i="89"/>
  <c r="U152" i="89" s="1"/>
  <c r="H152" i="89" s="1"/>
  <c r="I35" i="101" s="1"/>
  <c r="M35" i="101" s="1"/>
  <c r="AC123" i="95"/>
  <c r="AB127" i="95"/>
  <c r="J11" i="89"/>
  <c r="K38" i="87"/>
  <c r="L74" i="89"/>
  <c r="AX18" i="95"/>
  <c r="AP44" i="95"/>
  <c r="AC114" i="95"/>
  <c r="P38" i="87"/>
  <c r="W232" i="88"/>
  <c r="G49" i="89"/>
  <c r="U49" i="89" s="1"/>
  <c r="H49" i="89" s="1"/>
  <c r="I11" i="101" s="1"/>
  <c r="M11" i="101" s="1"/>
  <c r="J76" i="89"/>
  <c r="N97" i="89"/>
  <c r="G117" i="89"/>
  <c r="U117" i="89" s="1"/>
  <c r="H117" i="89" s="1"/>
  <c r="I27" i="101" s="1"/>
  <c r="M27" i="101" s="1"/>
  <c r="AY18" i="95"/>
  <c r="N11" i="87"/>
  <c r="F54" i="88"/>
  <c r="F51" i="88" s="1"/>
  <c r="R76" i="89"/>
  <c r="P162" i="89"/>
  <c r="G36" i="88"/>
  <c r="U36" i="88" s="1"/>
  <c r="H36" i="88" s="1"/>
  <c r="I94" i="101" s="1"/>
  <c r="M94" i="101" s="1"/>
  <c r="V96" i="88"/>
  <c r="J109" i="89"/>
  <c r="AB113" i="95"/>
  <c r="AA130" i="95"/>
  <c r="AB144" i="95"/>
  <c r="N296" i="95"/>
  <c r="O19" i="88" s="1"/>
  <c r="G19" i="88" s="1"/>
  <c r="U19" i="88" s="1"/>
  <c r="H19" i="88" s="1"/>
  <c r="H90" i="101" s="1"/>
  <c r="N300" i="95"/>
  <c r="O57" i="89" s="1"/>
  <c r="O53" i="89" s="1"/>
  <c r="AX147" i="95"/>
  <c r="AB80" i="95"/>
  <c r="AB88" i="95"/>
  <c r="AB110" i="95"/>
  <c r="N298" i="95"/>
  <c r="O52" i="88" s="1"/>
  <c r="G52" i="88" s="1"/>
  <c r="O298" i="95"/>
  <c r="O53" i="88" s="1"/>
  <c r="S75" i="87"/>
  <c r="T74" i="87"/>
  <c r="G149" i="88"/>
  <c r="U149" i="88" s="1"/>
  <c r="H149" i="88" s="1"/>
  <c r="H121" i="101" s="1"/>
  <c r="N154" i="88"/>
  <c r="P156" i="88"/>
  <c r="L205" i="88"/>
  <c r="C10" i="89"/>
  <c r="E2" i="101" s="1"/>
  <c r="G37" i="89"/>
  <c r="U37" i="89" s="1"/>
  <c r="P76" i="89"/>
  <c r="S126" i="89"/>
  <c r="P126" i="89"/>
  <c r="K115" i="87"/>
  <c r="V126" i="89"/>
  <c r="L115" i="87"/>
  <c r="T115" i="87"/>
  <c r="S156" i="88"/>
  <c r="S205" i="88"/>
  <c r="N76" i="89"/>
  <c r="J127" i="89"/>
  <c r="P115" i="87"/>
  <c r="G49" i="88"/>
  <c r="U49" i="88" s="1"/>
  <c r="H49" i="88" s="1"/>
  <c r="I97" i="101" s="1"/>
  <c r="M97" i="101" s="1"/>
  <c r="F172" i="88"/>
  <c r="J96" i="89"/>
  <c r="K127" i="89"/>
  <c r="W116" i="87"/>
  <c r="G127" i="87"/>
  <c r="G120" i="88"/>
  <c r="U120" i="88" s="1"/>
  <c r="H120" i="88" s="1"/>
  <c r="I114" i="101" s="1"/>
  <c r="M114" i="101" s="1"/>
  <c r="V154" i="88"/>
  <c r="V156" i="88"/>
  <c r="K206" i="88"/>
  <c r="G222" i="88"/>
  <c r="U222" i="88" s="1"/>
  <c r="H222" i="88" s="1"/>
  <c r="I138" i="101" s="1"/>
  <c r="M138" i="101" s="1"/>
  <c r="J12" i="89"/>
  <c r="V96" i="89"/>
  <c r="L127" i="89"/>
  <c r="G169" i="89"/>
  <c r="U169" i="89" s="1"/>
  <c r="H169" i="89" s="1"/>
  <c r="I39" i="101" s="1"/>
  <c r="M39" i="101" s="1"/>
  <c r="G50" i="88"/>
  <c r="U50" i="88" s="1"/>
  <c r="H50" i="88" s="1"/>
  <c r="K97" i="101" s="1"/>
  <c r="O97" i="101" s="1"/>
  <c r="O94" i="88"/>
  <c r="G183" i="88"/>
  <c r="U183" i="88" s="1"/>
  <c r="H183" i="88" s="1"/>
  <c r="T206" i="88"/>
  <c r="N206" i="88"/>
  <c r="I97" i="89"/>
  <c r="L97" i="89"/>
  <c r="T116" i="87"/>
  <c r="G28" i="88"/>
  <c r="U28" i="88" s="1"/>
  <c r="H28" i="88" s="1"/>
  <c r="W40" i="88"/>
  <c r="W94" i="88"/>
  <c r="F100" i="88"/>
  <c r="G121" i="88"/>
  <c r="U121" i="88" s="1"/>
  <c r="H121" i="88" s="1"/>
  <c r="K114" i="101" s="1"/>
  <c r="O114" i="101" s="1"/>
  <c r="F155" i="88"/>
  <c r="V206" i="88"/>
  <c r="G215" i="88"/>
  <c r="U215" i="88" s="1"/>
  <c r="H215" i="88" s="1"/>
  <c r="K136" i="101" s="1"/>
  <c r="O136" i="101" s="1"/>
  <c r="R127" i="89"/>
  <c r="K160" i="89"/>
  <c r="O36" i="87"/>
  <c r="L41" i="88"/>
  <c r="W95" i="88"/>
  <c r="G150" i="88"/>
  <c r="U150" i="88" s="1"/>
  <c r="H150" i="88" s="1"/>
  <c r="I121" i="101" s="1"/>
  <c r="M121" i="101" s="1"/>
  <c r="L155" i="88"/>
  <c r="P171" i="88"/>
  <c r="P207" i="88"/>
  <c r="F123" i="89"/>
  <c r="J128" i="89"/>
  <c r="L136" i="89"/>
  <c r="G136" i="89" s="1"/>
  <c r="U136" i="89" s="1"/>
  <c r="H136" i="89" s="1"/>
  <c r="T160" i="89"/>
  <c r="N114" i="87"/>
  <c r="N41" i="88"/>
  <c r="Q155" i="88"/>
  <c r="I95" i="89"/>
  <c r="O128" i="89"/>
  <c r="J161" i="89"/>
  <c r="Q18" i="87"/>
  <c r="K73" i="87"/>
  <c r="F134" i="88"/>
  <c r="G123" i="89"/>
  <c r="U123" i="89" s="1"/>
  <c r="H123" i="89" s="1"/>
  <c r="K28" i="101" s="1"/>
  <c r="O28" i="101" s="1"/>
  <c r="T128" i="89"/>
  <c r="V161" i="89"/>
  <c r="L73" i="87"/>
  <c r="S74" i="87"/>
  <c r="T155" i="88"/>
  <c r="G197" i="88"/>
  <c r="U197" i="88" s="1"/>
  <c r="H197" i="88" s="1"/>
  <c r="I132" i="101" s="1"/>
  <c r="M132" i="101" s="1"/>
  <c r="O207" i="88"/>
  <c r="G217" i="88"/>
  <c r="U217" i="88" s="1"/>
  <c r="H217" i="88" s="1"/>
  <c r="L139" i="89"/>
  <c r="P11" i="89"/>
  <c r="Q38" i="87"/>
  <c r="K75" i="87"/>
  <c r="G154" i="87"/>
  <c r="U154" i="87" s="1"/>
  <c r="U82" i="96" s="1"/>
  <c r="AB82" i="96" s="1"/>
  <c r="G61" i="88"/>
  <c r="U61" i="88" s="1"/>
  <c r="H61" i="88" s="1"/>
  <c r="I100" i="101" s="1"/>
  <c r="M100" i="101" s="1"/>
  <c r="C153" i="88"/>
  <c r="E122" i="101" s="1"/>
  <c r="W155" i="88"/>
  <c r="K126" i="89"/>
  <c r="P75" i="87"/>
  <c r="N74" i="87"/>
  <c r="J40" i="88"/>
  <c r="J156" i="88"/>
  <c r="L126" i="89"/>
  <c r="J160" i="89"/>
  <c r="R75" i="87"/>
  <c r="G62" i="88"/>
  <c r="U62" i="88" s="1"/>
  <c r="H62" i="88" s="1"/>
  <c r="K100" i="101" s="1"/>
  <c r="O100" i="101" s="1"/>
  <c r="P94" i="88"/>
  <c r="L154" i="88"/>
  <c r="K156" i="88"/>
  <c r="G163" i="88"/>
  <c r="U163" i="88" s="1"/>
  <c r="H163" i="88" s="1"/>
  <c r="I124" i="101" s="1"/>
  <c r="M124" i="101" s="1"/>
  <c r="C204" i="88"/>
  <c r="E134" i="101" s="1"/>
  <c r="N205" i="88"/>
  <c r="G92" i="89"/>
  <c r="U92" i="89" s="1"/>
  <c r="H92" i="89" s="1"/>
  <c r="Q126" i="89"/>
  <c r="R12" i="87"/>
  <c r="E153" i="101"/>
  <c r="U78" i="88"/>
  <c r="H78" i="88" s="1"/>
  <c r="I104" i="101" s="1"/>
  <c r="M104" i="101" s="1"/>
  <c r="W13" i="87"/>
  <c r="E148" i="101"/>
  <c r="R13" i="87"/>
  <c r="V18" i="87"/>
  <c r="P13" i="87"/>
  <c r="O18" i="87"/>
  <c r="J13" i="87"/>
  <c r="K18" i="87"/>
  <c r="J18" i="87"/>
  <c r="V12" i="87"/>
  <c r="R17" i="87"/>
  <c r="P12" i="87"/>
  <c r="Q17" i="87"/>
  <c r="O12" i="87"/>
  <c r="O17" i="87"/>
  <c r="L17" i="87"/>
  <c r="W11" i="87"/>
  <c r="V16" i="87"/>
  <c r="T11" i="87"/>
  <c r="O16" i="87"/>
  <c r="K11" i="87"/>
  <c r="E92" i="101"/>
  <c r="J95" i="89"/>
  <c r="Q140" i="89"/>
  <c r="E34" i="101"/>
  <c r="C10" i="87"/>
  <c r="E145" i="101" s="1"/>
  <c r="I139" i="88"/>
  <c r="E120" i="101"/>
  <c r="R58" i="87"/>
  <c r="P57" i="87"/>
  <c r="N57" i="87"/>
  <c r="V56" i="87"/>
  <c r="Q56" i="87"/>
  <c r="K56" i="87"/>
  <c r="E155" i="101"/>
  <c r="I58" i="87"/>
  <c r="R138" i="88"/>
  <c r="E104" i="101"/>
  <c r="S70" i="88"/>
  <c r="L149" i="89"/>
  <c r="F149" i="89" s="1"/>
  <c r="G58" i="88"/>
  <c r="U58" i="88" s="1"/>
  <c r="H58" i="88" s="1"/>
  <c r="K99" i="101" s="1"/>
  <c r="O99" i="101" s="1"/>
  <c r="F58" i="88"/>
  <c r="F55" i="88" s="1"/>
  <c r="I70" i="88"/>
  <c r="L54" i="89"/>
  <c r="E16" i="101"/>
  <c r="J137" i="88"/>
  <c r="L16" i="87"/>
  <c r="K116" i="87"/>
  <c r="L120" i="87"/>
  <c r="P16" i="87"/>
  <c r="I171" i="88"/>
  <c r="E57" i="101"/>
  <c r="BD5" i="95"/>
  <c r="W34" i="89"/>
  <c r="J34" i="89"/>
  <c r="E11" i="101"/>
  <c r="K33" i="89"/>
  <c r="I55" i="89"/>
  <c r="V54" i="89"/>
  <c r="T54" i="89"/>
  <c r="Q54" i="89"/>
  <c r="K53" i="89"/>
  <c r="P54" i="89"/>
  <c r="N54" i="89"/>
  <c r="W53" i="89"/>
  <c r="I53" i="89"/>
  <c r="S55" i="89"/>
  <c r="P55" i="89"/>
  <c r="E13" i="101"/>
  <c r="L25" i="88"/>
  <c r="G25" i="88" s="1"/>
  <c r="U25" i="88" s="1"/>
  <c r="H25" i="88" s="1"/>
  <c r="K91" i="101" s="1"/>
  <c r="O91" i="101" s="1"/>
  <c r="N36" i="87"/>
  <c r="G157" i="89"/>
  <c r="U157" i="89" s="1"/>
  <c r="H157" i="89" s="1"/>
  <c r="W114" i="87"/>
  <c r="S116" i="87"/>
  <c r="G29" i="88"/>
  <c r="U29" i="88" s="1"/>
  <c r="H29" i="88" s="1"/>
  <c r="K92" i="101" s="1"/>
  <c r="O92" i="101" s="1"/>
  <c r="S138" i="88"/>
  <c r="I172" i="88"/>
  <c r="J139" i="89"/>
  <c r="AA30" i="95"/>
  <c r="CA30" i="95" s="1"/>
  <c r="AB34" i="95"/>
  <c r="J36" i="87"/>
  <c r="I38" i="87"/>
  <c r="J115" i="87"/>
  <c r="F154" i="87"/>
  <c r="O95" i="88"/>
  <c r="K125" i="88"/>
  <c r="G129" i="88"/>
  <c r="V138" i="88"/>
  <c r="P138" i="88"/>
  <c r="S206" i="88"/>
  <c r="G36" i="89"/>
  <c r="U36" i="89" s="1"/>
  <c r="H36" i="89" s="1"/>
  <c r="H8" i="101" s="1"/>
  <c r="G87" i="89"/>
  <c r="U87" i="89" s="1"/>
  <c r="H87" i="89" s="1"/>
  <c r="I20" i="101" s="1"/>
  <c r="M20" i="101" s="1"/>
  <c r="O108" i="89"/>
  <c r="L153" i="89"/>
  <c r="L195" i="89"/>
  <c r="F195" i="89" s="1"/>
  <c r="P11" i="87"/>
  <c r="T13" i="87"/>
  <c r="G107" i="88"/>
  <c r="U107" i="88" s="1"/>
  <c r="H107" i="88" s="1"/>
  <c r="I111" i="101" s="1"/>
  <c r="M111" i="101" s="1"/>
  <c r="G214" i="88"/>
  <c r="U214" i="88" s="1"/>
  <c r="H214" i="88" s="1"/>
  <c r="I136" i="101" s="1"/>
  <c r="M136" i="101" s="1"/>
  <c r="G24" i="89"/>
  <c r="U24" i="89" s="1"/>
  <c r="H24" i="89" s="1"/>
  <c r="I5" i="101" s="1"/>
  <c r="M5" i="101" s="1"/>
  <c r="F80" i="89"/>
  <c r="W141" i="89"/>
  <c r="R11" i="87"/>
  <c r="P36" i="87"/>
  <c r="R38" i="87"/>
  <c r="J56" i="87"/>
  <c r="G65" i="87"/>
  <c r="U65" i="87" s="1"/>
  <c r="H65" i="87" s="1"/>
  <c r="I156" i="101" s="1"/>
  <c r="M156" i="101" s="1"/>
  <c r="G68" i="87"/>
  <c r="U68" i="87" s="1"/>
  <c r="H68" i="87" s="1"/>
  <c r="O74" i="87"/>
  <c r="I75" i="87"/>
  <c r="Q115" i="87"/>
  <c r="W71" i="88"/>
  <c r="T96" i="88"/>
  <c r="N126" i="88"/>
  <c r="G159" i="88"/>
  <c r="U159" i="88" s="1"/>
  <c r="I188" i="88"/>
  <c r="N53" i="89"/>
  <c r="L75" i="89"/>
  <c r="G122" i="89"/>
  <c r="U122" i="89" s="1"/>
  <c r="H122" i="89" s="1"/>
  <c r="G131" i="89"/>
  <c r="U131" i="89" s="1"/>
  <c r="AB19" i="95"/>
  <c r="AC33" i="95"/>
  <c r="BV22" i="88" s="1"/>
  <c r="Q36" i="87"/>
  <c r="W38" i="87"/>
  <c r="N56" i="87"/>
  <c r="V73" i="87"/>
  <c r="C113" i="87"/>
  <c r="E167" i="101" s="1"/>
  <c r="R115" i="87"/>
  <c r="L124" i="87"/>
  <c r="G124" i="87" s="1"/>
  <c r="U124" i="87" s="1"/>
  <c r="H124" i="87" s="1"/>
  <c r="K169" i="101" s="1"/>
  <c r="O169" i="101" s="1"/>
  <c r="G90" i="88"/>
  <c r="U90" i="88" s="1"/>
  <c r="H90" i="88" s="1"/>
  <c r="I107" i="101" s="1"/>
  <c r="M107" i="101" s="1"/>
  <c r="Q125" i="88"/>
  <c r="G134" i="88"/>
  <c r="U134" i="88" s="1"/>
  <c r="H134" i="88" s="1"/>
  <c r="K117" i="101" s="1"/>
  <c r="O117" i="101" s="1"/>
  <c r="P53" i="89"/>
  <c r="G118" i="89"/>
  <c r="U118" i="89" s="1"/>
  <c r="H118" i="89" s="1"/>
  <c r="K27" i="101" s="1"/>
  <c r="O27" i="101" s="1"/>
  <c r="BK12" i="95"/>
  <c r="P56" i="87"/>
  <c r="W73" i="87"/>
  <c r="N75" i="87"/>
  <c r="S115" i="87"/>
  <c r="P137" i="88"/>
  <c r="G173" i="89"/>
  <c r="U173" i="89" s="1"/>
  <c r="H173" i="89" s="1"/>
  <c r="I40" i="101" s="1"/>
  <c r="M40" i="101" s="1"/>
  <c r="F207" i="89"/>
  <c r="AA16" i="95"/>
  <c r="CA16" i="95" s="1"/>
  <c r="AC29" i="95"/>
  <c r="V36" i="87"/>
  <c r="J74" i="87"/>
  <c r="K114" i="87"/>
  <c r="P114" i="87"/>
  <c r="K13" i="88"/>
  <c r="J42" i="88"/>
  <c r="G54" i="88"/>
  <c r="U54" i="88" s="1"/>
  <c r="H54" i="88" s="1"/>
  <c r="K98" i="101" s="1"/>
  <c r="O98" i="101" s="1"/>
  <c r="G116" i="88"/>
  <c r="C136" i="88"/>
  <c r="E118" i="101" s="1"/>
  <c r="L156" i="88"/>
  <c r="T207" i="88"/>
  <c r="T74" i="89"/>
  <c r="N110" i="89"/>
  <c r="K128" i="89"/>
  <c r="O162" i="89"/>
  <c r="BK5" i="95"/>
  <c r="AB17" i="95"/>
  <c r="BF18" i="95"/>
  <c r="F12" i="87"/>
  <c r="W36" i="87"/>
  <c r="K74" i="87"/>
  <c r="L114" i="87"/>
  <c r="V115" i="87"/>
  <c r="G27" i="88"/>
  <c r="U27" i="88" s="1"/>
  <c r="H27" i="88" s="1"/>
  <c r="H92" i="101" s="1"/>
  <c r="W42" i="88"/>
  <c r="I94" i="88"/>
  <c r="J124" i="88"/>
  <c r="F137" i="88"/>
  <c r="W156" i="88"/>
  <c r="N156" i="88"/>
  <c r="W205" i="88"/>
  <c r="O54" i="89"/>
  <c r="V74" i="89"/>
  <c r="O161" i="89"/>
  <c r="G178" i="89"/>
  <c r="U178" i="89" s="1"/>
  <c r="H178" i="89" s="1"/>
  <c r="K41" i="101" s="1"/>
  <c r="O41" i="101" s="1"/>
  <c r="AP12" i="95"/>
  <c r="BK30" i="95"/>
  <c r="AB36" i="95"/>
  <c r="I37" i="87"/>
  <c r="I11" i="87"/>
  <c r="Q57" i="87"/>
  <c r="L74" i="87"/>
  <c r="W75" i="87"/>
  <c r="J116" i="87"/>
  <c r="T114" i="87"/>
  <c r="N42" i="88"/>
  <c r="C68" i="88"/>
  <c r="E102" i="101" s="1"/>
  <c r="O155" i="88"/>
  <c r="F223" i="88"/>
  <c r="F75" i="89"/>
  <c r="J162" i="89"/>
  <c r="N162" i="89"/>
  <c r="G191" i="89"/>
  <c r="G233" i="89" s="1"/>
  <c r="N12" i="87"/>
  <c r="N37" i="87"/>
  <c r="Q73" i="87"/>
  <c r="O114" i="87"/>
  <c r="G82" i="88"/>
  <c r="U82" i="88" s="1"/>
  <c r="H82" i="88" s="1"/>
  <c r="I105" i="101" s="1"/>
  <c r="M105" i="101" s="1"/>
  <c r="N94" i="88"/>
  <c r="J94" i="88"/>
  <c r="P124" i="88"/>
  <c r="K137" i="88"/>
  <c r="G223" i="88"/>
  <c r="U223" i="88" s="1"/>
  <c r="H223" i="88" s="1"/>
  <c r="K138" i="101" s="1"/>
  <c r="O138" i="101" s="1"/>
  <c r="Q232" i="88"/>
  <c r="R233" i="88"/>
  <c r="O75" i="89"/>
  <c r="F101" i="89"/>
  <c r="F105" i="89"/>
  <c r="L187" i="89"/>
  <c r="F187" i="89" s="1"/>
  <c r="Q12" i="87"/>
  <c r="O37" i="87"/>
  <c r="Q37" i="87"/>
  <c r="P74" i="87"/>
  <c r="Q114" i="87"/>
  <c r="O116" i="87"/>
  <c r="G153" i="87"/>
  <c r="U153" i="87" s="1"/>
  <c r="I69" i="88"/>
  <c r="L137" i="88"/>
  <c r="S171" i="88"/>
  <c r="Q75" i="89"/>
  <c r="T12" i="87"/>
  <c r="P37" i="87"/>
  <c r="T38" i="87"/>
  <c r="F61" i="87"/>
  <c r="R114" i="87"/>
  <c r="P116" i="87"/>
  <c r="L124" i="88"/>
  <c r="Q137" i="88"/>
  <c r="I138" i="88"/>
  <c r="V171" i="88"/>
  <c r="L38" i="89"/>
  <c r="F38" i="89" s="1"/>
  <c r="F35" i="89" s="1"/>
  <c r="G62" i="89"/>
  <c r="U62" i="89" s="1"/>
  <c r="H62" i="89" s="1"/>
  <c r="I14" i="101" s="1"/>
  <c r="M14" i="101" s="1"/>
  <c r="S75" i="89"/>
  <c r="N160" i="89"/>
  <c r="AC35" i="95"/>
  <c r="BV30" i="88" s="1"/>
  <c r="W18" i="87"/>
  <c r="R37" i="87"/>
  <c r="Q58" i="87"/>
  <c r="V74" i="87"/>
  <c r="N73" i="87"/>
  <c r="Q75" i="87"/>
  <c r="S114" i="87"/>
  <c r="Q116" i="87"/>
  <c r="L132" i="87"/>
  <c r="G56" i="88"/>
  <c r="U56" i="88" s="1"/>
  <c r="H56" i="88" s="1"/>
  <c r="H99" i="101" s="1"/>
  <c r="V69" i="88"/>
  <c r="S94" i="88"/>
  <c r="N124" i="88"/>
  <c r="J138" i="88"/>
  <c r="N138" i="88"/>
  <c r="O233" i="88"/>
  <c r="I233" i="88"/>
  <c r="F46" i="89"/>
  <c r="T75" i="89"/>
  <c r="G156" i="89"/>
  <c r="U156" i="89" s="1"/>
  <c r="H156" i="89" s="1"/>
  <c r="AP30" i="95"/>
  <c r="R36" i="87"/>
  <c r="J75" i="87"/>
  <c r="T75" i="87"/>
  <c r="V114" i="87"/>
  <c r="R116" i="87"/>
  <c r="N115" i="87"/>
  <c r="W69" i="88"/>
  <c r="U89" i="88"/>
  <c r="H89" i="88" s="1"/>
  <c r="H107" i="101" s="1"/>
  <c r="V94" i="88"/>
  <c r="G184" i="88"/>
  <c r="U184" i="88" s="1"/>
  <c r="H184" i="88" s="1"/>
  <c r="I129" i="101" s="1"/>
  <c r="M129" i="101" s="1"/>
  <c r="G193" i="88"/>
  <c r="U193" i="88" s="1"/>
  <c r="L206" i="88"/>
  <c r="G46" i="89"/>
  <c r="U46" i="89" s="1"/>
  <c r="H46" i="89" s="1"/>
  <c r="K10" i="101" s="1"/>
  <c r="O10" i="101" s="1"/>
  <c r="G70" i="89"/>
  <c r="U70" i="89" s="1"/>
  <c r="H70" i="89" s="1"/>
  <c r="W75" i="89"/>
  <c r="N126" i="89"/>
  <c r="I141" i="89"/>
  <c r="G198" i="89"/>
  <c r="G240" i="89" s="1"/>
  <c r="AW5" i="95"/>
  <c r="BR20" i="95"/>
  <c r="AB38" i="95"/>
  <c r="AW12" i="95"/>
  <c r="AQ18" i="95"/>
  <c r="BD30" i="95"/>
  <c r="AP37" i="95"/>
  <c r="AR18" i="95"/>
  <c r="BK37" i="95"/>
  <c r="BD12" i="95"/>
  <c r="BN20" i="95"/>
  <c r="AW37" i="95"/>
  <c r="AB131" i="95"/>
  <c r="AB137" i="95"/>
  <c r="I31" i="84"/>
  <c r="I11" i="84" s="1"/>
  <c r="I33" i="84"/>
  <c r="G22" i="84"/>
  <c r="R22" i="84" s="1"/>
  <c r="J32" i="84"/>
  <c r="F22" i="84"/>
  <c r="G29" i="84"/>
  <c r="F29" i="84"/>
  <c r="F69" i="84"/>
  <c r="K71" i="88"/>
  <c r="N13" i="87"/>
  <c r="F45" i="84"/>
  <c r="J55" i="84"/>
  <c r="J40" i="84" s="1"/>
  <c r="L104" i="88"/>
  <c r="G104" i="88" s="1"/>
  <c r="U104" i="88" s="1"/>
  <c r="H104" i="88" s="1"/>
  <c r="K110" i="101" s="1"/>
  <c r="O110" i="101" s="1"/>
  <c r="I58" i="84"/>
  <c r="I13" i="87"/>
  <c r="G64" i="87"/>
  <c r="I56" i="87"/>
  <c r="G19" i="84"/>
  <c r="R19" i="84" s="1"/>
  <c r="I74" i="87"/>
  <c r="J34" i="84"/>
  <c r="J13" i="84" s="1"/>
  <c r="F19" i="84"/>
  <c r="L83" i="88"/>
  <c r="F83" i="88" s="1"/>
  <c r="F80" i="88" s="1"/>
  <c r="I12" i="87"/>
  <c r="J16" i="87"/>
  <c r="N17" i="87"/>
  <c r="P18" i="87"/>
  <c r="R56" i="87"/>
  <c r="G60" i="87"/>
  <c r="J11" i="88"/>
  <c r="S13" i="88"/>
  <c r="G46" i="88"/>
  <c r="I40" i="88"/>
  <c r="T183" i="89"/>
  <c r="I183" i="89"/>
  <c r="W182" i="89"/>
  <c r="T182" i="89"/>
  <c r="F182" i="89"/>
  <c r="Q181" i="89"/>
  <c r="K181" i="89"/>
  <c r="I71" i="84"/>
  <c r="I61" i="84" s="1"/>
  <c r="K12" i="87"/>
  <c r="S56" i="87"/>
  <c r="L11" i="88"/>
  <c r="W13" i="88"/>
  <c r="L75" i="88"/>
  <c r="G145" i="88"/>
  <c r="F43" i="84"/>
  <c r="F64" i="84"/>
  <c r="J71" i="84"/>
  <c r="J60" i="84" s="1"/>
  <c r="J11" i="87"/>
  <c r="L12" i="87"/>
  <c r="O13" i="87"/>
  <c r="N16" i="87"/>
  <c r="P17" i="87"/>
  <c r="S18" i="87"/>
  <c r="L28" i="87"/>
  <c r="G28" i="87" s="1"/>
  <c r="T56" i="87"/>
  <c r="G119" i="87"/>
  <c r="U140" i="87" s="1"/>
  <c r="G126" i="87"/>
  <c r="U143" i="87" s="1"/>
  <c r="H143" i="87" s="1"/>
  <c r="H174" i="101" s="1"/>
  <c r="N40" i="88"/>
  <c r="T18" i="87"/>
  <c r="Q13" i="87"/>
  <c r="V13" i="88"/>
  <c r="I11" i="88"/>
  <c r="W12" i="88"/>
  <c r="F12" i="88"/>
  <c r="T13" i="88"/>
  <c r="V12" i="88"/>
  <c r="R13" i="88"/>
  <c r="T12" i="88"/>
  <c r="V11" i="88"/>
  <c r="Q13" i="88"/>
  <c r="S12" i="88"/>
  <c r="P13" i="88"/>
  <c r="R12" i="88"/>
  <c r="T11" i="88"/>
  <c r="Q12" i="88"/>
  <c r="S11" i="88"/>
  <c r="C10" i="88"/>
  <c r="E88" i="101" s="1"/>
  <c r="N13" i="88"/>
  <c r="P12" i="88"/>
  <c r="Q11" i="88"/>
  <c r="I13" i="88"/>
  <c r="K12" i="88"/>
  <c r="N11" i="88"/>
  <c r="K11" i="88"/>
  <c r="G17" i="88"/>
  <c r="W11" i="88"/>
  <c r="I76" i="89"/>
  <c r="G80" i="89"/>
  <c r="F48" i="84"/>
  <c r="O11" i="87"/>
  <c r="S13" i="87"/>
  <c r="Q16" i="87"/>
  <c r="T17" i="87"/>
  <c r="J38" i="87"/>
  <c r="K37" i="87"/>
  <c r="L36" i="87"/>
  <c r="V38" i="87"/>
  <c r="W37" i="87"/>
  <c r="S38" i="87"/>
  <c r="T37" i="87"/>
  <c r="C55" i="87"/>
  <c r="E154" i="101" s="1"/>
  <c r="Q74" i="87"/>
  <c r="I73" i="87"/>
  <c r="L21" i="88"/>
  <c r="I41" i="88"/>
  <c r="G69" i="84"/>
  <c r="Q11" i="87"/>
  <c r="R16" i="87"/>
  <c r="J17" i="87"/>
  <c r="K16" i="87"/>
  <c r="S12" i="87"/>
  <c r="V17" i="87"/>
  <c r="W16" i="87"/>
  <c r="K13" i="87"/>
  <c r="R18" i="87"/>
  <c r="S17" i="87"/>
  <c r="T16" i="87"/>
  <c r="J12" i="87"/>
  <c r="L11" i="87"/>
  <c r="I57" i="87"/>
  <c r="N58" i="87"/>
  <c r="J73" i="87"/>
  <c r="I116" i="87"/>
  <c r="U57" i="88"/>
  <c r="H57" i="88" s="1"/>
  <c r="I99" i="101" s="1"/>
  <c r="M99" i="101" s="1"/>
  <c r="O188" i="88"/>
  <c r="L189" i="88"/>
  <c r="V190" i="88"/>
  <c r="W189" i="88"/>
  <c r="F189" i="88"/>
  <c r="T190" i="88"/>
  <c r="V188" i="88"/>
  <c r="J190" i="88"/>
  <c r="C187" i="88"/>
  <c r="E130" i="101" s="1"/>
  <c r="V189" i="88"/>
  <c r="T189" i="88"/>
  <c r="Q188" i="88"/>
  <c r="W190" i="88"/>
  <c r="R189" i="88"/>
  <c r="L188" i="88"/>
  <c r="Q189" i="88"/>
  <c r="K188" i="88"/>
  <c r="Q190" i="88"/>
  <c r="K189" i="88"/>
  <c r="P190" i="88"/>
  <c r="J189" i="88"/>
  <c r="S190" i="88"/>
  <c r="R190" i="88"/>
  <c r="O190" i="88"/>
  <c r="I190" i="88"/>
  <c r="S189" i="88"/>
  <c r="P189" i="88"/>
  <c r="O189" i="88"/>
  <c r="I189" i="88"/>
  <c r="W188" i="88"/>
  <c r="T188" i="88"/>
  <c r="S188" i="88"/>
  <c r="P188" i="88"/>
  <c r="J188" i="88"/>
  <c r="I34" i="84"/>
  <c r="I14" i="84" s="1"/>
  <c r="S16" i="87"/>
  <c r="W17" i="87"/>
  <c r="T36" i="87"/>
  <c r="J57" i="87"/>
  <c r="O58" i="87"/>
  <c r="G69" i="87"/>
  <c r="L80" i="87"/>
  <c r="G80" i="87" s="1"/>
  <c r="G123" i="87"/>
  <c r="U123" i="87" s="1"/>
  <c r="H123" i="87" s="1"/>
  <c r="I169" i="101" s="1"/>
  <c r="M169" i="101" s="1"/>
  <c r="G130" i="87"/>
  <c r="U147" i="87" s="1"/>
  <c r="H147" i="87" s="1"/>
  <c r="H175" i="101" s="1"/>
  <c r="J12" i="88"/>
  <c r="S11" i="87"/>
  <c r="V13" i="87"/>
  <c r="L57" i="87"/>
  <c r="P58" i="87"/>
  <c r="P73" i="87"/>
  <c r="G118" i="87"/>
  <c r="U139" i="87" s="1"/>
  <c r="L12" i="88"/>
  <c r="J114" i="87"/>
  <c r="N116" i="87"/>
  <c r="N12" i="88"/>
  <c r="V11" i="87"/>
  <c r="W12" i="87"/>
  <c r="O57" i="87"/>
  <c r="P11" i="88"/>
  <c r="G23" i="88"/>
  <c r="F62" i="88"/>
  <c r="J154" i="88"/>
  <c r="W58" i="87"/>
  <c r="G37" i="88"/>
  <c r="U37" i="88" s="1"/>
  <c r="H37" i="88" s="1"/>
  <c r="K94" i="101" s="1"/>
  <c r="O94" i="101" s="1"/>
  <c r="J58" i="87"/>
  <c r="L56" i="87"/>
  <c r="V58" i="87"/>
  <c r="W57" i="87"/>
  <c r="V57" i="87"/>
  <c r="W56" i="87"/>
  <c r="T58" i="87"/>
  <c r="S58" i="87"/>
  <c r="T57" i="87"/>
  <c r="G152" i="87"/>
  <c r="J37" i="87"/>
  <c r="N38" i="87"/>
  <c r="O56" i="87"/>
  <c r="R57" i="87"/>
  <c r="G122" i="87"/>
  <c r="L42" i="88"/>
  <c r="G66" i="88"/>
  <c r="U66" i="88" s="1"/>
  <c r="H66" i="88" s="1"/>
  <c r="K101" i="101" s="1"/>
  <c r="O101" i="101" s="1"/>
  <c r="K17" i="87"/>
  <c r="N18" i="87"/>
  <c r="I36" i="87"/>
  <c r="L37" i="87"/>
  <c r="O38" i="87"/>
  <c r="S57" i="87"/>
  <c r="K57" i="87"/>
  <c r="J13" i="88"/>
  <c r="C72" i="87"/>
  <c r="E158" i="101" s="1"/>
  <c r="S73" i="87"/>
  <c r="R74" i="87"/>
  <c r="I12" i="88"/>
  <c r="K40" i="88"/>
  <c r="J41" i="88"/>
  <c r="I42" i="88"/>
  <c r="F70" i="88"/>
  <c r="Q94" i="88"/>
  <c r="V95" i="88"/>
  <c r="K124" i="88"/>
  <c r="T125" i="88"/>
  <c r="F130" i="88"/>
  <c r="L126" i="88"/>
  <c r="F151" i="88"/>
  <c r="F148" i="88" s="1"/>
  <c r="J173" i="88"/>
  <c r="K172" i="88"/>
  <c r="L171" i="88"/>
  <c r="J172" i="88"/>
  <c r="K171" i="88"/>
  <c r="R173" i="88"/>
  <c r="S172" i="88"/>
  <c r="T171" i="88"/>
  <c r="W173" i="88"/>
  <c r="V173" i="88"/>
  <c r="T172" i="88"/>
  <c r="Q171" i="88"/>
  <c r="T173" i="88"/>
  <c r="Q172" i="88"/>
  <c r="O171" i="88"/>
  <c r="P173" i="88"/>
  <c r="N172" i="88"/>
  <c r="O173" i="88"/>
  <c r="L172" i="88"/>
  <c r="F171" i="88"/>
  <c r="W172" i="88"/>
  <c r="N190" i="88"/>
  <c r="G91" i="88"/>
  <c r="U91" i="88" s="1"/>
  <c r="H91" i="88" s="1"/>
  <c r="K107" i="101" s="1"/>
  <c r="O107" i="101" s="1"/>
  <c r="I205" i="88"/>
  <c r="G213" i="88"/>
  <c r="K42" i="88"/>
  <c r="F50" i="88"/>
  <c r="I71" i="88"/>
  <c r="G151" i="88"/>
  <c r="U151" i="88" s="1"/>
  <c r="H151" i="88" s="1"/>
  <c r="K121" i="101" s="1"/>
  <c r="O121" i="101" s="1"/>
  <c r="G167" i="88"/>
  <c r="U167" i="88" s="1"/>
  <c r="H167" i="88" s="1"/>
  <c r="I125" i="101" s="1"/>
  <c r="M125" i="101" s="1"/>
  <c r="L198" i="88"/>
  <c r="G198" i="88" s="1"/>
  <c r="U198" i="88" s="1"/>
  <c r="H198" i="88" s="1"/>
  <c r="K132" i="101" s="1"/>
  <c r="O132" i="101" s="1"/>
  <c r="T34" i="89"/>
  <c r="V32" i="89"/>
  <c r="R34" i="89"/>
  <c r="S33" i="89"/>
  <c r="T32" i="89"/>
  <c r="Q34" i="89"/>
  <c r="R33" i="89"/>
  <c r="S32" i="89"/>
  <c r="C31" i="89"/>
  <c r="E7" i="101" s="1"/>
  <c r="O34" i="89"/>
  <c r="P33" i="89"/>
  <c r="Q32" i="89"/>
  <c r="O32" i="89"/>
  <c r="K34" i="89"/>
  <c r="L33" i="89"/>
  <c r="N32" i="89"/>
  <c r="S34" i="89"/>
  <c r="P34" i="89"/>
  <c r="P32" i="89"/>
  <c r="L32" i="89"/>
  <c r="V33" i="89"/>
  <c r="T33" i="89"/>
  <c r="I32" i="89"/>
  <c r="V34" i="89"/>
  <c r="J33" i="89"/>
  <c r="I34" i="89"/>
  <c r="W33" i="89"/>
  <c r="Q33" i="89"/>
  <c r="O33" i="89"/>
  <c r="F33" i="89"/>
  <c r="W32" i="89"/>
  <c r="K32" i="89"/>
  <c r="N34" i="89"/>
  <c r="L42" i="89"/>
  <c r="F42" i="89" s="1"/>
  <c r="K139" i="88"/>
  <c r="G180" i="88"/>
  <c r="U180" i="88" s="1"/>
  <c r="H180" i="88" s="1"/>
  <c r="I128" i="101" s="1"/>
  <c r="M128" i="101" s="1"/>
  <c r="G228" i="88"/>
  <c r="U228" i="88" s="1"/>
  <c r="H228" i="88" s="1"/>
  <c r="I231" i="88"/>
  <c r="G141" i="88"/>
  <c r="I137" i="88"/>
  <c r="L143" i="88"/>
  <c r="L139" i="88" s="1"/>
  <c r="I154" i="88"/>
  <c r="L177" i="88"/>
  <c r="L173" i="88" s="1"/>
  <c r="K173" i="88"/>
  <c r="F74" i="87"/>
  <c r="W74" i="87"/>
  <c r="V75" i="87"/>
  <c r="F115" i="87"/>
  <c r="W115" i="87"/>
  <c r="V116" i="87"/>
  <c r="F17" i="88"/>
  <c r="Q40" i="88"/>
  <c r="P41" i="88"/>
  <c r="O42" i="88"/>
  <c r="J69" i="88"/>
  <c r="L70" i="88"/>
  <c r="N71" i="88"/>
  <c r="G81" i="88"/>
  <c r="C93" i="88"/>
  <c r="E108" i="101" s="1"/>
  <c r="F95" i="88"/>
  <c r="K96" i="88"/>
  <c r="I96" i="88"/>
  <c r="T124" i="88"/>
  <c r="J126" i="88"/>
  <c r="S137" i="88"/>
  <c r="I155" i="88"/>
  <c r="O172" i="88"/>
  <c r="N233" i="88"/>
  <c r="N12" i="89"/>
  <c r="J74" i="89"/>
  <c r="Q41" i="88"/>
  <c r="P42" i="88"/>
  <c r="K69" i="88"/>
  <c r="N70" i="88"/>
  <c r="K126" i="88"/>
  <c r="T137" i="88"/>
  <c r="J139" i="88"/>
  <c r="N137" i="88"/>
  <c r="P172" i="88"/>
  <c r="O231" i="88"/>
  <c r="I13" i="89"/>
  <c r="I114" i="87"/>
  <c r="C39" i="88"/>
  <c r="E95" i="101" s="1"/>
  <c r="S40" i="88"/>
  <c r="R41" i="88"/>
  <c r="Q42" i="88"/>
  <c r="N69" i="88"/>
  <c r="P71" i="88"/>
  <c r="I95" i="88"/>
  <c r="N96" i="88"/>
  <c r="W124" i="88"/>
  <c r="O126" i="88"/>
  <c r="V137" i="88"/>
  <c r="N139" i="88"/>
  <c r="V139" i="88"/>
  <c r="W138" i="88"/>
  <c r="F138" i="88"/>
  <c r="S139" i="88"/>
  <c r="T138" i="88"/>
  <c r="O137" i="88"/>
  <c r="L138" i="88"/>
  <c r="R172" i="88"/>
  <c r="P231" i="88"/>
  <c r="P232" i="88"/>
  <c r="W233" i="88"/>
  <c r="O232" i="88"/>
  <c r="V233" i="88"/>
  <c r="N232" i="88"/>
  <c r="K232" i="88"/>
  <c r="W231" i="88"/>
  <c r="T231" i="88"/>
  <c r="J233" i="88"/>
  <c r="V232" i="88"/>
  <c r="L231" i="88"/>
  <c r="S232" i="88"/>
  <c r="L25" i="89"/>
  <c r="G25" i="89" s="1"/>
  <c r="U25" i="89" s="1"/>
  <c r="H25" i="89" s="1"/>
  <c r="K5" i="101" s="1"/>
  <c r="O5" i="101" s="1"/>
  <c r="I115" i="87"/>
  <c r="T40" i="88"/>
  <c r="S41" i="88"/>
  <c r="R42" i="88"/>
  <c r="P70" i="88"/>
  <c r="Q71" i="88"/>
  <c r="F79" i="88"/>
  <c r="F76" i="88" s="1"/>
  <c r="K95" i="88"/>
  <c r="O96" i="88"/>
  <c r="L117" i="88"/>
  <c r="F125" i="88"/>
  <c r="P126" i="88"/>
  <c r="W137" i="88"/>
  <c r="O139" i="88"/>
  <c r="N155" i="88"/>
  <c r="V172" i="88"/>
  <c r="G185" i="88"/>
  <c r="U185" i="88" s="1"/>
  <c r="H185" i="88" s="1"/>
  <c r="K129" i="101" s="1"/>
  <c r="O129" i="101" s="1"/>
  <c r="T41" i="88"/>
  <c r="S42" i="88"/>
  <c r="P69" i="88"/>
  <c r="Q70" i="88"/>
  <c r="R71" i="88"/>
  <c r="G79" i="88"/>
  <c r="U79" i="88" s="1"/>
  <c r="H79" i="88" s="1"/>
  <c r="K104" i="101" s="1"/>
  <c r="O104" i="101" s="1"/>
  <c r="L95" i="88"/>
  <c r="Q96" i="88"/>
  <c r="G106" i="88"/>
  <c r="R126" i="88"/>
  <c r="Q139" i="88"/>
  <c r="Q12" i="89"/>
  <c r="P12" i="89"/>
  <c r="W13" i="89"/>
  <c r="P13" i="89"/>
  <c r="F12" i="89"/>
  <c r="O13" i="89"/>
  <c r="R12" i="89"/>
  <c r="V40" i="88"/>
  <c r="T42" i="88"/>
  <c r="Q69" i="88"/>
  <c r="R70" i="88"/>
  <c r="T71" i="88"/>
  <c r="N95" i="88"/>
  <c r="S96" i="88"/>
  <c r="L108" i="88"/>
  <c r="G108" i="88" s="1"/>
  <c r="U108" i="88" s="1"/>
  <c r="H108" i="88" s="1"/>
  <c r="K111" i="101" s="1"/>
  <c r="O111" i="101" s="1"/>
  <c r="J125" i="88"/>
  <c r="S126" i="88"/>
  <c r="I125" i="88"/>
  <c r="R139" i="88"/>
  <c r="G147" i="88"/>
  <c r="U147" i="88" s="1"/>
  <c r="H147" i="88" s="1"/>
  <c r="K120" i="101" s="1"/>
  <c r="O120" i="101" s="1"/>
  <c r="C170" i="88"/>
  <c r="E126" i="101" s="1"/>
  <c r="G29" i="89"/>
  <c r="U29" i="89" s="1"/>
  <c r="H29" i="89" s="1"/>
  <c r="F29" i="89"/>
  <c r="N55" i="89"/>
  <c r="G63" i="89"/>
  <c r="U63" i="89" s="1"/>
  <c r="H63" i="89" s="1"/>
  <c r="K14" i="101" s="1"/>
  <c r="O14" i="101" s="1"/>
  <c r="N125" i="88"/>
  <c r="I11" i="89"/>
  <c r="F41" i="88"/>
  <c r="W41" i="88"/>
  <c r="V42" i="88"/>
  <c r="S69" i="88"/>
  <c r="V71" i="88"/>
  <c r="L94" i="88"/>
  <c r="P95" i="88"/>
  <c r="L125" i="88"/>
  <c r="V126" i="88"/>
  <c r="K138" i="88"/>
  <c r="G160" i="88"/>
  <c r="I156" i="88"/>
  <c r="N173" i="88"/>
  <c r="K207" i="88"/>
  <c r="I207" i="88"/>
  <c r="T69" i="88"/>
  <c r="V70" i="88"/>
  <c r="G77" i="88"/>
  <c r="R95" i="88"/>
  <c r="C110" i="88"/>
  <c r="E112" i="101" s="1"/>
  <c r="P125" i="88"/>
  <c r="W126" i="88"/>
  <c r="T126" i="88"/>
  <c r="V124" i="88"/>
  <c r="Q126" i="88"/>
  <c r="R125" i="88"/>
  <c r="S124" i="88"/>
  <c r="C123" i="88"/>
  <c r="E115" i="101" s="1"/>
  <c r="O125" i="88"/>
  <c r="O124" i="88"/>
  <c r="O138" i="88"/>
  <c r="W139" i="88"/>
  <c r="J171" i="88"/>
  <c r="Q173" i="88"/>
  <c r="G194" i="88"/>
  <c r="L211" i="88"/>
  <c r="L207" i="88" s="1"/>
  <c r="P233" i="88"/>
  <c r="Q11" i="89"/>
  <c r="J71" i="88"/>
  <c r="K70" i="88"/>
  <c r="L69" i="88"/>
  <c r="S71" i="88"/>
  <c r="T70" i="88"/>
  <c r="P96" i="88"/>
  <c r="Q95" i="88"/>
  <c r="J95" i="88"/>
  <c r="K94" i="88"/>
  <c r="W96" i="88"/>
  <c r="R96" i="88"/>
  <c r="S95" i="88"/>
  <c r="T94" i="88"/>
  <c r="G102" i="88"/>
  <c r="G130" i="88"/>
  <c r="P139" i="88"/>
  <c r="G142" i="88"/>
  <c r="N171" i="88"/>
  <c r="S173" i="88"/>
  <c r="F219" i="88"/>
  <c r="F216" i="88" s="1"/>
  <c r="I33" i="89"/>
  <c r="F121" i="88"/>
  <c r="K154" i="88"/>
  <c r="J155" i="88"/>
  <c r="F164" i="88"/>
  <c r="J206" i="88"/>
  <c r="Q207" i="88"/>
  <c r="L11" i="89"/>
  <c r="W12" i="89"/>
  <c r="L17" i="89"/>
  <c r="F17" i="89" s="1"/>
  <c r="K13" i="89"/>
  <c r="N33" i="89"/>
  <c r="N139" i="89"/>
  <c r="G168" i="89"/>
  <c r="N181" i="89"/>
  <c r="P154" i="88"/>
  <c r="Q206" i="88"/>
  <c r="I206" i="88"/>
  <c r="G210" i="88"/>
  <c r="J231" i="88"/>
  <c r="S11" i="89"/>
  <c r="G41" i="89"/>
  <c r="U41" i="89" s="1"/>
  <c r="H41" i="89" s="1"/>
  <c r="P95" i="89"/>
  <c r="Q154" i="88"/>
  <c r="P155" i="88"/>
  <c r="O156" i="88"/>
  <c r="I173" i="88"/>
  <c r="K205" i="88"/>
  <c r="R206" i="88"/>
  <c r="W207" i="88"/>
  <c r="V11" i="89"/>
  <c r="N13" i="89"/>
  <c r="O140" i="89"/>
  <c r="L21" i="89"/>
  <c r="F21" i="89" s="1"/>
  <c r="L59" i="89"/>
  <c r="F59" i="89" s="1"/>
  <c r="K55" i="89"/>
  <c r="I96" i="89"/>
  <c r="G100" i="89"/>
  <c r="I109" i="89"/>
  <c r="I140" i="89"/>
  <c r="N189" i="88"/>
  <c r="Q233" i="88"/>
  <c r="L250" i="89"/>
  <c r="R137" i="88"/>
  <c r="Q138" i="88"/>
  <c r="T154" i="88"/>
  <c r="S155" i="88"/>
  <c r="O205" i="88"/>
  <c r="G219" i="88"/>
  <c r="U219" i="88" s="1"/>
  <c r="H219" i="88" s="1"/>
  <c r="K137" i="101" s="1"/>
  <c r="O137" i="101" s="1"/>
  <c r="F228" i="88"/>
  <c r="Q13" i="89"/>
  <c r="G101" i="89"/>
  <c r="I110" i="89"/>
  <c r="G145" i="89"/>
  <c r="G148" i="89"/>
  <c r="U148" i="89" s="1"/>
  <c r="H148" i="89" s="1"/>
  <c r="I34" i="101" s="1"/>
  <c r="M34" i="101" s="1"/>
  <c r="F194" i="88"/>
  <c r="K190" i="88"/>
  <c r="T205" i="88"/>
  <c r="N207" i="88"/>
  <c r="P74" i="89"/>
  <c r="V97" i="89"/>
  <c r="W96" i="89"/>
  <c r="F96" i="89"/>
  <c r="T97" i="89"/>
  <c r="V95" i="89"/>
  <c r="R97" i="89"/>
  <c r="S96" i="89"/>
  <c r="T95" i="89"/>
  <c r="Q97" i="89"/>
  <c r="R96" i="89"/>
  <c r="S95" i="89"/>
  <c r="C94" i="89"/>
  <c r="E22" i="101" s="1"/>
  <c r="O97" i="89"/>
  <c r="P96" i="89"/>
  <c r="Q95" i="89"/>
  <c r="O95" i="89"/>
  <c r="K97" i="89"/>
  <c r="L96" i="89"/>
  <c r="N95" i="89"/>
  <c r="L95" i="89"/>
  <c r="K95" i="89"/>
  <c r="T96" i="89"/>
  <c r="Q96" i="89"/>
  <c r="O96" i="89"/>
  <c r="K96" i="89"/>
  <c r="W97" i="89"/>
  <c r="S97" i="89"/>
  <c r="P97" i="89"/>
  <c r="W95" i="89"/>
  <c r="J97" i="89"/>
  <c r="I162" i="89"/>
  <c r="L202" i="88"/>
  <c r="G202" i="88" s="1"/>
  <c r="U202" i="88" s="1"/>
  <c r="H202" i="88" s="1"/>
  <c r="K133" i="101" s="1"/>
  <c r="O133" i="101" s="1"/>
  <c r="J205" i="88"/>
  <c r="K140" i="89"/>
  <c r="J140" i="89"/>
  <c r="J141" i="89"/>
  <c r="P139" i="89"/>
  <c r="K139" i="89"/>
  <c r="G168" i="88"/>
  <c r="U168" i="88" s="1"/>
  <c r="H168" i="88" s="1"/>
  <c r="K125" i="101" s="1"/>
  <c r="O125" i="101" s="1"/>
  <c r="G181" i="88"/>
  <c r="U181" i="88" s="1"/>
  <c r="H181" i="88" s="1"/>
  <c r="K128" i="101" s="1"/>
  <c r="O128" i="101" s="1"/>
  <c r="O12" i="89"/>
  <c r="G179" i="88"/>
  <c r="F181" i="88"/>
  <c r="F178" i="88" s="1"/>
  <c r="N188" i="88"/>
  <c r="P205" i="88"/>
  <c r="J232" i="88"/>
  <c r="K231" i="88"/>
  <c r="T233" i="88"/>
  <c r="V231" i="88"/>
  <c r="S233" i="88"/>
  <c r="T232" i="88"/>
  <c r="R232" i="88"/>
  <c r="S231" i="88"/>
  <c r="C230" i="88"/>
  <c r="E140" i="101" s="1"/>
  <c r="K233" i="88"/>
  <c r="L232" i="88"/>
  <c r="N231" i="88"/>
  <c r="N161" i="89"/>
  <c r="O160" i="89"/>
  <c r="R162" i="89"/>
  <c r="Q162" i="89"/>
  <c r="W160" i="89"/>
  <c r="Q160" i="89"/>
  <c r="P160" i="89"/>
  <c r="S161" i="89"/>
  <c r="R161" i="89"/>
  <c r="Q161" i="89"/>
  <c r="P161" i="89"/>
  <c r="C159" i="89"/>
  <c r="E37" i="101" s="1"/>
  <c r="W162" i="89"/>
  <c r="L161" i="89"/>
  <c r="R183" i="89"/>
  <c r="S182" i="89"/>
  <c r="P183" i="89"/>
  <c r="Q182" i="89"/>
  <c r="O182" i="89"/>
  <c r="O181" i="89"/>
  <c r="V182" i="89"/>
  <c r="R182" i="89"/>
  <c r="P182" i="89"/>
  <c r="W183" i="89"/>
  <c r="L182" i="89"/>
  <c r="V183" i="89"/>
  <c r="J182" i="89"/>
  <c r="S183" i="89"/>
  <c r="W181" i="89"/>
  <c r="Q183" i="89"/>
  <c r="V181" i="89"/>
  <c r="O183" i="89"/>
  <c r="K183" i="89"/>
  <c r="S181" i="89"/>
  <c r="W11" i="89"/>
  <c r="V12" i="89"/>
  <c r="N74" i="89"/>
  <c r="Q76" i="89"/>
  <c r="R75" i="89"/>
  <c r="S74" i="89"/>
  <c r="C73" i="89"/>
  <c r="E17" i="101" s="1"/>
  <c r="O76" i="89"/>
  <c r="P75" i="89"/>
  <c r="Q74" i="89"/>
  <c r="O74" i="89"/>
  <c r="W76" i="89"/>
  <c r="G105" i="89"/>
  <c r="U105" i="89" s="1"/>
  <c r="H105" i="89" s="1"/>
  <c r="T110" i="89"/>
  <c r="G135" i="89"/>
  <c r="U135" i="89" s="1"/>
  <c r="H135" i="89" s="1"/>
  <c r="P181" i="89"/>
  <c r="T181" i="89"/>
  <c r="L84" i="89"/>
  <c r="G84" i="89" s="1"/>
  <c r="U84" i="89" s="1"/>
  <c r="H84" i="89" s="1"/>
  <c r="K19" i="101" s="1"/>
  <c r="O19" i="101" s="1"/>
  <c r="V109" i="89"/>
  <c r="W108" i="89"/>
  <c r="S110" i="89"/>
  <c r="T109" i="89"/>
  <c r="Q110" i="89"/>
  <c r="R109" i="89"/>
  <c r="S108" i="89"/>
  <c r="C107" i="89"/>
  <c r="E25" i="101" s="1"/>
  <c r="P110" i="89"/>
  <c r="Q109" i="89"/>
  <c r="O109" i="89"/>
  <c r="L109" i="89"/>
  <c r="J110" i="89"/>
  <c r="K109" i="89"/>
  <c r="L108" i="89"/>
  <c r="J53" i="89"/>
  <c r="N109" i="89"/>
  <c r="N141" i="89"/>
  <c r="L166" i="89"/>
  <c r="L162" i="89" s="1"/>
  <c r="F206" i="88"/>
  <c r="W206" i="88"/>
  <c r="V207" i="88"/>
  <c r="K11" i="89"/>
  <c r="I12" i="89"/>
  <c r="J32" i="89"/>
  <c r="G71" i="89"/>
  <c r="U71" i="89" s="1"/>
  <c r="H71" i="89" s="1"/>
  <c r="W74" i="89"/>
  <c r="S76" i="89"/>
  <c r="P109" i="89"/>
  <c r="F114" i="89"/>
  <c r="F127" i="89"/>
  <c r="Q128" i="89"/>
  <c r="W139" i="89"/>
  <c r="P141" i="89"/>
  <c r="I160" i="89"/>
  <c r="N11" i="89"/>
  <c r="K12" i="89"/>
  <c r="J13" i="89"/>
  <c r="I75" i="89"/>
  <c r="N96" i="89"/>
  <c r="G114" i="89"/>
  <c r="G144" i="89"/>
  <c r="L199" i="89"/>
  <c r="F199" i="89" s="1"/>
  <c r="O11" i="89"/>
  <c r="L12" i="89"/>
  <c r="Q53" i="89"/>
  <c r="F63" i="89"/>
  <c r="K75" i="89"/>
  <c r="V76" i="89"/>
  <c r="I108" i="89"/>
  <c r="W109" i="89"/>
  <c r="K110" i="89"/>
  <c r="W128" i="89"/>
  <c r="V127" i="89"/>
  <c r="W126" i="89"/>
  <c r="S128" i="89"/>
  <c r="T127" i="89"/>
  <c r="R128" i="89"/>
  <c r="S127" i="89"/>
  <c r="T126" i="89"/>
  <c r="P128" i="89"/>
  <c r="Q127" i="89"/>
  <c r="O127" i="89"/>
  <c r="O126" i="89"/>
  <c r="G170" i="89"/>
  <c r="U170" i="89" s="1"/>
  <c r="H170" i="89" s="1"/>
  <c r="K39" i="101" s="1"/>
  <c r="O39" i="101" s="1"/>
  <c r="G61" i="89"/>
  <c r="N75" i="89"/>
  <c r="G79" i="89"/>
  <c r="J108" i="89"/>
  <c r="N127" i="89"/>
  <c r="V141" i="89"/>
  <c r="W140" i="89"/>
  <c r="F140" i="89"/>
  <c r="T141" i="89"/>
  <c r="V139" i="89"/>
  <c r="R141" i="89"/>
  <c r="S140" i="89"/>
  <c r="T139" i="89"/>
  <c r="Q141" i="89"/>
  <c r="R140" i="89"/>
  <c r="S139" i="89"/>
  <c r="C138" i="89"/>
  <c r="E32" i="101" s="1"/>
  <c r="O141" i="89"/>
  <c r="P140" i="89"/>
  <c r="Q139" i="89"/>
  <c r="O139" i="89"/>
  <c r="L140" i="89"/>
  <c r="K162" i="89"/>
  <c r="N182" i="89"/>
  <c r="G186" i="89"/>
  <c r="G86" i="89"/>
  <c r="L88" i="89"/>
  <c r="G88" i="89" s="1"/>
  <c r="U88" i="89" s="1"/>
  <c r="H88" i="89" s="1"/>
  <c r="K20" i="101" s="1"/>
  <c r="O20" i="101" s="1"/>
  <c r="N140" i="89"/>
  <c r="J183" i="89"/>
  <c r="O206" i="88"/>
  <c r="T11" i="89"/>
  <c r="S12" i="89"/>
  <c r="R13" i="89"/>
  <c r="J54" i="89"/>
  <c r="L67" i="89"/>
  <c r="G67" i="89" s="1"/>
  <c r="U67" i="89" s="1"/>
  <c r="H67" i="89" s="1"/>
  <c r="K15" i="101" s="1"/>
  <c r="O15" i="101" s="1"/>
  <c r="G91" i="89"/>
  <c r="U91" i="89" s="1"/>
  <c r="H91" i="89" s="1"/>
  <c r="T108" i="89"/>
  <c r="I126" i="89"/>
  <c r="L132" i="89"/>
  <c r="T140" i="89"/>
  <c r="I161" i="89"/>
  <c r="G165" i="89"/>
  <c r="I181" i="89"/>
  <c r="N183" i="89"/>
  <c r="Q205" i="88"/>
  <c r="P206" i="88"/>
  <c r="T12" i="89"/>
  <c r="S13" i="89"/>
  <c r="L50" i="89"/>
  <c r="G50" i="89" s="1"/>
  <c r="U50" i="89" s="1"/>
  <c r="H50" i="89" s="1"/>
  <c r="J55" i="89"/>
  <c r="K54" i="89"/>
  <c r="L53" i="89"/>
  <c r="I54" i="89"/>
  <c r="W55" i="89"/>
  <c r="V55" i="89"/>
  <c r="W54" i="89"/>
  <c r="F54" i="89"/>
  <c r="T55" i="89"/>
  <c r="V53" i="89"/>
  <c r="R55" i="89"/>
  <c r="S54" i="89"/>
  <c r="T53" i="89"/>
  <c r="Q55" i="89"/>
  <c r="R54" i="89"/>
  <c r="S53" i="89"/>
  <c r="C52" i="89"/>
  <c r="E12" i="101" s="1"/>
  <c r="V75" i="89"/>
  <c r="I74" i="89"/>
  <c r="V108" i="89"/>
  <c r="O110" i="89"/>
  <c r="J126" i="89"/>
  <c r="W127" i="89"/>
  <c r="N128" i="89"/>
  <c r="I139" i="89"/>
  <c r="V140" i="89"/>
  <c r="F157" i="89"/>
  <c r="G174" i="89"/>
  <c r="U174" i="89" s="1"/>
  <c r="H174" i="89" s="1"/>
  <c r="K40" i="101" s="1"/>
  <c r="O40" i="101" s="1"/>
  <c r="J181" i="89"/>
  <c r="K141" i="89"/>
  <c r="T161" i="89"/>
  <c r="S162" i="89"/>
  <c r="F145" i="89"/>
  <c r="V160" i="89"/>
  <c r="T162" i="89"/>
  <c r="F178" i="89"/>
  <c r="F175" i="89" s="1"/>
  <c r="I182" i="89"/>
  <c r="K74" i="89"/>
  <c r="J75" i="89"/>
  <c r="F161" i="89"/>
  <c r="W161" i="89"/>
  <c r="V162" i="89"/>
  <c r="L181" i="89"/>
  <c r="K182" i="89"/>
  <c r="K76" i="89"/>
  <c r="L160" i="89"/>
  <c r="K161" i="89"/>
  <c r="R14" i="86" l="1"/>
  <c r="F60" i="89"/>
  <c r="BC14" i="88"/>
  <c r="BA136" i="88"/>
  <c r="BC76" i="88"/>
  <c r="BC174" i="88"/>
  <c r="BA93" i="88"/>
  <c r="BA10" i="88"/>
  <c r="BC101" i="88"/>
  <c r="BC22" i="88"/>
  <c r="BC10" i="88" s="1"/>
  <c r="BC220" i="88"/>
  <c r="J59" i="84"/>
  <c r="AB146" i="87"/>
  <c r="AI146" i="87"/>
  <c r="AB138" i="87"/>
  <c r="AI138" i="87"/>
  <c r="H185" i="101"/>
  <c r="H174" i="87"/>
  <c r="I185" i="101"/>
  <c r="M185" i="101" s="1"/>
  <c r="H175" i="87"/>
  <c r="K185" i="101"/>
  <c r="O185" i="101" s="1"/>
  <c r="H176" i="87"/>
  <c r="H190" i="101"/>
  <c r="H195" i="87"/>
  <c r="H197" i="101"/>
  <c r="H229" i="87"/>
  <c r="H228" i="87" s="1"/>
  <c r="BK234" i="89"/>
  <c r="AW234" i="89"/>
  <c r="AP234" i="89"/>
  <c r="AI234" i="89"/>
  <c r="BR234" i="89"/>
  <c r="AP209" i="89"/>
  <c r="AW209" i="89"/>
  <c r="BK209" i="89"/>
  <c r="AI209" i="89"/>
  <c r="BR209" i="89"/>
  <c r="AQ151" i="87"/>
  <c r="BL151" i="87"/>
  <c r="AX151" i="87"/>
  <c r="AC151" i="87"/>
  <c r="AJ151" i="87"/>
  <c r="BS151" i="87"/>
  <c r="AI150" i="89"/>
  <c r="AW150" i="89"/>
  <c r="BK150" i="89"/>
  <c r="AP150" i="89"/>
  <c r="BR150" i="89"/>
  <c r="BK26" i="89"/>
  <c r="AW26" i="89"/>
  <c r="AP26" i="89"/>
  <c r="AI26" i="89"/>
  <c r="BR26" i="89"/>
  <c r="AB142" i="87"/>
  <c r="AI142" i="87"/>
  <c r="AP142" i="87"/>
  <c r="AW142" i="87"/>
  <c r="BK142" i="87"/>
  <c r="BR142" i="87"/>
  <c r="AH205" i="89"/>
  <c r="AO205" i="89"/>
  <c r="BJ205" i="89"/>
  <c r="AV205" i="89"/>
  <c r="BQ205" i="89"/>
  <c r="BK163" i="89"/>
  <c r="AW163" i="89"/>
  <c r="AP163" i="89"/>
  <c r="AI163" i="89"/>
  <c r="BR163" i="89"/>
  <c r="BV167" i="89"/>
  <c r="BL167" i="89"/>
  <c r="AX167" i="89"/>
  <c r="AQ167" i="89"/>
  <c r="AJ167" i="89"/>
  <c r="BS167" i="89"/>
  <c r="AP192" i="89"/>
  <c r="AI192" i="89"/>
  <c r="BK192" i="89"/>
  <c r="AW192" i="89"/>
  <c r="BR192" i="89"/>
  <c r="BV102" i="89"/>
  <c r="AQ102" i="89"/>
  <c r="AX102" i="89"/>
  <c r="AJ102" i="89"/>
  <c r="BL102" i="89"/>
  <c r="BS102" i="89"/>
  <c r="AV67" i="87"/>
  <c r="AA67" i="87"/>
  <c r="BJ67" i="87"/>
  <c r="AO67" i="87"/>
  <c r="AH67" i="87"/>
  <c r="BQ67" i="87"/>
  <c r="BK133" i="89"/>
  <c r="AW133" i="89"/>
  <c r="AP133" i="89"/>
  <c r="AI133" i="89"/>
  <c r="BR133" i="89"/>
  <c r="AP142" i="89"/>
  <c r="AW142" i="89"/>
  <c r="BK142" i="89"/>
  <c r="AI142" i="89"/>
  <c r="BR142" i="89"/>
  <c r="AV40" i="87"/>
  <c r="AA40" i="87"/>
  <c r="AH40" i="87"/>
  <c r="AO40" i="87"/>
  <c r="BJ40" i="87"/>
  <c r="BQ40" i="87"/>
  <c r="BV120" i="89"/>
  <c r="AJ120" i="89"/>
  <c r="AQ120" i="89"/>
  <c r="AX120" i="89"/>
  <c r="BL120" i="89"/>
  <c r="BS120" i="89"/>
  <c r="BV146" i="89"/>
  <c r="BL146" i="89"/>
  <c r="AX146" i="89"/>
  <c r="AJ146" i="89"/>
  <c r="AQ146" i="89"/>
  <c r="BS146" i="89"/>
  <c r="BK188" i="89"/>
  <c r="AW188" i="89"/>
  <c r="AP188" i="89"/>
  <c r="AI188" i="89"/>
  <c r="BR188" i="89"/>
  <c r="AB50" i="87"/>
  <c r="BK50" i="87"/>
  <c r="AI50" i="87"/>
  <c r="AP50" i="87"/>
  <c r="AW50" i="87"/>
  <c r="BR50" i="87"/>
  <c r="BK98" i="89"/>
  <c r="AW98" i="89"/>
  <c r="AP98" i="89"/>
  <c r="AI98" i="89"/>
  <c r="BR98" i="89"/>
  <c r="AI81" i="89"/>
  <c r="AW81" i="89"/>
  <c r="BK81" i="89"/>
  <c r="AP81" i="89"/>
  <c r="BR81" i="89"/>
  <c r="AI171" i="89"/>
  <c r="AP171" i="89"/>
  <c r="BK171" i="89"/>
  <c r="AW171" i="89"/>
  <c r="BR171" i="89"/>
  <c r="AW47" i="89"/>
  <c r="AI47" i="89"/>
  <c r="BK47" i="89"/>
  <c r="AP47" i="89"/>
  <c r="BR47" i="89"/>
  <c r="BV22" i="89"/>
  <c r="AJ22" i="89"/>
  <c r="AQ22" i="89"/>
  <c r="AX22" i="89"/>
  <c r="BL22" i="89"/>
  <c r="BS22" i="89"/>
  <c r="BV68" i="89"/>
  <c r="AX68" i="89"/>
  <c r="AQ68" i="89"/>
  <c r="AJ68" i="89"/>
  <c r="BL68" i="89"/>
  <c r="BS68" i="89"/>
  <c r="BV43" i="89"/>
  <c r="AJ43" i="89"/>
  <c r="AX43" i="89"/>
  <c r="BL43" i="89"/>
  <c r="AQ43" i="89"/>
  <c r="BS43" i="89"/>
  <c r="AW175" i="89"/>
  <c r="AP175" i="89"/>
  <c r="BK175" i="89"/>
  <c r="AI175" i="89"/>
  <c r="BR175" i="89"/>
  <c r="AI56" i="89"/>
  <c r="AP56" i="89"/>
  <c r="BK56" i="89"/>
  <c r="AW56" i="89"/>
  <c r="BR56" i="89"/>
  <c r="BK129" i="89"/>
  <c r="BK125" i="89" s="1"/>
  <c r="AW129" i="89"/>
  <c r="AW125" i="89" s="1"/>
  <c r="AP129" i="89"/>
  <c r="AP125" i="89" s="1"/>
  <c r="AI129" i="89"/>
  <c r="AI125" i="89" s="1"/>
  <c r="BR129" i="89"/>
  <c r="BR125" i="89" s="1"/>
  <c r="AW14" i="89"/>
  <c r="AI14" i="89"/>
  <c r="BK14" i="89"/>
  <c r="AP14" i="89"/>
  <c r="BR14" i="89"/>
  <c r="AW77" i="89"/>
  <c r="AI77" i="89"/>
  <c r="BK77" i="89"/>
  <c r="AP77" i="89"/>
  <c r="BR77" i="89"/>
  <c r="AW35" i="89"/>
  <c r="AI35" i="89"/>
  <c r="AP35" i="89"/>
  <c r="BK35" i="89"/>
  <c r="BR35" i="89"/>
  <c r="AB111" i="89"/>
  <c r="AW111" i="89"/>
  <c r="AI111" i="89"/>
  <c r="BK111" i="89"/>
  <c r="AP111" i="89"/>
  <c r="BR111" i="89"/>
  <c r="AO184" i="89"/>
  <c r="AH184" i="89"/>
  <c r="AV184" i="89"/>
  <c r="BJ184" i="89"/>
  <c r="BQ184" i="89"/>
  <c r="AB117" i="87"/>
  <c r="BK117" i="87"/>
  <c r="AW117" i="87"/>
  <c r="AP117" i="87"/>
  <c r="AI117" i="87"/>
  <c r="BR117" i="87"/>
  <c r="AH226" i="89"/>
  <c r="AV226" i="89"/>
  <c r="BJ226" i="89"/>
  <c r="AO226" i="89"/>
  <c r="BQ226" i="89"/>
  <c r="AH117" i="87"/>
  <c r="AA117" i="87"/>
  <c r="BJ117" i="87"/>
  <c r="AV117" i="87"/>
  <c r="AO117" i="87"/>
  <c r="BQ117" i="87"/>
  <c r="BI59" i="87"/>
  <c r="Z59" i="87"/>
  <c r="AG59" i="87"/>
  <c r="AN59" i="87"/>
  <c r="AU59" i="87"/>
  <c r="BP59" i="87"/>
  <c r="BI63" i="87"/>
  <c r="AU63" i="87"/>
  <c r="AN63" i="87"/>
  <c r="Z63" i="87"/>
  <c r="AG63" i="87"/>
  <c r="BP63" i="87"/>
  <c r="AJ289" i="89"/>
  <c r="AQ289" i="89"/>
  <c r="AX289" i="89"/>
  <c r="BL289" i="89"/>
  <c r="BS289" i="89"/>
  <c r="BJ196" i="89"/>
  <c r="AV196" i="89"/>
  <c r="AO196" i="89"/>
  <c r="AH196" i="89"/>
  <c r="BQ196" i="89"/>
  <c r="AP151" i="87"/>
  <c r="AB151" i="87"/>
  <c r="AW151" i="87"/>
  <c r="BK151" i="87"/>
  <c r="U89" i="96" s="1"/>
  <c r="AI151" i="87"/>
  <c r="BR151" i="87"/>
  <c r="U90" i="96" s="1"/>
  <c r="BM87" i="87"/>
  <c r="AY87" i="87"/>
  <c r="AD87" i="87"/>
  <c r="AK87" i="87"/>
  <c r="AR87" i="87"/>
  <c r="BT87" i="87"/>
  <c r="AH50" i="87"/>
  <c r="AO50" i="87"/>
  <c r="AA50" i="87"/>
  <c r="AV50" i="87"/>
  <c r="BJ50" i="87"/>
  <c r="BQ50" i="87"/>
  <c r="BJ20" i="87"/>
  <c r="AH20" i="87"/>
  <c r="AA20" i="87"/>
  <c r="AO20" i="87"/>
  <c r="AV20" i="87"/>
  <c r="BQ20" i="87"/>
  <c r="AW129" i="87"/>
  <c r="AP129" i="87"/>
  <c r="AI129" i="87"/>
  <c r="AB129" i="87"/>
  <c r="BK129" i="87"/>
  <c r="BR129" i="87"/>
  <c r="AO238" i="89"/>
  <c r="AH238" i="89"/>
  <c r="BJ238" i="89"/>
  <c r="AV238" i="89"/>
  <c r="BQ238" i="89"/>
  <c r="AH87" i="87"/>
  <c r="BJ87" i="87"/>
  <c r="AV87" i="87"/>
  <c r="AA87" i="87"/>
  <c r="AO87" i="87"/>
  <c r="BQ87" i="87"/>
  <c r="AO188" i="89"/>
  <c r="AV188" i="89"/>
  <c r="AH188" i="89"/>
  <c r="BJ188" i="89"/>
  <c r="BQ188" i="89"/>
  <c r="AH234" i="89"/>
  <c r="AO234" i="89"/>
  <c r="AV234" i="89"/>
  <c r="BJ234" i="89"/>
  <c r="BQ234" i="89"/>
  <c r="BM76" i="87"/>
  <c r="AY76" i="87"/>
  <c r="AD76" i="87"/>
  <c r="AK76" i="87"/>
  <c r="AR76" i="87"/>
  <c r="BT76" i="87"/>
  <c r="AO24" i="87"/>
  <c r="AA24" i="87"/>
  <c r="AH24" i="87"/>
  <c r="AV24" i="87"/>
  <c r="BJ24" i="87"/>
  <c r="BQ24" i="87"/>
  <c r="AP146" i="87"/>
  <c r="AW146" i="87"/>
  <c r="BK146" i="87"/>
  <c r="BR146" i="87"/>
  <c r="AH192" i="89"/>
  <c r="AV192" i="89"/>
  <c r="BJ192" i="89"/>
  <c r="AO192" i="89"/>
  <c r="BQ192" i="89"/>
  <c r="AV76" i="87"/>
  <c r="AA76" i="87"/>
  <c r="AH76" i="87"/>
  <c r="AO76" i="87"/>
  <c r="BJ76" i="87"/>
  <c r="BQ76" i="87"/>
  <c r="BJ45" i="87"/>
  <c r="AO45" i="87"/>
  <c r="AA45" i="87"/>
  <c r="AV45" i="87"/>
  <c r="AH45" i="87"/>
  <c r="BQ45" i="87"/>
  <c r="AO209" i="89"/>
  <c r="AV209" i="89"/>
  <c r="BJ209" i="89"/>
  <c r="AH209" i="89"/>
  <c r="BQ209" i="89"/>
  <c r="AY82" i="87"/>
  <c r="BM82" i="87"/>
  <c r="AD82" i="87"/>
  <c r="AK82" i="87"/>
  <c r="AR82" i="87"/>
  <c r="BT82" i="87"/>
  <c r="AC146" i="95"/>
  <c r="BK138" i="87"/>
  <c r="BK134" i="87" s="1"/>
  <c r="AW138" i="87"/>
  <c r="AW134" i="87" s="1"/>
  <c r="AP138" i="87"/>
  <c r="AP134" i="87" s="1"/>
  <c r="BR138" i="87"/>
  <c r="BR134" i="87" s="1"/>
  <c r="AV82" i="87"/>
  <c r="AA82" i="87"/>
  <c r="AO82" i="87"/>
  <c r="AH82" i="87"/>
  <c r="BJ82" i="87"/>
  <c r="BQ82" i="87"/>
  <c r="AA30" i="87"/>
  <c r="AO30" i="87"/>
  <c r="AV30" i="87"/>
  <c r="AH30" i="87"/>
  <c r="BJ30" i="87"/>
  <c r="BQ30" i="87"/>
  <c r="F89" i="86"/>
  <c r="BK167" i="89"/>
  <c r="AW167" i="89"/>
  <c r="AP167" i="89"/>
  <c r="AI167" i="89"/>
  <c r="BR167" i="89"/>
  <c r="AP89" i="89"/>
  <c r="AI89" i="89"/>
  <c r="BK89" i="89"/>
  <c r="AW89" i="89"/>
  <c r="BR89" i="89"/>
  <c r="BJ125" i="87"/>
  <c r="AO125" i="87"/>
  <c r="AA125" i="87"/>
  <c r="AH125" i="87"/>
  <c r="AV125" i="87"/>
  <c r="BQ125" i="87"/>
  <c r="AW120" i="89"/>
  <c r="AP120" i="89"/>
  <c r="AI120" i="89"/>
  <c r="BK120" i="89"/>
  <c r="BR120" i="89"/>
  <c r="BK64" i="89"/>
  <c r="AW64" i="89"/>
  <c r="AP64" i="89"/>
  <c r="AI64" i="89"/>
  <c r="BR64" i="89"/>
  <c r="AP22" i="89"/>
  <c r="AW22" i="89"/>
  <c r="AI22" i="89"/>
  <c r="BK22" i="89"/>
  <c r="BR22" i="89"/>
  <c r="AW154" i="89"/>
  <c r="AI154" i="89"/>
  <c r="BK154" i="89"/>
  <c r="AP154" i="89"/>
  <c r="BR154" i="89"/>
  <c r="BK39" i="89"/>
  <c r="AW39" i="89"/>
  <c r="AP39" i="89"/>
  <c r="AI39" i="89"/>
  <c r="BR39" i="89"/>
  <c r="BK146" i="89"/>
  <c r="AW146" i="89"/>
  <c r="AI146" i="89"/>
  <c r="AP146" i="89"/>
  <c r="BR146" i="89"/>
  <c r="AW68" i="89"/>
  <c r="AI68" i="89"/>
  <c r="AP68" i="89"/>
  <c r="BK68" i="89"/>
  <c r="BR68" i="89"/>
  <c r="AW102" i="89"/>
  <c r="AP102" i="89"/>
  <c r="AI102" i="89"/>
  <c r="BK102" i="89"/>
  <c r="BR102" i="89"/>
  <c r="AW43" i="89"/>
  <c r="AI43" i="89"/>
  <c r="BK43" i="89"/>
  <c r="AP43" i="89"/>
  <c r="BR43" i="89"/>
  <c r="AI85" i="89"/>
  <c r="BK85" i="89"/>
  <c r="AW85" i="89"/>
  <c r="AP85" i="89"/>
  <c r="BR85" i="89"/>
  <c r="AH121" i="87"/>
  <c r="BJ121" i="87"/>
  <c r="AV121" i="87"/>
  <c r="AO121" i="87"/>
  <c r="AA121" i="87"/>
  <c r="BQ121" i="87"/>
  <c r="AW115" i="89"/>
  <c r="AI115" i="89"/>
  <c r="BK115" i="89"/>
  <c r="AP115" i="89"/>
  <c r="BR115" i="89"/>
  <c r="AW60" i="89"/>
  <c r="BK60" i="89"/>
  <c r="AP60" i="89"/>
  <c r="AI60" i="89"/>
  <c r="BR60" i="89"/>
  <c r="BK18" i="89"/>
  <c r="AW18" i="89"/>
  <c r="AI18" i="89"/>
  <c r="AP18" i="89"/>
  <c r="BR18" i="89"/>
  <c r="BM293" i="89"/>
  <c r="AY293" i="89"/>
  <c r="AR293" i="89"/>
  <c r="AK293" i="89"/>
  <c r="BT293" i="89"/>
  <c r="AV96" i="87"/>
  <c r="BJ96" i="87"/>
  <c r="BQ96" i="87"/>
  <c r="AH96" i="87"/>
  <c r="AO96" i="87"/>
  <c r="AA96" i="87"/>
  <c r="BJ100" i="87"/>
  <c r="AO100" i="87"/>
  <c r="AH100" i="87"/>
  <c r="AA100" i="87"/>
  <c r="AV100" i="87"/>
  <c r="BQ100" i="87"/>
  <c r="AH104" i="87"/>
  <c r="AA104" i="87"/>
  <c r="AV104" i="87"/>
  <c r="AO104" i="87"/>
  <c r="BJ104" i="87"/>
  <c r="BQ104" i="87"/>
  <c r="BJ108" i="87"/>
  <c r="AV108" i="87"/>
  <c r="AO108" i="87"/>
  <c r="AH108" i="87"/>
  <c r="AA108" i="87"/>
  <c r="BQ108" i="87"/>
  <c r="AA133" i="95"/>
  <c r="AG217" i="89"/>
  <c r="AN217" i="89"/>
  <c r="BI217" i="89"/>
  <c r="AU217" i="89"/>
  <c r="BP217" i="89"/>
  <c r="AU234" i="89"/>
  <c r="AN234" i="89"/>
  <c r="AG234" i="89"/>
  <c r="BI234" i="89"/>
  <c r="BP234" i="89"/>
  <c r="AN238" i="89"/>
  <c r="AU238" i="89"/>
  <c r="BI238" i="89"/>
  <c r="AG238" i="89"/>
  <c r="BP238" i="89"/>
  <c r="AA136" i="95"/>
  <c r="AG230" i="89"/>
  <c r="AN230" i="89"/>
  <c r="AU230" i="89"/>
  <c r="BI230" i="89"/>
  <c r="BP230" i="89"/>
  <c r="AG226" i="89"/>
  <c r="AG222" i="89" s="1"/>
  <c r="AN226" i="89"/>
  <c r="AN222" i="89" s="1"/>
  <c r="BI226" i="89"/>
  <c r="BI222" i="89" s="1"/>
  <c r="AU226" i="89"/>
  <c r="AU222" i="89" s="1"/>
  <c r="BP226" i="89"/>
  <c r="BP222" i="89" s="1"/>
  <c r="AU213" i="89"/>
  <c r="AG213" i="89"/>
  <c r="AN213" i="89"/>
  <c r="BI213" i="89"/>
  <c r="BP213" i="89"/>
  <c r="AC279" i="87"/>
  <c r="AQ279" i="87"/>
  <c r="AJ279" i="87"/>
  <c r="AX279" i="87"/>
  <c r="BL279" i="87"/>
  <c r="BV278" i="87"/>
  <c r="BS279" i="87"/>
  <c r="BL240" i="87"/>
  <c r="BL228" i="87" s="1"/>
  <c r="AC240" i="87"/>
  <c r="AC228" i="87" s="1"/>
  <c r="AJ240" i="87"/>
  <c r="AJ228" i="87" s="1"/>
  <c r="AX240" i="87"/>
  <c r="AX228" i="87" s="1"/>
  <c r="AQ240" i="87"/>
  <c r="AQ228" i="87" s="1"/>
  <c r="BV240" i="87"/>
  <c r="BS240" i="87"/>
  <c r="BS228" i="87" s="1"/>
  <c r="BL329" i="87"/>
  <c r="BL321" i="87" s="1"/>
  <c r="AQ329" i="87"/>
  <c r="AQ321" i="87" s="1"/>
  <c r="AX329" i="87"/>
  <c r="AX321" i="87" s="1"/>
  <c r="AJ329" i="87"/>
  <c r="AJ321" i="87" s="1"/>
  <c r="AC329" i="87"/>
  <c r="AC321" i="87" s="1"/>
  <c r="BV329" i="87"/>
  <c r="BV321" i="87" s="1"/>
  <c r="BS329" i="87"/>
  <c r="BS321" i="87" s="1"/>
  <c r="AQ210" i="87"/>
  <c r="AQ194" i="87" s="1"/>
  <c r="AC210" i="87"/>
  <c r="AC194" i="87" s="1"/>
  <c r="AJ210" i="87"/>
  <c r="AJ194" i="87" s="1"/>
  <c r="AX210" i="87"/>
  <c r="AX194" i="87" s="1"/>
  <c r="BL210" i="87"/>
  <c r="BL194" i="87" s="1"/>
  <c r="BV210" i="87"/>
  <c r="BS210" i="87"/>
  <c r="BS194" i="87" s="1"/>
  <c r="AC316" i="87"/>
  <c r="AC304" i="87" s="1"/>
  <c r="AJ316" i="87"/>
  <c r="AJ304" i="87" s="1"/>
  <c r="AQ316" i="87"/>
  <c r="AQ304" i="87" s="1"/>
  <c r="AX316" i="87"/>
  <c r="AX304" i="87" s="1"/>
  <c r="BL316" i="87"/>
  <c r="BL304" i="87" s="1"/>
  <c r="BV316" i="87"/>
  <c r="BV304" i="87" s="1"/>
  <c r="BS316" i="87"/>
  <c r="BS304" i="87" s="1"/>
  <c r="AJ189" i="87"/>
  <c r="AJ173" i="87" s="1"/>
  <c r="BL189" i="87"/>
  <c r="BL173" i="87" s="1"/>
  <c r="AX189" i="87"/>
  <c r="AX173" i="87" s="1"/>
  <c r="AQ189" i="87"/>
  <c r="AQ173" i="87" s="1"/>
  <c r="AC189" i="87"/>
  <c r="AC173" i="87" s="1"/>
  <c r="BV189" i="87"/>
  <c r="BV173" i="87" s="1"/>
  <c r="BS189" i="87"/>
  <c r="BS173" i="87" s="1"/>
  <c r="AJ342" i="87"/>
  <c r="AJ334" i="87" s="1"/>
  <c r="BL342" i="87"/>
  <c r="BL334" i="87" s="1"/>
  <c r="AX342" i="87"/>
  <c r="AX334" i="87" s="1"/>
  <c r="AC342" i="87"/>
  <c r="AC334" i="87" s="1"/>
  <c r="AQ342" i="87"/>
  <c r="AQ334" i="87" s="1"/>
  <c r="BV342" i="87"/>
  <c r="BV334" i="87" s="1"/>
  <c r="BS342" i="87"/>
  <c r="BS334" i="87" s="1"/>
  <c r="AX223" i="87"/>
  <c r="AX215" i="87" s="1"/>
  <c r="AJ223" i="87"/>
  <c r="AJ215" i="87" s="1"/>
  <c r="AQ223" i="87"/>
  <c r="AQ215" i="87" s="1"/>
  <c r="BL223" i="87"/>
  <c r="BL215" i="87" s="1"/>
  <c r="AC223" i="87"/>
  <c r="AC215" i="87" s="1"/>
  <c r="BV223" i="87"/>
  <c r="BV215" i="87" s="1"/>
  <c r="BS223" i="87"/>
  <c r="BS215" i="87" s="1"/>
  <c r="BL315" i="89"/>
  <c r="BL311" i="89" s="1"/>
  <c r="AJ315" i="89"/>
  <c r="AJ311" i="89" s="1"/>
  <c r="AX315" i="89"/>
  <c r="AX311" i="89" s="1"/>
  <c r="AQ315" i="89"/>
  <c r="AQ311" i="89" s="1"/>
  <c r="AC168" i="87"/>
  <c r="AC156" i="87" s="1"/>
  <c r="AJ168" i="87"/>
  <c r="AJ156" i="87" s="1"/>
  <c r="AQ168" i="87"/>
  <c r="AQ156" i="87" s="1"/>
  <c r="AX168" i="87"/>
  <c r="AX156" i="87" s="1"/>
  <c r="BL168" i="87"/>
  <c r="BL156" i="87" s="1"/>
  <c r="BV168" i="87"/>
  <c r="BV156" i="87" s="1"/>
  <c r="BS168" i="87"/>
  <c r="BS156" i="87" s="1"/>
  <c r="BS315" i="89"/>
  <c r="BS311" i="89" s="1"/>
  <c r="BV259" i="88"/>
  <c r="BV251" i="88" s="1"/>
  <c r="AX259" i="88"/>
  <c r="AX251" i="88" s="1"/>
  <c r="BL259" i="88"/>
  <c r="BL251" i="88" s="1"/>
  <c r="AQ259" i="88"/>
  <c r="AQ251" i="88" s="1"/>
  <c r="AJ259" i="88"/>
  <c r="AJ251" i="88" s="1"/>
  <c r="AC259" i="88"/>
  <c r="AC251" i="88" s="1"/>
  <c r="BS259" i="88"/>
  <c r="BS251" i="88" s="1"/>
  <c r="BL299" i="87"/>
  <c r="BL283" i="87" s="1"/>
  <c r="AX299" i="87"/>
  <c r="AX283" i="87" s="1"/>
  <c r="AQ299" i="87"/>
  <c r="AQ283" i="87" s="1"/>
  <c r="AJ299" i="87"/>
  <c r="AJ283" i="87" s="1"/>
  <c r="AC299" i="87"/>
  <c r="AC283" i="87" s="1"/>
  <c r="BV299" i="87"/>
  <c r="BV283" i="87" s="1"/>
  <c r="BS299" i="87"/>
  <c r="BS283" i="87" s="1"/>
  <c r="AX258" i="87"/>
  <c r="AX245" i="87" s="1"/>
  <c r="BL258" i="87"/>
  <c r="BL245" i="87" s="1"/>
  <c r="AQ258" i="87"/>
  <c r="AQ245" i="87" s="1"/>
  <c r="AC258" i="87"/>
  <c r="AC245" i="87" s="1"/>
  <c r="AJ258" i="87"/>
  <c r="AJ245" i="87" s="1"/>
  <c r="BV258" i="87"/>
  <c r="BV245" i="87" s="1"/>
  <c r="BS258" i="87"/>
  <c r="BS245" i="87" s="1"/>
  <c r="BV289" i="89"/>
  <c r="BV277" i="89" s="1"/>
  <c r="AD91" i="96" s="1"/>
  <c r="AX306" i="89"/>
  <c r="AX298" i="89" s="1"/>
  <c r="AJ306" i="89"/>
  <c r="AJ298" i="89" s="1"/>
  <c r="AQ306" i="89"/>
  <c r="AQ298" i="89" s="1"/>
  <c r="BL306" i="89"/>
  <c r="BL298" i="89" s="1"/>
  <c r="BS306" i="89"/>
  <c r="BS298" i="89" s="1"/>
  <c r="BV336" i="89"/>
  <c r="BV328" i="89" s="1"/>
  <c r="BL336" i="89"/>
  <c r="BL328" i="89" s="1"/>
  <c r="AX336" i="89"/>
  <c r="AX328" i="89" s="1"/>
  <c r="AQ336" i="89"/>
  <c r="AQ328" i="89" s="1"/>
  <c r="AJ336" i="89"/>
  <c r="AJ328" i="89" s="1"/>
  <c r="BS336" i="89"/>
  <c r="BS328" i="89" s="1"/>
  <c r="BV353" i="89"/>
  <c r="BL353" i="89"/>
  <c r="AJ353" i="89"/>
  <c r="AX353" i="89"/>
  <c r="AQ353" i="89"/>
  <c r="BS353" i="89"/>
  <c r="BV272" i="89"/>
  <c r="AQ272" i="89"/>
  <c r="AJ272" i="89"/>
  <c r="AX272" i="89"/>
  <c r="BL272" i="89"/>
  <c r="BS272" i="89"/>
  <c r="AJ293" i="89"/>
  <c r="BL293" i="89"/>
  <c r="BL277" i="89" s="1"/>
  <c r="AX293" i="89"/>
  <c r="AQ293" i="89"/>
  <c r="BS293" i="89"/>
  <c r="BS277" i="89" s="1"/>
  <c r="BB187" i="88"/>
  <c r="BB204" i="88"/>
  <c r="BP201" i="89"/>
  <c r="BI201" i="89"/>
  <c r="AU201" i="89"/>
  <c r="AG201" i="89"/>
  <c r="AN201" i="89"/>
  <c r="BB146" i="87"/>
  <c r="BD146" i="87"/>
  <c r="BC146" i="87"/>
  <c r="BQ134" i="87"/>
  <c r="AO134" i="87"/>
  <c r="AV134" i="87"/>
  <c r="BJ134" i="87"/>
  <c r="AH134" i="87"/>
  <c r="AA134" i="87"/>
  <c r="BC96" i="87"/>
  <c r="BB96" i="87"/>
  <c r="BA92" i="87"/>
  <c r="BB142" i="89"/>
  <c r="BC142" i="89"/>
  <c r="BD142" i="89"/>
  <c r="BC133" i="89"/>
  <c r="BB133" i="89"/>
  <c r="BD133" i="89"/>
  <c r="BD129" i="89"/>
  <c r="BC129" i="89"/>
  <c r="BB129" i="89"/>
  <c r="BB125" i="89" s="1"/>
  <c r="BE120" i="89"/>
  <c r="BB120" i="89"/>
  <c r="BC120" i="89"/>
  <c r="BD120" i="89"/>
  <c r="BB115" i="89"/>
  <c r="BC115" i="89"/>
  <c r="BD115" i="89"/>
  <c r="BB175" i="89"/>
  <c r="BC175" i="89"/>
  <c r="BD175" i="89"/>
  <c r="BB255" i="89"/>
  <c r="BC255" i="89"/>
  <c r="BB171" i="89"/>
  <c r="BC171" i="89"/>
  <c r="BD171" i="89"/>
  <c r="BC167" i="89"/>
  <c r="BB167" i="89"/>
  <c r="BD167" i="89"/>
  <c r="BE167" i="89"/>
  <c r="BB247" i="89"/>
  <c r="BC247" i="89"/>
  <c r="BC163" i="89"/>
  <c r="BB163" i="89"/>
  <c r="BD163" i="89"/>
  <c r="BC150" i="89"/>
  <c r="BB150" i="89"/>
  <c r="BD150" i="89"/>
  <c r="BB251" i="89"/>
  <c r="BC251" i="89"/>
  <c r="BB238" i="89"/>
  <c r="BC238" i="89"/>
  <c r="BC234" i="89"/>
  <c r="BB234" i="89"/>
  <c r="BD234" i="89"/>
  <c r="BB230" i="89"/>
  <c r="BC230" i="89"/>
  <c r="BB226" i="89"/>
  <c r="BC226" i="89"/>
  <c r="BA222" i="89"/>
  <c r="BB217" i="89"/>
  <c r="BC217" i="89"/>
  <c r="BB213" i="89"/>
  <c r="BB209" i="89"/>
  <c r="BC209" i="89"/>
  <c r="BD209" i="89"/>
  <c r="BB205" i="89"/>
  <c r="BC205" i="89"/>
  <c r="BA201" i="89"/>
  <c r="BB196" i="89"/>
  <c r="BC196" i="89"/>
  <c r="BB192" i="89"/>
  <c r="BC192" i="89"/>
  <c r="BD192" i="89"/>
  <c r="BD188" i="89"/>
  <c r="BC188" i="89"/>
  <c r="BB188" i="89"/>
  <c r="BB184" i="89"/>
  <c r="BC184" i="89"/>
  <c r="BB154" i="89"/>
  <c r="BC154" i="89"/>
  <c r="BD154" i="89"/>
  <c r="BB146" i="89"/>
  <c r="BC146" i="89"/>
  <c r="BE146" i="89"/>
  <c r="BD146" i="89"/>
  <c r="BB111" i="89"/>
  <c r="BB107" i="89" s="1"/>
  <c r="BC111" i="89"/>
  <c r="BC107" i="89" s="1"/>
  <c r="BD111" i="89"/>
  <c r="BD107" i="89" s="1"/>
  <c r="BB102" i="89"/>
  <c r="BC102" i="89"/>
  <c r="BE102" i="89"/>
  <c r="BD102" i="89"/>
  <c r="BC98" i="89"/>
  <c r="BB98" i="89"/>
  <c r="BD98" i="89"/>
  <c r="BB89" i="89"/>
  <c r="BC89" i="89"/>
  <c r="BD89" i="89"/>
  <c r="BD85" i="89"/>
  <c r="BB85" i="89"/>
  <c r="BC85" i="89"/>
  <c r="BB81" i="89"/>
  <c r="BD81" i="89"/>
  <c r="BC81" i="89"/>
  <c r="BB77" i="89"/>
  <c r="BC77" i="89"/>
  <c r="BC73" i="89" s="1"/>
  <c r="BD77" i="89"/>
  <c r="BB68" i="89"/>
  <c r="BC68" i="89"/>
  <c r="BE68" i="89"/>
  <c r="BD68" i="89"/>
  <c r="BC64" i="89"/>
  <c r="BB64" i="89"/>
  <c r="BD64" i="89"/>
  <c r="BB60" i="89"/>
  <c r="BD60" i="89"/>
  <c r="BC60" i="89"/>
  <c r="BB56" i="89"/>
  <c r="BC56" i="89"/>
  <c r="BC52" i="89" s="1"/>
  <c r="BD56" i="89"/>
  <c r="BB47" i="89"/>
  <c r="BD47" i="89"/>
  <c r="BC47" i="89"/>
  <c r="BB43" i="89"/>
  <c r="BC43" i="89"/>
  <c r="BE43" i="89"/>
  <c r="BD43" i="89"/>
  <c r="BB39" i="89"/>
  <c r="BC39" i="89"/>
  <c r="BD39" i="89"/>
  <c r="BB35" i="89"/>
  <c r="BC35" i="89"/>
  <c r="BD35" i="89"/>
  <c r="BB26" i="89"/>
  <c r="BD26" i="89"/>
  <c r="BC26" i="89"/>
  <c r="BB22" i="89"/>
  <c r="BE22" i="89"/>
  <c r="BC22" i="89"/>
  <c r="BD22" i="89"/>
  <c r="BB18" i="89"/>
  <c r="BC18" i="89"/>
  <c r="BD18" i="89"/>
  <c r="BB14" i="89"/>
  <c r="BD14" i="89"/>
  <c r="BC14" i="89"/>
  <c r="BC10" i="89" s="1"/>
  <c r="BB306" i="89"/>
  <c r="BC306" i="89"/>
  <c r="BE306" i="89"/>
  <c r="BD306" i="89"/>
  <c r="BE289" i="89"/>
  <c r="BC289" i="89"/>
  <c r="BD289" i="89"/>
  <c r="BB289" i="89"/>
  <c r="BB285" i="89"/>
  <c r="BC285" i="89"/>
  <c r="BD285" i="89"/>
  <c r="BF285" i="89"/>
  <c r="BE285" i="89"/>
  <c r="BE323" i="89"/>
  <c r="BC323" i="89"/>
  <c r="BD323" i="89"/>
  <c r="BB323" i="89"/>
  <c r="BF323" i="89"/>
  <c r="BB319" i="89"/>
  <c r="BC319" i="89"/>
  <c r="BD319" i="89"/>
  <c r="BF319" i="89"/>
  <c r="BE319" i="89"/>
  <c r="BB315" i="89"/>
  <c r="BB311" i="89" s="1"/>
  <c r="BE315" i="89"/>
  <c r="BD315" i="89"/>
  <c r="BC315" i="89"/>
  <c r="BA311" i="89"/>
  <c r="BC302" i="89"/>
  <c r="BC298" i="89" s="1"/>
  <c r="BB302" i="89"/>
  <c r="BB298" i="89" s="1"/>
  <c r="BD302" i="89"/>
  <c r="BD298" i="89" s="1"/>
  <c r="BF302" i="89"/>
  <c r="BE302" i="89"/>
  <c r="BE298" i="89" s="1"/>
  <c r="BA298" i="89"/>
  <c r="BB281" i="89"/>
  <c r="BE281" i="89"/>
  <c r="BF281" i="89"/>
  <c r="BD281" i="89"/>
  <c r="BC281" i="89"/>
  <c r="BA277" i="89"/>
  <c r="BB293" i="89"/>
  <c r="BC293" i="89"/>
  <c r="BE293" i="89"/>
  <c r="BF293" i="89"/>
  <c r="BD293" i="89"/>
  <c r="BC353" i="89"/>
  <c r="BE353" i="89"/>
  <c r="BD353" i="89"/>
  <c r="BB353" i="89"/>
  <c r="BB349" i="89"/>
  <c r="BD349" i="89"/>
  <c r="BC349" i="89"/>
  <c r="BB345" i="89"/>
  <c r="BC345" i="89"/>
  <c r="BC341" i="89" s="1"/>
  <c r="BD345" i="89"/>
  <c r="BA341" i="89"/>
  <c r="BC336" i="89"/>
  <c r="BB336" i="89"/>
  <c r="BD336" i="89"/>
  <c r="BE336" i="89"/>
  <c r="BA328" i="89"/>
  <c r="BB332" i="89"/>
  <c r="BB328" i="89" s="1"/>
  <c r="BD332" i="89"/>
  <c r="BD328" i="89" s="1"/>
  <c r="BC332" i="89"/>
  <c r="BC328" i="89" s="1"/>
  <c r="BF332" i="89"/>
  <c r="BE332" i="89"/>
  <c r="BE328" i="89" s="1"/>
  <c r="BB272" i="89"/>
  <c r="BC272" i="89"/>
  <c r="BE272" i="89"/>
  <c r="BD272" i="89"/>
  <c r="BC268" i="89"/>
  <c r="BB268" i="89"/>
  <c r="BD268" i="89"/>
  <c r="BA260" i="89"/>
  <c r="BB264" i="89"/>
  <c r="BD264" i="89"/>
  <c r="BF264" i="89"/>
  <c r="BE264" i="89"/>
  <c r="BC264" i="89"/>
  <c r="BC260" i="89" s="1"/>
  <c r="BF255" i="88"/>
  <c r="BB255" i="88"/>
  <c r="BC255" i="88"/>
  <c r="BE255" i="88"/>
  <c r="BD255" i="88"/>
  <c r="BA251" i="88"/>
  <c r="BB259" i="88"/>
  <c r="BE259" i="88"/>
  <c r="BD259" i="88"/>
  <c r="BC259" i="88"/>
  <c r="BB67" i="87"/>
  <c r="BC67" i="87"/>
  <c r="BC142" i="87"/>
  <c r="BB142" i="87"/>
  <c r="BD142" i="87"/>
  <c r="BE299" i="87"/>
  <c r="BD299" i="87"/>
  <c r="BC299" i="87"/>
  <c r="BB299" i="87"/>
  <c r="BB189" i="87"/>
  <c r="BE189" i="87"/>
  <c r="BD189" i="87"/>
  <c r="BC189" i="87"/>
  <c r="BB121" i="87"/>
  <c r="BC121" i="87"/>
  <c r="BC236" i="87"/>
  <c r="BB236" i="87"/>
  <c r="BF236" i="87"/>
  <c r="BE236" i="87"/>
  <c r="BD236" i="87"/>
  <c r="BB329" i="87"/>
  <c r="BC329" i="87"/>
  <c r="BE329" i="87"/>
  <c r="BD329" i="87"/>
  <c r="BC177" i="87"/>
  <c r="BB177" i="87"/>
  <c r="BD177" i="87"/>
  <c r="BF177" i="87"/>
  <c r="BE177" i="87"/>
  <c r="BA173" i="87"/>
  <c r="BB258" i="87"/>
  <c r="BD258" i="87"/>
  <c r="BC258" i="87"/>
  <c r="BE258" i="87"/>
  <c r="BB59" i="87"/>
  <c r="BB291" i="87"/>
  <c r="BC291" i="87"/>
  <c r="BD291" i="87"/>
  <c r="BF291" i="87"/>
  <c r="BE291" i="87"/>
  <c r="BC210" i="87"/>
  <c r="BB210" i="87"/>
  <c r="BE210" i="87"/>
  <c r="BD210" i="87"/>
  <c r="BE138" i="87"/>
  <c r="BD138" i="87"/>
  <c r="BD134" i="87" s="1"/>
  <c r="BC138" i="87"/>
  <c r="BC134" i="87" s="1"/>
  <c r="BB138" i="87"/>
  <c r="BA134" i="87"/>
  <c r="BC219" i="87"/>
  <c r="BF219" i="87"/>
  <c r="BE219" i="87"/>
  <c r="BD219" i="87"/>
  <c r="BB219" i="87"/>
  <c r="BA215" i="87"/>
  <c r="BE308" i="87"/>
  <c r="BF308" i="87"/>
  <c r="BD308" i="87"/>
  <c r="BC308" i="87"/>
  <c r="BB308" i="87"/>
  <c r="BA304" i="87"/>
  <c r="BB45" i="87"/>
  <c r="BC45" i="87"/>
  <c r="BB50" i="87"/>
  <c r="BD50" i="87"/>
  <c r="BC50" i="87"/>
  <c r="BB342" i="87"/>
  <c r="BE342" i="87"/>
  <c r="BD342" i="87"/>
  <c r="BC342" i="87"/>
  <c r="BC338" i="87"/>
  <c r="BC334" i="87" s="1"/>
  <c r="BB338" i="87"/>
  <c r="BF338" i="87"/>
  <c r="BE338" i="87"/>
  <c r="BD338" i="87"/>
  <c r="BA334" i="87"/>
  <c r="BB325" i="87"/>
  <c r="BB321" i="87" s="1"/>
  <c r="BC325" i="87"/>
  <c r="BC321" i="87" s="1"/>
  <c r="BD325" i="87"/>
  <c r="BD321" i="87" s="1"/>
  <c r="BF325" i="87"/>
  <c r="BE325" i="87"/>
  <c r="BA321" i="87"/>
  <c r="BB316" i="87"/>
  <c r="BE316" i="87"/>
  <c r="BD316" i="87"/>
  <c r="BC316" i="87"/>
  <c r="BC312" i="87"/>
  <c r="BB312" i="87"/>
  <c r="BF312" i="87"/>
  <c r="BE312" i="87"/>
  <c r="BD312" i="87"/>
  <c r="BB295" i="87"/>
  <c r="BC295" i="87"/>
  <c r="BE295" i="87"/>
  <c r="BF295" i="87"/>
  <c r="BD295" i="87"/>
  <c r="BC287" i="87"/>
  <c r="BF287" i="87"/>
  <c r="BE287" i="87"/>
  <c r="BD287" i="87"/>
  <c r="BB287" i="87"/>
  <c r="BA283" i="87"/>
  <c r="BC279" i="87"/>
  <c r="BB279" i="87"/>
  <c r="BE279" i="87"/>
  <c r="BD279" i="87"/>
  <c r="BB275" i="87"/>
  <c r="BD275" i="87"/>
  <c r="BC275" i="87"/>
  <c r="BC270" i="87"/>
  <c r="BB270" i="87"/>
  <c r="BF270" i="87"/>
  <c r="BE270" i="87"/>
  <c r="BD270" i="87"/>
  <c r="BE266" i="87"/>
  <c r="BD266" i="87"/>
  <c r="BD262" i="87" s="1"/>
  <c r="BC266" i="87"/>
  <c r="BB266" i="87"/>
  <c r="BF266" i="87"/>
  <c r="BA262" i="87"/>
  <c r="BB253" i="87"/>
  <c r="BD253" i="87"/>
  <c r="BC253" i="87"/>
  <c r="BF253" i="87"/>
  <c r="BE253" i="87"/>
  <c r="BB249" i="87"/>
  <c r="BB245" i="87" s="1"/>
  <c r="BE249" i="87"/>
  <c r="BF249" i="87"/>
  <c r="BD249" i="87"/>
  <c r="BD245" i="87" s="1"/>
  <c r="BC249" i="87"/>
  <c r="BC245" i="87" s="1"/>
  <c r="BA245" i="87"/>
  <c r="BB240" i="87"/>
  <c r="BE240" i="87"/>
  <c r="BD240" i="87"/>
  <c r="BC240" i="87"/>
  <c r="BE232" i="87"/>
  <c r="BD232" i="87"/>
  <c r="BC232" i="87"/>
  <c r="BB232" i="87"/>
  <c r="BF232" i="87"/>
  <c r="BA228" i="87"/>
  <c r="BB223" i="87"/>
  <c r="BC223" i="87"/>
  <c r="BD223" i="87"/>
  <c r="BE223" i="87"/>
  <c r="BB206" i="87"/>
  <c r="BE206" i="87"/>
  <c r="BF206" i="87"/>
  <c r="BD206" i="87"/>
  <c r="BC206" i="87"/>
  <c r="BC202" i="87"/>
  <c r="BB202" i="87"/>
  <c r="BF202" i="87"/>
  <c r="BE202" i="87"/>
  <c r="BD202" i="87"/>
  <c r="BE198" i="87"/>
  <c r="BD198" i="87"/>
  <c r="BC198" i="87"/>
  <c r="BB198" i="87"/>
  <c r="BB194" i="87" s="1"/>
  <c r="BF198" i="87"/>
  <c r="BA194" i="87"/>
  <c r="BB185" i="87"/>
  <c r="BE185" i="87"/>
  <c r="BD185" i="87"/>
  <c r="BC185" i="87"/>
  <c r="BF185" i="87"/>
  <c r="BB181" i="87"/>
  <c r="BE181" i="87"/>
  <c r="BF181" i="87"/>
  <c r="BD181" i="87"/>
  <c r="BC181" i="87"/>
  <c r="BC168" i="87"/>
  <c r="BB168" i="87"/>
  <c r="BE168" i="87"/>
  <c r="BD168" i="87"/>
  <c r="BD164" i="87"/>
  <c r="BC164" i="87"/>
  <c r="BB164" i="87"/>
  <c r="BF164" i="87"/>
  <c r="BE164" i="87"/>
  <c r="BB160" i="87"/>
  <c r="BB156" i="87" s="1"/>
  <c r="BF160" i="87"/>
  <c r="BE160" i="87"/>
  <c r="BD160" i="87"/>
  <c r="BC160" i="87"/>
  <c r="BA156" i="87"/>
  <c r="BB151" i="87"/>
  <c r="BD151" i="87"/>
  <c r="BE151" i="87"/>
  <c r="BC151" i="87"/>
  <c r="BD129" i="87"/>
  <c r="BC129" i="87"/>
  <c r="BB129" i="87"/>
  <c r="BB125" i="87"/>
  <c r="BC125" i="87"/>
  <c r="BC117" i="87"/>
  <c r="BD117" i="87"/>
  <c r="BB117" i="87"/>
  <c r="BB113" i="87" s="1"/>
  <c r="BC108" i="87"/>
  <c r="BB108" i="87"/>
  <c r="BB104" i="87"/>
  <c r="BC104" i="87"/>
  <c r="BC100" i="87"/>
  <c r="BB100" i="87"/>
  <c r="BB87" i="87"/>
  <c r="BE87" i="87"/>
  <c r="BD87" i="87"/>
  <c r="BC87" i="87"/>
  <c r="BF87" i="87"/>
  <c r="BB82" i="87"/>
  <c r="BF82" i="87"/>
  <c r="BE82" i="87"/>
  <c r="BD82" i="87"/>
  <c r="BC82" i="87"/>
  <c r="BB76" i="87"/>
  <c r="BB72" i="87" s="1"/>
  <c r="BE76" i="87"/>
  <c r="BF76" i="87"/>
  <c r="BF72" i="87" s="1"/>
  <c r="BD76" i="87"/>
  <c r="BC76" i="87"/>
  <c r="BB63" i="87"/>
  <c r="BB40" i="87"/>
  <c r="BB35" i="87" s="1"/>
  <c r="BC40" i="87"/>
  <c r="BC35" i="87" s="1"/>
  <c r="BC30" i="87"/>
  <c r="BB30" i="87"/>
  <c r="BC24" i="87"/>
  <c r="BB24" i="87"/>
  <c r="BC20" i="87"/>
  <c r="BB20" i="87"/>
  <c r="BB246" i="88"/>
  <c r="BB230" i="88" s="1"/>
  <c r="BA204" i="88"/>
  <c r="BA187" i="88"/>
  <c r="F94" i="88"/>
  <c r="BB68" i="88"/>
  <c r="BC195" i="88"/>
  <c r="G109" i="84"/>
  <c r="R109" i="84" s="1"/>
  <c r="R86" i="84"/>
  <c r="H324" i="87"/>
  <c r="K216" i="101" s="1"/>
  <c r="O216" i="101" s="1"/>
  <c r="K218" i="101"/>
  <c r="O218" i="101" s="1"/>
  <c r="H323" i="87"/>
  <c r="I216" i="101" s="1"/>
  <c r="M216" i="101" s="1"/>
  <c r="I218" i="101"/>
  <c r="M218" i="101" s="1"/>
  <c r="H286" i="87"/>
  <c r="K207" i="101" s="1"/>
  <c r="O207" i="101" s="1"/>
  <c r="K211" i="101"/>
  <c r="O211" i="101" s="1"/>
  <c r="H285" i="87"/>
  <c r="I207" i="101" s="1"/>
  <c r="M207" i="101" s="1"/>
  <c r="I211" i="101"/>
  <c r="M211" i="101" s="1"/>
  <c r="H307" i="87"/>
  <c r="K212" i="101" s="1"/>
  <c r="O212" i="101" s="1"/>
  <c r="K215" i="101"/>
  <c r="O215" i="101" s="1"/>
  <c r="H306" i="87"/>
  <c r="I212" i="101" s="1"/>
  <c r="M212" i="101" s="1"/>
  <c r="I215" i="101"/>
  <c r="M215" i="101" s="1"/>
  <c r="K194" i="101"/>
  <c r="O194" i="101" s="1"/>
  <c r="K197" i="101"/>
  <c r="O197" i="101" s="1"/>
  <c r="K219" i="101"/>
  <c r="O219" i="101" s="1"/>
  <c r="K221" i="101"/>
  <c r="O221" i="101" s="1"/>
  <c r="H278" i="87"/>
  <c r="H206" i="101"/>
  <c r="G206" i="101" s="1"/>
  <c r="I219" i="101"/>
  <c r="M219" i="101" s="1"/>
  <c r="I221" i="101"/>
  <c r="M221" i="101" s="1"/>
  <c r="I186" i="101"/>
  <c r="M186" i="101" s="1"/>
  <c r="I190" i="101"/>
  <c r="M190" i="101" s="1"/>
  <c r="I194" i="101"/>
  <c r="M194" i="101" s="1"/>
  <c r="I197" i="101"/>
  <c r="M197" i="101" s="1"/>
  <c r="H247" i="87"/>
  <c r="I198" i="101" s="1"/>
  <c r="M198" i="101" s="1"/>
  <c r="I201" i="101"/>
  <c r="M201" i="101" s="1"/>
  <c r="H248" i="87"/>
  <c r="K198" i="101" s="1"/>
  <c r="O198" i="101" s="1"/>
  <c r="K201" i="101"/>
  <c r="O201" i="101" s="1"/>
  <c r="K186" i="101"/>
  <c r="O186" i="101" s="1"/>
  <c r="K190" i="101"/>
  <c r="O190" i="101" s="1"/>
  <c r="BA68" i="88"/>
  <c r="G98" i="88"/>
  <c r="BA230" i="88"/>
  <c r="R94" i="88"/>
  <c r="BC72" i="88"/>
  <c r="F97" i="88"/>
  <c r="F95" i="89"/>
  <c r="H331" i="89"/>
  <c r="K77" i="101" s="1"/>
  <c r="O77" i="101" s="1"/>
  <c r="K79" i="101"/>
  <c r="O79" i="101" s="1"/>
  <c r="H330" i="89"/>
  <c r="I77" i="101" s="1"/>
  <c r="M77" i="101" s="1"/>
  <c r="I79" i="101"/>
  <c r="M79" i="101" s="1"/>
  <c r="G256" i="89"/>
  <c r="U256" i="89" s="1"/>
  <c r="F98" i="89"/>
  <c r="H280" i="89"/>
  <c r="K65" i="101" s="1"/>
  <c r="O65" i="101" s="1"/>
  <c r="K69" i="101"/>
  <c r="O69" i="101" s="1"/>
  <c r="G99" i="89"/>
  <c r="U99" i="89" s="1"/>
  <c r="H99" i="89" s="1"/>
  <c r="H279" i="89"/>
  <c r="I65" i="101" s="1"/>
  <c r="M65" i="101" s="1"/>
  <c r="I69" i="101"/>
  <c r="M69" i="101" s="1"/>
  <c r="H361" i="89"/>
  <c r="K84" i="101" s="1"/>
  <c r="O84" i="101" s="1"/>
  <c r="K87" i="101"/>
  <c r="O87" i="101" s="1"/>
  <c r="H360" i="89"/>
  <c r="I84" i="101" s="1"/>
  <c r="M84" i="101" s="1"/>
  <c r="I87" i="101"/>
  <c r="M87" i="101" s="1"/>
  <c r="R24" i="84"/>
  <c r="H24" i="84" s="1"/>
  <c r="K224" i="101" s="1"/>
  <c r="O224" i="101" s="1"/>
  <c r="R18" i="84"/>
  <c r="H18" i="84" s="1"/>
  <c r="I223" i="101" s="1"/>
  <c r="M223" i="101" s="1"/>
  <c r="R157" i="84"/>
  <c r="H157" i="84" s="1"/>
  <c r="R252" i="84"/>
  <c r="H252" i="84" s="1"/>
  <c r="K240" i="101" s="1"/>
  <c r="O240" i="101" s="1"/>
  <c r="R28" i="84"/>
  <c r="H28" i="84" s="1"/>
  <c r="I225" i="101" s="1"/>
  <c r="M225" i="101" s="1"/>
  <c r="R161" i="84"/>
  <c r="H161" i="84" s="1"/>
  <c r="R147" i="84"/>
  <c r="H147" i="84" s="1"/>
  <c r="R23" i="84"/>
  <c r="H23" i="84" s="1"/>
  <c r="I224" i="101" s="1"/>
  <c r="M224" i="101" s="1"/>
  <c r="R261" i="84"/>
  <c r="H261" i="84" s="1"/>
  <c r="I242" i="101" s="1"/>
  <c r="M242" i="101" s="1"/>
  <c r="R167" i="84"/>
  <c r="H167" i="84" s="1"/>
  <c r="R190" i="84"/>
  <c r="R50" i="84"/>
  <c r="H50" i="84" s="1"/>
  <c r="K229" i="101" s="1"/>
  <c r="O229" i="101" s="1"/>
  <c r="R192" i="84"/>
  <c r="R247" i="84"/>
  <c r="H247" i="84" s="1"/>
  <c r="K239" i="101" s="1"/>
  <c r="O239" i="101" s="1"/>
  <c r="R149" i="84"/>
  <c r="H149" i="84" s="1"/>
  <c r="R254" i="84"/>
  <c r="H254" i="84" s="1"/>
  <c r="H241" i="101" s="1"/>
  <c r="R49" i="84"/>
  <c r="H49" i="84" s="1"/>
  <c r="I229" i="101" s="1"/>
  <c r="M229" i="101" s="1"/>
  <c r="R29" i="84"/>
  <c r="H29" i="84" s="1"/>
  <c r="K225" i="101" s="1"/>
  <c r="O225" i="101" s="1"/>
  <c r="R262" i="84"/>
  <c r="H262" i="84" s="1"/>
  <c r="K242" i="101" s="1"/>
  <c r="O242" i="101" s="1"/>
  <c r="R257" i="84"/>
  <c r="H257" i="84" s="1"/>
  <c r="K241" i="101" s="1"/>
  <c r="O241" i="101" s="1"/>
  <c r="R162" i="84"/>
  <c r="H162" i="84" s="1"/>
  <c r="R152" i="84"/>
  <c r="H152" i="84" s="1"/>
  <c r="K13" i="84"/>
  <c r="I13" i="84"/>
  <c r="L13" i="84"/>
  <c r="AD205" i="95"/>
  <c r="H210" i="87"/>
  <c r="F282" i="89"/>
  <c r="U282" i="89"/>
  <c r="G282" i="89"/>
  <c r="R278" i="89"/>
  <c r="G330" i="87"/>
  <c r="F330" i="87"/>
  <c r="F329" i="87" s="1"/>
  <c r="AD200" i="95"/>
  <c r="AD184" i="95"/>
  <c r="F286" i="89"/>
  <c r="F285" i="89" s="1"/>
  <c r="G286" i="89"/>
  <c r="F269" i="89"/>
  <c r="F268" i="89" s="1"/>
  <c r="G269" i="89"/>
  <c r="AD167" i="95"/>
  <c r="AD216" i="95"/>
  <c r="AC306" i="89"/>
  <c r="AC298" i="89" s="1"/>
  <c r="F290" i="89"/>
  <c r="F289" i="89" s="1"/>
  <c r="G290" i="89"/>
  <c r="F254" i="87"/>
  <c r="F253" i="87" s="1"/>
  <c r="G254" i="87"/>
  <c r="AD193" i="95"/>
  <c r="H181" i="101"/>
  <c r="H189" i="87"/>
  <c r="AD219" i="95"/>
  <c r="AC336" i="89"/>
  <c r="AC328" i="89" s="1"/>
  <c r="F294" i="89"/>
  <c r="F293" i="89" s="1"/>
  <c r="G294" i="89"/>
  <c r="G273" i="89"/>
  <c r="F273" i="89"/>
  <c r="F272" i="89" s="1"/>
  <c r="AD209" i="95"/>
  <c r="AD223" i="95"/>
  <c r="AC353" i="89"/>
  <c r="F333" i="89"/>
  <c r="G333" i="89"/>
  <c r="R329" i="89"/>
  <c r="R313" i="89" s="1"/>
  <c r="AD175" i="95"/>
  <c r="CJ213" i="95"/>
  <c r="AD213" i="95"/>
  <c r="BA213" i="95"/>
  <c r="CC213" i="95"/>
  <c r="AT213" i="95"/>
  <c r="BO213" i="95"/>
  <c r="BH213" i="95"/>
  <c r="F337" i="89"/>
  <c r="F336" i="89" s="1"/>
  <c r="G337" i="89"/>
  <c r="G161" i="87"/>
  <c r="F161" i="87"/>
  <c r="R157" i="87"/>
  <c r="AD160" i="95"/>
  <c r="H216" i="87"/>
  <c r="H215" i="87" s="1"/>
  <c r="H223" i="87"/>
  <c r="AC272" i="89"/>
  <c r="AD164" i="95"/>
  <c r="G354" i="89"/>
  <c r="F169" i="87"/>
  <c r="F168" i="87" s="1"/>
  <c r="G169" i="87"/>
  <c r="AD196" i="95"/>
  <c r="I181" i="101"/>
  <c r="M181" i="101" s="1"/>
  <c r="H240" i="87"/>
  <c r="AC293" i="89"/>
  <c r="G371" i="89"/>
  <c r="F371" i="89"/>
  <c r="F165" i="87"/>
  <c r="F164" i="87" s="1"/>
  <c r="G165" i="87"/>
  <c r="AC315" i="89"/>
  <c r="AC311" i="89" s="1"/>
  <c r="AD188" i="95"/>
  <c r="H275" i="87"/>
  <c r="H205" i="101" s="1"/>
  <c r="H276" i="87"/>
  <c r="H277" i="87"/>
  <c r="H162" i="87"/>
  <c r="H163" i="87"/>
  <c r="AC204" i="95"/>
  <c r="R342" i="89"/>
  <c r="G346" i="89"/>
  <c r="F346" i="89"/>
  <c r="AD170" i="95"/>
  <c r="F350" i="89"/>
  <c r="F349" i="89" s="1"/>
  <c r="G350" i="89"/>
  <c r="F339" i="87"/>
  <c r="G339" i="87"/>
  <c r="R335" i="87"/>
  <c r="H305" i="87"/>
  <c r="H316" i="87"/>
  <c r="BR107" i="95"/>
  <c r="R359" i="89"/>
  <c r="G363" i="89"/>
  <c r="F363" i="89"/>
  <c r="F362" i="89" s="1"/>
  <c r="F343" i="87"/>
  <c r="F342" i="87" s="1"/>
  <c r="G343" i="87"/>
  <c r="K181" i="101"/>
  <c r="O181" i="101" s="1"/>
  <c r="G367" i="89"/>
  <c r="F367" i="89"/>
  <c r="F366" i="89" s="1"/>
  <c r="F288" i="87"/>
  <c r="G288" i="87"/>
  <c r="R284" i="87"/>
  <c r="CW156" i="95"/>
  <c r="CX156" i="95" s="1"/>
  <c r="AD180" i="95"/>
  <c r="F258" i="87"/>
  <c r="F257" i="87" s="1"/>
  <c r="G258" i="87"/>
  <c r="G292" i="87"/>
  <c r="F292" i="87"/>
  <c r="F291" i="87" s="1"/>
  <c r="F324" i="89"/>
  <c r="F323" i="89" s="1"/>
  <c r="G324" i="89"/>
  <c r="G326" i="87"/>
  <c r="F326" i="87"/>
  <c r="F322" i="87" s="1"/>
  <c r="R322" i="87"/>
  <c r="G296" i="87"/>
  <c r="F296" i="87"/>
  <c r="F295" i="87" s="1"/>
  <c r="H352" i="89"/>
  <c r="K82" i="101" s="1"/>
  <c r="O82" i="101" s="1"/>
  <c r="H270" i="89"/>
  <c r="H271" i="89"/>
  <c r="H348" i="89"/>
  <c r="K81" i="101" s="1"/>
  <c r="O81" i="101" s="1"/>
  <c r="H347" i="89"/>
  <c r="H351" i="89"/>
  <c r="I82" i="101" s="1"/>
  <c r="M82" i="101" s="1"/>
  <c r="H317" i="89"/>
  <c r="I74" i="101" s="1"/>
  <c r="M74" i="101" s="1"/>
  <c r="H318" i="89"/>
  <c r="AC237" i="95"/>
  <c r="AD237" i="95" s="1"/>
  <c r="AC211" i="95"/>
  <c r="AC222" i="95"/>
  <c r="AC163" i="95"/>
  <c r="AC221" i="95"/>
  <c r="F320" i="89"/>
  <c r="F319" i="89" s="1"/>
  <c r="G320" i="89"/>
  <c r="F265" i="89"/>
  <c r="G265" i="89"/>
  <c r="G261" i="89" s="1"/>
  <c r="R261" i="89"/>
  <c r="G300" i="87"/>
  <c r="F300" i="87"/>
  <c r="F299" i="87" s="1"/>
  <c r="F316" i="89"/>
  <c r="F315" i="89" s="1"/>
  <c r="G316" i="89"/>
  <c r="R312" i="89"/>
  <c r="F250" i="87"/>
  <c r="F246" i="87" s="1"/>
  <c r="G250" i="87"/>
  <c r="R246" i="87"/>
  <c r="F220" i="88"/>
  <c r="G221" i="88"/>
  <c r="U221" i="88" s="1"/>
  <c r="H221" i="88" s="1"/>
  <c r="F69" i="88"/>
  <c r="R69" i="88"/>
  <c r="F131" i="88"/>
  <c r="G132" i="88"/>
  <c r="G131" i="88" s="1"/>
  <c r="BJ110" i="88"/>
  <c r="L246" i="89"/>
  <c r="F248" i="89"/>
  <c r="F244" i="89" s="1"/>
  <c r="R244" i="89"/>
  <c r="U249" i="89"/>
  <c r="U245" i="89" s="1"/>
  <c r="G245" i="89"/>
  <c r="Z129" i="95"/>
  <c r="BZ129" i="95" s="1"/>
  <c r="AA132" i="95"/>
  <c r="AH170" i="88"/>
  <c r="Z134" i="95"/>
  <c r="AC289" i="89"/>
  <c r="AC277" i="89" s="1"/>
  <c r="CT154" i="95"/>
  <c r="CW154" i="95" s="1"/>
  <c r="CW157" i="95"/>
  <c r="CX157" i="95" s="1"/>
  <c r="AA94" i="89"/>
  <c r="AV170" i="88"/>
  <c r="BQ170" i="88"/>
  <c r="AA110" i="88"/>
  <c r="AA170" i="88"/>
  <c r="AH204" i="88"/>
  <c r="BQ187" i="88"/>
  <c r="BJ204" i="88"/>
  <c r="I241" i="84"/>
  <c r="G241" i="84" s="1"/>
  <c r="G236" i="84"/>
  <c r="I186" i="84"/>
  <c r="G186" i="84" s="1"/>
  <c r="G181" i="84"/>
  <c r="F81" i="84"/>
  <c r="H145" i="84"/>
  <c r="H165" i="84"/>
  <c r="L53" i="85"/>
  <c r="L15" i="85"/>
  <c r="L95" i="85" s="1"/>
  <c r="P39" i="84"/>
  <c r="Q75" i="84"/>
  <c r="H155" i="84"/>
  <c r="H245" i="84"/>
  <c r="J239" i="101" s="1"/>
  <c r="N239" i="101" s="1"/>
  <c r="I141" i="84"/>
  <c r="G141" i="84" s="1"/>
  <c r="G136" i="84"/>
  <c r="H85" i="85"/>
  <c r="H21" i="85"/>
  <c r="Q10" i="85"/>
  <c r="N53" i="85"/>
  <c r="N21" i="85"/>
  <c r="G17" i="85"/>
  <c r="G60" i="85" s="1"/>
  <c r="G139" i="85"/>
  <c r="AV187" i="88"/>
  <c r="BC170" i="88"/>
  <c r="AO187" i="88"/>
  <c r="AV204" i="88"/>
  <c r="AO170" i="88"/>
  <c r="G298" i="89"/>
  <c r="BJ187" i="88"/>
  <c r="AH187" i="88"/>
  <c r="H298" i="89"/>
  <c r="AD293" i="89"/>
  <c r="H65" i="84"/>
  <c r="I232" i="101" s="1"/>
  <c r="M232" i="101" s="1"/>
  <c r="I60" i="84"/>
  <c r="J39" i="84"/>
  <c r="I39" i="84"/>
  <c r="AO204" i="88"/>
  <c r="AA204" i="88"/>
  <c r="AA52" i="89"/>
  <c r="BQ204" i="88"/>
  <c r="BC187" i="88"/>
  <c r="AA31" i="89"/>
  <c r="AA187" i="88"/>
  <c r="BC204" i="88"/>
  <c r="AA10" i="89"/>
  <c r="AA73" i="89"/>
  <c r="BJ170" i="88"/>
  <c r="AA125" i="89"/>
  <c r="AY107" i="95"/>
  <c r="AA138" i="89"/>
  <c r="BQ110" i="88"/>
  <c r="AO110" i="88"/>
  <c r="AA159" i="89"/>
  <c r="Z180" i="89"/>
  <c r="F258" i="89"/>
  <c r="F255" i="89" s="1"/>
  <c r="H260" i="84"/>
  <c r="J242" i="101" s="1"/>
  <c r="N242" i="101" s="1"/>
  <c r="H250" i="84"/>
  <c r="J240" i="101" s="1"/>
  <c r="N240" i="101" s="1"/>
  <c r="H160" i="84"/>
  <c r="H150" i="84"/>
  <c r="H86" i="84"/>
  <c r="F60" i="84"/>
  <c r="G70" i="84"/>
  <c r="R70" i="84" s="1"/>
  <c r="H70" i="84" s="1"/>
  <c r="I233" i="101" s="1"/>
  <c r="M233" i="101" s="1"/>
  <c r="H48" i="84"/>
  <c r="J229" i="101" s="1"/>
  <c r="N229" i="101" s="1"/>
  <c r="I38" i="84"/>
  <c r="G54" i="84"/>
  <c r="J38" i="84"/>
  <c r="F54" i="84"/>
  <c r="F39" i="84" s="1"/>
  <c r="G44" i="84"/>
  <c r="R44" i="84" s="1"/>
  <c r="H27" i="84"/>
  <c r="J225" i="101" s="1"/>
  <c r="N225" i="101" s="1"/>
  <c r="H12" i="85"/>
  <c r="H55" i="85" s="1"/>
  <c r="I12" i="84"/>
  <c r="G33" i="84"/>
  <c r="H22" i="84"/>
  <c r="J224" i="101" s="1"/>
  <c r="N224" i="101" s="1"/>
  <c r="H17" i="84"/>
  <c r="J223" i="101" s="1"/>
  <c r="N223" i="101" s="1"/>
  <c r="AB209" i="89"/>
  <c r="AA184" i="89"/>
  <c r="AB102" i="89"/>
  <c r="BF107" i="95"/>
  <c r="AB14" i="89"/>
  <c r="AA230" i="89"/>
  <c r="AB120" i="89"/>
  <c r="AB212" i="88"/>
  <c r="BR212" i="88"/>
  <c r="BK212" i="88"/>
  <c r="AI212" i="88"/>
  <c r="AP212" i="88"/>
  <c r="AW212" i="88"/>
  <c r="BD212" i="88"/>
  <c r="AB43" i="89"/>
  <c r="BV195" i="88"/>
  <c r="AQ195" i="88"/>
  <c r="AJ195" i="88"/>
  <c r="AX195" i="88"/>
  <c r="BS195" i="88"/>
  <c r="BL195" i="88"/>
  <c r="AC195" i="88"/>
  <c r="BE195" i="88"/>
  <c r="AA196" i="89"/>
  <c r="AA192" i="89"/>
  <c r="AB64" i="89"/>
  <c r="AB85" i="89"/>
  <c r="Z230" i="89"/>
  <c r="BM107" i="95"/>
  <c r="AB171" i="89"/>
  <c r="AB22" i="89"/>
  <c r="AR107" i="95"/>
  <c r="AB150" i="89"/>
  <c r="AC120" i="89"/>
  <c r="AW195" i="88"/>
  <c r="AB195" i="88"/>
  <c r="AI195" i="88"/>
  <c r="AP195" i="88"/>
  <c r="BR195" i="88"/>
  <c r="BK195" i="88"/>
  <c r="BD195" i="88"/>
  <c r="AI225" i="88"/>
  <c r="BR225" i="88"/>
  <c r="AW225" i="88"/>
  <c r="AP225" i="88"/>
  <c r="AB225" i="88"/>
  <c r="BK225" i="88"/>
  <c r="BD225" i="88"/>
  <c r="AB216" i="88"/>
  <c r="AP216" i="88"/>
  <c r="AI216" i="88"/>
  <c r="AW216" i="88"/>
  <c r="BK216" i="88"/>
  <c r="BR216" i="88"/>
  <c r="BD216" i="88"/>
  <c r="AB26" i="89"/>
  <c r="AB192" i="89"/>
  <c r="AC146" i="89"/>
  <c r="AC22" i="89"/>
  <c r="AI191" i="88"/>
  <c r="AB191" i="88"/>
  <c r="AP191" i="88"/>
  <c r="BK191" i="88"/>
  <c r="BR191" i="88"/>
  <c r="AW191" i="88"/>
  <c r="BD191" i="88"/>
  <c r="AA242" i="88"/>
  <c r="BJ242" i="88"/>
  <c r="AO242" i="88"/>
  <c r="AV242" i="88"/>
  <c r="AH242" i="88"/>
  <c r="BQ242" i="88"/>
  <c r="BC242" i="88"/>
  <c r="Z217" i="89"/>
  <c r="AC102" i="89"/>
  <c r="AB133" i="89"/>
  <c r="AC68" i="89"/>
  <c r="AB129" i="89"/>
  <c r="AA209" i="89"/>
  <c r="AB142" i="89"/>
  <c r="AC43" i="89"/>
  <c r="CH107" i="95"/>
  <c r="CA107" i="95"/>
  <c r="Z234" i="89"/>
  <c r="AA238" i="89"/>
  <c r="AB167" i="89"/>
  <c r="AB146" i="89"/>
  <c r="Z226" i="89"/>
  <c r="BL134" i="95"/>
  <c r="AB98" i="89"/>
  <c r="AB35" i="89"/>
  <c r="AA213" i="89"/>
  <c r="AC93" i="95"/>
  <c r="AB89" i="89"/>
  <c r="AB68" i="89"/>
  <c r="AB115" i="89"/>
  <c r="AB107" i="89" s="1"/>
  <c r="AB47" i="89"/>
  <c r="AB175" i="89"/>
  <c r="AW208" i="88"/>
  <c r="BR208" i="88"/>
  <c r="AP208" i="88"/>
  <c r="BK208" i="88"/>
  <c r="AB208" i="88"/>
  <c r="AI208" i="88"/>
  <c r="BD208" i="88"/>
  <c r="AA226" i="89"/>
  <c r="AP220" i="88"/>
  <c r="AB220" i="88"/>
  <c r="AI220" i="88"/>
  <c r="BR220" i="88"/>
  <c r="BK220" i="88"/>
  <c r="AW220" i="88"/>
  <c r="BD220" i="88"/>
  <c r="AW199" i="88"/>
  <c r="AB199" i="88"/>
  <c r="AI199" i="88"/>
  <c r="BK199" i="88"/>
  <c r="AP199" i="88"/>
  <c r="BR199" i="88"/>
  <c r="BD199" i="88"/>
  <c r="AB60" i="89"/>
  <c r="AA205" i="89"/>
  <c r="AB81" i="89"/>
  <c r="AB77" i="89"/>
  <c r="AA188" i="89"/>
  <c r="AB18" i="89"/>
  <c r="AB163" i="89"/>
  <c r="AB188" i="89"/>
  <c r="AA234" i="89"/>
  <c r="AW178" i="88"/>
  <c r="AB178" i="88"/>
  <c r="AP178" i="88"/>
  <c r="BK178" i="88"/>
  <c r="AI178" i="88"/>
  <c r="BR178" i="88"/>
  <c r="BD178" i="88"/>
  <c r="Z238" i="89"/>
  <c r="AB182" i="88"/>
  <c r="BK182" i="88"/>
  <c r="AW182" i="88"/>
  <c r="AI182" i="88"/>
  <c r="BR182" i="88"/>
  <c r="AP182" i="88"/>
  <c r="BD182" i="88"/>
  <c r="AC167" i="89"/>
  <c r="AB56" i="89"/>
  <c r="AA217" i="89"/>
  <c r="AB154" i="89"/>
  <c r="AX129" i="95"/>
  <c r="Z213" i="89"/>
  <c r="BT107" i="95"/>
  <c r="AB234" i="89"/>
  <c r="AB39" i="89"/>
  <c r="F120" i="89"/>
  <c r="G121" i="89"/>
  <c r="U121" i="89" s="1"/>
  <c r="H121" i="89" s="1"/>
  <c r="H120" i="89" s="1"/>
  <c r="G23" i="89"/>
  <c r="G22" i="89" s="1"/>
  <c r="BC110" i="88"/>
  <c r="AH68" i="88"/>
  <c r="AV110" i="88"/>
  <c r="AV68" i="88"/>
  <c r="BQ153" i="88"/>
  <c r="BQ68" i="88"/>
  <c r="BJ123" i="88"/>
  <c r="AO136" i="88"/>
  <c r="BQ123" i="88"/>
  <c r="AV136" i="88"/>
  <c r="AA153" i="88"/>
  <c r="BC123" i="88"/>
  <c r="AH93" i="88"/>
  <c r="BJ93" i="88"/>
  <c r="AO93" i="88"/>
  <c r="AA93" i="88"/>
  <c r="BC153" i="88"/>
  <c r="BJ10" i="88"/>
  <c r="AV123" i="88"/>
  <c r="BJ136" i="88"/>
  <c r="AO123" i="88"/>
  <c r="AH136" i="88"/>
  <c r="BC68" i="88"/>
  <c r="AV93" i="88"/>
  <c r="BC39" i="88"/>
  <c r="AA68" i="88"/>
  <c r="BC93" i="88"/>
  <c r="BQ39" i="88"/>
  <c r="BQ93" i="88"/>
  <c r="AO10" i="88"/>
  <c r="BJ39" i="88"/>
  <c r="BJ68" i="88"/>
  <c r="AV39" i="88"/>
  <c r="AO68" i="88"/>
  <c r="AV10" i="88"/>
  <c r="AH39" i="88"/>
  <c r="AV153" i="88"/>
  <c r="AA39" i="88"/>
  <c r="BQ10" i="88"/>
  <c r="AO39" i="88"/>
  <c r="AA10" i="88"/>
  <c r="AO153" i="88"/>
  <c r="AH10" i="88"/>
  <c r="AH153" i="88"/>
  <c r="BC136" i="88"/>
  <c r="AH123" i="88"/>
  <c r="BJ153" i="88"/>
  <c r="AA136" i="88"/>
  <c r="AA123" i="88"/>
  <c r="BQ136" i="88"/>
  <c r="BR157" i="88"/>
  <c r="AW157" i="88"/>
  <c r="AB157" i="88"/>
  <c r="AP157" i="88"/>
  <c r="BK157" i="88"/>
  <c r="AI157" i="88"/>
  <c r="BD157" i="88"/>
  <c r="AB174" i="88"/>
  <c r="BR174" i="88"/>
  <c r="BK174" i="88"/>
  <c r="AP174" i="88"/>
  <c r="AI174" i="88"/>
  <c r="AW174" i="88"/>
  <c r="BD174" i="88"/>
  <c r="BR148" i="88"/>
  <c r="AW148" i="88"/>
  <c r="AI148" i="88"/>
  <c r="AB148" i="88"/>
  <c r="AP148" i="88"/>
  <c r="BK148" i="88"/>
  <c r="BD148" i="88"/>
  <c r="AP144" i="88"/>
  <c r="BK144" i="88"/>
  <c r="AI144" i="88"/>
  <c r="AW144" i="88"/>
  <c r="BR144" i="88"/>
  <c r="AB144" i="88"/>
  <c r="BD144" i="88"/>
  <c r="AW161" i="88"/>
  <c r="AP161" i="88"/>
  <c r="BR161" i="88"/>
  <c r="BK161" i="88"/>
  <c r="AB161" i="88"/>
  <c r="AI161" i="88"/>
  <c r="BD161" i="88"/>
  <c r="AI118" i="88"/>
  <c r="BR118" i="88"/>
  <c r="AW118" i="88"/>
  <c r="BK118" i="88"/>
  <c r="AP118" i="88"/>
  <c r="AB118" i="88"/>
  <c r="BD118" i="88"/>
  <c r="AJ131" i="88"/>
  <c r="AC131" i="88"/>
  <c r="AX131" i="88"/>
  <c r="BS131" i="88"/>
  <c r="BL131" i="88"/>
  <c r="AQ131" i="88"/>
  <c r="BE131" i="88"/>
  <c r="AJ165" i="88"/>
  <c r="AQ165" i="88"/>
  <c r="BS165" i="88"/>
  <c r="AX165" i="88"/>
  <c r="AC165" i="88"/>
  <c r="BL165" i="88"/>
  <c r="BE165" i="88"/>
  <c r="AI131" i="88"/>
  <c r="AB131" i="88"/>
  <c r="AP131" i="88"/>
  <c r="BK131" i="88"/>
  <c r="BR131" i="88"/>
  <c r="AW131" i="88"/>
  <c r="BD131" i="88"/>
  <c r="AI165" i="88"/>
  <c r="AP165" i="88"/>
  <c r="BR165" i="88"/>
  <c r="AW165" i="88"/>
  <c r="BK165" i="88"/>
  <c r="AB165" i="88"/>
  <c r="BD165" i="88"/>
  <c r="BR127" i="88"/>
  <c r="AI127" i="88"/>
  <c r="AB127" i="88"/>
  <c r="BK127" i="88"/>
  <c r="AW127" i="88"/>
  <c r="AP127" i="88"/>
  <c r="BD127" i="88"/>
  <c r="BR140" i="88"/>
  <c r="AW140" i="88"/>
  <c r="AP140" i="88"/>
  <c r="AB140" i="88"/>
  <c r="BK140" i="88"/>
  <c r="AI140" i="88"/>
  <c r="BD140" i="88"/>
  <c r="BK34" i="88"/>
  <c r="BR34" i="88"/>
  <c r="BD34" i="88"/>
  <c r="AB34" i="88"/>
  <c r="AI34" i="88"/>
  <c r="AP34" i="88"/>
  <c r="AW34" i="88"/>
  <c r="AW72" i="88"/>
  <c r="BD72" i="88"/>
  <c r="BK72" i="88"/>
  <c r="AI72" i="88"/>
  <c r="AP72" i="88"/>
  <c r="BR72" i="88"/>
  <c r="AB72" i="88"/>
  <c r="AC41" i="95"/>
  <c r="AB55" i="88"/>
  <c r="AI55" i="88"/>
  <c r="AW55" i="88"/>
  <c r="BK55" i="88"/>
  <c r="BR55" i="88"/>
  <c r="AP55" i="88"/>
  <c r="BD55" i="88"/>
  <c r="AB30" i="88"/>
  <c r="BK30" i="88"/>
  <c r="BD30" i="88"/>
  <c r="BR30" i="88"/>
  <c r="AI30" i="88"/>
  <c r="AW30" i="88"/>
  <c r="AP30" i="88"/>
  <c r="AB80" i="88"/>
  <c r="AI80" i="88"/>
  <c r="BD80" i="88"/>
  <c r="BR80" i="88"/>
  <c r="AW80" i="88"/>
  <c r="AP80" i="88"/>
  <c r="BK80" i="88"/>
  <c r="AP101" i="88"/>
  <c r="AW101" i="88"/>
  <c r="BR101" i="88"/>
  <c r="AB101" i="88"/>
  <c r="AI101" i="88"/>
  <c r="BK101" i="88"/>
  <c r="BD101" i="88"/>
  <c r="BR63" i="88"/>
  <c r="AI63" i="88"/>
  <c r="BK63" i="88"/>
  <c r="AB63" i="88"/>
  <c r="AP63" i="88"/>
  <c r="AW63" i="88"/>
  <c r="BD63" i="88"/>
  <c r="AP14" i="88"/>
  <c r="BK14" i="88"/>
  <c r="AB14" i="88"/>
  <c r="AI14" i="88"/>
  <c r="BR14" i="88"/>
  <c r="BD14" i="88"/>
  <c r="AW14" i="88"/>
  <c r="BR76" i="88"/>
  <c r="AP76" i="88"/>
  <c r="AI76" i="88"/>
  <c r="AB76" i="88"/>
  <c r="AW76" i="88"/>
  <c r="BK76" i="88"/>
  <c r="BD76" i="88"/>
  <c r="AC105" i="88"/>
  <c r="AQ105" i="88"/>
  <c r="AX105" i="88"/>
  <c r="AJ105" i="88"/>
  <c r="BL105" i="88"/>
  <c r="BS105" i="88"/>
  <c r="BE105" i="88"/>
  <c r="AI88" i="88"/>
  <c r="AB88" i="88"/>
  <c r="AW88" i="88"/>
  <c r="AP88" i="88"/>
  <c r="BR88" i="88"/>
  <c r="BK88" i="88"/>
  <c r="BD88" i="88"/>
  <c r="AW105" i="88"/>
  <c r="AI105" i="88"/>
  <c r="BK105" i="88"/>
  <c r="AB105" i="88"/>
  <c r="BR105" i="88"/>
  <c r="AP105" i="88"/>
  <c r="BD105" i="88"/>
  <c r="BK114" i="88"/>
  <c r="AW114" i="88"/>
  <c r="AP114" i="88"/>
  <c r="BR114" i="88"/>
  <c r="AB114" i="88"/>
  <c r="AI114" i="88"/>
  <c r="BD114" i="88"/>
  <c r="BD26" i="88"/>
  <c r="BR26" i="88"/>
  <c r="AB26" i="88"/>
  <c r="AP26" i="88"/>
  <c r="AW26" i="88"/>
  <c r="AI26" i="88"/>
  <c r="BK26" i="88"/>
  <c r="BR18" i="88"/>
  <c r="BD18" i="88"/>
  <c r="AP18" i="88"/>
  <c r="AB18" i="88"/>
  <c r="AW18" i="88"/>
  <c r="AI18" i="88"/>
  <c r="BK18" i="88"/>
  <c r="AI47" i="88"/>
  <c r="BR47" i="88"/>
  <c r="AB47" i="88"/>
  <c r="AW47" i="88"/>
  <c r="AP47" i="88"/>
  <c r="BK47" i="88"/>
  <c r="BD47" i="88"/>
  <c r="AW22" i="88"/>
  <c r="AI22" i="88"/>
  <c r="BD22" i="88"/>
  <c r="AP22" i="88"/>
  <c r="AB22" i="88"/>
  <c r="BR22" i="88"/>
  <c r="BK22" i="88"/>
  <c r="AW97" i="88"/>
  <c r="BR97" i="88"/>
  <c r="AB97" i="88"/>
  <c r="BD97" i="88"/>
  <c r="AP97" i="88"/>
  <c r="BK97" i="88"/>
  <c r="AI97" i="88"/>
  <c r="AQ30" i="88"/>
  <c r="AC30" i="88"/>
  <c r="AX30" i="88"/>
  <c r="BL30" i="88"/>
  <c r="AJ30" i="88"/>
  <c r="BS30" i="88"/>
  <c r="BE30" i="88"/>
  <c r="AP51" i="88"/>
  <c r="AW51" i="88"/>
  <c r="BR51" i="88"/>
  <c r="AB51" i="88"/>
  <c r="AI51" i="88"/>
  <c r="BK51" i="88"/>
  <c r="BD51" i="88"/>
  <c r="BE22" i="88"/>
  <c r="AJ22" i="88"/>
  <c r="BL22" i="88"/>
  <c r="AX22" i="88"/>
  <c r="BS22" i="88"/>
  <c r="AC22" i="88"/>
  <c r="AQ22" i="88"/>
  <c r="AB43" i="88"/>
  <c r="AW43" i="88"/>
  <c r="BK43" i="88"/>
  <c r="AP43" i="88"/>
  <c r="AI43" i="88"/>
  <c r="BR43" i="88"/>
  <c r="BD43" i="88"/>
  <c r="AB59" i="88"/>
  <c r="BR59" i="88"/>
  <c r="AI59" i="88"/>
  <c r="AP59" i="88"/>
  <c r="BK59" i="88"/>
  <c r="AW59" i="88"/>
  <c r="BD59" i="88"/>
  <c r="AI84" i="88"/>
  <c r="AW84" i="88"/>
  <c r="AP84" i="88"/>
  <c r="BR84" i="88"/>
  <c r="AB84" i="88"/>
  <c r="BK84" i="88"/>
  <c r="BD84" i="88"/>
  <c r="U85" i="96"/>
  <c r="AB85" i="96" s="1"/>
  <c r="U83" i="96"/>
  <c r="AB83" i="96" s="1"/>
  <c r="H91" i="96"/>
  <c r="BV151" i="87"/>
  <c r="U91" i="96" s="1"/>
  <c r="BV138" i="87"/>
  <c r="BW82" i="87"/>
  <c r="U87" i="96"/>
  <c r="AB87" i="96" s="1"/>
  <c r="U86" i="96"/>
  <c r="AB86" i="96" s="1"/>
  <c r="BW87" i="87"/>
  <c r="BW77" i="87"/>
  <c r="BW72" i="87" s="1"/>
  <c r="R158" i="86"/>
  <c r="F68" i="86"/>
  <c r="CA143" i="95"/>
  <c r="AZ18" i="95"/>
  <c r="BG18" i="95"/>
  <c r="AB25" i="95"/>
  <c r="BN18" i="95"/>
  <c r="AC18" i="95"/>
  <c r="BV118" i="88" s="1"/>
  <c r="AC106" i="95"/>
  <c r="AC81" i="95"/>
  <c r="BV80" i="88" s="1"/>
  <c r="AC40" i="95"/>
  <c r="AD40" i="95" s="1"/>
  <c r="AC100" i="95"/>
  <c r="AB135" i="95"/>
  <c r="F47" i="88"/>
  <c r="F40" i="88"/>
  <c r="G247" i="88"/>
  <c r="U247" i="88" s="1"/>
  <c r="H247" i="88" s="1"/>
  <c r="H246" i="88" s="1"/>
  <c r="G48" i="88"/>
  <c r="G47" i="88" s="1"/>
  <c r="AC90" i="96"/>
  <c r="P37" i="84"/>
  <c r="G42" i="84"/>
  <c r="R42" i="84" s="1"/>
  <c r="P38" i="84"/>
  <c r="AC111" i="95"/>
  <c r="AC31" i="95"/>
  <c r="AB128" i="95"/>
  <c r="AC39" i="95"/>
  <c r="H12" i="95"/>
  <c r="K62" i="87"/>
  <c r="G252" i="89"/>
  <c r="U252" i="89" s="1"/>
  <c r="H252" i="89" s="1"/>
  <c r="H59" i="101" s="1"/>
  <c r="G59" i="101" s="1"/>
  <c r="AC43" i="95"/>
  <c r="BV63" i="88" s="1"/>
  <c r="G176" i="89"/>
  <c r="U176" i="89" s="1"/>
  <c r="H176" i="89" s="1"/>
  <c r="H175" i="89" s="1"/>
  <c r="G158" i="86"/>
  <c r="K297" i="101" s="1"/>
  <c r="O297" i="101" s="1"/>
  <c r="U81" i="96"/>
  <c r="AB81" i="96" s="1"/>
  <c r="P40" i="84"/>
  <c r="G11" i="85"/>
  <c r="G9" i="85"/>
  <c r="G136" i="85" s="1"/>
  <c r="F42" i="84"/>
  <c r="F41" i="84" s="1"/>
  <c r="K142" i="84"/>
  <c r="G244" i="84"/>
  <c r="G174" i="84"/>
  <c r="R174" i="84" s="1"/>
  <c r="G129" i="84"/>
  <c r="G128" i="84" s="1"/>
  <c r="G209" i="84"/>
  <c r="R209" i="84" s="1"/>
  <c r="G144" i="84"/>
  <c r="N71" i="85"/>
  <c r="F237" i="84"/>
  <c r="H137" i="85"/>
  <c r="K11" i="86"/>
  <c r="P10" i="86"/>
  <c r="Q10" i="86"/>
  <c r="I10" i="86"/>
  <c r="F52" i="86"/>
  <c r="G298" i="101"/>
  <c r="E89" i="86"/>
  <c r="L9" i="86"/>
  <c r="M9" i="86"/>
  <c r="M140" i="84"/>
  <c r="L142" i="84"/>
  <c r="F224" i="84"/>
  <c r="F223" i="84" s="1"/>
  <c r="F137" i="84"/>
  <c r="N134" i="84"/>
  <c r="L9" i="85" s="1"/>
  <c r="L84" i="85" s="1"/>
  <c r="F99" i="84"/>
  <c r="F98" i="84" s="1"/>
  <c r="G214" i="84"/>
  <c r="R214" i="84" s="1"/>
  <c r="M265" i="84"/>
  <c r="F108" i="84"/>
  <c r="F208" i="84"/>
  <c r="F119" i="84"/>
  <c r="F118" i="84" s="1"/>
  <c r="Q12" i="86"/>
  <c r="I11" i="86"/>
  <c r="G16" i="84"/>
  <c r="BZ134" i="95"/>
  <c r="CG134" i="95"/>
  <c r="I267" i="84"/>
  <c r="L267" i="84"/>
  <c r="F85" i="84"/>
  <c r="G228" i="84"/>
  <c r="F88" i="84"/>
  <c r="F203" i="84"/>
  <c r="K12" i="86"/>
  <c r="J32" i="85"/>
  <c r="I20" i="85"/>
  <c r="I68" i="85"/>
  <c r="K55" i="85"/>
  <c r="K113" i="85"/>
  <c r="I84" i="85"/>
  <c r="K71" i="85"/>
  <c r="K118" i="85"/>
  <c r="K39" i="85"/>
  <c r="J69" i="85"/>
  <c r="K87" i="85"/>
  <c r="I89" i="85"/>
  <c r="K34" i="85"/>
  <c r="K23" i="85"/>
  <c r="J85" i="85"/>
  <c r="J21" i="85"/>
  <c r="I136" i="85"/>
  <c r="J153" i="85"/>
  <c r="K17" i="85"/>
  <c r="K97" i="85" s="1"/>
  <c r="I152" i="85"/>
  <c r="K139" i="85"/>
  <c r="I52" i="85"/>
  <c r="I115" i="85"/>
  <c r="K155" i="85"/>
  <c r="I14" i="85"/>
  <c r="I120" i="85" s="1"/>
  <c r="I36" i="85"/>
  <c r="I110" i="85"/>
  <c r="K136" i="85"/>
  <c r="M17" i="85"/>
  <c r="M97" i="85" s="1"/>
  <c r="R95" i="89"/>
  <c r="G166" i="88"/>
  <c r="U166" i="88" s="1"/>
  <c r="H166" i="88" s="1"/>
  <c r="AB27" i="95"/>
  <c r="R171" i="88"/>
  <c r="F11" i="88"/>
  <c r="N179" i="84"/>
  <c r="N184" i="84" s="1"/>
  <c r="G184" i="84" s="1"/>
  <c r="K74" i="84"/>
  <c r="G211" i="89"/>
  <c r="U211" i="89" s="1"/>
  <c r="H211" i="89" s="1"/>
  <c r="I49" i="101" s="1"/>
  <c r="M49" i="101" s="1"/>
  <c r="H33" i="85"/>
  <c r="N87" i="85"/>
  <c r="H153" i="85"/>
  <c r="F169" i="84"/>
  <c r="F168" i="84" s="1"/>
  <c r="G89" i="84"/>
  <c r="R89" i="84" s="1"/>
  <c r="F254" i="84"/>
  <c r="F253" i="84" s="1"/>
  <c r="H37" i="85"/>
  <c r="F154" i="84"/>
  <c r="F153" i="84" s="1"/>
  <c r="F229" i="84"/>
  <c r="F228" i="84" s="1"/>
  <c r="N17" i="85"/>
  <c r="N102" i="85" s="1"/>
  <c r="H16" i="85"/>
  <c r="G169" i="84"/>
  <c r="N155" i="85"/>
  <c r="G108" i="84"/>
  <c r="F114" i="87"/>
  <c r="F134" i="86"/>
  <c r="R11" i="88"/>
  <c r="F157" i="88"/>
  <c r="G65" i="89"/>
  <c r="G64" i="89" s="1"/>
  <c r="G35" i="88"/>
  <c r="U35" i="88" s="1"/>
  <c r="H35" i="88" s="1"/>
  <c r="H94" i="101" s="1"/>
  <c r="G94" i="101" s="1"/>
  <c r="AZ147" i="95"/>
  <c r="O155" i="85"/>
  <c r="CW165" i="95"/>
  <c r="CX166" i="95"/>
  <c r="CX165" i="95" s="1"/>
  <c r="G158" i="88"/>
  <c r="G157" i="88" s="1"/>
  <c r="G115" i="88"/>
  <c r="U115" i="88" s="1"/>
  <c r="AS147" i="95"/>
  <c r="O39" i="85"/>
  <c r="CX162" i="95"/>
  <c r="CX161" i="95" s="1"/>
  <c r="CW161" i="95"/>
  <c r="G82" i="89"/>
  <c r="G81" i="89" s="1"/>
  <c r="O139" i="84"/>
  <c r="F34" i="88"/>
  <c r="CX159" i="95"/>
  <c r="CX158" i="95" s="1"/>
  <c r="CW158" i="95"/>
  <c r="AB151" i="95"/>
  <c r="F104" i="84"/>
  <c r="F103" i="84" s="1"/>
  <c r="F205" i="88"/>
  <c r="N234" i="84"/>
  <c r="N239" i="84" s="1"/>
  <c r="AA20" i="95"/>
  <c r="CH20" i="95" s="1"/>
  <c r="G164" i="84"/>
  <c r="E15" i="86"/>
  <c r="E14" i="86" s="1"/>
  <c r="G124" i="84"/>
  <c r="G123" i="84" s="1"/>
  <c r="AB138" i="95"/>
  <c r="F151" i="87"/>
  <c r="AB8" i="95"/>
  <c r="G109" i="86"/>
  <c r="M115" i="85"/>
  <c r="F124" i="84"/>
  <c r="F123" i="84" s="1"/>
  <c r="N52" i="84"/>
  <c r="N37" i="84" s="1"/>
  <c r="G114" i="84"/>
  <c r="R114" i="84" s="1"/>
  <c r="G164" i="89"/>
  <c r="U164" i="89" s="1"/>
  <c r="G209" i="88"/>
  <c r="U209" i="88" s="1"/>
  <c r="H209" i="88" s="1"/>
  <c r="K21" i="85"/>
  <c r="K36" i="85"/>
  <c r="G130" i="89"/>
  <c r="U130" i="89" s="1"/>
  <c r="O69" i="88"/>
  <c r="F259" i="84"/>
  <c r="G175" i="88"/>
  <c r="U175" i="88" s="1"/>
  <c r="H175" i="88" s="1"/>
  <c r="R205" i="88"/>
  <c r="G155" i="89"/>
  <c r="G154" i="89" s="1"/>
  <c r="O118" i="85"/>
  <c r="G159" i="84"/>
  <c r="O113" i="85"/>
  <c r="F160" i="89"/>
  <c r="O92" i="85"/>
  <c r="F154" i="88"/>
  <c r="F154" i="89"/>
  <c r="R139" i="89"/>
  <c r="O139" i="85"/>
  <c r="O55" i="85"/>
  <c r="O23" i="85"/>
  <c r="O71" i="85"/>
  <c r="G219" i="84"/>
  <c r="R219" i="84" s="1"/>
  <c r="O17" i="85"/>
  <c r="O76" i="85" s="1"/>
  <c r="O87" i="85"/>
  <c r="R160" i="89"/>
  <c r="F102" i="89"/>
  <c r="F159" i="84"/>
  <c r="F158" i="84" s="1"/>
  <c r="G83" i="87"/>
  <c r="G82" i="87" s="1"/>
  <c r="CH78" i="95"/>
  <c r="CB18" i="95"/>
  <c r="CI18" i="95"/>
  <c r="AC101" i="95"/>
  <c r="AC71" i="95"/>
  <c r="CA74" i="95"/>
  <c r="CH74" i="95"/>
  <c r="CG129" i="95"/>
  <c r="CH89" i="95"/>
  <c r="AC48" i="95"/>
  <c r="AC82" i="95"/>
  <c r="BV84" i="88" s="1"/>
  <c r="AC46" i="95"/>
  <c r="BV101" i="88" s="1"/>
  <c r="CH69" i="95"/>
  <c r="AC97" i="95"/>
  <c r="CH104" i="95"/>
  <c r="CH44" i="95"/>
  <c r="CG37" i="95"/>
  <c r="CH37" i="95"/>
  <c r="AC96" i="95"/>
  <c r="AC115" i="95"/>
  <c r="AC45" i="95"/>
  <c r="BV97" i="88" s="1"/>
  <c r="AB69" i="95"/>
  <c r="CA112" i="95"/>
  <c r="CH112" i="95"/>
  <c r="CH121" i="95"/>
  <c r="AC63" i="95"/>
  <c r="BV161" i="88" s="1"/>
  <c r="AC32" i="95"/>
  <c r="BV18" i="88" s="1"/>
  <c r="AC42" i="95"/>
  <c r="AC73" i="95"/>
  <c r="AC76" i="95"/>
  <c r="BZ124" i="95"/>
  <c r="CG124" i="95"/>
  <c r="CH61" i="95"/>
  <c r="CH30" i="95"/>
  <c r="CH143" i="95"/>
  <c r="CH99" i="95"/>
  <c r="AC72" i="95"/>
  <c r="AC122" i="95"/>
  <c r="AB65" i="95"/>
  <c r="CA94" i="95"/>
  <c r="CH94" i="95"/>
  <c r="AB104" i="95"/>
  <c r="AA148" i="95"/>
  <c r="AB150" i="95"/>
  <c r="CH118" i="95"/>
  <c r="CH16" i="95"/>
  <c r="CH65" i="95"/>
  <c r="AC86" i="95"/>
  <c r="CA57" i="95"/>
  <c r="CH57" i="95"/>
  <c r="CA84" i="95"/>
  <c r="CH84" i="95"/>
  <c r="AC59" i="95"/>
  <c r="BV144" i="88" s="1"/>
  <c r="AC68" i="95"/>
  <c r="CH54" i="95"/>
  <c r="AC92" i="95"/>
  <c r="F73" i="87"/>
  <c r="G128" i="87"/>
  <c r="U145" i="87" s="1"/>
  <c r="H145" i="87" s="1"/>
  <c r="K174" i="101" s="1"/>
  <c r="O174" i="101" s="1"/>
  <c r="F128" i="87"/>
  <c r="F125" i="87" s="1"/>
  <c r="R73" i="87"/>
  <c r="R97" i="87"/>
  <c r="G97" i="87" s="1"/>
  <c r="G78" i="87"/>
  <c r="U78" i="87" s="1"/>
  <c r="CC20" i="95"/>
  <c r="CJ20" i="95"/>
  <c r="G88" i="87"/>
  <c r="U88" i="87" s="1"/>
  <c r="H88" i="87" s="1"/>
  <c r="H161" i="101" s="1"/>
  <c r="R109" i="87"/>
  <c r="F109" i="87" s="1"/>
  <c r="G296" i="101"/>
  <c r="G26" i="84"/>
  <c r="G47" i="84"/>
  <c r="G63" i="84"/>
  <c r="G62" i="84" s="1"/>
  <c r="H9" i="86"/>
  <c r="F10" i="86"/>
  <c r="T12" i="86"/>
  <c r="F12" i="86"/>
  <c r="J9" i="86"/>
  <c r="M10" i="86"/>
  <c r="E11" i="86"/>
  <c r="P9" i="86"/>
  <c r="I9" i="86"/>
  <c r="O11" i="86"/>
  <c r="N11" i="86"/>
  <c r="K10" i="86"/>
  <c r="J10" i="86"/>
  <c r="G148" i="86"/>
  <c r="R143" i="86"/>
  <c r="R147" i="86"/>
  <c r="F142" i="86"/>
  <c r="F139" i="86" s="1"/>
  <c r="N9" i="86"/>
  <c r="G77" i="86"/>
  <c r="R72" i="86"/>
  <c r="S12" i="86"/>
  <c r="I12" i="86"/>
  <c r="L10" i="86"/>
  <c r="G98" i="86"/>
  <c r="L286" i="101" s="1"/>
  <c r="P286" i="101" s="1"/>
  <c r="R93" i="86"/>
  <c r="Q11" i="86"/>
  <c r="J12" i="86"/>
  <c r="O9" i="86"/>
  <c r="T11" i="86"/>
  <c r="P11" i="86"/>
  <c r="O12" i="86"/>
  <c r="N12" i="86"/>
  <c r="O10" i="86"/>
  <c r="H11" i="86"/>
  <c r="E12" i="86"/>
  <c r="S11" i="86"/>
  <c r="N10" i="86"/>
  <c r="P12" i="86"/>
  <c r="M11" i="86"/>
  <c r="L11" i="86"/>
  <c r="J11" i="86"/>
  <c r="E10" i="86"/>
  <c r="H12" i="86"/>
  <c r="M12" i="86"/>
  <c r="T10" i="86"/>
  <c r="S10" i="86"/>
  <c r="BZ24" i="95"/>
  <c r="CG24" i="95"/>
  <c r="BZ20" i="95"/>
  <c r="CG20" i="95"/>
  <c r="CG5" i="95"/>
  <c r="BD143" i="95"/>
  <c r="G249" i="84"/>
  <c r="Q77" i="84"/>
  <c r="G193" i="89"/>
  <c r="G235" i="89" s="1"/>
  <c r="L74" i="84"/>
  <c r="F192" i="84"/>
  <c r="F149" i="84"/>
  <c r="F148" i="84" s="1"/>
  <c r="K9" i="86"/>
  <c r="BL20" i="95"/>
  <c r="G21" i="84"/>
  <c r="F124" i="88"/>
  <c r="F188" i="88"/>
  <c r="G192" i="84"/>
  <c r="H283" i="101"/>
  <c r="G283" i="101" s="1"/>
  <c r="G78" i="86"/>
  <c r="BS201" i="95"/>
  <c r="BU201" i="95"/>
  <c r="BV201" i="95"/>
  <c r="BW201" i="95"/>
  <c r="BT201" i="95"/>
  <c r="BU214" i="95"/>
  <c r="BW214" i="95"/>
  <c r="BV214" i="95"/>
  <c r="BT214" i="95"/>
  <c r="BS214" i="95"/>
  <c r="R231" i="88"/>
  <c r="G162" i="88"/>
  <c r="R188" i="88"/>
  <c r="AB136" i="95"/>
  <c r="AQ20" i="95"/>
  <c r="E128" i="86"/>
  <c r="E127" i="86" s="1"/>
  <c r="G192" i="88"/>
  <c r="U192" i="88" s="1"/>
  <c r="H192" i="88" s="1"/>
  <c r="G128" i="88"/>
  <c r="U128" i="88" s="1"/>
  <c r="H128" i="88" s="1"/>
  <c r="H116" i="101" s="1"/>
  <c r="CF5" i="95"/>
  <c r="R154" i="88"/>
  <c r="J152" i="85"/>
  <c r="N31" i="84"/>
  <c r="N11" i="84" s="1"/>
  <c r="L39" i="85"/>
  <c r="N118" i="85"/>
  <c r="N189" i="84"/>
  <c r="F189" i="84" s="1"/>
  <c r="K267" i="84"/>
  <c r="G194" i="84"/>
  <c r="R194" i="84" s="1"/>
  <c r="BT189" i="95"/>
  <c r="BW189" i="95"/>
  <c r="BS189" i="95"/>
  <c r="BU189" i="95"/>
  <c r="BV189" i="95"/>
  <c r="BT181" i="95"/>
  <c r="BW181" i="95"/>
  <c r="BU181" i="95"/>
  <c r="BV181" i="95"/>
  <c r="BS181" i="95"/>
  <c r="BW213" i="95"/>
  <c r="BV213" i="95"/>
  <c r="BS213" i="95"/>
  <c r="BT213" i="95"/>
  <c r="BU213" i="95"/>
  <c r="BS211" i="95"/>
  <c r="BT211" i="95"/>
  <c r="BV211" i="95"/>
  <c r="BU211" i="95"/>
  <c r="F161" i="88"/>
  <c r="F59" i="88"/>
  <c r="G119" i="88"/>
  <c r="U119" i="88" s="1"/>
  <c r="H119" i="88" s="1"/>
  <c r="H114" i="101" s="1"/>
  <c r="G114" i="101" s="1"/>
  <c r="BU18" i="95"/>
  <c r="R124" i="88"/>
  <c r="N34" i="85"/>
  <c r="S9" i="86"/>
  <c r="N55" i="85"/>
  <c r="H116" i="85"/>
  <c r="BE20" i="95"/>
  <c r="BS212" i="95"/>
  <c r="BT212" i="95"/>
  <c r="BW212" i="95"/>
  <c r="BU212" i="95"/>
  <c r="BV212" i="95"/>
  <c r="BU197" i="95"/>
  <c r="BT197" i="95"/>
  <c r="BS197" i="95"/>
  <c r="BV197" i="95"/>
  <c r="BW197" i="95"/>
  <c r="BU210" i="95"/>
  <c r="BW210" i="95"/>
  <c r="BS210" i="95"/>
  <c r="BT210" i="95"/>
  <c r="BV210" i="95"/>
  <c r="G200" i="88"/>
  <c r="U200" i="88" s="1"/>
  <c r="H200" i="88" s="1"/>
  <c r="H199" i="88" s="1"/>
  <c r="BT18" i="95"/>
  <c r="J84" i="85"/>
  <c r="G39" i="86"/>
  <c r="F47" i="84"/>
  <c r="F46" i="84" s="1"/>
  <c r="R111" i="88"/>
  <c r="BT176" i="95"/>
  <c r="BS176" i="95"/>
  <c r="BU176" i="95"/>
  <c r="BV176" i="95"/>
  <c r="BW176" i="95"/>
  <c r="BT158" i="95"/>
  <c r="BS158" i="95"/>
  <c r="BU158" i="95"/>
  <c r="BW158" i="95"/>
  <c r="BV158" i="95"/>
  <c r="BU161" i="95"/>
  <c r="BW161" i="95"/>
  <c r="BS161" i="95"/>
  <c r="BT161" i="95"/>
  <c r="BV161" i="95"/>
  <c r="BT185" i="95"/>
  <c r="BU185" i="95"/>
  <c r="BV185" i="95"/>
  <c r="BW185" i="95"/>
  <c r="BS185" i="95"/>
  <c r="G196" i="88"/>
  <c r="G195" i="88" s="1"/>
  <c r="AB125" i="95"/>
  <c r="N39" i="85"/>
  <c r="G160" i="86"/>
  <c r="L71" i="85"/>
  <c r="H90" i="85"/>
  <c r="G204" i="84"/>
  <c r="R204" i="84" s="1"/>
  <c r="F111" i="88"/>
  <c r="BS168" i="95"/>
  <c r="BW168" i="95"/>
  <c r="BU168" i="95"/>
  <c r="BV168" i="95"/>
  <c r="BT168" i="95"/>
  <c r="BV194" i="95"/>
  <c r="BT194" i="95"/>
  <c r="BS194" i="95"/>
  <c r="BW194" i="95"/>
  <c r="BU194" i="95"/>
  <c r="BT171" i="95"/>
  <c r="BU171" i="95"/>
  <c r="BV171" i="95"/>
  <c r="BW171" i="95"/>
  <c r="BS171" i="95"/>
  <c r="F18" i="89"/>
  <c r="F118" i="88"/>
  <c r="G19" i="89"/>
  <c r="U19" i="89" s="1"/>
  <c r="H19" i="89" s="1"/>
  <c r="R108" i="89"/>
  <c r="F63" i="84"/>
  <c r="F62" i="84" s="1"/>
  <c r="AB10" i="95"/>
  <c r="G116" i="89"/>
  <c r="U116" i="89" s="1"/>
  <c r="H116" i="89" s="1"/>
  <c r="H115" i="89" s="1"/>
  <c r="N23" i="85"/>
  <c r="L87" i="85"/>
  <c r="H69" i="85"/>
  <c r="N58" i="84"/>
  <c r="BW217" i="95"/>
  <c r="BT217" i="95"/>
  <c r="BS217" i="95"/>
  <c r="BU217" i="95"/>
  <c r="BV217" i="95"/>
  <c r="BU165" i="95"/>
  <c r="BV165" i="95"/>
  <c r="BW165" i="95"/>
  <c r="BS165" i="95"/>
  <c r="BT165" i="95"/>
  <c r="R40" i="88"/>
  <c r="F108" i="89"/>
  <c r="G60" i="88"/>
  <c r="U60" i="88" s="1"/>
  <c r="H60" i="88" s="1"/>
  <c r="G226" i="88"/>
  <c r="U226" i="88" s="1"/>
  <c r="H226" i="88" s="1"/>
  <c r="H225" i="88" s="1"/>
  <c r="N113" i="85"/>
  <c r="N139" i="85"/>
  <c r="BZ5" i="95"/>
  <c r="BU153" i="95"/>
  <c r="BT153" i="95"/>
  <c r="BV153" i="95"/>
  <c r="BW153" i="95"/>
  <c r="BS153" i="95"/>
  <c r="BV206" i="95"/>
  <c r="BU206" i="95"/>
  <c r="BS206" i="95"/>
  <c r="BT206" i="95"/>
  <c r="BW206" i="95"/>
  <c r="BU220" i="95"/>
  <c r="BT220" i="95"/>
  <c r="BW220" i="95"/>
  <c r="BV220" i="95"/>
  <c r="BS220" i="95"/>
  <c r="AB6" i="95"/>
  <c r="AB7" i="95"/>
  <c r="AA124" i="95"/>
  <c r="AA13" i="95"/>
  <c r="AC152" i="95"/>
  <c r="AC145" i="95"/>
  <c r="AB52" i="95"/>
  <c r="AB26" i="95"/>
  <c r="AA53" i="95"/>
  <c r="AA134" i="95"/>
  <c r="AB9" i="95"/>
  <c r="AD100" i="95"/>
  <c r="AD156" i="95"/>
  <c r="AC147" i="95"/>
  <c r="AA51" i="95"/>
  <c r="AA14" i="95"/>
  <c r="F199" i="84"/>
  <c r="F198" i="84" s="1"/>
  <c r="F94" i="84"/>
  <c r="F93" i="84" s="1"/>
  <c r="N84" i="84"/>
  <c r="F84" i="84" s="1"/>
  <c r="F43" i="89"/>
  <c r="G197" i="89"/>
  <c r="G239" i="89" s="1"/>
  <c r="G44" i="89"/>
  <c r="U44" i="89" s="1"/>
  <c r="H44" i="89" s="1"/>
  <c r="H10" i="101" s="1"/>
  <c r="G10" i="101" s="1"/>
  <c r="G99" i="86"/>
  <c r="R156" i="86"/>
  <c r="F56" i="87"/>
  <c r="T9" i="86"/>
  <c r="G235" i="88"/>
  <c r="U235" i="88" s="1"/>
  <c r="H235" i="88" s="1"/>
  <c r="F74" i="89"/>
  <c r="G243" i="88"/>
  <c r="U243" i="88" s="1"/>
  <c r="H243" i="88" s="1"/>
  <c r="H242" i="88" s="1"/>
  <c r="G40" i="86"/>
  <c r="L275" i="101" s="1"/>
  <c r="P275" i="101" s="1"/>
  <c r="G165" i="86"/>
  <c r="G239" i="88"/>
  <c r="U239" i="88" s="1"/>
  <c r="H239" i="88" s="1"/>
  <c r="H142" i="101" s="1"/>
  <c r="Z12" i="95"/>
  <c r="G73" i="88"/>
  <c r="U73" i="88" s="1"/>
  <c r="H73" i="88" s="1"/>
  <c r="G36" i="87"/>
  <c r="L233" i="88"/>
  <c r="O41" i="88"/>
  <c r="G37" i="87"/>
  <c r="Q93" i="87"/>
  <c r="F53" i="87"/>
  <c r="F50" i="87" s="1"/>
  <c r="F57" i="87"/>
  <c r="F85" i="87"/>
  <c r="F82" i="87" s="1"/>
  <c r="F237" i="88"/>
  <c r="F234" i="88" s="1"/>
  <c r="F48" i="87"/>
  <c r="F45" i="87" s="1"/>
  <c r="G75" i="88"/>
  <c r="F23" i="87"/>
  <c r="F20" i="87" s="1"/>
  <c r="F43" i="87"/>
  <c r="O71" i="88"/>
  <c r="AW134" i="95"/>
  <c r="F33" i="87"/>
  <c r="F30" i="87" s="1"/>
  <c r="L38" i="87"/>
  <c r="G111" i="87"/>
  <c r="U111" i="87" s="1"/>
  <c r="H111" i="87" s="1"/>
  <c r="K166" i="101" s="1"/>
  <c r="O166" i="101" s="1"/>
  <c r="G38" i="87"/>
  <c r="G248" i="89"/>
  <c r="G98" i="87"/>
  <c r="F90" i="87"/>
  <c r="F87" i="87" s="1"/>
  <c r="F80" i="87"/>
  <c r="F77" i="87" s="1"/>
  <c r="BD134" i="95"/>
  <c r="G105" i="87"/>
  <c r="U105" i="87" s="1"/>
  <c r="H105" i="87" s="1"/>
  <c r="H104" i="87" s="1"/>
  <c r="G258" i="89"/>
  <c r="U258" i="89" s="1"/>
  <c r="H258" i="89" s="1"/>
  <c r="K60" i="101" s="1"/>
  <c r="O60" i="101" s="1"/>
  <c r="F98" i="87"/>
  <c r="F94" i="87" s="1"/>
  <c r="F111" i="87"/>
  <c r="F245" i="88"/>
  <c r="F254" i="89"/>
  <c r="F251" i="89" s="1"/>
  <c r="F28" i="87"/>
  <c r="F101" i="87"/>
  <c r="F100" i="87" s="1"/>
  <c r="G101" i="87"/>
  <c r="F250" i="89"/>
  <c r="G90" i="87"/>
  <c r="U90" i="87" s="1"/>
  <c r="H90" i="87" s="1"/>
  <c r="K161" i="101" s="1"/>
  <c r="O161" i="101" s="1"/>
  <c r="G250" i="89"/>
  <c r="BG20" i="95"/>
  <c r="G241" i="88"/>
  <c r="U241" i="88" s="1"/>
  <c r="H241" i="88" s="1"/>
  <c r="K142" i="101" s="1"/>
  <c r="O142" i="101" s="1"/>
  <c r="F249" i="88"/>
  <c r="F246" i="88" s="1"/>
  <c r="AX20" i="95"/>
  <c r="F104" i="87"/>
  <c r="G136" i="87"/>
  <c r="F238" i="88"/>
  <c r="E146" i="101"/>
  <c r="F203" i="89"/>
  <c r="G80" i="96"/>
  <c r="F133" i="90"/>
  <c r="G299" i="101"/>
  <c r="F220" i="89"/>
  <c r="F241" i="89"/>
  <c r="U135" i="87"/>
  <c r="H139" i="87"/>
  <c r="H140" i="87"/>
  <c r="BM16" i="95"/>
  <c r="BL16" i="95"/>
  <c r="AX24" i="95"/>
  <c r="G132" i="87"/>
  <c r="U132" i="87" s="1"/>
  <c r="L149" i="87"/>
  <c r="AX16" i="95"/>
  <c r="AY16" i="95"/>
  <c r="F216" i="89"/>
  <c r="F237" i="89"/>
  <c r="G120" i="87"/>
  <c r="U141" i="87" s="1"/>
  <c r="L141" i="87"/>
  <c r="U127" i="87"/>
  <c r="H127" i="87" s="1"/>
  <c r="I170" i="101" s="1"/>
  <c r="M170" i="101" s="1"/>
  <c r="U144" i="87"/>
  <c r="U148" i="87"/>
  <c r="H148" i="87" s="1"/>
  <c r="I175" i="101" s="1"/>
  <c r="M175" i="101" s="1"/>
  <c r="BE118" i="95"/>
  <c r="BL121" i="95"/>
  <c r="AR121" i="95"/>
  <c r="AQ121" i="95"/>
  <c r="H131" i="87"/>
  <c r="I171" i="101" s="1"/>
  <c r="M171" i="101" s="1"/>
  <c r="F218" i="89"/>
  <c r="F239" i="89"/>
  <c r="F214" i="89"/>
  <c r="F235" i="89"/>
  <c r="F15" i="84"/>
  <c r="I266" i="84"/>
  <c r="J267" i="84"/>
  <c r="F224" i="89"/>
  <c r="F145" i="87"/>
  <c r="K137" i="87"/>
  <c r="G145" i="87"/>
  <c r="F143" i="87"/>
  <c r="G143" i="87"/>
  <c r="R135" i="87"/>
  <c r="F139" i="87"/>
  <c r="G139" i="87"/>
  <c r="K95" i="87"/>
  <c r="K93" i="87"/>
  <c r="I94" i="87"/>
  <c r="I93" i="87"/>
  <c r="K94" i="87"/>
  <c r="L99" i="87"/>
  <c r="L95" i="87" s="1"/>
  <c r="I95" i="87"/>
  <c r="I321" i="101"/>
  <c r="M321" i="101" s="1"/>
  <c r="K321" i="101"/>
  <c r="O321" i="101" s="1"/>
  <c r="U194" i="89"/>
  <c r="G215" i="89"/>
  <c r="U198" i="89"/>
  <c r="G219" i="89"/>
  <c r="U190" i="89"/>
  <c r="H190" i="89" s="1"/>
  <c r="I44" i="101" s="1"/>
  <c r="M44" i="101" s="1"/>
  <c r="U191" i="89"/>
  <c r="H191" i="89" s="1"/>
  <c r="G212" i="89"/>
  <c r="F188" i="89"/>
  <c r="F210" i="89"/>
  <c r="F209" i="89" s="1"/>
  <c r="G189" i="89"/>
  <c r="G231" i="89" s="1"/>
  <c r="G112" i="89"/>
  <c r="U112" i="89" s="1"/>
  <c r="H112" i="89" s="1"/>
  <c r="G69" i="89"/>
  <c r="U69" i="89" s="1"/>
  <c r="H69" i="89" s="1"/>
  <c r="H16" i="101" s="1"/>
  <c r="F53" i="89"/>
  <c r="R53" i="89"/>
  <c r="F192" i="89"/>
  <c r="F126" i="89"/>
  <c r="F11" i="89"/>
  <c r="G16" i="87"/>
  <c r="G101" i="101"/>
  <c r="G121" i="101"/>
  <c r="G107" i="101"/>
  <c r="G99" i="101"/>
  <c r="G78" i="89"/>
  <c r="G77" i="89" s="1"/>
  <c r="R126" i="89"/>
  <c r="F181" i="89"/>
  <c r="F206" i="89"/>
  <c r="G185" i="89"/>
  <c r="G68" i="84"/>
  <c r="R68" i="84" s="1"/>
  <c r="H68" i="84" s="1"/>
  <c r="G15" i="89"/>
  <c r="U15" i="89" s="1"/>
  <c r="G103" i="89"/>
  <c r="U103" i="89" s="1"/>
  <c r="H103" i="89" s="1"/>
  <c r="G27" i="89"/>
  <c r="U27" i="89" s="1"/>
  <c r="H27" i="89" s="1"/>
  <c r="R11" i="89"/>
  <c r="G172" i="89"/>
  <c r="U172" i="89" s="1"/>
  <c r="H172" i="89" s="1"/>
  <c r="H40" i="101" s="1"/>
  <c r="G40" i="101" s="1"/>
  <c r="F225" i="88"/>
  <c r="O70" i="88"/>
  <c r="G74" i="88"/>
  <c r="U74" i="88" s="1"/>
  <c r="H74" i="88" s="1"/>
  <c r="H70" i="88" s="1"/>
  <c r="I102" i="101" s="1"/>
  <c r="M102" i="101" s="1"/>
  <c r="G117" i="88"/>
  <c r="G113" i="88" s="1"/>
  <c r="L113" i="88"/>
  <c r="U116" i="88"/>
  <c r="U112" i="88" s="1"/>
  <c r="V81" i="96" s="1"/>
  <c r="G112" i="88"/>
  <c r="F20" i="84"/>
  <c r="G87" i="84"/>
  <c r="F87" i="84"/>
  <c r="G137" i="84"/>
  <c r="I142" i="84"/>
  <c r="I37" i="85"/>
  <c r="I32" i="85"/>
  <c r="I90" i="85"/>
  <c r="I111" i="85"/>
  <c r="I85" i="85"/>
  <c r="I69" i="85"/>
  <c r="I53" i="85"/>
  <c r="I21" i="85"/>
  <c r="G103" i="84"/>
  <c r="K140" i="84"/>
  <c r="F180" i="84"/>
  <c r="H187" i="84"/>
  <c r="K236" i="101" s="1"/>
  <c r="O236" i="101" s="1"/>
  <c r="G190" i="84"/>
  <c r="G180" i="84"/>
  <c r="M21" i="85"/>
  <c r="F128" i="84"/>
  <c r="N69" i="85"/>
  <c r="N15" i="85"/>
  <c r="N58" i="85" s="1"/>
  <c r="F242" i="84"/>
  <c r="F173" i="84"/>
  <c r="H36" i="85"/>
  <c r="G237" i="84"/>
  <c r="H115" i="85"/>
  <c r="H31" i="85"/>
  <c r="H20" i="85"/>
  <c r="F113" i="84"/>
  <c r="F240" i="84"/>
  <c r="M32" i="85"/>
  <c r="M137" i="85"/>
  <c r="F163" i="84"/>
  <c r="H14" i="85"/>
  <c r="H73" i="85" s="1"/>
  <c r="M153" i="85"/>
  <c r="N116" i="85"/>
  <c r="M111" i="85"/>
  <c r="N111" i="85"/>
  <c r="M90" i="85"/>
  <c r="H152" i="85"/>
  <c r="N37" i="85"/>
  <c r="N90" i="85"/>
  <c r="M69" i="85"/>
  <c r="H89" i="85"/>
  <c r="M85" i="85"/>
  <c r="M15" i="85"/>
  <c r="M42" i="85" s="1"/>
  <c r="F59" i="84"/>
  <c r="J55" i="85"/>
  <c r="J139" i="85"/>
  <c r="J155" i="85"/>
  <c r="N75" i="84"/>
  <c r="J118" i="85"/>
  <c r="J71" i="85"/>
  <c r="G85" i="84"/>
  <c r="J113" i="85"/>
  <c r="J34" i="85"/>
  <c r="J92" i="85"/>
  <c r="J87" i="85"/>
  <c r="J23" i="85"/>
  <c r="J17" i="85"/>
  <c r="J60" i="85" s="1"/>
  <c r="R87" i="84"/>
  <c r="F218" i="84"/>
  <c r="F213" i="84"/>
  <c r="L85" i="85"/>
  <c r="L37" i="85"/>
  <c r="F235" i="84"/>
  <c r="L21" i="85"/>
  <c r="G235" i="84"/>
  <c r="R235" i="84" s="1"/>
  <c r="L32" i="85"/>
  <c r="H190" i="84"/>
  <c r="J237" i="101" s="1"/>
  <c r="N237" i="101" s="1"/>
  <c r="I264" i="84"/>
  <c r="I74" i="84" s="1"/>
  <c r="F190" i="84"/>
  <c r="K265" i="84"/>
  <c r="G135" i="84"/>
  <c r="N77" i="84"/>
  <c r="L116" i="85"/>
  <c r="L111" i="85"/>
  <c r="L90" i="85"/>
  <c r="L137" i="85"/>
  <c r="L69" i="85"/>
  <c r="K115" i="85"/>
  <c r="G113" i="85"/>
  <c r="F193" i="84"/>
  <c r="G87" i="85"/>
  <c r="K89" i="85"/>
  <c r="K20" i="85"/>
  <c r="H192" i="84"/>
  <c r="K237" i="101" s="1"/>
  <c r="O237" i="101" s="1"/>
  <c r="L23" i="85"/>
  <c r="G155" i="85"/>
  <c r="M14" i="85"/>
  <c r="M73" i="85" s="1"/>
  <c r="F135" i="84"/>
  <c r="M39" i="85"/>
  <c r="M20" i="85"/>
  <c r="J36" i="85"/>
  <c r="M36" i="85"/>
  <c r="M118" i="85"/>
  <c r="G198" i="84"/>
  <c r="K111" i="85"/>
  <c r="M31" i="85"/>
  <c r="M136" i="85"/>
  <c r="G118" i="84"/>
  <c r="K137" i="85"/>
  <c r="M152" i="85"/>
  <c r="J14" i="85"/>
  <c r="J157" i="85" s="1"/>
  <c r="L34" i="85"/>
  <c r="M139" i="85"/>
  <c r="K90" i="85"/>
  <c r="G34" i="85"/>
  <c r="M110" i="85"/>
  <c r="G71" i="85"/>
  <c r="J20" i="85"/>
  <c r="G118" i="85"/>
  <c r="K53" i="85"/>
  <c r="M89" i="85"/>
  <c r="J136" i="85"/>
  <c r="L92" i="85"/>
  <c r="K69" i="85"/>
  <c r="M55" i="85"/>
  <c r="L139" i="85"/>
  <c r="M52" i="85"/>
  <c r="G148" i="84"/>
  <c r="K85" i="85"/>
  <c r="M71" i="85"/>
  <c r="L155" i="85"/>
  <c r="M68" i="85"/>
  <c r="G223" i="84"/>
  <c r="J31" i="85"/>
  <c r="G93" i="84"/>
  <c r="F243" i="84"/>
  <c r="G53" i="84"/>
  <c r="R53" i="84" s="1"/>
  <c r="G104" i="86"/>
  <c r="M77" i="84"/>
  <c r="F77" i="89"/>
  <c r="BR112" i="95"/>
  <c r="G90" i="89"/>
  <c r="U90" i="89" s="1"/>
  <c r="H90" i="89" s="1"/>
  <c r="H89" i="89" s="1"/>
  <c r="M74" i="84"/>
  <c r="R74" i="89"/>
  <c r="O77" i="84"/>
  <c r="G134" i="89"/>
  <c r="U134" i="89" s="1"/>
  <c r="H134" i="89" s="1"/>
  <c r="H133" i="89" s="1"/>
  <c r="O75" i="84"/>
  <c r="L75" i="84"/>
  <c r="R90" i="86"/>
  <c r="R69" i="86"/>
  <c r="I113" i="85"/>
  <c r="I71" i="85"/>
  <c r="I87" i="85"/>
  <c r="I39" i="85"/>
  <c r="H291" i="101"/>
  <c r="G291" i="101" s="1"/>
  <c r="G121" i="86"/>
  <c r="K277" i="101"/>
  <c r="G46" i="86"/>
  <c r="J137" i="85"/>
  <c r="J53" i="85"/>
  <c r="J111" i="85"/>
  <c r="J90" i="85"/>
  <c r="J116" i="85"/>
  <c r="J37" i="85"/>
  <c r="F147" i="89"/>
  <c r="F139" i="89" s="1"/>
  <c r="G147" i="89"/>
  <c r="U147" i="89" s="1"/>
  <c r="H147" i="89" s="1"/>
  <c r="H34" i="101" s="1"/>
  <c r="I139" i="85"/>
  <c r="H255" i="84"/>
  <c r="J241" i="101" s="1"/>
  <c r="N241" i="101" s="1"/>
  <c r="G253" i="84"/>
  <c r="H324" i="101"/>
  <c r="G324" i="101" s="1"/>
  <c r="F143" i="90"/>
  <c r="I274" i="101"/>
  <c r="M274" i="101" s="1"/>
  <c r="G22" i="86"/>
  <c r="J75" i="84"/>
  <c r="F129" i="90"/>
  <c r="F128" i="90" s="1"/>
  <c r="F48" i="89"/>
  <c r="G48" i="89"/>
  <c r="G47" i="89" s="1"/>
  <c r="I92" i="85"/>
  <c r="R22" i="86"/>
  <c r="M92" i="85"/>
  <c r="M155" i="85"/>
  <c r="M23" i="85"/>
  <c r="M113" i="85"/>
  <c r="M34" i="85"/>
  <c r="K110" i="85"/>
  <c r="K84" i="85"/>
  <c r="K68" i="85"/>
  <c r="K152" i="85"/>
  <c r="G98" i="84"/>
  <c r="G240" i="84"/>
  <c r="F248" i="84"/>
  <c r="G23" i="85"/>
  <c r="G92" i="85"/>
  <c r="G55" i="85"/>
  <c r="G39" i="85"/>
  <c r="G153" i="84"/>
  <c r="H154" i="84"/>
  <c r="K31" i="85"/>
  <c r="L113" i="85"/>
  <c r="L17" i="85"/>
  <c r="L97" i="85" s="1"/>
  <c r="L118" i="85"/>
  <c r="J115" i="85"/>
  <c r="J68" i="85"/>
  <c r="J52" i="85"/>
  <c r="J89" i="85"/>
  <c r="F68" i="84"/>
  <c r="I34" i="85"/>
  <c r="R32" i="89"/>
  <c r="F40" i="89"/>
  <c r="F39" i="89" s="1"/>
  <c r="G40" i="89"/>
  <c r="U40" i="89" s="1"/>
  <c r="H40" i="89" s="1"/>
  <c r="H9" i="101" s="1"/>
  <c r="I118" i="85"/>
  <c r="I55" i="85"/>
  <c r="I17" i="85"/>
  <c r="I44" i="85" s="1"/>
  <c r="N85" i="85"/>
  <c r="N153" i="85"/>
  <c r="N137" i="85"/>
  <c r="N32" i="85"/>
  <c r="H84" i="85"/>
  <c r="H68" i="85"/>
  <c r="H136" i="85"/>
  <c r="I116" i="85"/>
  <c r="I137" i="85"/>
  <c r="I153" i="85"/>
  <c r="I15" i="85"/>
  <c r="F14" i="86"/>
  <c r="R134" i="86"/>
  <c r="G134" i="86" s="1"/>
  <c r="F133" i="86"/>
  <c r="I23" i="85"/>
  <c r="K14" i="85"/>
  <c r="I155" i="85"/>
  <c r="Q9" i="86"/>
  <c r="K37" i="85"/>
  <c r="M37" i="85"/>
  <c r="K32" i="85"/>
  <c r="M53" i="85"/>
  <c r="H53" i="85"/>
  <c r="H290" i="101"/>
  <c r="G290" i="101" s="1"/>
  <c r="R181" i="89"/>
  <c r="F26" i="89"/>
  <c r="K15" i="85"/>
  <c r="K158" i="85" s="1"/>
  <c r="H111" i="85"/>
  <c r="K153" i="85"/>
  <c r="G21" i="88"/>
  <c r="U21" i="88" s="1"/>
  <c r="H21" i="88" s="1"/>
  <c r="K90" i="101" s="1"/>
  <c r="F53" i="84"/>
  <c r="F38" i="84" s="1"/>
  <c r="F25" i="84"/>
  <c r="R69" i="84"/>
  <c r="H69" i="84" s="1"/>
  <c r="J233" i="101" s="1"/>
  <c r="N233" i="101" s="1"/>
  <c r="G59" i="84"/>
  <c r="F71" i="84"/>
  <c r="F61" i="84" s="1"/>
  <c r="J61" i="84"/>
  <c r="F55" i="84"/>
  <c r="F40" i="84" s="1"/>
  <c r="G55" i="84"/>
  <c r="G32" i="84"/>
  <c r="R32" i="84" s="1"/>
  <c r="AD35" i="95"/>
  <c r="BW30" i="88" s="1"/>
  <c r="BO18" i="95"/>
  <c r="AD18" i="95"/>
  <c r="BW118" i="88" s="1"/>
  <c r="AQ16" i="95"/>
  <c r="AR16" i="95"/>
  <c r="AQ24" i="95"/>
  <c r="AD29" i="95"/>
  <c r="BR24" i="95"/>
  <c r="AD33" i="95"/>
  <c r="BW22" i="88" s="1"/>
  <c r="AD41" i="95"/>
  <c r="BL24" i="95"/>
  <c r="AQ148" i="95"/>
  <c r="BL148" i="95"/>
  <c r="BE148" i="95"/>
  <c r="AD114" i="95"/>
  <c r="AD146" i="95"/>
  <c r="AD123" i="95"/>
  <c r="BE16" i="95"/>
  <c r="Z139" i="95"/>
  <c r="AD56" i="95"/>
  <c r="BW131" i="88" s="1"/>
  <c r="AD117" i="95"/>
  <c r="AD109" i="95"/>
  <c r="AD47" i="95"/>
  <c r="BW105" i="88" s="1"/>
  <c r="AD64" i="95"/>
  <c r="BW165" i="88" s="1"/>
  <c r="AD67" i="95"/>
  <c r="AD45" i="95"/>
  <c r="BW97" i="88" s="1"/>
  <c r="AD81" i="95"/>
  <c r="BW80" i="88" s="1"/>
  <c r="AD87" i="95"/>
  <c r="AD93" i="95"/>
  <c r="AD98" i="95"/>
  <c r="AD102" i="95"/>
  <c r="BF16" i="95"/>
  <c r="BH20" i="95"/>
  <c r="AD20" i="95"/>
  <c r="CK20" i="95" s="1"/>
  <c r="AX148" i="95"/>
  <c r="BE24" i="95"/>
  <c r="AA24" i="95"/>
  <c r="H323" i="101"/>
  <c r="G323" i="101" s="1"/>
  <c r="F138" i="90"/>
  <c r="I281" i="101"/>
  <c r="M281" i="101" s="1"/>
  <c r="K278" i="101"/>
  <c r="O278" i="101" s="1"/>
  <c r="G29" i="86"/>
  <c r="R24" i="86"/>
  <c r="R40" i="86"/>
  <c r="G28" i="86"/>
  <c r="R23" i="86"/>
  <c r="G43" i="86"/>
  <c r="R38" i="86"/>
  <c r="G242" i="84"/>
  <c r="D10" i="85"/>
  <c r="J74" i="84"/>
  <c r="H110" i="85"/>
  <c r="K281" i="101"/>
  <c r="O281" i="101" s="1"/>
  <c r="K275" i="101"/>
  <c r="O275" i="101" s="1"/>
  <c r="G185" i="84"/>
  <c r="G90" i="86"/>
  <c r="H285" i="101" s="1"/>
  <c r="G285" i="101" s="1"/>
  <c r="G83" i="86"/>
  <c r="H284" i="101"/>
  <c r="G284" i="101" s="1"/>
  <c r="G30" i="86"/>
  <c r="H274" i="101"/>
  <c r="G53" i="86"/>
  <c r="G57" i="86"/>
  <c r="H279" i="101"/>
  <c r="G279" i="101" s="1"/>
  <c r="F143" i="84"/>
  <c r="G62" i="86"/>
  <c r="H280" i="101"/>
  <c r="G280" i="101" s="1"/>
  <c r="G259" i="84"/>
  <c r="R259" i="84" s="1"/>
  <c r="G149" i="86"/>
  <c r="O239" i="84"/>
  <c r="G26" i="86"/>
  <c r="R21" i="86"/>
  <c r="G182" i="84"/>
  <c r="J187" i="84"/>
  <c r="F182" i="84"/>
  <c r="O75" i="85"/>
  <c r="O65" i="85" s="1"/>
  <c r="O59" i="85"/>
  <c r="O49" i="85" s="1"/>
  <c r="O96" i="85"/>
  <c r="O101" i="85"/>
  <c r="O159" i="85"/>
  <c r="O148" i="85" s="1"/>
  <c r="O143" i="85"/>
  <c r="O132" i="85" s="1"/>
  <c r="O127" i="85"/>
  <c r="O122" i="85"/>
  <c r="O43" i="85"/>
  <c r="O28" i="85" s="1"/>
  <c r="BR16" i="95"/>
  <c r="BR148" i="95"/>
  <c r="G123" i="85"/>
  <c r="G160" i="85"/>
  <c r="G144" i="85"/>
  <c r="G128" i="85"/>
  <c r="G97" i="85"/>
  <c r="G44" i="85"/>
  <c r="G76" i="85"/>
  <c r="G42" i="86"/>
  <c r="N9" i="85"/>
  <c r="P139" i="84"/>
  <c r="J74" i="85"/>
  <c r="J58" i="85"/>
  <c r="J95" i="85"/>
  <c r="J158" i="85"/>
  <c r="J142" i="85"/>
  <c r="J126" i="85"/>
  <c r="J121" i="85"/>
  <c r="J42" i="85"/>
  <c r="J100" i="85"/>
  <c r="F260" i="84"/>
  <c r="G156" i="86"/>
  <c r="O89" i="85"/>
  <c r="O110" i="85"/>
  <c r="O115" i="85"/>
  <c r="O84" i="85"/>
  <c r="O68" i="85"/>
  <c r="O152" i="85"/>
  <c r="O36" i="85"/>
  <c r="O20" i="85"/>
  <c r="O52" i="85"/>
  <c r="O14" i="85"/>
  <c r="O31" i="85"/>
  <c r="O136" i="85"/>
  <c r="R53" i="86"/>
  <c r="O264" i="84"/>
  <c r="R140" i="86"/>
  <c r="G145" i="86"/>
  <c r="G69" i="86"/>
  <c r="H282" i="101"/>
  <c r="G282" i="101" s="1"/>
  <c r="F185" i="84"/>
  <c r="AC149" i="95"/>
  <c r="AB148" i="95"/>
  <c r="AR143" i="95"/>
  <c r="AX143" i="95"/>
  <c r="BL143" i="95"/>
  <c r="BM143" i="95"/>
  <c r="AB143" i="95"/>
  <c r="AY143" i="95"/>
  <c r="BR143" i="95"/>
  <c r="AQ143" i="95"/>
  <c r="BR139" i="95"/>
  <c r="AB134" i="95"/>
  <c r="BR134" i="95"/>
  <c r="O32" i="88"/>
  <c r="O12" i="88" s="1"/>
  <c r="AR118" i="95"/>
  <c r="BL129" i="95"/>
  <c r="BR129" i="95"/>
  <c r="AQ129" i="95"/>
  <c r="AB130" i="95"/>
  <c r="AA129" i="95"/>
  <c r="AY121" i="95"/>
  <c r="BE124" i="95"/>
  <c r="BL124" i="95"/>
  <c r="AQ124" i="95"/>
  <c r="AX104" i="95"/>
  <c r="G187" i="89"/>
  <c r="G208" i="89" s="1"/>
  <c r="BR124" i="95"/>
  <c r="AX124" i="95"/>
  <c r="BR118" i="95"/>
  <c r="BM121" i="95"/>
  <c r="AX121" i="95"/>
  <c r="BF118" i="95"/>
  <c r="AQ118" i="95"/>
  <c r="BF121" i="95"/>
  <c r="F231" i="88"/>
  <c r="AB121" i="95"/>
  <c r="BE121" i="95"/>
  <c r="BR121" i="95"/>
  <c r="BL118" i="95"/>
  <c r="AC66" i="95"/>
  <c r="BM118" i="95"/>
  <c r="AY104" i="95"/>
  <c r="AY118" i="95"/>
  <c r="AX112" i="95"/>
  <c r="AY112" i="95"/>
  <c r="AB118" i="95"/>
  <c r="AX118" i="95"/>
  <c r="BM112" i="95"/>
  <c r="BF112" i="95"/>
  <c r="AC116" i="95"/>
  <c r="F232" i="88"/>
  <c r="BE112" i="95"/>
  <c r="AQ112" i="95"/>
  <c r="AB112" i="95"/>
  <c r="BF104" i="95"/>
  <c r="AR112" i="95"/>
  <c r="BL112" i="95"/>
  <c r="BA20" i="95"/>
  <c r="AC105" i="95"/>
  <c r="Z49" i="95"/>
  <c r="AA50" i="95"/>
  <c r="BL104" i="95"/>
  <c r="AB107" i="95"/>
  <c r="BE104" i="95"/>
  <c r="AR104" i="95"/>
  <c r="AB44" i="95"/>
  <c r="BM104" i="95"/>
  <c r="AQ99" i="95"/>
  <c r="BF84" i="95"/>
  <c r="AQ104" i="95"/>
  <c r="BR104" i="95"/>
  <c r="BR99" i="95"/>
  <c r="G195" i="89"/>
  <c r="G237" i="89" s="1"/>
  <c r="BF99" i="95"/>
  <c r="BL99" i="95"/>
  <c r="AX99" i="95"/>
  <c r="BE99" i="95"/>
  <c r="AQ89" i="95"/>
  <c r="BM99" i="95"/>
  <c r="AY99" i="95"/>
  <c r="AR99" i="95"/>
  <c r="AB99" i="95"/>
  <c r="BE94" i="95"/>
  <c r="BM94" i="95"/>
  <c r="BL94" i="95"/>
  <c r="AX94" i="95"/>
  <c r="BR94" i="95"/>
  <c r="BF94" i="95"/>
  <c r="AY94" i="95"/>
  <c r="AR94" i="95"/>
  <c r="AC95" i="95"/>
  <c r="AB94" i="95"/>
  <c r="AX89" i="95"/>
  <c r="BL89" i="95"/>
  <c r="AQ94" i="95"/>
  <c r="AY84" i="95"/>
  <c r="BF78" i="95"/>
  <c r="BM89" i="95"/>
  <c r="BR89" i="95"/>
  <c r="AY89" i="95"/>
  <c r="BE89" i="95"/>
  <c r="BF89" i="95"/>
  <c r="AR89" i="95"/>
  <c r="AC90" i="95"/>
  <c r="AB89" i="95"/>
  <c r="AQ84" i="95"/>
  <c r="AX54" i="95"/>
  <c r="BE78" i="95"/>
  <c r="BR84" i="95"/>
  <c r="BE84" i="95"/>
  <c r="BL84" i="95"/>
  <c r="AR84" i="95"/>
  <c r="AC85" i="95"/>
  <c r="AB84" i="95"/>
  <c r="BM84" i="95"/>
  <c r="AX84" i="95"/>
  <c r="BF74" i="95"/>
  <c r="BM78" i="95"/>
  <c r="AX78" i="95"/>
  <c r="AY78" i="95"/>
  <c r="BR78" i="95"/>
  <c r="AQ78" i="95"/>
  <c r="BL74" i="95"/>
  <c r="AB78" i="95"/>
  <c r="AR78" i="95"/>
  <c r="AY74" i="95"/>
  <c r="BL78" i="95"/>
  <c r="AR74" i="95"/>
  <c r="BF69" i="95"/>
  <c r="BR74" i="95"/>
  <c r="P40" i="88"/>
  <c r="AY61" i="95"/>
  <c r="AX74" i="95"/>
  <c r="AA5" i="95"/>
  <c r="AC70" i="95"/>
  <c r="AX69" i="95"/>
  <c r="BE74" i="95"/>
  <c r="AQ74" i="95"/>
  <c r="BE65" i="95"/>
  <c r="AC75" i="95"/>
  <c r="BV174" i="88" s="1"/>
  <c r="AB74" i="95"/>
  <c r="BM74" i="95"/>
  <c r="BL69" i="95"/>
  <c r="BM69" i="95"/>
  <c r="AY69" i="95"/>
  <c r="BE54" i="95"/>
  <c r="G109" i="89"/>
  <c r="BE69" i="95"/>
  <c r="AQ69" i="95"/>
  <c r="AR69" i="95"/>
  <c r="BR65" i="95"/>
  <c r="BR69" i="95"/>
  <c r="AC11" i="95"/>
  <c r="BF65" i="95"/>
  <c r="AX65" i="95"/>
  <c r="AQ65" i="95"/>
  <c r="BM61" i="95"/>
  <c r="AY54" i="95"/>
  <c r="AX61" i="95"/>
  <c r="AR65" i="95"/>
  <c r="BL65" i="95"/>
  <c r="AC119" i="95"/>
  <c r="G189" i="88"/>
  <c r="AY65" i="95"/>
  <c r="BM65" i="95"/>
  <c r="BO20" i="95"/>
  <c r="BR54" i="95"/>
  <c r="G125" i="88"/>
  <c r="BR61" i="95"/>
  <c r="AC58" i="95"/>
  <c r="BV140" i="88" s="1"/>
  <c r="AQ61" i="95"/>
  <c r="AT20" i="95"/>
  <c r="BE61" i="95"/>
  <c r="AB30" i="95"/>
  <c r="BF61" i="95"/>
  <c r="AR61" i="95"/>
  <c r="BE57" i="95"/>
  <c r="AC62" i="95"/>
  <c r="BV157" i="88" s="1"/>
  <c r="AB61" i="95"/>
  <c r="BL61" i="95"/>
  <c r="BM57" i="95"/>
  <c r="H36" i="87"/>
  <c r="H154" i="87"/>
  <c r="K176" i="101" s="1"/>
  <c r="O176" i="101" s="1"/>
  <c r="O31" i="88"/>
  <c r="O11" i="88" s="1"/>
  <c r="O40" i="88"/>
  <c r="AR57" i="95"/>
  <c r="BR37" i="95"/>
  <c r="BR57" i="95"/>
  <c r="BF57" i="95"/>
  <c r="H32" i="87"/>
  <c r="BL57" i="95"/>
  <c r="AB57" i="95"/>
  <c r="AQ57" i="95"/>
  <c r="I24" i="101"/>
  <c r="M24" i="101" s="1"/>
  <c r="AX5" i="95"/>
  <c r="AY57" i="95"/>
  <c r="AX57" i="95"/>
  <c r="G81" i="96"/>
  <c r="G12" i="89"/>
  <c r="U20" i="89"/>
  <c r="H20" i="89" s="1"/>
  <c r="BL54" i="95"/>
  <c r="BR5" i="95"/>
  <c r="AQ54" i="95"/>
  <c r="BM37" i="95"/>
  <c r="AX37" i="95"/>
  <c r="L141" i="89"/>
  <c r="AC44" i="95"/>
  <c r="CJ44" i="95" s="1"/>
  <c r="G40" i="87"/>
  <c r="BF54" i="95"/>
  <c r="AR54" i="95"/>
  <c r="AB28" i="95"/>
  <c r="BM54" i="95"/>
  <c r="AY44" i="95"/>
  <c r="AC55" i="95"/>
  <c r="BV127" i="88" s="1"/>
  <c r="BV123" i="88" s="1"/>
  <c r="AB54" i="95"/>
  <c r="BM44" i="95"/>
  <c r="BR49" i="95"/>
  <c r="AR30" i="95"/>
  <c r="U129" i="88"/>
  <c r="U125" i="88" s="1"/>
  <c r="BE44" i="95"/>
  <c r="I153" i="101"/>
  <c r="M153" i="101" s="1"/>
  <c r="L128" i="89"/>
  <c r="F136" i="89"/>
  <c r="F133" i="89" s="1"/>
  <c r="G220" i="88"/>
  <c r="K31" i="101"/>
  <c r="O31" i="101" s="1"/>
  <c r="BL37" i="95"/>
  <c r="BF44" i="95"/>
  <c r="AC91" i="95"/>
  <c r="G57" i="89"/>
  <c r="U57" i="89" s="1"/>
  <c r="H57" i="89" s="1"/>
  <c r="AC103" i="95"/>
  <c r="G26" i="88"/>
  <c r="AC83" i="95"/>
  <c r="BV88" i="88" s="1"/>
  <c r="K21" i="101"/>
  <c r="O21" i="101" s="1"/>
  <c r="G42" i="89"/>
  <c r="U42" i="89" s="1"/>
  <c r="H42" i="89" s="1"/>
  <c r="K9" i="101" s="1"/>
  <c r="O9" i="101" s="1"/>
  <c r="AC60" i="95"/>
  <c r="BV148" i="88" s="1"/>
  <c r="F198" i="88"/>
  <c r="F195" i="88" s="1"/>
  <c r="F124" i="87"/>
  <c r="F121" i="87" s="1"/>
  <c r="G149" i="89"/>
  <c r="U149" i="89" s="1"/>
  <c r="H149" i="89" s="1"/>
  <c r="K34" i="101" s="1"/>
  <c r="O34" i="101" s="1"/>
  <c r="AC80" i="95"/>
  <c r="BV76" i="88" s="1"/>
  <c r="AC113" i="95"/>
  <c r="AC79" i="95"/>
  <c r="BV72" i="88" s="1"/>
  <c r="AY37" i="95"/>
  <c r="AC110" i="95"/>
  <c r="BR44" i="95"/>
  <c r="G53" i="88"/>
  <c r="U53" i="88" s="1"/>
  <c r="H53" i="88" s="1"/>
  <c r="I98" i="101" s="1"/>
  <c r="M98" i="101" s="1"/>
  <c r="AC120" i="95"/>
  <c r="AC77" i="95"/>
  <c r="F88" i="89"/>
  <c r="F85" i="89" s="1"/>
  <c r="BL5" i="95"/>
  <c r="AQ44" i="95"/>
  <c r="AC126" i="95"/>
  <c r="AX44" i="95"/>
  <c r="AC108" i="95"/>
  <c r="AC88" i="95"/>
  <c r="AB15" i="95"/>
  <c r="BL30" i="95"/>
  <c r="AR44" i="95"/>
  <c r="BL44" i="95"/>
  <c r="H153" i="87"/>
  <c r="AC144" i="95"/>
  <c r="AC127" i="95"/>
  <c r="F108" i="88"/>
  <c r="F105" i="88" s="1"/>
  <c r="G70" i="87"/>
  <c r="U70" i="87" s="1"/>
  <c r="H70" i="87" s="1"/>
  <c r="K157" i="101" s="1"/>
  <c r="O157" i="101" s="1"/>
  <c r="F166" i="89"/>
  <c r="F163" i="89" s="1"/>
  <c r="F84" i="89"/>
  <c r="F81" i="89" s="1"/>
  <c r="G38" i="89"/>
  <c r="F208" i="89"/>
  <c r="F184" i="89"/>
  <c r="F229" i="89"/>
  <c r="G155" i="88"/>
  <c r="G153" i="89"/>
  <c r="U153" i="89" s="1"/>
  <c r="H153" i="89" s="1"/>
  <c r="K35" i="101" s="1"/>
  <c r="O35" i="101" s="1"/>
  <c r="G55" i="88"/>
  <c r="BM30" i="95"/>
  <c r="AB16" i="95"/>
  <c r="AC17" i="95"/>
  <c r="BV114" i="88" s="1"/>
  <c r="F25" i="88"/>
  <c r="F22" i="88" s="1"/>
  <c r="L13" i="87"/>
  <c r="AX30" i="95"/>
  <c r="F66" i="87"/>
  <c r="F63" i="87" s="1"/>
  <c r="K153" i="101"/>
  <c r="O153" i="101" s="1"/>
  <c r="U36" i="87"/>
  <c r="AT18" i="95"/>
  <c r="BA18" i="95"/>
  <c r="BV18" i="95"/>
  <c r="F104" i="88"/>
  <c r="F101" i="88" s="1"/>
  <c r="BE30" i="95"/>
  <c r="AQ37" i="95"/>
  <c r="F127" i="86"/>
  <c r="F9" i="86"/>
  <c r="R128" i="86"/>
  <c r="AR37" i="95"/>
  <c r="AC19" i="95"/>
  <c r="L190" i="88"/>
  <c r="U21" i="87"/>
  <c r="AQ30" i="95"/>
  <c r="BH18" i="95"/>
  <c r="F153" i="89"/>
  <c r="F150" i="89" s="1"/>
  <c r="G54" i="89"/>
  <c r="L76" i="89"/>
  <c r="G95" i="88"/>
  <c r="L116" i="87"/>
  <c r="F120" i="87"/>
  <c r="F117" i="87" s="1"/>
  <c r="H148" i="88"/>
  <c r="AC138" i="95"/>
  <c r="AC137" i="95"/>
  <c r="BE37" i="95"/>
  <c r="F132" i="87"/>
  <c r="F129" i="87" s="1"/>
  <c r="K36" i="101"/>
  <c r="O36" i="101" s="1"/>
  <c r="AQ5" i="95"/>
  <c r="BR12" i="95"/>
  <c r="F50" i="89"/>
  <c r="F47" i="89" s="1"/>
  <c r="AC131" i="95"/>
  <c r="BF37" i="95"/>
  <c r="BR30" i="95"/>
  <c r="AC36" i="95"/>
  <c r="BV34" i="88" s="1"/>
  <c r="AC38" i="95"/>
  <c r="BV43" i="88" s="1"/>
  <c r="AB37" i="95"/>
  <c r="CB37" i="95" s="1"/>
  <c r="BV20" i="95"/>
  <c r="BU20" i="95"/>
  <c r="BS20" i="95"/>
  <c r="I36" i="101"/>
  <c r="M36" i="101" s="1"/>
  <c r="AY30" i="95"/>
  <c r="L18" i="87"/>
  <c r="I28" i="101"/>
  <c r="M28" i="101" s="1"/>
  <c r="BE5" i="95"/>
  <c r="G182" i="88"/>
  <c r="G211" i="88"/>
  <c r="G20" i="87"/>
  <c r="F21" i="88"/>
  <c r="F18" i="88" s="1"/>
  <c r="F42" i="88"/>
  <c r="AC136" i="95"/>
  <c r="BF30" i="95"/>
  <c r="F97" i="89"/>
  <c r="F94" i="89" s="1"/>
  <c r="G84" i="88"/>
  <c r="L34" i="89"/>
  <c r="F132" i="89"/>
  <c r="L13" i="88"/>
  <c r="AC34" i="95"/>
  <c r="BV26" i="88" s="1"/>
  <c r="F196" i="89"/>
  <c r="F183" i="89"/>
  <c r="U66" i="87"/>
  <c r="U28" i="87"/>
  <c r="H28" i="87" s="1"/>
  <c r="K148" i="101" s="1"/>
  <c r="O148" i="101" s="1"/>
  <c r="G25" i="87"/>
  <c r="F14" i="89"/>
  <c r="K11" i="101"/>
  <c r="O11" i="101" s="1"/>
  <c r="H220" i="88"/>
  <c r="H138" i="101"/>
  <c r="G138" i="101" s="1"/>
  <c r="U109" i="89"/>
  <c r="H113" i="89"/>
  <c r="U210" i="88"/>
  <c r="G206" i="88"/>
  <c r="G167" i="89"/>
  <c r="U168" i="89"/>
  <c r="H168" i="89" s="1"/>
  <c r="H88" i="88"/>
  <c r="H33" i="87"/>
  <c r="G88" i="88"/>
  <c r="U23" i="87"/>
  <c r="G13" i="87"/>
  <c r="G18" i="87"/>
  <c r="F191" i="88"/>
  <c r="H182" i="88"/>
  <c r="H129" i="101"/>
  <c r="G129" i="101" s="1"/>
  <c r="F211" i="88"/>
  <c r="U189" i="88"/>
  <c r="H193" i="88"/>
  <c r="G121" i="87"/>
  <c r="U122" i="87"/>
  <c r="H122" i="87" s="1"/>
  <c r="G76" i="89"/>
  <c r="U80" i="89"/>
  <c r="G71" i="84"/>
  <c r="G63" i="88"/>
  <c r="U43" i="87"/>
  <c r="G97" i="88"/>
  <c r="U98" i="88"/>
  <c r="G94" i="88"/>
  <c r="G132" i="89"/>
  <c r="G178" i="88"/>
  <c r="U179" i="88"/>
  <c r="H179" i="88" s="1"/>
  <c r="U100" i="89"/>
  <c r="G96" i="89"/>
  <c r="G172" i="88"/>
  <c r="U127" i="89"/>
  <c r="H131" i="89"/>
  <c r="L96" i="88"/>
  <c r="F14" i="88"/>
  <c r="U126" i="87"/>
  <c r="H126" i="87" s="1"/>
  <c r="G83" i="88"/>
  <c r="U83" i="88" s="1"/>
  <c r="H83" i="88" s="1"/>
  <c r="K105" i="101" s="1"/>
  <c r="O105" i="101" s="1"/>
  <c r="G74" i="87"/>
  <c r="U79" i="87"/>
  <c r="H84" i="88"/>
  <c r="H106" i="101"/>
  <c r="G106" i="101" s="1"/>
  <c r="K16" i="101"/>
  <c r="O16" i="101" s="1"/>
  <c r="H249" i="89"/>
  <c r="H245" i="89" s="1"/>
  <c r="U155" i="88"/>
  <c r="H159" i="88"/>
  <c r="G127" i="89"/>
  <c r="G137" i="88"/>
  <c r="U141" i="88"/>
  <c r="G33" i="88"/>
  <c r="U33" i="88" s="1"/>
  <c r="H33" i="88" s="1"/>
  <c r="K93" i="101" s="1"/>
  <c r="O93" i="101" s="1"/>
  <c r="H63" i="88"/>
  <c r="U119" i="87"/>
  <c r="G115" i="87"/>
  <c r="G42" i="88"/>
  <c r="U46" i="88"/>
  <c r="H45" i="87"/>
  <c r="H152" i="101"/>
  <c r="G152" i="101" s="1"/>
  <c r="I96" i="101"/>
  <c r="M96" i="101" s="1"/>
  <c r="U194" i="88"/>
  <c r="G190" i="88"/>
  <c r="G228" i="89"/>
  <c r="G224" i="89" s="1"/>
  <c r="U186" i="89"/>
  <c r="G207" i="89"/>
  <c r="G182" i="89"/>
  <c r="G199" i="89"/>
  <c r="U142" i="88"/>
  <c r="G138" i="88"/>
  <c r="U106" i="88"/>
  <c r="H106" i="88" s="1"/>
  <c r="G105" i="88"/>
  <c r="F126" i="88"/>
  <c r="F127" i="88"/>
  <c r="G43" i="88"/>
  <c r="G45" i="87"/>
  <c r="I16" i="101"/>
  <c r="M16" i="101" s="1"/>
  <c r="U145" i="89"/>
  <c r="F56" i="89"/>
  <c r="H35" i="101"/>
  <c r="L13" i="89"/>
  <c r="G76" i="88"/>
  <c r="U77" i="88"/>
  <c r="H77" i="88" s="1"/>
  <c r="G156" i="88"/>
  <c r="U160" i="88"/>
  <c r="H99" i="88"/>
  <c r="U95" i="88"/>
  <c r="H44" i="88"/>
  <c r="G144" i="88"/>
  <c r="U145" i="88"/>
  <c r="H145" i="88" s="1"/>
  <c r="H42" i="87"/>
  <c r="U37" i="87"/>
  <c r="G161" i="89"/>
  <c r="U165" i="89"/>
  <c r="G166" i="89"/>
  <c r="L55" i="89"/>
  <c r="U130" i="88"/>
  <c r="G126" i="88"/>
  <c r="F156" i="88"/>
  <c r="G59" i="89"/>
  <c r="H237" i="88"/>
  <c r="L71" i="88"/>
  <c r="U52" i="88"/>
  <c r="H52" i="88" s="1"/>
  <c r="H55" i="88"/>
  <c r="K6" i="101"/>
  <c r="O6" i="101" s="1"/>
  <c r="H148" i="101"/>
  <c r="F142" i="89"/>
  <c r="L183" i="89"/>
  <c r="F202" i="88"/>
  <c r="F199" i="88" s="1"/>
  <c r="U101" i="89"/>
  <c r="G97" i="89"/>
  <c r="G21" i="89"/>
  <c r="U21" i="89" s="1"/>
  <c r="H21" i="89" s="1"/>
  <c r="K4" i="101" s="1"/>
  <c r="O4" i="101" s="1"/>
  <c r="F25" i="89"/>
  <c r="F22" i="89" s="1"/>
  <c r="G216" i="88"/>
  <c r="U130" i="87"/>
  <c r="H130" i="87" s="1"/>
  <c r="F75" i="88"/>
  <c r="F67" i="87"/>
  <c r="F32" i="84"/>
  <c r="F12" i="84" s="1"/>
  <c r="J12" i="84"/>
  <c r="K24" i="101"/>
  <c r="O24" i="101" s="1"/>
  <c r="G85" i="89"/>
  <c r="U86" i="89"/>
  <c r="H86" i="89" s="1"/>
  <c r="G17" i="89"/>
  <c r="K139" i="101"/>
  <c r="O139" i="101" s="1"/>
  <c r="H216" i="88"/>
  <c r="H137" i="101"/>
  <c r="G137" i="101" s="1"/>
  <c r="G143" i="88"/>
  <c r="G140" i="88" s="1"/>
  <c r="G22" i="88"/>
  <c r="U23" i="88"/>
  <c r="H23" i="88" s="1"/>
  <c r="G114" i="87"/>
  <c r="U118" i="87"/>
  <c r="G34" i="84"/>
  <c r="U60" i="87"/>
  <c r="G56" i="87"/>
  <c r="H31" i="87"/>
  <c r="H66" i="84"/>
  <c r="H157" i="101"/>
  <c r="H143" i="89"/>
  <c r="U236" i="88"/>
  <c r="G232" i="88"/>
  <c r="F117" i="88"/>
  <c r="F113" i="88" s="1"/>
  <c r="G212" i="88"/>
  <c r="U213" i="88"/>
  <c r="H213" i="88" s="1"/>
  <c r="U15" i="88"/>
  <c r="G14" i="88"/>
  <c r="H26" i="88"/>
  <c r="I92" i="101"/>
  <c r="G30" i="87"/>
  <c r="J14" i="84"/>
  <c r="F34" i="84"/>
  <c r="F14" i="84" s="1"/>
  <c r="U54" i="89"/>
  <c r="H58" i="89"/>
  <c r="U17" i="88"/>
  <c r="U79" i="89"/>
  <c r="G75" i="89"/>
  <c r="U144" i="89"/>
  <c r="G142" i="89"/>
  <c r="G140" i="89"/>
  <c r="G33" i="89"/>
  <c r="U172" i="88"/>
  <c r="G96" i="88"/>
  <c r="G177" i="88"/>
  <c r="H16" i="88"/>
  <c r="I21" i="101"/>
  <c r="M21" i="101" s="1"/>
  <c r="F67" i="89"/>
  <c r="F64" i="89" s="1"/>
  <c r="G110" i="89"/>
  <c r="U114" i="89"/>
  <c r="F110" i="89"/>
  <c r="F111" i="89"/>
  <c r="I31" i="101"/>
  <c r="M31" i="101" s="1"/>
  <c r="I9" i="101"/>
  <c r="M9" i="101" s="1"/>
  <c r="U33" i="89"/>
  <c r="H37" i="89"/>
  <c r="U81" i="88"/>
  <c r="H81" i="88" s="1"/>
  <c r="F143" i="88"/>
  <c r="F177" i="88"/>
  <c r="H172" i="88"/>
  <c r="I126" i="101" s="1"/>
  <c r="M126" i="101" s="1"/>
  <c r="I127" i="101"/>
  <c r="M127" i="101" s="1"/>
  <c r="U96" i="88"/>
  <c r="H100" i="88"/>
  <c r="L75" i="87"/>
  <c r="G60" i="89"/>
  <c r="U61" i="89"/>
  <c r="H61" i="89" s="1"/>
  <c r="H256" i="89"/>
  <c r="G101" i="88"/>
  <c r="U102" i="88"/>
  <c r="H102" i="88" s="1"/>
  <c r="G148" i="88"/>
  <c r="G151" i="87"/>
  <c r="U152" i="87"/>
  <c r="G50" i="87"/>
  <c r="U51" i="87"/>
  <c r="H51" i="87" s="1"/>
  <c r="G11" i="87"/>
  <c r="G12" i="87"/>
  <c r="U22" i="87"/>
  <c r="E81" i="96" s="1"/>
  <c r="G17" i="87"/>
  <c r="U69" i="87"/>
  <c r="G57" i="87"/>
  <c r="G63" i="87"/>
  <c r="U64" i="87"/>
  <c r="H64" i="87" s="1"/>
  <c r="I59" i="84"/>
  <c r="G98" i="89" l="1"/>
  <c r="BB228" i="87"/>
  <c r="BE283" i="87"/>
  <c r="BB94" i="89"/>
  <c r="BC180" i="89"/>
  <c r="BC228" i="87"/>
  <c r="BE334" i="87"/>
  <c r="BC311" i="89"/>
  <c r="BC156" i="87"/>
  <c r="BD228" i="87"/>
  <c r="BC283" i="87"/>
  <c r="BE321" i="87"/>
  <c r="BD311" i="89"/>
  <c r="BC31" i="89"/>
  <c r="BD159" i="89"/>
  <c r="BE72" i="87"/>
  <c r="BD156" i="87"/>
  <c r="BB334" i="87"/>
  <c r="BB134" i="87"/>
  <c r="BB31" i="89"/>
  <c r="BD73" i="89"/>
  <c r="BE156" i="87"/>
  <c r="BB201" i="89"/>
  <c r="BC194" i="87"/>
  <c r="BB262" i="87"/>
  <c r="BD341" i="89"/>
  <c r="BB222" i="89"/>
  <c r="BD194" i="87"/>
  <c r="BC262" i="87"/>
  <c r="BB283" i="87"/>
  <c r="BB10" i="89"/>
  <c r="BC113" i="87"/>
  <c r="BE194" i="87"/>
  <c r="BD283" i="87"/>
  <c r="BD94" i="89"/>
  <c r="BC72" i="87"/>
  <c r="BD334" i="87"/>
  <c r="BB52" i="89"/>
  <c r="BD72" i="87"/>
  <c r="BB260" i="89"/>
  <c r="BD31" i="89"/>
  <c r="BC94" i="89"/>
  <c r="BB180" i="89"/>
  <c r="BE228" i="87"/>
  <c r="BB159" i="89"/>
  <c r="BC125" i="89"/>
  <c r="BE245" i="87"/>
  <c r="BC222" i="89"/>
  <c r="BC159" i="89"/>
  <c r="BD125" i="89"/>
  <c r="BD10" i="89"/>
  <c r="BB73" i="89"/>
  <c r="BD52" i="89"/>
  <c r="G215" i="101"/>
  <c r="G185" i="101"/>
  <c r="BV194" i="87"/>
  <c r="Y91" i="96" s="1"/>
  <c r="BV228" i="87"/>
  <c r="I91" i="96" s="1"/>
  <c r="AD138" i="87"/>
  <c r="AK138" i="87"/>
  <c r="AC146" i="87"/>
  <c r="AJ146" i="87"/>
  <c r="F284" i="87"/>
  <c r="G335" i="87"/>
  <c r="F335" i="87"/>
  <c r="AC138" i="87"/>
  <c r="AJ138" i="87"/>
  <c r="BV230" i="89"/>
  <c r="BL230" i="89"/>
  <c r="AX230" i="89"/>
  <c r="AQ230" i="89"/>
  <c r="AJ230" i="89"/>
  <c r="BS230" i="89"/>
  <c r="BE230" i="89"/>
  <c r="BV209" i="89"/>
  <c r="AQ209" i="89"/>
  <c r="AJ209" i="89"/>
  <c r="AX209" i="89"/>
  <c r="BL209" i="89"/>
  <c r="BS209" i="89"/>
  <c r="BE209" i="89"/>
  <c r="BV234" i="89"/>
  <c r="BL234" i="89"/>
  <c r="AX234" i="89"/>
  <c r="AQ234" i="89"/>
  <c r="AJ234" i="89"/>
  <c r="BS234" i="89"/>
  <c r="BE234" i="89"/>
  <c r="BV238" i="89"/>
  <c r="AX238" i="89"/>
  <c r="AQ238" i="89"/>
  <c r="AJ238" i="89"/>
  <c r="BL238" i="89"/>
  <c r="BS238" i="89"/>
  <c r="BE238" i="89"/>
  <c r="BV192" i="89"/>
  <c r="AJ192" i="89"/>
  <c r="BL192" i="89"/>
  <c r="AX192" i="89"/>
  <c r="AQ192" i="89"/>
  <c r="BS192" i="89"/>
  <c r="BE192" i="89"/>
  <c r="AQ142" i="87"/>
  <c r="AC142" i="87"/>
  <c r="AJ142" i="87"/>
  <c r="AX142" i="87"/>
  <c r="BL142" i="87"/>
  <c r="BS142" i="87"/>
  <c r="BE142" i="87"/>
  <c r="AI67" i="87"/>
  <c r="BK67" i="87"/>
  <c r="AP67" i="87"/>
  <c r="AW67" i="87"/>
  <c r="AB67" i="87"/>
  <c r="BR67" i="87"/>
  <c r="BD67" i="87"/>
  <c r="BV26" i="89"/>
  <c r="AX26" i="89"/>
  <c r="BL26" i="89"/>
  <c r="AJ26" i="89"/>
  <c r="AQ26" i="89"/>
  <c r="BS26" i="89"/>
  <c r="BE26" i="89"/>
  <c r="BV142" i="89"/>
  <c r="AX142" i="89"/>
  <c r="AQ142" i="89"/>
  <c r="AJ142" i="89"/>
  <c r="BL142" i="89"/>
  <c r="BS142" i="89"/>
  <c r="BE142" i="89"/>
  <c r="BV188" i="89"/>
  <c r="AJ188" i="89"/>
  <c r="AQ188" i="89"/>
  <c r="BL188" i="89"/>
  <c r="AX188" i="89"/>
  <c r="BS188" i="89"/>
  <c r="BE188" i="89"/>
  <c r="BV133" i="89"/>
  <c r="BL133" i="89"/>
  <c r="AX133" i="89"/>
  <c r="AQ133" i="89"/>
  <c r="AJ133" i="89"/>
  <c r="BS133" i="89"/>
  <c r="BE133" i="89"/>
  <c r="BV150" i="89"/>
  <c r="BL150" i="89"/>
  <c r="AX150" i="89"/>
  <c r="AJ150" i="89"/>
  <c r="AQ150" i="89"/>
  <c r="BS150" i="89"/>
  <c r="BE150" i="89"/>
  <c r="BV163" i="89"/>
  <c r="BL163" i="89"/>
  <c r="AX163" i="89"/>
  <c r="AQ163" i="89"/>
  <c r="AJ163" i="89"/>
  <c r="BS163" i="89"/>
  <c r="BE163" i="89"/>
  <c r="BV47" i="89"/>
  <c r="BL47" i="89"/>
  <c r="AX47" i="89"/>
  <c r="AJ47" i="89"/>
  <c r="AQ47" i="89"/>
  <c r="BS47" i="89"/>
  <c r="BE47" i="89"/>
  <c r="BV81" i="89"/>
  <c r="BL81" i="89"/>
  <c r="AJ81" i="89"/>
  <c r="AX81" i="89"/>
  <c r="AQ81" i="89"/>
  <c r="BS81" i="89"/>
  <c r="BE81" i="89"/>
  <c r="AB108" i="87"/>
  <c r="AI108" i="87"/>
  <c r="AP108" i="87"/>
  <c r="AW108" i="87"/>
  <c r="BK108" i="87"/>
  <c r="BR108" i="87"/>
  <c r="BD108" i="87"/>
  <c r="BV129" i="89"/>
  <c r="BV125" i="89" s="1"/>
  <c r="AX129" i="89"/>
  <c r="AX125" i="89" s="1"/>
  <c r="BL129" i="89"/>
  <c r="BL125" i="89" s="1"/>
  <c r="AQ129" i="89"/>
  <c r="AQ125" i="89" s="1"/>
  <c r="AJ129" i="89"/>
  <c r="AJ125" i="89" s="1"/>
  <c r="BS129" i="89"/>
  <c r="BS125" i="89" s="1"/>
  <c r="BE129" i="89"/>
  <c r="AQ50" i="87"/>
  <c r="AC50" i="87"/>
  <c r="BL50" i="87"/>
  <c r="AJ50" i="87"/>
  <c r="AX50" i="87"/>
  <c r="BS50" i="87"/>
  <c r="BE50" i="87"/>
  <c r="BV14" i="89"/>
  <c r="AJ14" i="89"/>
  <c r="BL14" i="89"/>
  <c r="AX14" i="89"/>
  <c r="AQ14" i="89"/>
  <c r="BS14" i="89"/>
  <c r="BE14" i="89"/>
  <c r="BV77" i="89"/>
  <c r="BL77" i="89"/>
  <c r="AX77" i="89"/>
  <c r="AJ77" i="89"/>
  <c r="AQ77" i="89"/>
  <c r="BS77" i="89"/>
  <c r="BE77" i="89"/>
  <c r="BV56" i="89"/>
  <c r="AQ56" i="89"/>
  <c r="AJ56" i="89"/>
  <c r="BL56" i="89"/>
  <c r="AX56" i="89"/>
  <c r="BS56" i="89"/>
  <c r="BE56" i="89"/>
  <c r="BV111" i="89"/>
  <c r="AJ111" i="89"/>
  <c r="AX111" i="89"/>
  <c r="BL111" i="89"/>
  <c r="AQ111" i="89"/>
  <c r="BS111" i="89"/>
  <c r="BE111" i="89"/>
  <c r="BV175" i="89"/>
  <c r="AX175" i="89"/>
  <c r="AQ175" i="89"/>
  <c r="AJ175" i="89"/>
  <c r="BL175" i="89"/>
  <c r="BS175" i="89"/>
  <c r="BE175" i="89"/>
  <c r="AI205" i="89"/>
  <c r="AP205" i="89"/>
  <c r="BK205" i="89"/>
  <c r="AW205" i="89"/>
  <c r="BR205" i="89"/>
  <c r="BD205" i="89"/>
  <c r="AC117" i="87"/>
  <c r="BL117" i="87"/>
  <c r="AX117" i="87"/>
  <c r="AQ117" i="87"/>
  <c r="AJ117" i="87"/>
  <c r="BS117" i="87"/>
  <c r="BE117" i="87"/>
  <c r="BW43" i="89"/>
  <c r="AK43" i="89"/>
  <c r="AR43" i="89"/>
  <c r="AY43" i="89"/>
  <c r="BM43" i="89"/>
  <c r="BT43" i="89"/>
  <c r="BF43" i="89"/>
  <c r="BW68" i="89"/>
  <c r="AY68" i="89"/>
  <c r="AR68" i="89"/>
  <c r="AK68" i="89"/>
  <c r="BM68" i="89"/>
  <c r="BT68" i="89"/>
  <c r="BF68" i="89"/>
  <c r="BW89" i="89"/>
  <c r="BM89" i="89"/>
  <c r="AY89" i="89"/>
  <c r="AR89" i="89"/>
  <c r="AK89" i="89"/>
  <c r="BT89" i="89"/>
  <c r="BF89" i="89"/>
  <c r="BW22" i="89"/>
  <c r="AY22" i="89"/>
  <c r="BM22" i="89"/>
  <c r="AR22" i="89"/>
  <c r="AK22" i="89"/>
  <c r="BT22" i="89"/>
  <c r="BF22" i="89"/>
  <c r="BW146" i="89"/>
  <c r="BM146" i="89"/>
  <c r="AR146" i="89"/>
  <c r="AK146" i="89"/>
  <c r="AY146" i="89"/>
  <c r="BT146" i="89"/>
  <c r="BF146" i="89"/>
  <c r="BW120" i="89"/>
  <c r="BM120" i="89"/>
  <c r="AY120" i="89"/>
  <c r="AR120" i="89"/>
  <c r="AK120" i="89"/>
  <c r="BT120" i="89"/>
  <c r="BF120" i="89"/>
  <c r="BW102" i="89"/>
  <c r="AK102" i="89"/>
  <c r="AR102" i="89"/>
  <c r="AY102" i="89"/>
  <c r="BM102" i="89"/>
  <c r="BT102" i="89"/>
  <c r="BF102" i="89"/>
  <c r="AY138" i="87"/>
  <c r="BM138" i="87"/>
  <c r="AR138" i="87"/>
  <c r="BT138" i="87"/>
  <c r="BF138" i="87"/>
  <c r="BW167" i="89"/>
  <c r="BM167" i="89"/>
  <c r="AY167" i="89"/>
  <c r="AR167" i="89"/>
  <c r="AK167" i="89"/>
  <c r="BT167" i="89"/>
  <c r="BF167" i="89"/>
  <c r="AY151" i="87"/>
  <c r="AD151" i="87"/>
  <c r="AR151" i="87"/>
  <c r="AK151" i="87"/>
  <c r="BM151" i="87"/>
  <c r="BT151" i="87"/>
  <c r="BF151" i="87"/>
  <c r="AO63" i="87"/>
  <c r="AH63" i="87"/>
  <c r="BJ63" i="87"/>
  <c r="AA63" i="87"/>
  <c r="AV63" i="87"/>
  <c r="BQ63" i="87"/>
  <c r="BC63" i="87"/>
  <c r="AQ146" i="87"/>
  <c r="AX146" i="87"/>
  <c r="BL146" i="87"/>
  <c r="BS146" i="87"/>
  <c r="BE146" i="87"/>
  <c r="BM289" i="89"/>
  <c r="BM277" i="89" s="1"/>
  <c r="AY289" i="89"/>
  <c r="AY277" i="89" s="1"/>
  <c r="AR289" i="89"/>
  <c r="AR277" i="89" s="1"/>
  <c r="AK289" i="89"/>
  <c r="AK277" i="89" s="1"/>
  <c r="BT289" i="89"/>
  <c r="BT277" i="89" s="1"/>
  <c r="BF289" i="89"/>
  <c r="BF277" i="89" s="1"/>
  <c r="BW35" i="89"/>
  <c r="AR35" i="89"/>
  <c r="AK35" i="89"/>
  <c r="AY35" i="89"/>
  <c r="BM35" i="89"/>
  <c r="BT35" i="89"/>
  <c r="BF35" i="89"/>
  <c r="AB40" i="87"/>
  <c r="AI40" i="87"/>
  <c r="AP40" i="87"/>
  <c r="AW40" i="87"/>
  <c r="BK40" i="87"/>
  <c r="BR40" i="87"/>
  <c r="BD40" i="87"/>
  <c r="BJ246" i="88"/>
  <c r="AA246" i="88"/>
  <c r="AH246" i="88"/>
  <c r="AO246" i="88"/>
  <c r="AV246" i="88"/>
  <c r="BQ246" i="88"/>
  <c r="BC246" i="88"/>
  <c r="AI100" i="87"/>
  <c r="AW100" i="87"/>
  <c r="AB100" i="87"/>
  <c r="AP100" i="87"/>
  <c r="BK100" i="87"/>
  <c r="BR100" i="87"/>
  <c r="BD100" i="87"/>
  <c r="BL129" i="87"/>
  <c r="AX129" i="87"/>
  <c r="AQ129" i="87"/>
  <c r="AJ129" i="87"/>
  <c r="AC129" i="87"/>
  <c r="BS129" i="87"/>
  <c r="BE129" i="87"/>
  <c r="BJ59" i="87"/>
  <c r="BJ55" i="87" s="1"/>
  <c r="AV59" i="87"/>
  <c r="AV55" i="87" s="1"/>
  <c r="AH59" i="87"/>
  <c r="AH55" i="87" s="1"/>
  <c r="AA59" i="87"/>
  <c r="AA55" i="87" s="1"/>
  <c r="AO59" i="87"/>
  <c r="AO55" i="87" s="1"/>
  <c r="BQ59" i="87"/>
  <c r="BQ55" i="87" s="1"/>
  <c r="BC59" i="87"/>
  <c r="AW24" i="87"/>
  <c r="AB24" i="87"/>
  <c r="AI24" i="87"/>
  <c r="AP24" i="87"/>
  <c r="BK24" i="87"/>
  <c r="BR24" i="87"/>
  <c r="BD24" i="87"/>
  <c r="AW20" i="87"/>
  <c r="AP20" i="87"/>
  <c r="AB20" i="87"/>
  <c r="BK20" i="87"/>
  <c r="AI20" i="87"/>
  <c r="BR20" i="87"/>
  <c r="BD20" i="87"/>
  <c r="BK45" i="87"/>
  <c r="AP45" i="87"/>
  <c r="AB45" i="87"/>
  <c r="AW45" i="87"/>
  <c r="AI45" i="87"/>
  <c r="BR45" i="87"/>
  <c r="BD45" i="87"/>
  <c r="AI184" i="89"/>
  <c r="AW184" i="89"/>
  <c r="BK184" i="89"/>
  <c r="AP184" i="89"/>
  <c r="BR184" i="89"/>
  <c r="BD184" i="89"/>
  <c r="BK230" i="89"/>
  <c r="AW230" i="89"/>
  <c r="AP230" i="89"/>
  <c r="AI230" i="89"/>
  <c r="BR230" i="89"/>
  <c r="BD230" i="89"/>
  <c r="BV85" i="89"/>
  <c r="AJ85" i="89"/>
  <c r="AQ85" i="89"/>
  <c r="AX85" i="89"/>
  <c r="BL85" i="89"/>
  <c r="BS85" i="89"/>
  <c r="BE85" i="89"/>
  <c r="BV18" i="89"/>
  <c r="AJ18" i="89"/>
  <c r="AQ18" i="89"/>
  <c r="AX18" i="89"/>
  <c r="BL18" i="89"/>
  <c r="BS18" i="89"/>
  <c r="BE18" i="89"/>
  <c r="AI121" i="87"/>
  <c r="BK121" i="87"/>
  <c r="AW121" i="87"/>
  <c r="AB121" i="87"/>
  <c r="AP121" i="87"/>
  <c r="BR121" i="87"/>
  <c r="BD121" i="87"/>
  <c r="BD113" i="87" s="1"/>
  <c r="BV98" i="89"/>
  <c r="BV94" i="89" s="1"/>
  <c r="P91" i="96" s="1"/>
  <c r="BL98" i="89"/>
  <c r="BL94" i="89" s="1"/>
  <c r="AX98" i="89"/>
  <c r="AX94" i="89" s="1"/>
  <c r="AQ98" i="89"/>
  <c r="AQ94" i="89" s="1"/>
  <c r="AJ98" i="89"/>
  <c r="AJ94" i="89" s="1"/>
  <c r="BS98" i="89"/>
  <c r="BS94" i="89" s="1"/>
  <c r="BE98" i="89"/>
  <c r="BE94" i="89" s="1"/>
  <c r="BV171" i="89"/>
  <c r="AX171" i="89"/>
  <c r="AQ171" i="89"/>
  <c r="AJ171" i="89"/>
  <c r="BL171" i="89"/>
  <c r="BS171" i="89"/>
  <c r="BE171" i="89"/>
  <c r="BV60" i="89"/>
  <c r="AX60" i="89"/>
  <c r="BL60" i="89"/>
  <c r="AQ60" i="89"/>
  <c r="AJ60" i="89"/>
  <c r="BS60" i="89"/>
  <c r="BE60" i="89"/>
  <c r="BV64" i="89"/>
  <c r="BL64" i="89"/>
  <c r="AX64" i="89"/>
  <c r="AQ64" i="89"/>
  <c r="AJ64" i="89"/>
  <c r="BS64" i="89"/>
  <c r="BE64" i="89"/>
  <c r="BV39" i="89"/>
  <c r="AX39" i="89"/>
  <c r="AJ39" i="89"/>
  <c r="AQ39" i="89"/>
  <c r="BL39" i="89"/>
  <c r="BS39" i="89"/>
  <c r="BE39" i="89"/>
  <c r="BK30" i="87"/>
  <c r="F89" i="96" s="1"/>
  <c r="AP30" i="87"/>
  <c r="AW30" i="87"/>
  <c r="AI30" i="87"/>
  <c r="AB30" i="87"/>
  <c r="BR30" i="87"/>
  <c r="F90" i="96" s="1"/>
  <c r="BD30" i="87"/>
  <c r="F88" i="96" s="1"/>
  <c r="AW238" i="89"/>
  <c r="AP238" i="89"/>
  <c r="BK238" i="89"/>
  <c r="AI238" i="89"/>
  <c r="BR238" i="89"/>
  <c r="BD238" i="89"/>
  <c r="AW125" i="87"/>
  <c r="AI125" i="87"/>
  <c r="AP125" i="87"/>
  <c r="BK125" i="87"/>
  <c r="AB125" i="87"/>
  <c r="BR125" i="87"/>
  <c r="BD125" i="87"/>
  <c r="AC27" i="95"/>
  <c r="AW104" i="87"/>
  <c r="BK104" i="87"/>
  <c r="AP104" i="87"/>
  <c r="AI104" i="87"/>
  <c r="AB104" i="87"/>
  <c r="BR104" i="87"/>
  <c r="BD104" i="87"/>
  <c r="AW196" i="89"/>
  <c r="BK196" i="89"/>
  <c r="AP196" i="89"/>
  <c r="AI196" i="89"/>
  <c r="BR196" i="89"/>
  <c r="BD196" i="89"/>
  <c r="BV154" i="89"/>
  <c r="AJ154" i="89"/>
  <c r="AQ154" i="89"/>
  <c r="AX154" i="89"/>
  <c r="BL154" i="89"/>
  <c r="BS154" i="89"/>
  <c r="BE154" i="89"/>
  <c r="AI226" i="89"/>
  <c r="AI222" i="89" s="1"/>
  <c r="AP226" i="89"/>
  <c r="AP222" i="89" s="1"/>
  <c r="BK226" i="89"/>
  <c r="BK222" i="89" s="1"/>
  <c r="M89" i="96" s="1"/>
  <c r="AW226" i="89"/>
  <c r="AW222" i="89" s="1"/>
  <c r="BR226" i="89"/>
  <c r="BR222" i="89" s="1"/>
  <c r="M90" i="96" s="1"/>
  <c r="BD226" i="89"/>
  <c r="BV35" i="89"/>
  <c r="BV31" i="89" s="1"/>
  <c r="AX35" i="89"/>
  <c r="AX31" i="89" s="1"/>
  <c r="AQ35" i="89"/>
  <c r="AQ31" i="89" s="1"/>
  <c r="AJ35" i="89"/>
  <c r="AJ31" i="89" s="1"/>
  <c r="BL35" i="89"/>
  <c r="BL31" i="89" s="1"/>
  <c r="BS35" i="89"/>
  <c r="BS31" i="89" s="1"/>
  <c r="BE35" i="89"/>
  <c r="BV115" i="89"/>
  <c r="AX115" i="89"/>
  <c r="AJ115" i="89"/>
  <c r="BL115" i="89"/>
  <c r="AQ115" i="89"/>
  <c r="BS115" i="89"/>
  <c r="BE115" i="89"/>
  <c r="AW96" i="87"/>
  <c r="AW92" i="87" s="1"/>
  <c r="BK96" i="87"/>
  <c r="BK92" i="87" s="1"/>
  <c r="BR96" i="87"/>
  <c r="BR92" i="87" s="1"/>
  <c r="AI96" i="87"/>
  <c r="AI92" i="87" s="1"/>
  <c r="AP96" i="87"/>
  <c r="AP92" i="87" s="1"/>
  <c r="AB96" i="87"/>
  <c r="AB92" i="87" s="1"/>
  <c r="BD96" i="87"/>
  <c r="BD92" i="87" s="1"/>
  <c r="BV89" i="89"/>
  <c r="AQ89" i="89"/>
  <c r="AJ89" i="89"/>
  <c r="BL89" i="89"/>
  <c r="AX89" i="89"/>
  <c r="BS89" i="89"/>
  <c r="BE89" i="89"/>
  <c r="AB132" i="95"/>
  <c r="BJ213" i="89"/>
  <c r="AV213" i="89"/>
  <c r="AO213" i="89"/>
  <c r="AH213" i="89"/>
  <c r="BQ213" i="89"/>
  <c r="BC213" i="89"/>
  <c r="BV345" i="89"/>
  <c r="AX345" i="89"/>
  <c r="AJ345" i="89"/>
  <c r="AQ345" i="89"/>
  <c r="BL345" i="89"/>
  <c r="BS345" i="89"/>
  <c r="BE345" i="89"/>
  <c r="BV268" i="89"/>
  <c r="BL268" i="89"/>
  <c r="BL260" i="89" s="1"/>
  <c r="AX268" i="89"/>
  <c r="AX260" i="89" s="1"/>
  <c r="AQ268" i="89"/>
  <c r="AQ260" i="89" s="1"/>
  <c r="AJ268" i="89"/>
  <c r="AJ260" i="89" s="1"/>
  <c r="BS268" i="89"/>
  <c r="BS260" i="89" s="1"/>
  <c r="BE268" i="89"/>
  <c r="BV349" i="89"/>
  <c r="BL349" i="89"/>
  <c r="AX349" i="89"/>
  <c r="AQ349" i="89"/>
  <c r="AJ349" i="89"/>
  <c r="AJ341" i="89" s="1"/>
  <c r="BS349" i="89"/>
  <c r="BE349" i="89"/>
  <c r="AD299" i="87"/>
  <c r="AD283" i="87" s="1"/>
  <c r="AK299" i="87"/>
  <c r="AK283" i="87" s="1"/>
  <c r="AR299" i="87"/>
  <c r="AR283" i="87" s="1"/>
  <c r="AY299" i="87"/>
  <c r="AY283" i="87" s="1"/>
  <c r="BM299" i="87"/>
  <c r="BM283" i="87" s="1"/>
  <c r="BW299" i="87"/>
  <c r="BW283" i="87" s="1"/>
  <c r="BT299" i="87"/>
  <c r="BT283" i="87" s="1"/>
  <c r="BF299" i="87"/>
  <c r="BF283" i="87" s="1"/>
  <c r="BW259" i="88"/>
  <c r="BW251" i="88" s="1"/>
  <c r="AY259" i="88"/>
  <c r="AY251" i="88" s="1"/>
  <c r="BM259" i="88"/>
  <c r="BM251" i="88" s="1"/>
  <c r="AR259" i="88"/>
  <c r="AR251" i="88" s="1"/>
  <c r="AK259" i="88"/>
  <c r="AK251" i="88" s="1"/>
  <c r="AD259" i="88"/>
  <c r="AD251" i="88" s="1"/>
  <c r="BT259" i="88"/>
  <c r="BT251" i="88" s="1"/>
  <c r="BF259" i="88"/>
  <c r="AX275" i="87"/>
  <c r="AX262" i="87" s="1"/>
  <c r="AQ275" i="87"/>
  <c r="AQ262" i="87" s="1"/>
  <c r="BL275" i="87"/>
  <c r="BL262" i="87" s="1"/>
  <c r="AC275" i="87"/>
  <c r="AC262" i="87" s="1"/>
  <c r="AJ275" i="87"/>
  <c r="AJ262" i="87" s="1"/>
  <c r="BV274" i="87"/>
  <c r="BV262" i="87" s="1"/>
  <c r="BS275" i="87"/>
  <c r="BS262" i="87" s="1"/>
  <c r="BE275" i="87"/>
  <c r="BE262" i="87" s="1"/>
  <c r="BM315" i="89"/>
  <c r="BM311" i="89" s="1"/>
  <c r="AK315" i="89"/>
  <c r="AK311" i="89" s="1"/>
  <c r="AR315" i="89"/>
  <c r="AR311" i="89" s="1"/>
  <c r="AY315" i="89"/>
  <c r="AY311" i="89" s="1"/>
  <c r="AD168" i="87"/>
  <c r="AD156" i="87" s="1"/>
  <c r="AK168" i="87"/>
  <c r="AK156" i="87" s="1"/>
  <c r="AR168" i="87"/>
  <c r="AR156" i="87" s="1"/>
  <c r="AY168" i="87"/>
  <c r="AY156" i="87" s="1"/>
  <c r="BM168" i="87"/>
  <c r="BM156" i="87" s="1"/>
  <c r="BW168" i="87"/>
  <c r="BW156" i="87" s="1"/>
  <c r="BT168" i="87"/>
  <c r="BT156" i="87" s="1"/>
  <c r="BT315" i="89"/>
  <c r="BT311" i="89" s="1"/>
  <c r="BF315" i="89"/>
  <c r="BF311" i="89" s="1"/>
  <c r="BF168" i="87"/>
  <c r="BF156" i="87" s="1"/>
  <c r="AY223" i="87"/>
  <c r="AY215" i="87" s="1"/>
  <c r="BM223" i="87"/>
  <c r="BM215" i="87" s="1"/>
  <c r="AD223" i="87"/>
  <c r="AD215" i="87" s="1"/>
  <c r="AK223" i="87"/>
  <c r="AK215" i="87" s="1"/>
  <c r="AR223" i="87"/>
  <c r="AR215" i="87" s="1"/>
  <c r="BW223" i="87"/>
  <c r="BW215" i="87" s="1"/>
  <c r="BT223" i="87"/>
  <c r="BT215" i="87" s="1"/>
  <c r="BF223" i="87"/>
  <c r="BF215" i="87" s="1"/>
  <c r="BW272" i="89"/>
  <c r="AY272" i="89"/>
  <c r="BM272" i="89"/>
  <c r="AR272" i="89"/>
  <c r="AK272" i="89"/>
  <c r="BT272" i="89"/>
  <c r="BF272" i="89"/>
  <c r="AK342" i="87"/>
  <c r="AK334" i="87" s="1"/>
  <c r="AY342" i="87"/>
  <c r="AY334" i="87" s="1"/>
  <c r="BM342" i="87"/>
  <c r="BM334" i="87" s="1"/>
  <c r="AD342" i="87"/>
  <c r="AD334" i="87" s="1"/>
  <c r="AR342" i="87"/>
  <c r="AR334" i="87" s="1"/>
  <c r="BW342" i="87"/>
  <c r="BW334" i="87" s="1"/>
  <c r="BT342" i="87"/>
  <c r="BT334" i="87" s="1"/>
  <c r="BF342" i="87"/>
  <c r="BF334" i="87" s="1"/>
  <c r="BM189" i="87"/>
  <c r="BM173" i="87" s="1"/>
  <c r="AY189" i="87"/>
  <c r="AY173" i="87" s="1"/>
  <c r="AD189" i="87"/>
  <c r="AD173" i="87" s="1"/>
  <c r="AK189" i="87"/>
  <c r="AK173" i="87" s="1"/>
  <c r="AR189" i="87"/>
  <c r="AR173" i="87" s="1"/>
  <c r="BW189" i="87"/>
  <c r="BW173" i="87" s="1"/>
  <c r="BT189" i="87"/>
  <c r="BT173" i="87" s="1"/>
  <c r="BF189" i="87"/>
  <c r="BW353" i="89"/>
  <c r="AK353" i="89"/>
  <c r="AR353" i="89"/>
  <c r="BM353" i="89"/>
  <c r="AY353" i="89"/>
  <c r="BT353" i="89"/>
  <c r="BF353" i="89"/>
  <c r="AD316" i="87"/>
  <c r="AD304" i="87" s="1"/>
  <c r="AY316" i="87"/>
  <c r="AY304" i="87" s="1"/>
  <c r="AK316" i="87"/>
  <c r="AK304" i="87" s="1"/>
  <c r="AR316" i="87"/>
  <c r="AR304" i="87" s="1"/>
  <c r="BM316" i="87"/>
  <c r="BM304" i="87" s="1"/>
  <c r="BW316" i="87"/>
  <c r="BW304" i="87" s="1"/>
  <c r="BT316" i="87"/>
  <c r="BT304" i="87" s="1"/>
  <c r="BF316" i="87"/>
  <c r="BF304" i="87" s="1"/>
  <c r="BW336" i="89"/>
  <c r="BW328" i="89" s="1"/>
  <c r="BM336" i="89"/>
  <c r="BM328" i="89" s="1"/>
  <c r="AY336" i="89"/>
  <c r="AY328" i="89" s="1"/>
  <c r="AR336" i="89"/>
  <c r="AR328" i="89" s="1"/>
  <c r="AK336" i="89"/>
  <c r="AK328" i="89" s="1"/>
  <c r="BT336" i="89"/>
  <c r="BT328" i="89" s="1"/>
  <c r="BF336" i="89"/>
  <c r="AD210" i="87"/>
  <c r="AD194" i="87" s="1"/>
  <c r="AK210" i="87"/>
  <c r="AK194" i="87" s="1"/>
  <c r="AR210" i="87"/>
  <c r="AR194" i="87" s="1"/>
  <c r="AY210" i="87"/>
  <c r="AY194" i="87" s="1"/>
  <c r="BM210" i="87"/>
  <c r="BM194" i="87" s="1"/>
  <c r="BW210" i="87"/>
  <c r="BW194" i="87" s="1"/>
  <c r="BT210" i="87"/>
  <c r="BT194" i="87" s="1"/>
  <c r="BF210" i="87"/>
  <c r="BW289" i="89"/>
  <c r="BW277" i="89" s="1"/>
  <c r="AY306" i="89"/>
  <c r="AY298" i="89" s="1"/>
  <c r="BM306" i="89"/>
  <c r="BM298" i="89" s="1"/>
  <c r="AR306" i="89"/>
  <c r="AR298" i="89" s="1"/>
  <c r="AK306" i="89"/>
  <c r="AK298" i="89" s="1"/>
  <c r="BT306" i="89"/>
  <c r="BT298" i="89" s="1"/>
  <c r="BF306" i="89"/>
  <c r="AY329" i="87"/>
  <c r="AY321" i="87" s="1"/>
  <c r="BM329" i="87"/>
  <c r="BM321" i="87" s="1"/>
  <c r="AR329" i="87"/>
  <c r="AR321" i="87" s="1"/>
  <c r="AK329" i="87"/>
  <c r="AK321" i="87" s="1"/>
  <c r="AD329" i="87"/>
  <c r="AD321" i="87" s="1"/>
  <c r="BW329" i="87"/>
  <c r="BW321" i="87" s="1"/>
  <c r="BT329" i="87"/>
  <c r="BT321" i="87" s="1"/>
  <c r="BF329" i="87"/>
  <c r="AY258" i="87"/>
  <c r="AY245" i="87" s="1"/>
  <c r="BM258" i="87"/>
  <c r="BM245" i="87" s="1"/>
  <c r="AR258" i="87"/>
  <c r="AR245" i="87" s="1"/>
  <c r="AD258" i="87"/>
  <c r="AD245" i="87" s="1"/>
  <c r="AK258" i="87"/>
  <c r="AK245" i="87" s="1"/>
  <c r="BW258" i="87"/>
  <c r="BW245" i="87" s="1"/>
  <c r="BT258" i="87"/>
  <c r="BT245" i="87" s="1"/>
  <c r="BF258" i="87"/>
  <c r="AK240" i="87"/>
  <c r="AK228" i="87" s="1"/>
  <c r="AD240" i="87"/>
  <c r="AD228" i="87" s="1"/>
  <c r="BM240" i="87"/>
  <c r="BM228" i="87" s="1"/>
  <c r="AY240" i="87"/>
  <c r="AY228" i="87" s="1"/>
  <c r="AR240" i="87"/>
  <c r="AR228" i="87" s="1"/>
  <c r="BW240" i="87"/>
  <c r="BW228" i="87" s="1"/>
  <c r="BT240" i="87"/>
  <c r="BT228" i="87" s="1"/>
  <c r="BF240" i="87"/>
  <c r="AD279" i="87"/>
  <c r="AK279" i="87"/>
  <c r="AR279" i="87"/>
  <c r="AY279" i="87"/>
  <c r="BM279" i="87"/>
  <c r="BW278" i="87"/>
  <c r="BT279" i="87"/>
  <c r="BF279" i="87"/>
  <c r="BB10" i="87"/>
  <c r="BB15" i="87"/>
  <c r="BC10" i="87"/>
  <c r="BC15" i="87"/>
  <c r="BF194" i="87"/>
  <c r="BF228" i="87"/>
  <c r="BF245" i="87"/>
  <c r="BF321" i="87"/>
  <c r="BB304" i="87"/>
  <c r="BC304" i="87"/>
  <c r="BD304" i="87"/>
  <c r="BE304" i="87"/>
  <c r="BB215" i="87"/>
  <c r="BD215" i="87"/>
  <c r="BE215" i="87"/>
  <c r="BC215" i="87"/>
  <c r="BE134" i="87"/>
  <c r="BB55" i="87"/>
  <c r="BE173" i="87"/>
  <c r="BF173" i="87"/>
  <c r="BD173" i="87"/>
  <c r="BB173" i="87"/>
  <c r="BC173" i="87"/>
  <c r="BD251" i="88"/>
  <c r="BE251" i="88"/>
  <c r="BC251" i="88"/>
  <c r="BB251" i="88"/>
  <c r="BF251" i="88"/>
  <c r="BE260" i="89"/>
  <c r="BD260" i="89"/>
  <c r="BV260" i="89"/>
  <c r="BF328" i="89"/>
  <c r="BB341" i="89"/>
  <c r="BE341" i="89"/>
  <c r="BB277" i="89"/>
  <c r="BF298" i="89"/>
  <c r="BE311" i="89"/>
  <c r="BE277" i="89"/>
  <c r="BD277" i="89"/>
  <c r="AD88" i="96" s="1"/>
  <c r="BC277" i="89"/>
  <c r="BC201" i="89"/>
  <c r="BC243" i="89"/>
  <c r="BB243" i="89"/>
  <c r="BD138" i="89"/>
  <c r="BC138" i="89"/>
  <c r="BB138" i="89"/>
  <c r="BB92" i="87"/>
  <c r="BC92" i="87"/>
  <c r="BJ230" i="89"/>
  <c r="AV230" i="89"/>
  <c r="AO230" i="89"/>
  <c r="AH230" i="89"/>
  <c r="BQ230" i="89"/>
  <c r="AB133" i="95"/>
  <c r="AO217" i="89"/>
  <c r="AV217" i="89"/>
  <c r="AH217" i="89"/>
  <c r="BJ217" i="89"/>
  <c r="BQ217" i="89"/>
  <c r="AA92" i="87"/>
  <c r="AO92" i="87"/>
  <c r="AH92" i="87"/>
  <c r="BQ92" i="87"/>
  <c r="BJ92" i="87"/>
  <c r="AV92" i="87"/>
  <c r="AX138" i="87"/>
  <c r="AX134" i="87" s="1"/>
  <c r="BL138" i="87"/>
  <c r="BL134" i="87" s="1"/>
  <c r="AQ138" i="87"/>
  <c r="AQ134" i="87" s="1"/>
  <c r="BS138" i="87"/>
  <c r="BS134" i="87" s="1"/>
  <c r="BQ72" i="87"/>
  <c r="BJ72" i="87"/>
  <c r="AO72" i="87"/>
  <c r="AH72" i="87"/>
  <c r="AA72" i="87"/>
  <c r="AV72" i="87"/>
  <c r="BT72" i="87"/>
  <c r="AR72" i="87"/>
  <c r="AK72" i="87"/>
  <c r="AD72" i="87"/>
  <c r="AY72" i="87"/>
  <c r="BM72" i="87"/>
  <c r="AB134" i="87"/>
  <c r="AI134" i="87"/>
  <c r="BQ10" i="87"/>
  <c r="BQ15" i="87"/>
  <c r="AV10" i="87"/>
  <c r="AV15" i="87"/>
  <c r="AO10" i="87"/>
  <c r="AO15" i="87"/>
  <c r="AA10" i="87"/>
  <c r="AA15" i="87"/>
  <c r="AH15" i="87"/>
  <c r="AH10" i="87"/>
  <c r="BJ15" i="87"/>
  <c r="BJ10" i="87"/>
  <c r="AX277" i="89"/>
  <c r="AQ277" i="89"/>
  <c r="AJ277" i="89"/>
  <c r="BP55" i="87"/>
  <c r="AU55" i="87"/>
  <c r="AN55" i="87"/>
  <c r="AG55" i="87"/>
  <c r="Z55" i="87"/>
  <c r="BI55" i="87"/>
  <c r="BQ113" i="87"/>
  <c r="AO113" i="87"/>
  <c r="AV113" i="87"/>
  <c r="BJ113" i="87"/>
  <c r="AA113" i="87"/>
  <c r="AH113" i="87"/>
  <c r="BQ222" i="89"/>
  <c r="AO222" i="89"/>
  <c r="BJ222" i="89"/>
  <c r="AV222" i="89"/>
  <c r="AH222" i="89"/>
  <c r="BR113" i="87"/>
  <c r="AI113" i="87"/>
  <c r="AP113" i="87"/>
  <c r="AW113" i="87"/>
  <c r="BK113" i="87"/>
  <c r="AB113" i="87"/>
  <c r="BQ180" i="89"/>
  <c r="BJ180" i="89"/>
  <c r="AV180" i="89"/>
  <c r="AH180" i="89"/>
  <c r="AO180" i="89"/>
  <c r="BR107" i="89"/>
  <c r="AP107" i="89"/>
  <c r="BK107" i="89"/>
  <c r="AI107" i="89"/>
  <c r="AW107" i="89"/>
  <c r="BR31" i="89"/>
  <c r="BK31" i="89"/>
  <c r="AP31" i="89"/>
  <c r="AI31" i="89"/>
  <c r="AW31" i="89"/>
  <c r="BR73" i="89"/>
  <c r="AP73" i="89"/>
  <c r="BK73" i="89"/>
  <c r="AI73" i="89"/>
  <c r="AW73" i="89"/>
  <c r="BR10" i="89"/>
  <c r="Q90" i="96" s="1"/>
  <c r="AP10" i="89"/>
  <c r="BK10" i="89"/>
  <c r="Q89" i="96" s="1"/>
  <c r="AI10" i="89"/>
  <c r="AW10" i="89"/>
  <c r="BR52" i="89"/>
  <c r="AW52" i="89"/>
  <c r="BK52" i="89"/>
  <c r="AP52" i="89"/>
  <c r="AI52" i="89"/>
  <c r="BR94" i="89"/>
  <c r="P90" i="96" s="1"/>
  <c r="AI94" i="89"/>
  <c r="AP94" i="89"/>
  <c r="AW94" i="89"/>
  <c r="BK94" i="89"/>
  <c r="P89" i="96" s="1"/>
  <c r="BQ35" i="87"/>
  <c r="BJ35" i="87"/>
  <c r="AO35" i="87"/>
  <c r="AH35" i="87"/>
  <c r="AA35" i="87"/>
  <c r="AV35" i="87"/>
  <c r="BR138" i="89"/>
  <c r="S90" i="96" s="1"/>
  <c r="AI138" i="89"/>
  <c r="BK138" i="89"/>
  <c r="S89" i="96" s="1"/>
  <c r="AW138" i="89"/>
  <c r="AP138" i="89"/>
  <c r="BR159" i="89"/>
  <c r="AI159" i="89"/>
  <c r="AP159" i="89"/>
  <c r="AW159" i="89"/>
  <c r="BK159" i="89"/>
  <c r="BQ201" i="89"/>
  <c r="AV201" i="89"/>
  <c r="BJ201" i="89"/>
  <c r="AO201" i="89"/>
  <c r="AH201" i="89"/>
  <c r="R85" i="84"/>
  <c r="H85" i="84" s="1"/>
  <c r="R84" i="84"/>
  <c r="R189" i="84"/>
  <c r="G72" i="86"/>
  <c r="L281" i="101" s="1"/>
  <c r="P281" i="101" s="1"/>
  <c r="L282" i="101"/>
  <c r="P282" i="101" s="1"/>
  <c r="G143" i="86"/>
  <c r="L294" i="101" s="1"/>
  <c r="P294" i="101" s="1"/>
  <c r="L295" i="101"/>
  <c r="P295" i="101" s="1"/>
  <c r="G24" i="86"/>
  <c r="L272" i="101" s="1"/>
  <c r="P272" i="101" s="1"/>
  <c r="L273" i="101"/>
  <c r="P273" i="101" s="1"/>
  <c r="G197" i="101"/>
  <c r="G190" i="101"/>
  <c r="H194" i="101"/>
  <c r="G194" i="101" s="1"/>
  <c r="H159" i="87"/>
  <c r="K177" i="101" s="1"/>
  <c r="O177" i="101" s="1"/>
  <c r="K178" i="101"/>
  <c r="O178" i="101" s="1"/>
  <c r="H158" i="87"/>
  <c r="I177" i="101" s="1"/>
  <c r="M177" i="101" s="1"/>
  <c r="I178" i="101"/>
  <c r="M178" i="101" s="1"/>
  <c r="H265" i="87"/>
  <c r="K202" i="101" s="1"/>
  <c r="O202" i="101" s="1"/>
  <c r="K205" i="101"/>
  <c r="O205" i="101" s="1"/>
  <c r="H264" i="87"/>
  <c r="I202" i="101" s="1"/>
  <c r="M202" i="101" s="1"/>
  <c r="I205" i="101"/>
  <c r="M205" i="101" s="1"/>
  <c r="G181" i="101"/>
  <c r="H304" i="87"/>
  <c r="H212" i="101"/>
  <c r="G212" i="101" s="1"/>
  <c r="H194" i="87"/>
  <c r="H186" i="101"/>
  <c r="G186" i="101" s="1"/>
  <c r="H263" i="89"/>
  <c r="K61" i="101" s="1"/>
  <c r="O61" i="101" s="1"/>
  <c r="K63" i="101"/>
  <c r="O63" i="101" s="1"/>
  <c r="H262" i="89"/>
  <c r="I61" i="101" s="1"/>
  <c r="M61" i="101" s="1"/>
  <c r="I63" i="101"/>
  <c r="M63" i="101" s="1"/>
  <c r="H314" i="89"/>
  <c r="K73" i="101" s="1"/>
  <c r="O73" i="101" s="1"/>
  <c r="K74" i="101"/>
  <c r="O74" i="101" s="1"/>
  <c r="H343" i="89"/>
  <c r="I80" i="101" s="1"/>
  <c r="M80" i="101" s="1"/>
  <c r="I81" i="101"/>
  <c r="M81" i="101" s="1"/>
  <c r="H92" i="85"/>
  <c r="E92" i="85" s="1"/>
  <c r="M92" i="101"/>
  <c r="G92" i="101" s="1"/>
  <c r="O277" i="101"/>
  <c r="G277" i="101" s="1"/>
  <c r="O90" i="101"/>
  <c r="G90" i="101" s="1"/>
  <c r="R33" i="84"/>
  <c r="H33" i="84" s="1"/>
  <c r="G168" i="84"/>
  <c r="R169" i="84"/>
  <c r="R179" i="84" s="1"/>
  <c r="R184" i="84" s="1"/>
  <c r="R16" i="84"/>
  <c r="R159" i="84"/>
  <c r="H159" i="84" s="1"/>
  <c r="H158" i="84" s="1"/>
  <c r="R141" i="84"/>
  <c r="H141" i="84" s="1"/>
  <c r="H81" i="84" s="1"/>
  <c r="I235" i="101" s="1"/>
  <c r="M235" i="101" s="1"/>
  <c r="R237" i="84"/>
  <c r="R242" i="84" s="1"/>
  <c r="H242" i="84" s="1"/>
  <c r="K238" i="101" s="1"/>
  <c r="O238" i="101" s="1"/>
  <c r="R144" i="84"/>
  <c r="H144" i="84" s="1"/>
  <c r="H143" i="84" s="1"/>
  <c r="R34" i="84"/>
  <c r="R13" i="84" s="1"/>
  <c r="R47" i="84"/>
  <c r="H47" i="84" s="1"/>
  <c r="G25" i="84"/>
  <c r="R26" i="84"/>
  <c r="H26" i="84" s="1"/>
  <c r="R54" i="84"/>
  <c r="H54" i="84" s="1"/>
  <c r="I230" i="101" s="1"/>
  <c r="M230" i="101" s="1"/>
  <c r="R55" i="84"/>
  <c r="H55" i="84" s="1"/>
  <c r="K230" i="101" s="1"/>
  <c r="O230" i="101" s="1"/>
  <c r="I76" i="84"/>
  <c r="R164" i="84"/>
  <c r="H164" i="84" s="1"/>
  <c r="H163" i="84" s="1"/>
  <c r="H148" i="84"/>
  <c r="R244" i="84"/>
  <c r="H244" i="84" s="1"/>
  <c r="R21" i="84"/>
  <c r="H21" i="84" s="1"/>
  <c r="R249" i="84"/>
  <c r="H249" i="84" s="1"/>
  <c r="R236" i="84"/>
  <c r="R241" i="84" s="1"/>
  <c r="H241" i="84" s="1"/>
  <c r="I238" i="101" s="1"/>
  <c r="M238" i="101" s="1"/>
  <c r="U165" i="87"/>
  <c r="H165" i="87" s="1"/>
  <c r="G164" i="87"/>
  <c r="H344" i="89"/>
  <c r="K80" i="101" s="1"/>
  <c r="O80" i="101" s="1"/>
  <c r="U343" i="87"/>
  <c r="H343" i="87" s="1"/>
  <c r="G342" i="87"/>
  <c r="U300" i="87"/>
  <c r="H300" i="87" s="1"/>
  <c r="G299" i="87"/>
  <c r="H263" i="87"/>
  <c r="H274" i="87"/>
  <c r="F359" i="89"/>
  <c r="F358" i="89" s="1"/>
  <c r="F370" i="89"/>
  <c r="U286" i="89"/>
  <c r="H286" i="89" s="1"/>
  <c r="G285" i="89"/>
  <c r="U132" i="88"/>
  <c r="H132" i="88" s="1"/>
  <c r="H131" i="88" s="1"/>
  <c r="U371" i="89"/>
  <c r="H371" i="89" s="1"/>
  <c r="G370" i="89"/>
  <c r="U265" i="89"/>
  <c r="G260" i="89"/>
  <c r="G264" i="89"/>
  <c r="U363" i="89"/>
  <c r="G359" i="89"/>
  <c r="G358" i="89" s="1"/>
  <c r="G362" i="89"/>
  <c r="U169" i="87"/>
  <c r="H169" i="87" s="1"/>
  <c r="G168" i="87"/>
  <c r="I88" i="96"/>
  <c r="F261" i="89"/>
  <c r="F260" i="89" s="1"/>
  <c r="F264" i="89"/>
  <c r="AB260" i="89" s="1"/>
  <c r="AD315" i="89"/>
  <c r="AD311" i="89" s="1"/>
  <c r="AQ134" i="95"/>
  <c r="U320" i="89"/>
  <c r="H320" i="89" s="1"/>
  <c r="G319" i="89"/>
  <c r="U254" i="87"/>
  <c r="H254" i="87" s="1"/>
  <c r="G253" i="87"/>
  <c r="Y88" i="96"/>
  <c r="U269" i="89"/>
  <c r="H269" i="89" s="1"/>
  <c r="G268" i="89"/>
  <c r="U250" i="87"/>
  <c r="G246" i="87"/>
  <c r="G245" i="87" s="1"/>
  <c r="G249" i="87"/>
  <c r="AD221" i="95"/>
  <c r="AC345" i="89"/>
  <c r="U354" i="89"/>
  <c r="H354" i="89" s="1"/>
  <c r="G353" i="89"/>
  <c r="AD272" i="89"/>
  <c r="F245" i="87"/>
  <c r="F249" i="87"/>
  <c r="AC268" i="89"/>
  <c r="AD163" i="95"/>
  <c r="U296" i="87"/>
  <c r="H296" i="87" s="1"/>
  <c r="G295" i="87"/>
  <c r="F157" i="87"/>
  <c r="F156" i="87" s="1"/>
  <c r="F160" i="87"/>
  <c r="U333" i="89"/>
  <c r="G329" i="89"/>
  <c r="G332" i="89"/>
  <c r="U290" i="89"/>
  <c r="H290" i="89" s="1"/>
  <c r="G289" i="89"/>
  <c r="AD306" i="89"/>
  <c r="AD298" i="89" s="1"/>
  <c r="AC349" i="89"/>
  <c r="AD222" i="95"/>
  <c r="BS107" i="95"/>
  <c r="F342" i="89"/>
  <c r="F341" i="89" s="1"/>
  <c r="F345" i="89"/>
  <c r="G157" i="87"/>
  <c r="G156" i="87" s="1"/>
  <c r="U161" i="87"/>
  <c r="G160" i="87"/>
  <c r="F329" i="89"/>
  <c r="F332" i="89"/>
  <c r="U273" i="89"/>
  <c r="H273" i="89" s="1"/>
  <c r="G272" i="89"/>
  <c r="U316" i="89"/>
  <c r="G315" i="89"/>
  <c r="BH211" i="95"/>
  <c r="BO211" i="95"/>
  <c r="AT211" i="95"/>
  <c r="CJ211" i="95"/>
  <c r="AD211" i="95"/>
  <c r="BA211" i="95"/>
  <c r="CC211" i="95"/>
  <c r="F321" i="87"/>
  <c r="F325" i="87"/>
  <c r="U346" i="89"/>
  <c r="G342" i="89"/>
  <c r="G341" i="89" s="1"/>
  <c r="G345" i="89"/>
  <c r="U337" i="89"/>
  <c r="H337" i="89" s="1"/>
  <c r="G336" i="89"/>
  <c r="U294" i="89"/>
  <c r="H294" i="89" s="1"/>
  <c r="G293" i="89"/>
  <c r="AD336" i="89"/>
  <c r="AD328" i="89" s="1"/>
  <c r="U330" i="87"/>
  <c r="H330" i="87" s="1"/>
  <c r="G329" i="87"/>
  <c r="G325" i="87"/>
  <c r="U326" i="87"/>
  <c r="G322" i="87"/>
  <c r="G321" i="87" s="1"/>
  <c r="U324" i="89"/>
  <c r="H324" i="89" s="1"/>
  <c r="G323" i="89"/>
  <c r="U288" i="87"/>
  <c r="G284" i="87"/>
  <c r="G283" i="87" s="1"/>
  <c r="G287" i="87"/>
  <c r="AD204" i="95"/>
  <c r="G278" i="89"/>
  <c r="G277" i="89" s="1"/>
  <c r="G281" i="89"/>
  <c r="F283" i="87"/>
  <c r="F287" i="87"/>
  <c r="U339" i="87"/>
  <c r="G334" i="87"/>
  <c r="G338" i="87"/>
  <c r="H173" i="87"/>
  <c r="H282" i="89"/>
  <c r="H66" i="101" s="1"/>
  <c r="G66" i="101" s="1"/>
  <c r="U292" i="87"/>
  <c r="H292" i="87" s="1"/>
  <c r="G291" i="87"/>
  <c r="F338" i="87"/>
  <c r="BB213" i="95"/>
  <c r="CD213" i="95"/>
  <c r="BI213" i="95"/>
  <c r="BP213" i="95"/>
  <c r="AU213" i="95"/>
  <c r="CK213" i="95"/>
  <c r="F278" i="89"/>
  <c r="F277" i="89" s="1"/>
  <c r="F281" i="89"/>
  <c r="U258" i="87"/>
  <c r="H258" i="87" s="1"/>
  <c r="G257" i="87"/>
  <c r="U367" i="89"/>
  <c r="H367" i="89" s="1"/>
  <c r="G366" i="89"/>
  <c r="U350" i="89"/>
  <c r="H350" i="89" s="1"/>
  <c r="G349" i="89"/>
  <c r="AD353" i="89"/>
  <c r="H194" i="89"/>
  <c r="I45" i="101" s="1"/>
  <c r="M45" i="101" s="1"/>
  <c r="AR124" i="95"/>
  <c r="H198" i="89"/>
  <c r="I46" i="101" s="1"/>
  <c r="M46" i="101" s="1"/>
  <c r="F246" i="89"/>
  <c r="BE129" i="95"/>
  <c r="U250" i="89"/>
  <c r="U246" i="89" s="1"/>
  <c r="G246" i="89"/>
  <c r="U248" i="89"/>
  <c r="U244" i="89" s="1"/>
  <c r="G244" i="89"/>
  <c r="U23" i="89"/>
  <c r="H23" i="89" s="1"/>
  <c r="CJ18" i="95"/>
  <c r="CC18" i="95"/>
  <c r="AD106" i="95"/>
  <c r="CX154" i="95"/>
  <c r="CX153" i="95" s="1"/>
  <c r="CW153" i="95"/>
  <c r="AC111" i="89"/>
  <c r="AD289" i="89"/>
  <c r="AD277" i="89" s="1"/>
  <c r="Z201" i="89"/>
  <c r="BE134" i="95"/>
  <c r="AB170" i="88"/>
  <c r="BV110" i="88"/>
  <c r="AP170" i="88"/>
  <c r="G102" i="85"/>
  <c r="G81" i="85" s="1"/>
  <c r="I29" i="85"/>
  <c r="G81" i="84"/>
  <c r="I75" i="84"/>
  <c r="G266" i="84"/>
  <c r="H87" i="84"/>
  <c r="H153" i="84"/>
  <c r="R240" i="84"/>
  <c r="H240" i="84" s="1"/>
  <c r="J238" i="101" s="1"/>
  <c r="N238" i="101" s="1"/>
  <c r="H185" i="84"/>
  <c r="J236" i="101" s="1"/>
  <c r="N236" i="101" s="1"/>
  <c r="O107" i="85"/>
  <c r="J50" i="85"/>
  <c r="D33" i="85"/>
  <c r="D28" i="85" s="1"/>
  <c r="H28" i="85"/>
  <c r="G108" i="85"/>
  <c r="J27" i="85"/>
  <c r="G50" i="85"/>
  <c r="G133" i="85"/>
  <c r="G66" i="85"/>
  <c r="M27" i="85"/>
  <c r="N48" i="85"/>
  <c r="G29" i="85"/>
  <c r="J64" i="85"/>
  <c r="G149" i="85"/>
  <c r="G38" i="85"/>
  <c r="Q11" i="85"/>
  <c r="E11" i="85"/>
  <c r="I95" i="85"/>
  <c r="Q15" i="85"/>
  <c r="J106" i="85"/>
  <c r="J48" i="85"/>
  <c r="H58" i="85"/>
  <c r="H48" i="85" s="1"/>
  <c r="D16" i="85"/>
  <c r="O66" i="85"/>
  <c r="AB94" i="89"/>
  <c r="U207" i="89"/>
  <c r="H207" i="89" s="1"/>
  <c r="H60" i="84"/>
  <c r="I231" i="101" s="1"/>
  <c r="M231" i="101" s="1"/>
  <c r="G39" i="84"/>
  <c r="R60" i="84"/>
  <c r="AI170" i="88"/>
  <c r="BD170" i="88"/>
  <c r="AW170" i="88"/>
  <c r="AB52" i="89"/>
  <c r="BK170" i="88"/>
  <c r="BR170" i="88"/>
  <c r="AB159" i="89"/>
  <c r="AA222" i="89"/>
  <c r="AB90" i="96"/>
  <c r="AB89" i="96"/>
  <c r="U88" i="96"/>
  <c r="AB88" i="96" s="1"/>
  <c r="AB73" i="89"/>
  <c r="AA201" i="89"/>
  <c r="AI204" i="88"/>
  <c r="AB138" i="89"/>
  <c r="AB204" i="88"/>
  <c r="S87" i="96"/>
  <c r="AA180" i="89"/>
  <c r="BK204" i="88"/>
  <c r="Z222" i="89"/>
  <c r="H118" i="85"/>
  <c r="Q118" i="85" s="1"/>
  <c r="F118" i="85" s="1"/>
  <c r="K262" i="101" s="1"/>
  <c r="O262" i="101" s="1"/>
  <c r="H71" i="85"/>
  <c r="D71" i="85" s="1"/>
  <c r="H155" i="85"/>
  <c r="D155" i="85" s="1"/>
  <c r="Q12" i="85"/>
  <c r="D12" i="85"/>
  <c r="H17" i="85"/>
  <c r="H76" i="85" s="1"/>
  <c r="H34" i="85"/>
  <c r="Q34" i="85" s="1"/>
  <c r="H23" i="85"/>
  <c r="D23" i="85" s="1"/>
  <c r="H113" i="85"/>
  <c r="H87" i="85"/>
  <c r="E87" i="85" s="1"/>
  <c r="E12" i="85"/>
  <c r="H139" i="85"/>
  <c r="E139" i="85" s="1"/>
  <c r="H39" i="85"/>
  <c r="E39" i="85" s="1"/>
  <c r="G60" i="84"/>
  <c r="G41" i="84"/>
  <c r="H53" i="84"/>
  <c r="J230" i="101" s="1"/>
  <c r="N230" i="101" s="1"/>
  <c r="G13" i="84"/>
  <c r="H32" i="84"/>
  <c r="J226" i="101" s="1"/>
  <c r="N226" i="101" s="1"/>
  <c r="BV68" i="88"/>
  <c r="AC47" i="89"/>
  <c r="AC14" i="89"/>
  <c r="BJ234" i="88"/>
  <c r="AO234" i="88"/>
  <c r="AV234" i="88"/>
  <c r="AH234" i="88"/>
  <c r="BQ234" i="88"/>
  <c r="AA234" i="88"/>
  <c r="BC234" i="88"/>
  <c r="BV191" i="88"/>
  <c r="AQ191" i="88"/>
  <c r="BS191" i="88"/>
  <c r="AC191" i="88"/>
  <c r="AJ191" i="88"/>
  <c r="BL191" i="88"/>
  <c r="AX191" i="88"/>
  <c r="BE191" i="88"/>
  <c r="AD146" i="89"/>
  <c r="AC163" i="89"/>
  <c r="AC175" i="89"/>
  <c r="AD120" i="89"/>
  <c r="AC85" i="89"/>
  <c r="AC115" i="89"/>
  <c r="AC107" i="89" s="1"/>
  <c r="BD204" i="88"/>
  <c r="AZ107" i="95"/>
  <c r="AB125" i="89"/>
  <c r="AC26" i="89"/>
  <c r="AC81" i="89"/>
  <c r="BV153" i="88"/>
  <c r="AD35" i="89"/>
  <c r="AS107" i="95"/>
  <c r="AB10" i="89"/>
  <c r="AC142" i="89"/>
  <c r="BV199" i="88"/>
  <c r="BL199" i="88"/>
  <c r="AQ199" i="88"/>
  <c r="AJ199" i="88"/>
  <c r="BS199" i="88"/>
  <c r="AC199" i="88"/>
  <c r="AX199" i="88"/>
  <c r="BE199" i="88"/>
  <c r="AC98" i="89"/>
  <c r="AC94" i="89" s="1"/>
  <c r="AB31" i="89"/>
  <c r="BN107" i="95"/>
  <c r="BV225" i="88"/>
  <c r="AQ225" i="88"/>
  <c r="AJ225" i="88"/>
  <c r="AX225" i="88"/>
  <c r="AC225" i="88"/>
  <c r="BS225" i="88"/>
  <c r="BL225" i="88"/>
  <c r="BE225" i="88"/>
  <c r="AB230" i="89"/>
  <c r="BV216" i="88"/>
  <c r="BS216" i="88"/>
  <c r="AX216" i="88"/>
  <c r="AC216" i="88"/>
  <c r="AJ216" i="88"/>
  <c r="AQ216" i="88"/>
  <c r="BL216" i="88"/>
  <c r="BE216" i="88"/>
  <c r="BV93" i="88"/>
  <c r="BV212" i="88"/>
  <c r="AQ212" i="88"/>
  <c r="AC212" i="88"/>
  <c r="BL212" i="88"/>
  <c r="BS212" i="88"/>
  <c r="AJ212" i="88"/>
  <c r="AX212" i="88"/>
  <c r="BE212" i="88"/>
  <c r="BV47" i="88"/>
  <c r="BV51" i="88"/>
  <c r="BV208" i="88"/>
  <c r="AQ208" i="88"/>
  <c r="BS208" i="88"/>
  <c r="AJ208" i="88"/>
  <c r="AC208" i="88"/>
  <c r="AX208" i="88"/>
  <c r="BL208" i="88"/>
  <c r="BE208" i="88"/>
  <c r="AD102" i="89"/>
  <c r="AC171" i="89"/>
  <c r="AC39" i="89"/>
  <c r="AB196" i="89"/>
  <c r="AP204" i="88"/>
  <c r="BD187" i="88"/>
  <c r="AC188" i="89"/>
  <c r="AD43" i="89"/>
  <c r="AC60" i="89"/>
  <c r="BR204" i="88"/>
  <c r="AW187" i="88"/>
  <c r="AC56" i="89"/>
  <c r="AD68" i="89"/>
  <c r="AD167" i="89"/>
  <c r="BR242" i="88"/>
  <c r="AW242" i="88"/>
  <c r="BK242" i="88"/>
  <c r="AI242" i="88"/>
  <c r="AP242" i="88"/>
  <c r="AB242" i="88"/>
  <c r="BD242" i="88"/>
  <c r="BV59" i="88"/>
  <c r="BV55" i="88"/>
  <c r="AW204" i="88"/>
  <c r="BR187" i="88"/>
  <c r="AC192" i="89"/>
  <c r="G120" i="89"/>
  <c r="AD89" i="89"/>
  <c r="BK187" i="88"/>
  <c r="H28" i="101"/>
  <c r="G28" i="101" s="1"/>
  <c r="AC230" i="89"/>
  <c r="AC129" i="89"/>
  <c r="AD22" i="89"/>
  <c r="BJ238" i="88"/>
  <c r="AO238" i="88"/>
  <c r="BQ238" i="88"/>
  <c r="AA238" i="88"/>
  <c r="AV238" i="88"/>
  <c r="AH238" i="88"/>
  <c r="BC238" i="88"/>
  <c r="AB184" i="89"/>
  <c r="AC18" i="89"/>
  <c r="AP187" i="88"/>
  <c r="AC234" i="89"/>
  <c r="BV182" i="88"/>
  <c r="AQ182" i="88"/>
  <c r="AX182" i="88"/>
  <c r="AJ182" i="88"/>
  <c r="BS182" i="88"/>
  <c r="BL182" i="88"/>
  <c r="AC182" i="88"/>
  <c r="BE182" i="88"/>
  <c r="AC77" i="89"/>
  <c r="AD31" i="95"/>
  <c r="BW14" i="88" s="1"/>
  <c r="BV14" i="88"/>
  <c r="BV10" i="88" s="1"/>
  <c r="AB187" i="88"/>
  <c r="AC133" i="89"/>
  <c r="BV136" i="88"/>
  <c r="AB205" i="89"/>
  <c r="BV178" i="88"/>
  <c r="AC178" i="88"/>
  <c r="BL178" i="88"/>
  <c r="AQ178" i="88"/>
  <c r="AJ178" i="88"/>
  <c r="BS178" i="88"/>
  <c r="AX178" i="88"/>
  <c r="BE178" i="88"/>
  <c r="AC64" i="89"/>
  <c r="AB238" i="89"/>
  <c r="AD111" i="95"/>
  <c r="AC154" i="89"/>
  <c r="AC89" i="89"/>
  <c r="AI187" i="88"/>
  <c r="AC238" i="89"/>
  <c r="AD115" i="89"/>
  <c r="BV220" i="88"/>
  <c r="AX220" i="88"/>
  <c r="AC220" i="88"/>
  <c r="AJ220" i="88"/>
  <c r="BL220" i="88"/>
  <c r="BS220" i="88"/>
  <c r="AQ220" i="88"/>
  <c r="BE220" i="88"/>
  <c r="BW195" i="88"/>
  <c r="AD195" i="88"/>
  <c r="AY195" i="88"/>
  <c r="BM195" i="88"/>
  <c r="AR195" i="88"/>
  <c r="AK195" i="88"/>
  <c r="BT195" i="88"/>
  <c r="BF195" i="88"/>
  <c r="BW59" i="88"/>
  <c r="BW55" i="88"/>
  <c r="AB226" i="89"/>
  <c r="BU107" i="95"/>
  <c r="AC209" i="89"/>
  <c r="AC150" i="89"/>
  <c r="CI107" i="95"/>
  <c r="CB107" i="95"/>
  <c r="AC35" i="89"/>
  <c r="BG107" i="95"/>
  <c r="BR93" i="88"/>
  <c r="AI110" i="88"/>
  <c r="BD110" i="88"/>
  <c r="AB136" i="88"/>
  <c r="AW93" i="88"/>
  <c r="AP123" i="88"/>
  <c r="AI153" i="88"/>
  <c r="BK153" i="88"/>
  <c r="BD93" i="88"/>
  <c r="AP93" i="88"/>
  <c r="BK136" i="88"/>
  <c r="BR39" i="88"/>
  <c r="AB110" i="88"/>
  <c r="AW136" i="88"/>
  <c r="BG61" i="95"/>
  <c r="AP39" i="88"/>
  <c r="AP110" i="88"/>
  <c r="BD10" i="88"/>
  <c r="AW68" i="88"/>
  <c r="BD123" i="88"/>
  <c r="BK110" i="88"/>
  <c r="BD39" i="88"/>
  <c r="AB93" i="88"/>
  <c r="AI68" i="88"/>
  <c r="AP136" i="88"/>
  <c r="BK68" i="88"/>
  <c r="AI39" i="88"/>
  <c r="BR110" i="88"/>
  <c r="AW10" i="88"/>
  <c r="BD68" i="88"/>
  <c r="BR136" i="88"/>
  <c r="BK39" i="88"/>
  <c r="AW110" i="88"/>
  <c r="BR10" i="88"/>
  <c r="AW39" i="88"/>
  <c r="AI10" i="88"/>
  <c r="AW123" i="88"/>
  <c r="AB39" i="88"/>
  <c r="AB10" i="88"/>
  <c r="BK123" i="88"/>
  <c r="BK10" i="88"/>
  <c r="AB123" i="88"/>
  <c r="AP10" i="88"/>
  <c r="AI123" i="88"/>
  <c r="BR123" i="88"/>
  <c r="BD153" i="88"/>
  <c r="AI93" i="88"/>
  <c r="BD136" i="88"/>
  <c r="AP153" i="88"/>
  <c r="BK93" i="88"/>
  <c r="AB68" i="88"/>
  <c r="AI136" i="88"/>
  <c r="AB153" i="88"/>
  <c r="BR68" i="88"/>
  <c r="AW153" i="88"/>
  <c r="AP68" i="88"/>
  <c r="BR153" i="88"/>
  <c r="AX161" i="88"/>
  <c r="BS161" i="88"/>
  <c r="AJ161" i="88"/>
  <c r="AQ161" i="88"/>
  <c r="AC161" i="88"/>
  <c r="BL161" i="88"/>
  <c r="BE161" i="88"/>
  <c r="BT131" i="88"/>
  <c r="BM131" i="88"/>
  <c r="AK131" i="88"/>
  <c r="AR131" i="88"/>
  <c r="AY131" i="88"/>
  <c r="AD131" i="88"/>
  <c r="BF131" i="88"/>
  <c r="AC174" i="88"/>
  <c r="AJ174" i="88"/>
  <c r="AX174" i="88"/>
  <c r="AQ174" i="88"/>
  <c r="BL174" i="88"/>
  <c r="BS174" i="88"/>
  <c r="BE174" i="88"/>
  <c r="BT165" i="88"/>
  <c r="AR165" i="88"/>
  <c r="AD165" i="88"/>
  <c r="AY165" i="88"/>
  <c r="AK165" i="88"/>
  <c r="BM165" i="88"/>
  <c r="BF165" i="88"/>
  <c r="AQ118" i="88"/>
  <c r="BS118" i="88"/>
  <c r="AX118" i="88"/>
  <c r="BL118" i="88"/>
  <c r="AC118" i="88"/>
  <c r="AJ118" i="88"/>
  <c r="BE118" i="88"/>
  <c r="AX148" i="88"/>
  <c r="AJ148" i="88"/>
  <c r="BS148" i="88"/>
  <c r="AC148" i="88"/>
  <c r="BL148" i="88"/>
  <c r="AQ148" i="88"/>
  <c r="BE148" i="88"/>
  <c r="AJ144" i="88"/>
  <c r="BS144" i="88"/>
  <c r="AX144" i="88"/>
  <c r="AC144" i="88"/>
  <c r="AQ144" i="88"/>
  <c r="BL144" i="88"/>
  <c r="BE144" i="88"/>
  <c r="AX127" i="88"/>
  <c r="AX123" i="88" s="1"/>
  <c r="BS127" i="88"/>
  <c r="BS123" i="88" s="1"/>
  <c r="BL127" i="88"/>
  <c r="BL123" i="88" s="1"/>
  <c r="AJ127" i="88"/>
  <c r="AJ123" i="88" s="1"/>
  <c r="AQ127" i="88"/>
  <c r="AQ123" i="88" s="1"/>
  <c r="AC127" i="88"/>
  <c r="AC123" i="88" s="1"/>
  <c r="BE127" i="88"/>
  <c r="BE123" i="88" s="1"/>
  <c r="BS140" i="88"/>
  <c r="AC140" i="88"/>
  <c r="BL140" i="88"/>
  <c r="AJ140" i="88"/>
  <c r="AQ140" i="88"/>
  <c r="AX140" i="88"/>
  <c r="BE140" i="88"/>
  <c r="AX157" i="88"/>
  <c r="BS157" i="88"/>
  <c r="AQ157" i="88"/>
  <c r="AC157" i="88"/>
  <c r="BL157" i="88"/>
  <c r="AJ157" i="88"/>
  <c r="BE157" i="88"/>
  <c r="AR30" i="88"/>
  <c r="BT30" i="88"/>
  <c r="AD30" i="88"/>
  <c r="BF30" i="88"/>
  <c r="BM30" i="88"/>
  <c r="AY30" i="88"/>
  <c r="AK30" i="88"/>
  <c r="AC55" i="88"/>
  <c r="BS55" i="88"/>
  <c r="BL55" i="88"/>
  <c r="AQ55" i="88"/>
  <c r="AX55" i="88"/>
  <c r="AJ55" i="88"/>
  <c r="BE55" i="88"/>
  <c r="BL97" i="88"/>
  <c r="AX97" i="88"/>
  <c r="BE97" i="88"/>
  <c r="AJ97" i="88"/>
  <c r="BS97" i="88"/>
  <c r="AQ97" i="88"/>
  <c r="AC97" i="88"/>
  <c r="AX72" i="88"/>
  <c r="AQ72" i="88"/>
  <c r="BS72" i="88"/>
  <c r="AC72" i="88"/>
  <c r="BL72" i="88"/>
  <c r="AJ72" i="88"/>
  <c r="BE72" i="88"/>
  <c r="AR105" i="88"/>
  <c r="AD105" i="88"/>
  <c r="BM105" i="88"/>
  <c r="AK105" i="88"/>
  <c r="BT105" i="88"/>
  <c r="AY105" i="88"/>
  <c r="BF105" i="88"/>
  <c r="AX34" i="88"/>
  <c r="AJ34" i="88"/>
  <c r="BL34" i="88"/>
  <c r="BS34" i="88"/>
  <c r="AQ34" i="88"/>
  <c r="BE34" i="88"/>
  <c r="AC34" i="88"/>
  <c r="BL26" i="88"/>
  <c r="BE26" i="88"/>
  <c r="AC26" i="88"/>
  <c r="BS26" i="88"/>
  <c r="AX26" i="88"/>
  <c r="AJ26" i="88"/>
  <c r="AQ26" i="88"/>
  <c r="AX114" i="88"/>
  <c r="BS114" i="88"/>
  <c r="AQ114" i="88"/>
  <c r="AC114" i="88"/>
  <c r="BL114" i="88"/>
  <c r="AJ114" i="88"/>
  <c r="BE114" i="88"/>
  <c r="AD51" i="88"/>
  <c r="BM51" i="88"/>
  <c r="AK51" i="88"/>
  <c r="BT51" i="88"/>
  <c r="AR51" i="88"/>
  <c r="AY51" i="88"/>
  <c r="BF51" i="88"/>
  <c r="AC59" i="88"/>
  <c r="AJ59" i="88"/>
  <c r="BL59" i="88"/>
  <c r="BS59" i="88"/>
  <c r="AX59" i="88"/>
  <c r="AQ59" i="88"/>
  <c r="BE59" i="88"/>
  <c r="BS63" i="88"/>
  <c r="AQ63" i="88"/>
  <c r="AC63" i="88"/>
  <c r="BL63" i="88"/>
  <c r="AJ63" i="88"/>
  <c r="AX63" i="88"/>
  <c r="BE63" i="88"/>
  <c r="AX51" i="88"/>
  <c r="AQ51" i="88"/>
  <c r="BL51" i="88"/>
  <c r="AJ51" i="88"/>
  <c r="BS51" i="88"/>
  <c r="AC51" i="88"/>
  <c r="BE51" i="88"/>
  <c r="AJ18" i="88"/>
  <c r="AC18" i="88"/>
  <c r="BS18" i="88"/>
  <c r="BE18" i="88"/>
  <c r="AQ18" i="88"/>
  <c r="AX18" i="88"/>
  <c r="BL18" i="88"/>
  <c r="AK55" i="88"/>
  <c r="BT55" i="88"/>
  <c r="AY55" i="88"/>
  <c r="AR55" i="88"/>
  <c r="AD55" i="88"/>
  <c r="BM55" i="88"/>
  <c r="BF55" i="88"/>
  <c r="BL80" i="88"/>
  <c r="BE80" i="88"/>
  <c r="AX80" i="88"/>
  <c r="AJ80" i="88"/>
  <c r="AQ80" i="88"/>
  <c r="AC80" i="88"/>
  <c r="BS80" i="88"/>
  <c r="AK22" i="88"/>
  <c r="AD22" i="88"/>
  <c r="BF22" i="88"/>
  <c r="AY22" i="88"/>
  <c r="AR22" i="88"/>
  <c r="BM22" i="88"/>
  <c r="BT22" i="88"/>
  <c r="BS14" i="88"/>
  <c r="BL14" i="88"/>
  <c r="AJ14" i="88"/>
  <c r="AC14" i="88"/>
  <c r="AX14" i="88"/>
  <c r="BE14" i="88"/>
  <c r="AQ14" i="88"/>
  <c r="AR14" i="88"/>
  <c r="BM14" i="88"/>
  <c r="AX76" i="88"/>
  <c r="BL76" i="88"/>
  <c r="AJ76" i="88"/>
  <c r="BS76" i="88"/>
  <c r="AC76" i="88"/>
  <c r="AQ76" i="88"/>
  <c r="BE76" i="88"/>
  <c r="AJ88" i="88"/>
  <c r="AC88" i="88"/>
  <c r="BS88" i="88"/>
  <c r="BL88" i="88"/>
  <c r="AX88" i="88"/>
  <c r="AQ88" i="88"/>
  <c r="BE88" i="88"/>
  <c r="BS47" i="88"/>
  <c r="AC47" i="88"/>
  <c r="AQ47" i="88"/>
  <c r="AX47" i="88"/>
  <c r="BL47" i="88"/>
  <c r="AJ47" i="88"/>
  <c r="BE47" i="88"/>
  <c r="AD80" i="88"/>
  <c r="AR80" i="88"/>
  <c r="BF80" i="88"/>
  <c r="BM80" i="88"/>
  <c r="AK80" i="88"/>
  <c r="AY80" i="88"/>
  <c r="BT80" i="88"/>
  <c r="BT97" i="88"/>
  <c r="BF97" i="88"/>
  <c r="AY97" i="88"/>
  <c r="BM97" i="88"/>
  <c r="AR97" i="88"/>
  <c r="AK97" i="88"/>
  <c r="AD97" i="88"/>
  <c r="BL43" i="88"/>
  <c r="AC43" i="88"/>
  <c r="BS43" i="88"/>
  <c r="AJ43" i="88"/>
  <c r="AQ43" i="88"/>
  <c r="AX43" i="88"/>
  <c r="BE43" i="88"/>
  <c r="BS101" i="88"/>
  <c r="AJ101" i="88"/>
  <c r="BL101" i="88"/>
  <c r="AX101" i="88"/>
  <c r="AQ101" i="88"/>
  <c r="AC101" i="88"/>
  <c r="BE101" i="88"/>
  <c r="BL84" i="88"/>
  <c r="AX84" i="88"/>
  <c r="AC84" i="88"/>
  <c r="AJ84" i="88"/>
  <c r="AQ84" i="88"/>
  <c r="BS84" i="88"/>
  <c r="BE84" i="88"/>
  <c r="AY148" i="95"/>
  <c r="BL12" i="95"/>
  <c r="F85" i="96"/>
  <c r="BV104" i="87"/>
  <c r="BV129" i="87"/>
  <c r="BV117" i="87"/>
  <c r="BV50" i="87"/>
  <c r="E85" i="96"/>
  <c r="BW151" i="87"/>
  <c r="BV142" i="87"/>
  <c r="BW138" i="87"/>
  <c r="BV146" i="87"/>
  <c r="G246" i="88"/>
  <c r="H144" i="101"/>
  <c r="G144" i="101" s="1"/>
  <c r="U82" i="89"/>
  <c r="H82" i="89" s="1"/>
  <c r="H81" i="89" s="1"/>
  <c r="U158" i="88"/>
  <c r="H158" i="88" s="1"/>
  <c r="E87" i="96"/>
  <c r="E86" i="96"/>
  <c r="F87" i="96"/>
  <c r="F86" i="96"/>
  <c r="AD39" i="95"/>
  <c r="U48" i="88"/>
  <c r="H48" i="88" s="1"/>
  <c r="H47" i="88" s="1"/>
  <c r="F39" i="88"/>
  <c r="BZ12" i="95"/>
  <c r="U65" i="89"/>
  <c r="H65" i="89" s="1"/>
  <c r="H53" i="89" s="1"/>
  <c r="G77" i="87"/>
  <c r="AC135" i="95"/>
  <c r="AC128" i="95"/>
  <c r="BF124" i="95"/>
  <c r="BE143" i="95"/>
  <c r="F110" i="88"/>
  <c r="AB91" i="96"/>
  <c r="G20" i="85"/>
  <c r="F184" i="84"/>
  <c r="G112" i="85"/>
  <c r="G86" i="85"/>
  <c r="G117" i="85"/>
  <c r="G16" i="85"/>
  <c r="G91" i="85"/>
  <c r="G70" i="85"/>
  <c r="G154" i="85"/>
  <c r="G22" i="85"/>
  <c r="G54" i="85"/>
  <c r="E10" i="85"/>
  <c r="G138" i="85"/>
  <c r="G33" i="85"/>
  <c r="F265" i="84"/>
  <c r="G34" i="88"/>
  <c r="G165" i="88"/>
  <c r="AC125" i="95"/>
  <c r="BG74" i="95"/>
  <c r="BN89" i="95"/>
  <c r="AY124" i="95"/>
  <c r="AD115" i="95"/>
  <c r="U155" i="89"/>
  <c r="H155" i="89" s="1"/>
  <c r="H154" i="89" s="1"/>
  <c r="G251" i="89"/>
  <c r="H251" i="89"/>
  <c r="AZ57" i="95"/>
  <c r="AQ12" i="95"/>
  <c r="BE12" i="95"/>
  <c r="U232" i="89"/>
  <c r="H232" i="89" s="1"/>
  <c r="I54" i="101" s="1"/>
  <c r="M54" i="101" s="1"/>
  <c r="BG37" i="95"/>
  <c r="AY20" i="95"/>
  <c r="BF143" i="95"/>
  <c r="BF20" i="95"/>
  <c r="BF148" i="95"/>
  <c r="AR20" i="95"/>
  <c r="L62" i="87"/>
  <c r="L58" i="87" s="1"/>
  <c r="K58" i="87"/>
  <c r="BM20" i="95"/>
  <c r="AD43" i="95"/>
  <c r="BW63" i="88" s="1"/>
  <c r="BT20" i="95"/>
  <c r="E9" i="86"/>
  <c r="E8" i="86" s="1"/>
  <c r="G43" i="89"/>
  <c r="H43" i="89"/>
  <c r="G171" i="88"/>
  <c r="AB51" i="95"/>
  <c r="F123" i="88"/>
  <c r="BG99" i="95"/>
  <c r="BM134" i="95"/>
  <c r="G129" i="89"/>
  <c r="U70" i="88"/>
  <c r="G225" i="88"/>
  <c r="BG54" i="95"/>
  <c r="AC8" i="95"/>
  <c r="AB5" i="95"/>
  <c r="G154" i="88"/>
  <c r="G153" i="88" s="1"/>
  <c r="G191" i="88"/>
  <c r="U162" i="88"/>
  <c r="H162" i="88" s="1"/>
  <c r="H124" i="101" s="1"/>
  <c r="G124" i="101" s="1"/>
  <c r="G161" i="88"/>
  <c r="G124" i="88"/>
  <c r="G123" i="88" s="1"/>
  <c r="G127" i="88"/>
  <c r="H118" i="88"/>
  <c r="H116" i="88"/>
  <c r="H112" i="88" s="1"/>
  <c r="H139" i="101"/>
  <c r="G139" i="101" s="1"/>
  <c r="AR148" i="95"/>
  <c r="H41" i="101"/>
  <c r="G41" i="101" s="1"/>
  <c r="F153" i="88"/>
  <c r="G175" i="89"/>
  <c r="U80" i="96"/>
  <c r="AB80" i="96" s="1"/>
  <c r="G234" i="84"/>
  <c r="K77" i="84"/>
  <c r="H42" i="85"/>
  <c r="H27" i="85" s="1"/>
  <c r="F142" i="84"/>
  <c r="F82" i="84" s="1"/>
  <c r="H184" i="84"/>
  <c r="G142" i="84"/>
  <c r="R142" i="84" s="1"/>
  <c r="J76" i="85"/>
  <c r="J66" i="85" s="1"/>
  <c r="G110" i="85"/>
  <c r="G14" i="85"/>
  <c r="G94" i="85" s="1"/>
  <c r="G52" i="85"/>
  <c r="G31" i="85"/>
  <c r="G89" i="85"/>
  <c r="G68" i="85"/>
  <c r="G152" i="85"/>
  <c r="G36" i="85"/>
  <c r="G84" i="85"/>
  <c r="G115" i="85"/>
  <c r="K160" i="85"/>
  <c r="K150" i="85" s="1"/>
  <c r="O128" i="85"/>
  <c r="G243" i="84"/>
  <c r="M75" i="84"/>
  <c r="F179" i="84"/>
  <c r="F178" i="84" s="1"/>
  <c r="L77" i="84"/>
  <c r="G173" i="84"/>
  <c r="I157" i="85"/>
  <c r="I147" i="85" s="1"/>
  <c r="I73" i="85"/>
  <c r="I63" i="85" s="1"/>
  <c r="I125" i="85"/>
  <c r="I105" i="85" s="1"/>
  <c r="G15" i="84"/>
  <c r="I99" i="85"/>
  <c r="I41" i="85"/>
  <c r="I26" i="85" s="1"/>
  <c r="I94" i="85"/>
  <c r="I141" i="85"/>
  <c r="I131" i="85" s="1"/>
  <c r="J148" i="85"/>
  <c r="I57" i="85"/>
  <c r="I47" i="85" s="1"/>
  <c r="F140" i="84"/>
  <c r="F80" i="84" s="1"/>
  <c r="K144" i="85"/>
  <c r="K134" i="85" s="1"/>
  <c r="K128" i="85"/>
  <c r="K123" i="85"/>
  <c r="G213" i="84"/>
  <c r="K44" i="85"/>
  <c r="K29" i="85" s="1"/>
  <c r="K60" i="85"/>
  <c r="K50" i="85" s="1"/>
  <c r="K102" i="85"/>
  <c r="K82" i="85" s="1"/>
  <c r="K76" i="85"/>
  <c r="K66" i="85" s="1"/>
  <c r="L152" i="85"/>
  <c r="D152" i="85" s="1"/>
  <c r="H100" i="85"/>
  <c r="H74" i="85"/>
  <c r="H64" i="85" s="1"/>
  <c r="G179" i="84"/>
  <c r="G178" i="84" s="1"/>
  <c r="G208" i="84"/>
  <c r="L115" i="85"/>
  <c r="L31" i="85"/>
  <c r="H95" i="85"/>
  <c r="H158" i="85"/>
  <c r="H148" i="85" s="1"/>
  <c r="L52" i="85"/>
  <c r="D52" i="85" s="1"/>
  <c r="H142" i="85"/>
  <c r="H132" i="85" s="1"/>
  <c r="L110" i="85"/>
  <c r="L136" i="85"/>
  <c r="D136" i="85" s="1"/>
  <c r="F134" i="84"/>
  <c r="F133" i="84" s="1"/>
  <c r="L20" i="85"/>
  <c r="D20" i="85" s="1"/>
  <c r="H126" i="85"/>
  <c r="G134" i="84"/>
  <c r="G133" i="84" s="1"/>
  <c r="L89" i="85"/>
  <c r="H121" i="85"/>
  <c r="G143" i="84"/>
  <c r="L68" i="85"/>
  <c r="N139" i="84"/>
  <c r="F139" i="84" s="1"/>
  <c r="F79" i="84" s="1"/>
  <c r="G193" i="84"/>
  <c r="L36" i="85"/>
  <c r="D36" i="85" s="1"/>
  <c r="F234" i="84"/>
  <c r="F233" i="84" s="1"/>
  <c r="L14" i="85"/>
  <c r="L157" i="85" s="1"/>
  <c r="O144" i="85"/>
  <c r="O134" i="85" s="1"/>
  <c r="J44" i="85"/>
  <c r="J29" i="85" s="1"/>
  <c r="O123" i="85"/>
  <c r="J160" i="85"/>
  <c r="J150" i="85" s="1"/>
  <c r="G163" i="84"/>
  <c r="O102" i="85"/>
  <c r="O97" i="85"/>
  <c r="O44" i="85"/>
  <c r="O29" i="85" s="1"/>
  <c r="O60" i="85"/>
  <c r="O50" i="85" s="1"/>
  <c r="O160" i="85"/>
  <c r="O150" i="85" s="1"/>
  <c r="M44" i="85"/>
  <c r="M29" i="85" s="1"/>
  <c r="M60" i="85"/>
  <c r="M50" i="85" s="1"/>
  <c r="M102" i="85"/>
  <c r="M82" i="85" s="1"/>
  <c r="M76" i="85"/>
  <c r="M66" i="85" s="1"/>
  <c r="M123" i="85"/>
  <c r="M128" i="85"/>
  <c r="M144" i="85"/>
  <c r="M134" i="85" s="1"/>
  <c r="M160" i="85"/>
  <c r="M150" i="85" s="1"/>
  <c r="J128" i="85"/>
  <c r="J144" i="85"/>
  <c r="J134" i="85" s="1"/>
  <c r="J123" i="85"/>
  <c r="N60" i="85"/>
  <c r="N50" i="85" s="1"/>
  <c r="G88" i="84"/>
  <c r="J102" i="85"/>
  <c r="G84" i="84"/>
  <c r="G83" i="84" s="1"/>
  <c r="J97" i="85"/>
  <c r="D84" i="85"/>
  <c r="N44" i="85"/>
  <c r="N29" i="85" s="1"/>
  <c r="N76" i="85"/>
  <c r="N66" i="85" s="1"/>
  <c r="G248" i="84"/>
  <c r="N97" i="85"/>
  <c r="N82" i="85" s="1"/>
  <c r="N128" i="85"/>
  <c r="G113" i="84"/>
  <c r="K100" i="85"/>
  <c r="N144" i="85"/>
  <c r="N134" i="85" s="1"/>
  <c r="N160" i="85"/>
  <c r="N150" i="85" s="1"/>
  <c r="N123" i="85"/>
  <c r="D15" i="85"/>
  <c r="G234" i="88"/>
  <c r="G118" i="88"/>
  <c r="U128" i="87"/>
  <c r="H128" i="87" s="1"/>
  <c r="K170" i="101" s="1"/>
  <c r="O170" i="101" s="1"/>
  <c r="G58" i="84"/>
  <c r="F52" i="84"/>
  <c r="F37" i="84" s="1"/>
  <c r="F36" i="84" s="1"/>
  <c r="R63" i="84"/>
  <c r="H63" i="84" s="1"/>
  <c r="G67" i="84"/>
  <c r="G20" i="84"/>
  <c r="F31" i="84"/>
  <c r="F11" i="84" s="1"/>
  <c r="AS143" i="95"/>
  <c r="CA20" i="95"/>
  <c r="D110" i="85"/>
  <c r="G46" i="84"/>
  <c r="G52" i="84"/>
  <c r="J147" i="85"/>
  <c r="H189" i="84"/>
  <c r="H188" i="84" s="1"/>
  <c r="G125" i="87"/>
  <c r="AY134" i="95"/>
  <c r="I76" i="85"/>
  <c r="I66" i="85" s="1"/>
  <c r="I77" i="84"/>
  <c r="H144" i="85"/>
  <c r="H34" i="88"/>
  <c r="I102" i="85"/>
  <c r="L60" i="85"/>
  <c r="L50" i="85" s="1"/>
  <c r="G205" i="88"/>
  <c r="AX12" i="95"/>
  <c r="I128" i="85"/>
  <c r="L76" i="85"/>
  <c r="L66" i="85" s="1"/>
  <c r="H60" i="85"/>
  <c r="H50" i="85" s="1"/>
  <c r="H123" i="85"/>
  <c r="G158" i="84"/>
  <c r="U48" i="89"/>
  <c r="H48" i="89" s="1"/>
  <c r="AR134" i="95"/>
  <c r="I144" i="85"/>
  <c r="I134" i="85" s="1"/>
  <c r="L102" i="85"/>
  <c r="L82" i="85" s="1"/>
  <c r="BM148" i="95"/>
  <c r="G208" i="88"/>
  <c r="H102" i="85"/>
  <c r="AC151" i="95"/>
  <c r="U149" i="87"/>
  <c r="H149" i="87" s="1"/>
  <c r="K175" i="101" s="1"/>
  <c r="L42" i="85"/>
  <c r="L27" i="85" s="1"/>
  <c r="G73" i="86"/>
  <c r="F258" i="84"/>
  <c r="L128" i="85"/>
  <c r="I97" i="85"/>
  <c r="I160" i="85"/>
  <c r="I150" i="85" s="1"/>
  <c r="M125" i="85"/>
  <c r="L144" i="85"/>
  <c r="L134" i="85" s="1"/>
  <c r="E17" i="85"/>
  <c r="I60" i="85"/>
  <c r="I50" i="85" s="1"/>
  <c r="H253" i="84"/>
  <c r="M57" i="85"/>
  <c r="M47" i="85" s="1"/>
  <c r="L160" i="85"/>
  <c r="L150" i="85" s="1"/>
  <c r="I123" i="85"/>
  <c r="L123" i="85"/>
  <c r="L44" i="85"/>
  <c r="L29" i="85" s="1"/>
  <c r="K75" i="84"/>
  <c r="D32" i="85"/>
  <c r="D89" i="85"/>
  <c r="M63" i="85"/>
  <c r="M99" i="85"/>
  <c r="M141" i="85"/>
  <c r="M131" i="85" s="1"/>
  <c r="M157" i="85"/>
  <c r="M147" i="85" s="1"/>
  <c r="M120" i="85"/>
  <c r="M94" i="85"/>
  <c r="G218" i="84"/>
  <c r="M41" i="85"/>
  <c r="M26" i="85" s="1"/>
  <c r="G203" i="84"/>
  <c r="U233" i="88"/>
  <c r="G233" i="88"/>
  <c r="G142" i="101"/>
  <c r="G238" i="88"/>
  <c r="H238" i="88"/>
  <c r="U196" i="88"/>
  <c r="H196" i="88" s="1"/>
  <c r="H195" i="88" s="1"/>
  <c r="G69" i="88"/>
  <c r="U83" i="87"/>
  <c r="H83" i="87" s="1"/>
  <c r="H82" i="87" s="1"/>
  <c r="G171" i="89"/>
  <c r="G188" i="89"/>
  <c r="F97" i="87"/>
  <c r="F93" i="87" s="1"/>
  <c r="H171" i="89"/>
  <c r="G160" i="89"/>
  <c r="R93" i="87"/>
  <c r="CB94" i="95"/>
  <c r="CI94" i="95"/>
  <c r="AD92" i="95"/>
  <c r="AD71" i="95"/>
  <c r="CB54" i="95"/>
  <c r="CI54" i="95"/>
  <c r="CB61" i="95"/>
  <c r="CI61" i="95"/>
  <c r="CB89" i="95"/>
  <c r="CI89" i="95"/>
  <c r="AD73" i="95"/>
  <c r="AD42" i="95"/>
  <c r="CB69" i="95"/>
  <c r="CI69" i="95"/>
  <c r="AD48" i="95"/>
  <c r="CB99" i="95"/>
  <c r="CI99" i="95"/>
  <c r="CB143" i="95"/>
  <c r="CI143" i="95"/>
  <c r="CB104" i="95"/>
  <c r="CI104" i="95"/>
  <c r="CB78" i="95"/>
  <c r="CI78" i="95"/>
  <c r="CA124" i="95"/>
  <c r="CH124" i="95"/>
  <c r="AD46" i="95"/>
  <c r="BW101" i="88" s="1"/>
  <c r="BW93" i="88" s="1"/>
  <c r="AD101" i="95"/>
  <c r="CB16" i="95"/>
  <c r="CI16" i="95"/>
  <c r="AC150" i="95"/>
  <c r="AD32" i="95"/>
  <c r="BW18" i="88" s="1"/>
  <c r="CB112" i="95"/>
  <c r="CI112" i="95"/>
  <c r="CB148" i="95"/>
  <c r="CI148" i="95"/>
  <c r="CG12" i="95"/>
  <c r="CA148" i="95"/>
  <c r="CH148" i="95"/>
  <c r="AD96" i="95"/>
  <c r="CB74" i="95"/>
  <c r="CI74" i="95"/>
  <c r="CB84" i="95"/>
  <c r="CI84" i="95"/>
  <c r="CB44" i="95"/>
  <c r="CI44" i="95"/>
  <c r="AD68" i="95"/>
  <c r="AD86" i="95"/>
  <c r="AD76" i="95"/>
  <c r="CI37" i="95"/>
  <c r="AD82" i="95"/>
  <c r="BW84" i="88" s="1"/>
  <c r="CB57" i="95"/>
  <c r="CI57" i="95"/>
  <c r="CB30" i="95"/>
  <c r="CI30" i="95"/>
  <c r="CB118" i="95"/>
  <c r="CI118" i="95"/>
  <c r="CB121" i="95"/>
  <c r="CI121" i="95"/>
  <c r="AD59" i="95"/>
  <c r="BW144" i="88" s="1"/>
  <c r="CB65" i="95"/>
  <c r="CI65" i="95"/>
  <c r="AD72" i="95"/>
  <c r="AD63" i="95"/>
  <c r="BW161" i="88" s="1"/>
  <c r="AD97" i="95"/>
  <c r="H133" i="101"/>
  <c r="G133" i="101" s="1"/>
  <c r="G231" i="88"/>
  <c r="H143" i="101"/>
  <c r="G143" i="101" s="1"/>
  <c r="H27" i="101"/>
  <c r="G27" i="101" s="1"/>
  <c r="BF5" i="95"/>
  <c r="AY5" i="95"/>
  <c r="F107" i="89"/>
  <c r="CB134" i="95"/>
  <c r="CI134" i="95"/>
  <c r="CA129" i="95"/>
  <c r="CH129" i="95"/>
  <c r="CH5" i="95"/>
  <c r="CD18" i="95"/>
  <c r="CK18" i="95"/>
  <c r="AA12" i="95"/>
  <c r="U193" i="89"/>
  <c r="CA134" i="95"/>
  <c r="CH134" i="95"/>
  <c r="G111" i="89"/>
  <c r="G40" i="88"/>
  <c r="G59" i="88"/>
  <c r="G73" i="87"/>
  <c r="G111" i="88"/>
  <c r="G110" i="88" s="1"/>
  <c r="U111" i="88"/>
  <c r="V80" i="96" s="1"/>
  <c r="G214" i="89"/>
  <c r="U214" i="89" s="1"/>
  <c r="F108" i="87"/>
  <c r="G109" i="87"/>
  <c r="G241" i="101"/>
  <c r="G93" i="86"/>
  <c r="G94" i="86"/>
  <c r="G147" i="86"/>
  <c r="G144" i="86" s="1"/>
  <c r="R142" i="86"/>
  <c r="R11" i="86" s="1"/>
  <c r="F11" i="86"/>
  <c r="F8" i="86" s="1"/>
  <c r="BZ139" i="95"/>
  <c r="CG139" i="95"/>
  <c r="BZ49" i="95"/>
  <c r="CG49" i="95"/>
  <c r="CA24" i="95"/>
  <c r="CH24" i="95"/>
  <c r="AC10" i="95"/>
  <c r="G199" i="88"/>
  <c r="BF134" i="95"/>
  <c r="K58" i="85"/>
  <c r="K48" i="85" s="1"/>
  <c r="G267" i="84"/>
  <c r="G117" i="87"/>
  <c r="BM124" i="95"/>
  <c r="N264" i="84"/>
  <c r="G189" i="84"/>
  <c r="G188" i="84" s="1"/>
  <c r="G242" i="88"/>
  <c r="G115" i="89"/>
  <c r="AB124" i="95"/>
  <c r="I74" i="85"/>
  <c r="I64" i="85" s="1"/>
  <c r="U120" i="87"/>
  <c r="G188" i="88"/>
  <c r="G187" i="88" s="1"/>
  <c r="I126" i="85"/>
  <c r="F58" i="84"/>
  <c r="F57" i="84" s="1"/>
  <c r="G108" i="89"/>
  <c r="G107" i="89" s="1"/>
  <c r="K148" i="85"/>
  <c r="D115" i="85"/>
  <c r="F188" i="84"/>
  <c r="Q17" i="85"/>
  <c r="K121" i="85"/>
  <c r="I58" i="85"/>
  <c r="I48" i="85" s="1"/>
  <c r="D17" i="85"/>
  <c r="K95" i="85"/>
  <c r="K74" i="85"/>
  <c r="K64" i="85" s="1"/>
  <c r="I142" i="85"/>
  <c r="I132" i="85" s="1"/>
  <c r="J73" i="85"/>
  <c r="J63" i="85" s="1"/>
  <c r="K42" i="85"/>
  <c r="K27" i="85" s="1"/>
  <c r="I158" i="85"/>
  <c r="I148" i="85" s="1"/>
  <c r="G274" i="101"/>
  <c r="G31" i="84"/>
  <c r="R31" i="84" s="1"/>
  <c r="J94" i="85"/>
  <c r="K126" i="85"/>
  <c r="I121" i="85"/>
  <c r="J57" i="85"/>
  <c r="J47" i="85" s="1"/>
  <c r="K142" i="85"/>
  <c r="K132" i="85" s="1"/>
  <c r="I100" i="85"/>
  <c r="I42" i="85"/>
  <c r="I27" i="85" s="1"/>
  <c r="AB14" i="95"/>
  <c r="D116" i="85"/>
  <c r="AD136" i="95"/>
  <c r="AD126" i="95"/>
  <c r="AD75" i="95"/>
  <c r="BW174" i="88" s="1"/>
  <c r="AB129" i="95"/>
  <c r="AD137" i="95"/>
  <c r="AD127" i="95"/>
  <c r="AD83" i="95"/>
  <c r="BW88" i="88" s="1"/>
  <c r="AC52" i="95"/>
  <c r="AC7" i="95"/>
  <c r="AD34" i="95"/>
  <c r="BW26" i="88" s="1"/>
  <c r="AD120" i="95"/>
  <c r="AD110" i="95"/>
  <c r="AD147" i="95"/>
  <c r="BA147" i="95"/>
  <c r="AT147" i="95"/>
  <c r="CA5" i="95"/>
  <c r="AD38" i="95"/>
  <c r="BW43" i="88" s="1"/>
  <c r="AD36" i="95"/>
  <c r="BW34" i="88" s="1"/>
  <c r="AD131" i="95"/>
  <c r="AD88" i="95"/>
  <c r="AD91" i="95"/>
  <c r="AD119" i="95"/>
  <c r="BW20" i="95"/>
  <c r="CD20" i="95"/>
  <c r="AD145" i="95"/>
  <c r="AC6" i="95"/>
  <c r="AD108" i="95"/>
  <c r="AD62" i="95"/>
  <c r="BW157" i="88" s="1"/>
  <c r="AD90" i="95"/>
  <c r="AD138" i="95"/>
  <c r="AD79" i="95"/>
  <c r="BW72" i="88" s="1"/>
  <c r="AD44" i="95"/>
  <c r="CC44" i="95"/>
  <c r="BN65" i="95"/>
  <c r="AD152" i="95"/>
  <c r="AD77" i="95"/>
  <c r="AD66" i="95"/>
  <c r="AD27" i="95"/>
  <c r="AD128" i="95"/>
  <c r="AD149" i="95"/>
  <c r="AC9" i="95"/>
  <c r="AB53" i="95"/>
  <c r="AC26" i="95"/>
  <c r="AB13" i="95"/>
  <c r="G218" i="89"/>
  <c r="U239" i="89" s="1"/>
  <c r="U197" i="89"/>
  <c r="F267" i="84"/>
  <c r="H84" i="84"/>
  <c r="AC65" i="95"/>
  <c r="CJ65" i="95" s="1"/>
  <c r="U187" i="89"/>
  <c r="H187" i="89" s="1"/>
  <c r="G12" i="84"/>
  <c r="G229" i="89"/>
  <c r="R10" i="86"/>
  <c r="G140" i="84"/>
  <c r="R140" i="84" s="1"/>
  <c r="I272" i="101"/>
  <c r="M272" i="101" s="1"/>
  <c r="BG65" i="95"/>
  <c r="G26" i="89"/>
  <c r="H115" i="88"/>
  <c r="H111" i="88" s="1"/>
  <c r="AX49" i="95"/>
  <c r="AC51" i="95"/>
  <c r="BL49" i="95"/>
  <c r="G102" i="89"/>
  <c r="F75" i="87"/>
  <c r="F72" i="87" s="1"/>
  <c r="AX134" i="95"/>
  <c r="G255" i="89"/>
  <c r="G95" i="89"/>
  <c r="G94" i="89" s="1"/>
  <c r="F233" i="88"/>
  <c r="F230" i="88" s="1"/>
  <c r="K44" i="101"/>
  <c r="O44" i="101" s="1"/>
  <c r="G247" i="89"/>
  <c r="G70" i="88"/>
  <c r="I103" i="101"/>
  <c r="M103" i="101" s="1"/>
  <c r="F242" i="88"/>
  <c r="F13" i="87"/>
  <c r="F10" i="87" s="1"/>
  <c r="BU143" i="95"/>
  <c r="G72" i="88"/>
  <c r="G161" i="101"/>
  <c r="G32" i="89"/>
  <c r="H87" i="87"/>
  <c r="U75" i="88"/>
  <c r="U71" i="88" s="1"/>
  <c r="H68" i="89"/>
  <c r="G68" i="89"/>
  <c r="G87" i="87"/>
  <c r="F217" i="89"/>
  <c r="G104" i="87"/>
  <c r="G114" i="88"/>
  <c r="F38" i="87"/>
  <c r="F35" i="87" s="1"/>
  <c r="F40" i="87"/>
  <c r="F142" i="87"/>
  <c r="H165" i="101"/>
  <c r="G165" i="101" s="1"/>
  <c r="F213" i="89"/>
  <c r="F99" i="87"/>
  <c r="F95" i="87" s="1"/>
  <c r="F223" i="89"/>
  <c r="G99" i="87"/>
  <c r="G96" i="87" s="1"/>
  <c r="U117" i="88"/>
  <c r="U113" i="88" s="1"/>
  <c r="G139" i="89"/>
  <c r="BE49" i="95"/>
  <c r="BM24" i="95"/>
  <c r="G129" i="87"/>
  <c r="G116" i="87"/>
  <c r="G113" i="87" s="1"/>
  <c r="H21" i="87"/>
  <c r="H11" i="87" s="1"/>
  <c r="E80" i="96"/>
  <c r="G135" i="87"/>
  <c r="G18" i="88"/>
  <c r="H18" i="88"/>
  <c r="H321" i="101"/>
  <c r="G321" i="101" s="1"/>
  <c r="G220" i="89"/>
  <c r="G241" i="89"/>
  <c r="AZ37" i="95"/>
  <c r="AS37" i="95"/>
  <c r="AZ16" i="95"/>
  <c r="V85" i="96" s="1"/>
  <c r="BG16" i="95"/>
  <c r="BN16" i="95"/>
  <c r="F226" i="89"/>
  <c r="F225" i="89"/>
  <c r="BN143" i="95"/>
  <c r="AZ143" i="95"/>
  <c r="BE139" i="95"/>
  <c r="AX139" i="95"/>
  <c r="BN74" i="95"/>
  <c r="BF129" i="95"/>
  <c r="AY129" i="95"/>
  <c r="BT129" i="95"/>
  <c r="BM129" i="95"/>
  <c r="BN99" i="95"/>
  <c r="AR129" i="95"/>
  <c r="AS99" i="95"/>
  <c r="AZ99" i="95"/>
  <c r="AS89" i="95"/>
  <c r="AZ89" i="95"/>
  <c r="BU104" i="95"/>
  <c r="BS104" i="95"/>
  <c r="AY24" i="95"/>
  <c r="BG121" i="95"/>
  <c r="P86" i="96" s="1"/>
  <c r="BT104" i="95"/>
  <c r="BN44" i="95"/>
  <c r="AZ121" i="95"/>
  <c r="BF24" i="95"/>
  <c r="AS30" i="95"/>
  <c r="AS121" i="95"/>
  <c r="BN121" i="95"/>
  <c r="P87" i="96" s="1"/>
  <c r="AZ44" i="95"/>
  <c r="AR24" i="95"/>
  <c r="BG44" i="95"/>
  <c r="BT74" i="95"/>
  <c r="BU94" i="95"/>
  <c r="BS94" i="95"/>
  <c r="AS94" i="95"/>
  <c r="BG94" i="95"/>
  <c r="BN94" i="95"/>
  <c r="AZ94" i="95"/>
  <c r="AZ118" i="95"/>
  <c r="BN54" i="95"/>
  <c r="AS61" i="95"/>
  <c r="BN61" i="95"/>
  <c r="AZ61" i="95"/>
  <c r="AS69" i="95"/>
  <c r="BN69" i="95"/>
  <c r="BN30" i="95"/>
  <c r="BG69" i="95"/>
  <c r="BN37" i="95"/>
  <c r="BS74" i="95"/>
  <c r="AZ69" i="95"/>
  <c r="AZ54" i="95"/>
  <c r="AS54" i="95"/>
  <c r="BT94" i="95"/>
  <c r="BT124" i="95"/>
  <c r="BT134" i="95"/>
  <c r="AS44" i="95"/>
  <c r="AQ49" i="95"/>
  <c r="BG104" i="95"/>
  <c r="BN104" i="95"/>
  <c r="AZ104" i="95"/>
  <c r="AS104" i="95"/>
  <c r="AS65" i="95"/>
  <c r="AZ65" i="95"/>
  <c r="BS134" i="95"/>
  <c r="BT112" i="95"/>
  <c r="BS112" i="95"/>
  <c r="BG143" i="95"/>
  <c r="D85" i="85"/>
  <c r="U212" i="89"/>
  <c r="H212" i="89" s="1"/>
  <c r="K49" i="101" s="1"/>
  <c r="O49" i="101" s="1"/>
  <c r="U233" i="89"/>
  <c r="H233" i="89" s="1"/>
  <c r="K54" i="101" s="1"/>
  <c r="O54" i="101" s="1"/>
  <c r="U219" i="89"/>
  <c r="U240" i="89"/>
  <c r="H240" i="89" s="1"/>
  <c r="U215" i="89"/>
  <c r="U236" i="89"/>
  <c r="F135" i="87"/>
  <c r="U101" i="87"/>
  <c r="H101" i="87" s="1"/>
  <c r="H100" i="87" s="1"/>
  <c r="G100" i="87"/>
  <c r="H144" i="87"/>
  <c r="I174" i="101" s="1"/>
  <c r="U136" i="87"/>
  <c r="L137" i="87"/>
  <c r="G141" i="87"/>
  <c r="F141" i="87"/>
  <c r="H141" i="87"/>
  <c r="G149" i="87"/>
  <c r="F149" i="87"/>
  <c r="F146" i="87" s="1"/>
  <c r="H132" i="87"/>
  <c r="K171" i="101" s="1"/>
  <c r="O171" i="101" s="1"/>
  <c r="I173" i="101"/>
  <c r="M173" i="101" s="1"/>
  <c r="H173" i="101"/>
  <c r="H135" i="87"/>
  <c r="H172" i="101" s="1"/>
  <c r="U97" i="87"/>
  <c r="U98" i="87"/>
  <c r="G94" i="87"/>
  <c r="H21" i="101"/>
  <c r="G21" i="101" s="1"/>
  <c r="U78" i="89"/>
  <c r="G74" i="89"/>
  <c r="G73" i="89" s="1"/>
  <c r="G89" i="89"/>
  <c r="H102" i="89"/>
  <c r="U195" i="89"/>
  <c r="G216" i="89"/>
  <c r="U208" i="89"/>
  <c r="H208" i="89" s="1"/>
  <c r="G203" i="89"/>
  <c r="G227" i="89"/>
  <c r="G223" i="89" s="1"/>
  <c r="G206" i="89"/>
  <c r="U227" i="89" s="1"/>
  <c r="F202" i="89"/>
  <c r="F180" i="89"/>
  <c r="F205" i="89"/>
  <c r="F204" i="89"/>
  <c r="U189" i="89"/>
  <c r="H189" i="89" s="1"/>
  <c r="G210" i="89"/>
  <c r="U231" i="89" s="1"/>
  <c r="H231" i="89" s="1"/>
  <c r="H54" i="101" s="1"/>
  <c r="F32" i="89"/>
  <c r="G126" i="89"/>
  <c r="G11" i="89"/>
  <c r="H31" i="101"/>
  <c r="G31" i="101" s="1"/>
  <c r="G133" i="89"/>
  <c r="G184" i="89"/>
  <c r="G181" i="89"/>
  <c r="U185" i="89"/>
  <c r="H185" i="89" s="1"/>
  <c r="G35" i="101"/>
  <c r="G16" i="101"/>
  <c r="G148" i="101"/>
  <c r="G9" i="101"/>
  <c r="G34" i="101"/>
  <c r="F146" i="89"/>
  <c r="G40" i="84"/>
  <c r="M95" i="85"/>
  <c r="M142" i="85"/>
  <c r="M132" i="85" s="1"/>
  <c r="H41" i="85"/>
  <c r="H26" i="85" s="1"/>
  <c r="M100" i="85"/>
  <c r="H99" i="85"/>
  <c r="M158" i="85"/>
  <c r="M148" i="85" s="1"/>
  <c r="D14" i="85"/>
  <c r="G38" i="84"/>
  <c r="H157" i="85"/>
  <c r="H147" i="85" s="1"/>
  <c r="N42" i="85"/>
  <c r="N27" i="85" s="1"/>
  <c r="H94" i="85"/>
  <c r="E37" i="85"/>
  <c r="M74" i="85"/>
  <c r="M64" i="85" s="1"/>
  <c r="M121" i="85"/>
  <c r="H141" i="85"/>
  <c r="H131" i="85" s="1"/>
  <c r="H125" i="85"/>
  <c r="H120" i="85"/>
  <c r="H57" i="85"/>
  <c r="H47" i="85" s="1"/>
  <c r="M58" i="85"/>
  <c r="M48" i="85" s="1"/>
  <c r="L58" i="85"/>
  <c r="L48" i="85" s="1"/>
  <c r="L74" i="85"/>
  <c r="L64" i="85" s="1"/>
  <c r="D68" i="85"/>
  <c r="L158" i="85"/>
  <c r="L148" i="85" s="1"/>
  <c r="D69" i="85"/>
  <c r="L142" i="85"/>
  <c r="L126" i="85"/>
  <c r="D21" i="85"/>
  <c r="L121" i="85"/>
  <c r="M126" i="85"/>
  <c r="L100" i="85"/>
  <c r="L80" i="85" s="1"/>
  <c r="N74" i="85"/>
  <c r="N64" i="85" s="1"/>
  <c r="N158" i="85"/>
  <c r="N148" i="85" s="1"/>
  <c r="N126" i="85"/>
  <c r="N95" i="85"/>
  <c r="N100" i="85"/>
  <c r="N121" i="85"/>
  <c r="N142" i="85"/>
  <c r="N132" i="85" s="1"/>
  <c r="D90" i="85"/>
  <c r="Q92" i="85"/>
  <c r="F92" i="85" s="1"/>
  <c r="K257" i="101" s="1"/>
  <c r="O257" i="101" s="1"/>
  <c r="D31" i="85"/>
  <c r="D92" i="85"/>
  <c r="F67" i="84"/>
  <c r="D53" i="85"/>
  <c r="G265" i="84"/>
  <c r="R265" i="84" s="1"/>
  <c r="Q55" i="85"/>
  <c r="Q37" i="85"/>
  <c r="F37" i="85" s="1"/>
  <c r="J247" i="101" s="1"/>
  <c r="N247" i="101" s="1"/>
  <c r="D37" i="85"/>
  <c r="D153" i="85"/>
  <c r="J99" i="85"/>
  <c r="J120" i="85"/>
  <c r="J141" i="85"/>
  <c r="J131" i="85" s="1"/>
  <c r="J125" i="85"/>
  <c r="J41" i="85"/>
  <c r="J26" i="85" s="1"/>
  <c r="E55" i="85"/>
  <c r="D55" i="85"/>
  <c r="H59" i="84"/>
  <c r="J231" i="101" s="1"/>
  <c r="N231" i="101" s="1"/>
  <c r="R59" i="84"/>
  <c r="AC81" i="96" s="1"/>
  <c r="H24" i="101"/>
  <c r="G24" i="101" s="1"/>
  <c r="BS143" i="95"/>
  <c r="D137" i="85"/>
  <c r="O80" i="85"/>
  <c r="BS124" i="95"/>
  <c r="K41" i="85"/>
  <c r="K26" i="85" s="1"/>
  <c r="K57" i="85"/>
  <c r="K47" i="85" s="1"/>
  <c r="K99" i="85"/>
  <c r="K125" i="85"/>
  <c r="K73" i="85"/>
  <c r="K63" i="85" s="1"/>
  <c r="K120" i="85"/>
  <c r="K157" i="85"/>
  <c r="K141" i="85"/>
  <c r="K131" i="85" s="1"/>
  <c r="K94" i="85"/>
  <c r="H293" i="101"/>
  <c r="G293" i="101" s="1"/>
  <c r="G133" i="86"/>
  <c r="BU89" i="95"/>
  <c r="D8" i="85"/>
  <c r="D111" i="85"/>
  <c r="Q32" i="85"/>
  <c r="H43" i="84"/>
  <c r="J228" i="101" s="1"/>
  <c r="N228" i="101" s="1"/>
  <c r="BU69" i="95"/>
  <c r="BT121" i="95"/>
  <c r="BT118" i="95"/>
  <c r="J132" i="85"/>
  <c r="AD19" i="95"/>
  <c r="AD17" i="95"/>
  <c r="BW114" i="88" s="1"/>
  <c r="BW110" i="88" s="1"/>
  <c r="BT24" i="95"/>
  <c r="BS24" i="95"/>
  <c r="AC143" i="95"/>
  <c r="AD144" i="95"/>
  <c r="AC112" i="95"/>
  <c r="CJ112" i="95" s="1"/>
  <c r="AD113" i="95"/>
  <c r="AD80" i="95"/>
  <c r="BW76" i="88" s="1"/>
  <c r="AD60" i="95"/>
  <c r="BW148" i="88" s="1"/>
  <c r="AD103" i="95"/>
  <c r="AD55" i="95"/>
  <c r="BW127" i="88" s="1"/>
  <c r="BW123" i="88" s="1"/>
  <c r="AS16" i="95"/>
  <c r="AD58" i="95"/>
  <c r="BW140" i="88" s="1"/>
  <c r="AD11" i="95"/>
  <c r="AD70" i="95"/>
  <c r="AR5" i="95"/>
  <c r="BM5" i="95"/>
  <c r="AD85" i="95"/>
  <c r="AD95" i="95"/>
  <c r="BT148" i="95"/>
  <c r="BS148" i="95"/>
  <c r="AD105" i="95"/>
  <c r="AD116" i="95"/>
  <c r="AD122" i="95"/>
  <c r="G38" i="86"/>
  <c r="I276" i="101"/>
  <c r="M276" i="101" s="1"/>
  <c r="G23" i="86"/>
  <c r="K273" i="101"/>
  <c r="O273" i="101" s="1"/>
  <c r="R12" i="86"/>
  <c r="AB24" i="95"/>
  <c r="AC25" i="95"/>
  <c r="BP20" i="95"/>
  <c r="AU20" i="95"/>
  <c r="BB20" i="95"/>
  <c r="BI20" i="95"/>
  <c r="BB18" i="95"/>
  <c r="BP18" i="95"/>
  <c r="AU18" i="95"/>
  <c r="BW18" i="95"/>
  <c r="BI18" i="95"/>
  <c r="BT143" i="95"/>
  <c r="H63" i="85"/>
  <c r="BS16" i="95"/>
  <c r="BS118" i="95"/>
  <c r="J80" i="85"/>
  <c r="G258" i="84"/>
  <c r="H259" i="84"/>
  <c r="F187" i="84"/>
  <c r="J77" i="84"/>
  <c r="G187" i="84"/>
  <c r="BU16" i="95"/>
  <c r="BT16" i="95"/>
  <c r="BU74" i="95"/>
  <c r="G25" i="86"/>
  <c r="G21" i="86"/>
  <c r="H273" i="101"/>
  <c r="F83" i="84"/>
  <c r="BT89" i="95"/>
  <c r="H281" i="101"/>
  <c r="G281" i="101" s="1"/>
  <c r="G68" i="86"/>
  <c r="O73" i="85"/>
  <c r="O63" i="85" s="1"/>
  <c r="O57" i="85"/>
  <c r="O47" i="85" s="1"/>
  <c r="O94" i="85"/>
  <c r="O99" i="85"/>
  <c r="O157" i="85"/>
  <c r="O147" i="85" s="1"/>
  <c r="O141" i="85"/>
  <c r="O131" i="85" s="1"/>
  <c r="O125" i="85"/>
  <c r="O41" i="85"/>
  <c r="O26" i="85" s="1"/>
  <c r="O120" i="85"/>
  <c r="O74" i="84"/>
  <c r="P74" i="84"/>
  <c r="G239" i="84"/>
  <c r="G238" i="84" s="1"/>
  <c r="F239" i="84"/>
  <c r="F238" i="84" s="1"/>
  <c r="G82" i="85"/>
  <c r="G140" i="86"/>
  <c r="H295" i="101"/>
  <c r="N89" i="85"/>
  <c r="N110" i="85"/>
  <c r="N115" i="85"/>
  <c r="N152" i="85"/>
  <c r="N136" i="85"/>
  <c r="N36" i="85"/>
  <c r="N20" i="85"/>
  <c r="N52" i="85"/>
  <c r="N14" i="85"/>
  <c r="E9" i="85"/>
  <c r="N68" i="85"/>
  <c r="N84" i="85"/>
  <c r="N31" i="85"/>
  <c r="Q9" i="85"/>
  <c r="G14" i="84"/>
  <c r="G155" i="86"/>
  <c r="H297" i="101"/>
  <c r="G297" i="101" s="1"/>
  <c r="G41" i="86"/>
  <c r="G37" i="86"/>
  <c r="H276" i="101"/>
  <c r="G134" i="85"/>
  <c r="G150" i="85"/>
  <c r="H278" i="101"/>
  <c r="G278" i="101" s="1"/>
  <c r="G52" i="86"/>
  <c r="BS139" i="95"/>
  <c r="AA139" i="95"/>
  <c r="G32" i="88"/>
  <c r="U32" i="88" s="1"/>
  <c r="H32" i="88" s="1"/>
  <c r="I93" i="101" s="1"/>
  <c r="M93" i="101" s="1"/>
  <c r="AC130" i="95"/>
  <c r="BL139" i="95"/>
  <c r="AQ139" i="95"/>
  <c r="AC134" i="95"/>
  <c r="CJ134" i="95" s="1"/>
  <c r="BG134" i="95"/>
  <c r="BG89" i="95"/>
  <c r="BT57" i="95"/>
  <c r="BS129" i="95"/>
  <c r="AZ74" i="95"/>
  <c r="AS112" i="95"/>
  <c r="BS99" i="95"/>
  <c r="BG112" i="95"/>
  <c r="BU121" i="95"/>
  <c r="AS74" i="95"/>
  <c r="BS121" i="95"/>
  <c r="BU118" i="95"/>
  <c r="AC121" i="95"/>
  <c r="CJ121" i="95" s="1"/>
  <c r="BT84" i="95"/>
  <c r="BT99" i="95"/>
  <c r="BG118" i="95"/>
  <c r="BN112" i="95"/>
  <c r="BU112" i="95"/>
  <c r="BN118" i="95"/>
  <c r="AC118" i="95"/>
  <c r="CJ118" i="95" s="1"/>
  <c r="AS118" i="95"/>
  <c r="G192" i="89"/>
  <c r="AZ112" i="95"/>
  <c r="G183" i="89"/>
  <c r="AC104" i="95"/>
  <c r="CJ104" i="95" s="1"/>
  <c r="S86" i="96"/>
  <c r="BS57" i="95"/>
  <c r="AC107" i="95"/>
  <c r="S85" i="96"/>
  <c r="AB50" i="95"/>
  <c r="AA49" i="95"/>
  <c r="F128" i="89"/>
  <c r="F125" i="89" s="1"/>
  <c r="BU99" i="95"/>
  <c r="AC99" i="95"/>
  <c r="CJ99" i="95" s="1"/>
  <c r="H150" i="101"/>
  <c r="BS89" i="95"/>
  <c r="BG57" i="95"/>
  <c r="U211" i="88"/>
  <c r="H211" i="88" s="1"/>
  <c r="AZ30" i="95"/>
  <c r="AC94" i="95"/>
  <c r="CJ94" i="95" s="1"/>
  <c r="AC89" i="95"/>
  <c r="CJ89" i="95" s="1"/>
  <c r="G71" i="88"/>
  <c r="G80" i="88"/>
  <c r="BS84" i="95"/>
  <c r="BN84" i="95"/>
  <c r="AC78" i="95"/>
  <c r="CJ78" i="95" s="1"/>
  <c r="AC84" i="95"/>
  <c r="CJ84" i="95" s="1"/>
  <c r="AS78" i="95"/>
  <c r="G13" i="88"/>
  <c r="AZ84" i="95"/>
  <c r="Q85" i="96" s="1"/>
  <c r="AS84" i="95"/>
  <c r="BG84" i="95"/>
  <c r="Q86" i="96" s="1"/>
  <c r="BU84" i="95"/>
  <c r="BG78" i="95"/>
  <c r="BS69" i="95"/>
  <c r="G51" i="88"/>
  <c r="BN57" i="95"/>
  <c r="BN78" i="95"/>
  <c r="BT78" i="95"/>
  <c r="BU78" i="95"/>
  <c r="AZ78" i="95"/>
  <c r="BS78" i="95"/>
  <c r="U41" i="88"/>
  <c r="G31" i="88"/>
  <c r="G11" i="88" s="1"/>
  <c r="AC69" i="95"/>
  <c r="CJ69" i="95" s="1"/>
  <c r="AC74" i="95"/>
  <c r="CJ74" i="95" s="1"/>
  <c r="BT69" i="95"/>
  <c r="AC28" i="95"/>
  <c r="BT5" i="95"/>
  <c r="G207" i="88"/>
  <c r="BT37" i="95"/>
  <c r="BT61" i="95"/>
  <c r="G39" i="89"/>
  <c r="G35" i="87"/>
  <c r="G41" i="88"/>
  <c r="F116" i="87"/>
  <c r="F113" i="87" s="1"/>
  <c r="AS57" i="95"/>
  <c r="BU65" i="95"/>
  <c r="H39" i="89"/>
  <c r="U95" i="89"/>
  <c r="P80" i="96" s="1"/>
  <c r="H41" i="88"/>
  <c r="I95" i="101" s="1"/>
  <c r="M95" i="101" s="1"/>
  <c r="BS37" i="95"/>
  <c r="BU57" i="95"/>
  <c r="BT65" i="95"/>
  <c r="BU61" i="95"/>
  <c r="U108" i="89"/>
  <c r="BS61" i="95"/>
  <c r="BS65" i="95"/>
  <c r="U16" i="87"/>
  <c r="F13" i="88"/>
  <c r="F10" i="88" s="1"/>
  <c r="BS5" i="95"/>
  <c r="BS54" i="95"/>
  <c r="AC61" i="95"/>
  <c r="CJ61" i="95" s="1"/>
  <c r="F76" i="89"/>
  <c r="F73" i="89" s="1"/>
  <c r="AC57" i="95"/>
  <c r="CJ57" i="95" s="1"/>
  <c r="I149" i="101"/>
  <c r="M149" i="101" s="1"/>
  <c r="BU54" i="95"/>
  <c r="G34" i="89"/>
  <c r="AC54" i="95"/>
  <c r="CJ54" i="95" s="1"/>
  <c r="H129" i="88"/>
  <c r="H125" i="88" s="1"/>
  <c r="BS49" i="95"/>
  <c r="G146" i="89"/>
  <c r="U12" i="89"/>
  <c r="Q81" i="96" s="1"/>
  <c r="H146" i="89"/>
  <c r="BT54" i="95"/>
  <c r="G67" i="87"/>
  <c r="I176" i="101"/>
  <c r="M176" i="101" s="1"/>
  <c r="BS44" i="95"/>
  <c r="U171" i="88"/>
  <c r="BT44" i="95"/>
  <c r="F34" i="89"/>
  <c r="H25" i="87"/>
  <c r="G150" i="89"/>
  <c r="H150" i="89"/>
  <c r="G141" i="89"/>
  <c r="BU44" i="95"/>
  <c r="G53" i="89"/>
  <c r="BS12" i="95"/>
  <c r="AB140" i="95"/>
  <c r="F162" i="89"/>
  <c r="F159" i="89" s="1"/>
  <c r="AB142" i="95"/>
  <c r="AB141" i="95"/>
  <c r="AC30" i="95"/>
  <c r="CJ30" i="95" s="1"/>
  <c r="AC15" i="95"/>
  <c r="BG30" i="95"/>
  <c r="U38" i="89"/>
  <c r="G35" i="89"/>
  <c r="BU37" i="95"/>
  <c r="F25" i="87"/>
  <c r="F18" i="87"/>
  <c r="F15" i="87" s="1"/>
  <c r="F141" i="89"/>
  <c r="F138" i="89" s="1"/>
  <c r="AC37" i="95"/>
  <c r="CJ37" i="95" s="1"/>
  <c r="R9" i="86"/>
  <c r="G128" i="86"/>
  <c r="F129" i="89"/>
  <c r="F96" i="88"/>
  <c r="F93" i="88" s="1"/>
  <c r="BS30" i="95"/>
  <c r="BT30" i="95"/>
  <c r="AC16" i="95"/>
  <c r="CJ16" i="95" s="1"/>
  <c r="BU30" i="95"/>
  <c r="H69" i="87"/>
  <c r="U57" i="87"/>
  <c r="H80" i="88"/>
  <c r="H105" i="101"/>
  <c r="G105" i="101" s="1"/>
  <c r="U110" i="89"/>
  <c r="H114" i="89"/>
  <c r="H111" i="89" s="1"/>
  <c r="H131" i="101"/>
  <c r="H101" i="89"/>
  <c r="U97" i="89"/>
  <c r="P82" i="96" s="1"/>
  <c r="H51" i="88"/>
  <c r="H98" i="101"/>
  <c r="G98" i="101" s="1"/>
  <c r="H130" i="88"/>
  <c r="U126" i="88"/>
  <c r="U182" i="89"/>
  <c r="H186" i="89"/>
  <c r="H46" i="88"/>
  <c r="H43" i="88" s="1"/>
  <c r="U42" i="88"/>
  <c r="H121" i="87"/>
  <c r="H169" i="101"/>
  <c r="G169" i="101" s="1"/>
  <c r="U56" i="87"/>
  <c r="H60" i="87"/>
  <c r="I89" i="101"/>
  <c r="M89" i="101" s="1"/>
  <c r="U140" i="89"/>
  <c r="S81" i="96" s="1"/>
  <c r="H144" i="89"/>
  <c r="H45" i="84"/>
  <c r="F55" i="89"/>
  <c r="F52" i="89" s="1"/>
  <c r="I58" i="101"/>
  <c r="M58" i="101" s="1"/>
  <c r="U96" i="89"/>
  <c r="P81" i="96" s="1"/>
  <c r="H100" i="89"/>
  <c r="H43" i="87"/>
  <c r="H40" i="87" s="1"/>
  <c r="U38" i="87"/>
  <c r="G82" i="96"/>
  <c r="U177" i="88"/>
  <c r="G173" i="88"/>
  <c r="G174" i="88"/>
  <c r="U17" i="89"/>
  <c r="G13" i="89"/>
  <c r="F71" i="88"/>
  <c r="F68" i="88" s="1"/>
  <c r="F72" i="88"/>
  <c r="F243" i="89"/>
  <c r="F247" i="89"/>
  <c r="H165" i="89"/>
  <c r="U161" i="89"/>
  <c r="T81" i="96" s="1"/>
  <c r="U126" i="89"/>
  <c r="H130" i="89"/>
  <c r="H233" i="101"/>
  <c r="G10" i="87"/>
  <c r="H60" i="89"/>
  <c r="H14" i="101"/>
  <c r="G14" i="101" s="1"/>
  <c r="H171" i="88"/>
  <c r="H127" i="101"/>
  <c r="U75" i="89"/>
  <c r="H79" i="89"/>
  <c r="H78" i="87"/>
  <c r="H171" i="101"/>
  <c r="H248" i="89"/>
  <c r="H244" i="89" s="1"/>
  <c r="G18" i="89"/>
  <c r="H66" i="87"/>
  <c r="H63" i="87" s="1"/>
  <c r="U229" i="89"/>
  <c r="H22" i="89"/>
  <c r="H5" i="101"/>
  <c r="G5" i="101" s="1"/>
  <c r="H145" i="89"/>
  <c r="U141" i="89"/>
  <c r="S82" i="96" s="1"/>
  <c r="H119" i="87"/>
  <c r="U115" i="87"/>
  <c r="H18" i="89"/>
  <c r="H4" i="101"/>
  <c r="H33" i="89"/>
  <c r="I7" i="101" s="1"/>
  <c r="M7" i="101" s="1"/>
  <c r="I8" i="101"/>
  <c r="M8" i="101" s="1"/>
  <c r="H13" i="101"/>
  <c r="H95" i="89"/>
  <c r="H23" i="101"/>
  <c r="H178" i="88"/>
  <c r="H128" i="101"/>
  <c r="G128" i="101" s="1"/>
  <c r="R71" i="84"/>
  <c r="G61" i="84"/>
  <c r="H189" i="88"/>
  <c r="I131" i="101"/>
  <c r="M131" i="101" s="1"/>
  <c r="H118" i="87"/>
  <c r="U114" i="87"/>
  <c r="G162" i="89"/>
  <c r="U166" i="89"/>
  <c r="H37" i="87"/>
  <c r="I151" i="101"/>
  <c r="M151" i="101" s="1"/>
  <c r="H95" i="88"/>
  <c r="I109" i="101"/>
  <c r="M109" i="101" s="1"/>
  <c r="H105" i="88"/>
  <c r="H111" i="101"/>
  <c r="G111" i="101" s="1"/>
  <c r="H26" i="89"/>
  <c r="H6" i="101"/>
  <c r="G6" i="101" s="1"/>
  <c r="U80" i="87"/>
  <c r="G75" i="87"/>
  <c r="I4" i="101"/>
  <c r="M4" i="101" s="1"/>
  <c r="H12" i="89"/>
  <c r="H236" i="88"/>
  <c r="U232" i="88"/>
  <c r="U205" i="88"/>
  <c r="G163" i="89"/>
  <c r="H108" i="89"/>
  <c r="H26" i="101"/>
  <c r="U190" i="88"/>
  <c r="H194" i="88"/>
  <c r="H191" i="88" s="1"/>
  <c r="H42" i="84"/>
  <c r="U132" i="89"/>
  <c r="G128" i="89"/>
  <c r="F208" i="88"/>
  <c r="F207" i="88"/>
  <c r="F204" i="88" s="1"/>
  <c r="H167" i="89"/>
  <c r="H39" i="101"/>
  <c r="G39" i="101" s="1"/>
  <c r="H96" i="101"/>
  <c r="U12" i="87"/>
  <c r="D81" i="96" s="1"/>
  <c r="H22" i="87"/>
  <c r="U17" i="87"/>
  <c r="H50" i="87"/>
  <c r="H153" i="101"/>
  <c r="G153" i="101" s="1"/>
  <c r="H152" i="87"/>
  <c r="H96" i="88"/>
  <c r="K109" i="101"/>
  <c r="O109" i="101" s="1"/>
  <c r="U13" i="88"/>
  <c r="H17" i="88"/>
  <c r="H212" i="88"/>
  <c r="H136" i="101"/>
  <c r="G136" i="101" s="1"/>
  <c r="H85" i="89"/>
  <c r="H20" i="101"/>
  <c r="G20" i="101" s="1"/>
  <c r="U231" i="88"/>
  <c r="H205" i="88"/>
  <c r="H135" i="101"/>
  <c r="U160" i="89"/>
  <c r="T80" i="96" s="1"/>
  <c r="H164" i="89"/>
  <c r="U137" i="88"/>
  <c r="H141" i="88"/>
  <c r="H127" i="89"/>
  <c r="I29" i="101" s="1"/>
  <c r="M29" i="101" s="1"/>
  <c r="I30" i="101"/>
  <c r="M30" i="101" s="1"/>
  <c r="H80" i="89"/>
  <c r="U76" i="89"/>
  <c r="H54" i="89"/>
  <c r="I12" i="101" s="1"/>
  <c r="M12" i="101" s="1"/>
  <c r="I13" i="101"/>
  <c r="M13" i="101" s="1"/>
  <c r="H156" i="101"/>
  <c r="H33" i="101"/>
  <c r="H22" i="88"/>
  <c r="H91" i="101"/>
  <c r="G91" i="101" s="1"/>
  <c r="H142" i="88"/>
  <c r="U138" i="88"/>
  <c r="F13" i="89"/>
  <c r="F10" i="89" s="1"/>
  <c r="U228" i="89"/>
  <c r="H233" i="88"/>
  <c r="K141" i="101"/>
  <c r="O141" i="101" s="1"/>
  <c r="H19" i="84"/>
  <c r="U156" i="88"/>
  <c r="H160" i="88"/>
  <c r="U199" i="89"/>
  <c r="H199" i="89" s="1"/>
  <c r="G196" i="89"/>
  <c r="H79" i="87"/>
  <c r="U74" i="87"/>
  <c r="H81" i="96" s="1"/>
  <c r="J81" i="96" s="1"/>
  <c r="H210" i="88"/>
  <c r="U206" i="88"/>
  <c r="K232" i="101"/>
  <c r="O232" i="101" s="1"/>
  <c r="G139" i="88"/>
  <c r="G136" i="88" s="1"/>
  <c r="U143" i="88"/>
  <c r="G55" i="89"/>
  <c r="U59" i="89"/>
  <c r="G56" i="89"/>
  <c r="H155" i="88"/>
  <c r="I123" i="101"/>
  <c r="M123" i="101" s="1"/>
  <c r="H165" i="88"/>
  <c r="H125" i="101"/>
  <c r="G125" i="101" s="1"/>
  <c r="H59" i="88"/>
  <c r="H100" i="101"/>
  <c r="G100" i="101" s="1"/>
  <c r="H69" i="88"/>
  <c r="H103" i="101"/>
  <c r="H23" i="87"/>
  <c r="U13" i="87"/>
  <c r="D82" i="96" s="1"/>
  <c r="E82" i="96"/>
  <c r="U18" i="87"/>
  <c r="H109" i="89"/>
  <c r="I26" i="101"/>
  <c r="M26" i="101" s="1"/>
  <c r="F174" i="88"/>
  <c r="F173" i="88"/>
  <c r="F170" i="88" s="1"/>
  <c r="F114" i="88"/>
  <c r="H30" i="87"/>
  <c r="H149" i="101"/>
  <c r="H144" i="88"/>
  <c r="H120" i="101"/>
  <c r="G120" i="101" s="1"/>
  <c r="H76" i="88"/>
  <c r="H104" i="101"/>
  <c r="G104" i="101" s="1"/>
  <c r="G14" i="89"/>
  <c r="U11" i="87"/>
  <c r="D80" i="96" s="1"/>
  <c r="G93" i="88"/>
  <c r="U69" i="88"/>
  <c r="F190" i="88"/>
  <c r="F187" i="88" s="1"/>
  <c r="H255" i="89"/>
  <c r="H60" i="101"/>
  <c r="G60" i="101" s="1"/>
  <c r="H101" i="88"/>
  <c r="H110" i="101"/>
  <c r="G110" i="101" s="1"/>
  <c r="F139" i="88"/>
  <c r="F136" i="88" s="1"/>
  <c r="F140" i="88"/>
  <c r="U11" i="89"/>
  <c r="Q80" i="96" s="1"/>
  <c r="H15" i="89"/>
  <c r="H170" i="101"/>
  <c r="U94" i="88"/>
  <c r="H98" i="88"/>
  <c r="K149" i="101"/>
  <c r="O149" i="101" s="1"/>
  <c r="BE31" i="89" l="1"/>
  <c r="BE125" i="89"/>
  <c r="BD222" i="89"/>
  <c r="BC55" i="87"/>
  <c r="E31" i="85"/>
  <c r="BV134" i="87"/>
  <c r="G205" i="101"/>
  <c r="AD146" i="87"/>
  <c r="AK146" i="87"/>
  <c r="BL67" i="87"/>
  <c r="AJ67" i="87"/>
  <c r="AQ67" i="87"/>
  <c r="AX67" i="87"/>
  <c r="AC67" i="87"/>
  <c r="BS67" i="87"/>
  <c r="BE67" i="87"/>
  <c r="AW251" i="89"/>
  <c r="AI251" i="89"/>
  <c r="BK251" i="89"/>
  <c r="AP251" i="89"/>
  <c r="BR251" i="89"/>
  <c r="BD251" i="89"/>
  <c r="AI255" i="89"/>
  <c r="BK255" i="89"/>
  <c r="AP255" i="89"/>
  <c r="AW255" i="89"/>
  <c r="BR255" i="89"/>
  <c r="BD255" i="89"/>
  <c r="AW247" i="89"/>
  <c r="AW243" i="89" s="1"/>
  <c r="BK247" i="89"/>
  <c r="BK243" i="89" s="1"/>
  <c r="AI247" i="89"/>
  <c r="AI243" i="89" s="1"/>
  <c r="AP247" i="89"/>
  <c r="AP243" i="89" s="1"/>
  <c r="BR247" i="89"/>
  <c r="BR243" i="89" s="1"/>
  <c r="BD247" i="89"/>
  <c r="AQ108" i="87"/>
  <c r="AC108" i="87"/>
  <c r="AJ108" i="87"/>
  <c r="AX108" i="87"/>
  <c r="BL108" i="87"/>
  <c r="BS108" i="87"/>
  <c r="BE108" i="87"/>
  <c r="BV204" i="89"/>
  <c r="AQ205" i="89"/>
  <c r="AJ205" i="89"/>
  <c r="AX205" i="89"/>
  <c r="BL205" i="89"/>
  <c r="BS205" i="89"/>
  <c r="BE205" i="89"/>
  <c r="AX96" i="87"/>
  <c r="BL96" i="87"/>
  <c r="BS96" i="87"/>
  <c r="AJ96" i="87"/>
  <c r="AQ96" i="87"/>
  <c r="AC96" i="87"/>
  <c r="BE96" i="87"/>
  <c r="BW98" i="89"/>
  <c r="BW94" i="89" s="1"/>
  <c r="BM98" i="89"/>
  <c r="BM94" i="89" s="1"/>
  <c r="AY98" i="89"/>
  <c r="AY94" i="89" s="1"/>
  <c r="AR98" i="89"/>
  <c r="AR94" i="89" s="1"/>
  <c r="AK98" i="89"/>
  <c r="AK94" i="89" s="1"/>
  <c r="BT98" i="89"/>
  <c r="BT94" i="89" s="1"/>
  <c r="BF98" i="89"/>
  <c r="BF94" i="89" s="1"/>
  <c r="BW175" i="89"/>
  <c r="AY175" i="89"/>
  <c r="AR175" i="89"/>
  <c r="AK175" i="89"/>
  <c r="BM175" i="89"/>
  <c r="BT175" i="89"/>
  <c r="BF175" i="89"/>
  <c r="BW111" i="89"/>
  <c r="AK111" i="89"/>
  <c r="AY111" i="89"/>
  <c r="AR111" i="89"/>
  <c r="BM111" i="89"/>
  <c r="BT111" i="89"/>
  <c r="BF111" i="89"/>
  <c r="BW56" i="89"/>
  <c r="AK56" i="89"/>
  <c r="BM56" i="89"/>
  <c r="AY56" i="89"/>
  <c r="AR56" i="89"/>
  <c r="BT56" i="89"/>
  <c r="BF56" i="89"/>
  <c r="BW14" i="89"/>
  <c r="AK14" i="89"/>
  <c r="BM14" i="89"/>
  <c r="AR14" i="89"/>
  <c r="AY14" i="89"/>
  <c r="BT14" i="89"/>
  <c r="BF14" i="89"/>
  <c r="BM50" i="87"/>
  <c r="AY50" i="87"/>
  <c r="AD50" i="87"/>
  <c r="AK50" i="87"/>
  <c r="AR50" i="87"/>
  <c r="BT50" i="87"/>
  <c r="BF50" i="87"/>
  <c r="BW47" i="89"/>
  <c r="BM47" i="89"/>
  <c r="AK47" i="89"/>
  <c r="AY47" i="89"/>
  <c r="AR47" i="89"/>
  <c r="BT47" i="89"/>
  <c r="BF47" i="89"/>
  <c r="BW163" i="89"/>
  <c r="AY163" i="89"/>
  <c r="AR163" i="89"/>
  <c r="BM163" i="89"/>
  <c r="AK163" i="89"/>
  <c r="BT163" i="89"/>
  <c r="BF163" i="89"/>
  <c r="AD142" i="87"/>
  <c r="AK142" i="87"/>
  <c r="AR142" i="87"/>
  <c r="AY142" i="87"/>
  <c r="BM142" i="87"/>
  <c r="BT142" i="87"/>
  <c r="BF142" i="87"/>
  <c r="BK59" i="87"/>
  <c r="AW59" i="87"/>
  <c r="AB59" i="87"/>
  <c r="AI59" i="87"/>
  <c r="AP59" i="87"/>
  <c r="BR59" i="87"/>
  <c r="BD59" i="87"/>
  <c r="AC100" i="87"/>
  <c r="AJ100" i="87"/>
  <c r="AQ100" i="87"/>
  <c r="AX100" i="87"/>
  <c r="BL100" i="87"/>
  <c r="BS100" i="87"/>
  <c r="BE100" i="87"/>
  <c r="BK246" i="88"/>
  <c r="AB246" i="88"/>
  <c r="AI246" i="88"/>
  <c r="AP246" i="88"/>
  <c r="AW246" i="88"/>
  <c r="BR246" i="88"/>
  <c r="BD246" i="88"/>
  <c r="AC40" i="87"/>
  <c r="AJ40" i="87"/>
  <c r="AQ40" i="87"/>
  <c r="AX40" i="87"/>
  <c r="BL40" i="87"/>
  <c r="BS40" i="87"/>
  <c r="BE40" i="87"/>
  <c r="BM117" i="87"/>
  <c r="AD117" i="87"/>
  <c r="AY117" i="87"/>
  <c r="AR117" i="87"/>
  <c r="AK117" i="87"/>
  <c r="BT117" i="87"/>
  <c r="BF117" i="87"/>
  <c r="BW196" i="89"/>
  <c r="BM196" i="89"/>
  <c r="AY196" i="89"/>
  <c r="AR196" i="89"/>
  <c r="AK196" i="89"/>
  <c r="BT196" i="89"/>
  <c r="BF196" i="89"/>
  <c r="AY104" i="87"/>
  <c r="BM104" i="87"/>
  <c r="AR104" i="87"/>
  <c r="AK104" i="87"/>
  <c r="AD104" i="87"/>
  <c r="BT104" i="87"/>
  <c r="BF104" i="87"/>
  <c r="AD129" i="87"/>
  <c r="AK129" i="87"/>
  <c r="AR129" i="87"/>
  <c r="AY129" i="87"/>
  <c r="BM129" i="87"/>
  <c r="BT129" i="87"/>
  <c r="BF129" i="87"/>
  <c r="BW238" i="89"/>
  <c r="AK238" i="89"/>
  <c r="AR238" i="89"/>
  <c r="AY238" i="89"/>
  <c r="BM238" i="89"/>
  <c r="BT238" i="89"/>
  <c r="BF238" i="89"/>
  <c r="BW77" i="89"/>
  <c r="AY77" i="89"/>
  <c r="AR77" i="89"/>
  <c r="AK77" i="89"/>
  <c r="BM77" i="89"/>
  <c r="BT77" i="89"/>
  <c r="BF77" i="89"/>
  <c r="BW142" i="89"/>
  <c r="BM142" i="89"/>
  <c r="AR142" i="89"/>
  <c r="AK142" i="89"/>
  <c r="AY142" i="89"/>
  <c r="BT142" i="89"/>
  <c r="BF142" i="89"/>
  <c r="BV20" i="87"/>
  <c r="AC20" i="87"/>
  <c r="AJ20" i="87"/>
  <c r="AQ20" i="87"/>
  <c r="AX20" i="87"/>
  <c r="BL20" i="87"/>
  <c r="BS20" i="87"/>
  <c r="BE20" i="87"/>
  <c r="AD134" i="87"/>
  <c r="AK134" i="87"/>
  <c r="BW129" i="89"/>
  <c r="AR129" i="89"/>
  <c r="AY129" i="89"/>
  <c r="BM129" i="89"/>
  <c r="AK129" i="89"/>
  <c r="BT129" i="89"/>
  <c r="BF129" i="89"/>
  <c r="BW81" i="89"/>
  <c r="BM81" i="89"/>
  <c r="AY81" i="89"/>
  <c r="AR81" i="89"/>
  <c r="AK81" i="89"/>
  <c r="BT81" i="89"/>
  <c r="BF81" i="89"/>
  <c r="BW26" i="89"/>
  <c r="BM26" i="89"/>
  <c r="AY26" i="89"/>
  <c r="AR26" i="89"/>
  <c r="AK26" i="89"/>
  <c r="BT26" i="89"/>
  <c r="BF26" i="89"/>
  <c r="BW209" i="89"/>
  <c r="BM209" i="89"/>
  <c r="AR209" i="89"/>
  <c r="AY209" i="89"/>
  <c r="AK209" i="89"/>
  <c r="BT209" i="89"/>
  <c r="BF209" i="89"/>
  <c r="AY146" i="87"/>
  <c r="BM146" i="87"/>
  <c r="AR146" i="87"/>
  <c r="BT146" i="87"/>
  <c r="BF146" i="87"/>
  <c r="BW150" i="89"/>
  <c r="AY150" i="89"/>
  <c r="AK150" i="89"/>
  <c r="AR150" i="89"/>
  <c r="BM150" i="89"/>
  <c r="BT150" i="89"/>
  <c r="BF150" i="89"/>
  <c r="BW133" i="89"/>
  <c r="BM133" i="89"/>
  <c r="AY133" i="89"/>
  <c r="AR133" i="89"/>
  <c r="AK133" i="89"/>
  <c r="BT133" i="89"/>
  <c r="BF133" i="89"/>
  <c r="AC24" i="87"/>
  <c r="AJ24" i="87"/>
  <c r="AQ24" i="87"/>
  <c r="AX24" i="87"/>
  <c r="BL24" i="87"/>
  <c r="BS24" i="87"/>
  <c r="BE24" i="87"/>
  <c r="BW192" i="89"/>
  <c r="BM192" i="89"/>
  <c r="AY192" i="89"/>
  <c r="AR192" i="89"/>
  <c r="AK192" i="89"/>
  <c r="BT192" i="89"/>
  <c r="BF192" i="89"/>
  <c r="BW234" i="89"/>
  <c r="BM234" i="89"/>
  <c r="AY234" i="89"/>
  <c r="AR234" i="89"/>
  <c r="AK234" i="89"/>
  <c r="BT234" i="89"/>
  <c r="BF234" i="89"/>
  <c r="BW188" i="89"/>
  <c r="BM188" i="89"/>
  <c r="AY188" i="89"/>
  <c r="AR188" i="89"/>
  <c r="AK188" i="89"/>
  <c r="BT188" i="89"/>
  <c r="BF188" i="89"/>
  <c r="BW230" i="89"/>
  <c r="BW222" i="89" s="1"/>
  <c r="BM230" i="89"/>
  <c r="AY230" i="89"/>
  <c r="AR230" i="89"/>
  <c r="AK230" i="89"/>
  <c r="BT230" i="89"/>
  <c r="BF230" i="89"/>
  <c r="AW63" i="87"/>
  <c r="AI63" i="87"/>
  <c r="AB63" i="87"/>
  <c r="AP63" i="87"/>
  <c r="BK63" i="87"/>
  <c r="BR63" i="87"/>
  <c r="BD63" i="87"/>
  <c r="AQ45" i="87"/>
  <c r="AX45" i="87"/>
  <c r="BL45" i="87"/>
  <c r="AC45" i="87"/>
  <c r="AJ45" i="87"/>
  <c r="BS45" i="87"/>
  <c r="BE45" i="87"/>
  <c r="BW64" i="89"/>
  <c r="BM64" i="89"/>
  <c r="AY64" i="89"/>
  <c r="AR64" i="89"/>
  <c r="AK64" i="89"/>
  <c r="BT64" i="89"/>
  <c r="BF64" i="89"/>
  <c r="BW18" i="89"/>
  <c r="BM18" i="89"/>
  <c r="AY18" i="89"/>
  <c r="AR18" i="89"/>
  <c r="AK18" i="89"/>
  <c r="BT18" i="89"/>
  <c r="BF18" i="89"/>
  <c r="BW60" i="89"/>
  <c r="AY60" i="89"/>
  <c r="AR60" i="89"/>
  <c r="BM60" i="89"/>
  <c r="AK60" i="89"/>
  <c r="BT60" i="89"/>
  <c r="BF60" i="89"/>
  <c r="AJ121" i="87"/>
  <c r="BL121" i="87"/>
  <c r="AX121" i="87"/>
  <c r="AQ121" i="87"/>
  <c r="AC121" i="87"/>
  <c r="BS121" i="87"/>
  <c r="BE121" i="87"/>
  <c r="BW39" i="89"/>
  <c r="AY39" i="89"/>
  <c r="AK39" i="89"/>
  <c r="BM39" i="89"/>
  <c r="AR39" i="89"/>
  <c r="BT39" i="89"/>
  <c r="BF39" i="89"/>
  <c r="BF31" i="89" s="1"/>
  <c r="BW85" i="89"/>
  <c r="BM85" i="89"/>
  <c r="AY85" i="89"/>
  <c r="AR85" i="89"/>
  <c r="AK85" i="89"/>
  <c r="BT85" i="89"/>
  <c r="BF85" i="89"/>
  <c r="AX125" i="87"/>
  <c r="BL125" i="87"/>
  <c r="AQ125" i="87"/>
  <c r="AJ125" i="87"/>
  <c r="AC125" i="87"/>
  <c r="BS125" i="87"/>
  <c r="BE125" i="87"/>
  <c r="AQ30" i="87"/>
  <c r="AX30" i="87"/>
  <c r="AJ30" i="87"/>
  <c r="BL30" i="87"/>
  <c r="AC30" i="87"/>
  <c r="BS30" i="87"/>
  <c r="BE30" i="87"/>
  <c r="BW171" i="89"/>
  <c r="AR171" i="89"/>
  <c r="AY171" i="89"/>
  <c r="AK171" i="89"/>
  <c r="BM171" i="89"/>
  <c r="BT171" i="89"/>
  <c r="BF171" i="89"/>
  <c r="AC124" i="95"/>
  <c r="CJ124" i="95" s="1"/>
  <c r="BV184" i="89"/>
  <c r="AJ184" i="89"/>
  <c r="AX184" i="89"/>
  <c r="BL184" i="89"/>
  <c r="AQ184" i="89"/>
  <c r="BS184" i="89"/>
  <c r="BE184" i="89"/>
  <c r="BV196" i="89"/>
  <c r="BL196" i="89"/>
  <c r="AX196" i="89"/>
  <c r="AQ196" i="89"/>
  <c r="AJ196" i="89"/>
  <c r="BS196" i="89"/>
  <c r="BE196" i="89"/>
  <c r="BV226" i="89"/>
  <c r="BL226" i="89"/>
  <c r="BL222" i="89" s="1"/>
  <c r="AX226" i="89"/>
  <c r="AX222" i="89" s="1"/>
  <c r="AQ226" i="89"/>
  <c r="AQ222" i="89" s="1"/>
  <c r="AJ226" i="89"/>
  <c r="AJ222" i="89" s="1"/>
  <c r="BS226" i="89"/>
  <c r="BS222" i="89" s="1"/>
  <c r="BE226" i="89"/>
  <c r="BE222" i="89" s="1"/>
  <c r="BW154" i="89"/>
  <c r="BM154" i="89"/>
  <c r="AY154" i="89"/>
  <c r="AR154" i="89"/>
  <c r="AK154" i="89"/>
  <c r="BT154" i="89"/>
  <c r="BF154" i="89"/>
  <c r="BW115" i="89"/>
  <c r="BM115" i="89"/>
  <c r="AY115" i="89"/>
  <c r="AR115" i="89"/>
  <c r="AK115" i="89"/>
  <c r="BT115" i="89"/>
  <c r="BF115" i="89"/>
  <c r="AR275" i="87"/>
  <c r="AR262" i="87" s="1"/>
  <c r="AK275" i="87"/>
  <c r="AK262" i="87" s="1"/>
  <c r="BM275" i="87"/>
  <c r="BM262" i="87" s="1"/>
  <c r="AY275" i="87"/>
  <c r="AY262" i="87" s="1"/>
  <c r="AD275" i="87"/>
  <c r="AD262" i="87" s="1"/>
  <c r="BW274" i="87"/>
  <c r="BW262" i="87" s="1"/>
  <c r="BT275" i="87"/>
  <c r="BT262" i="87" s="1"/>
  <c r="BF275" i="87"/>
  <c r="BF262" i="87" s="1"/>
  <c r="BW349" i="89"/>
  <c r="BM349" i="89"/>
  <c r="AY349" i="89"/>
  <c r="AR349" i="89"/>
  <c r="AK349" i="89"/>
  <c r="BT349" i="89"/>
  <c r="BF349" i="89"/>
  <c r="BW268" i="89"/>
  <c r="BW260" i="89" s="1"/>
  <c r="BM268" i="89"/>
  <c r="BM260" i="89" s="1"/>
  <c r="AY268" i="89"/>
  <c r="AY260" i="89" s="1"/>
  <c r="AR268" i="89"/>
  <c r="AR260" i="89" s="1"/>
  <c r="AK268" i="89"/>
  <c r="AK260" i="89" s="1"/>
  <c r="BT268" i="89"/>
  <c r="BT260" i="89" s="1"/>
  <c r="BF268" i="89"/>
  <c r="BF260" i="89" s="1"/>
  <c r="BW345" i="89"/>
  <c r="BW341" i="89" s="1"/>
  <c r="BM345" i="89"/>
  <c r="BM341" i="89" s="1"/>
  <c r="AK345" i="89"/>
  <c r="AK341" i="89" s="1"/>
  <c r="AY345" i="89"/>
  <c r="AY341" i="89" s="1"/>
  <c r="AR345" i="89"/>
  <c r="AR341" i="89" s="1"/>
  <c r="BT345" i="89"/>
  <c r="BF345" i="89"/>
  <c r="AW217" i="89"/>
  <c r="AI217" i="89"/>
  <c r="BK217" i="89"/>
  <c r="AP217" i="89"/>
  <c r="BR217" i="89"/>
  <c r="BD217" i="89"/>
  <c r="AB217" i="89"/>
  <c r="AC133" i="95"/>
  <c r="BS341" i="89"/>
  <c r="BL341" i="89"/>
  <c r="AQ341" i="89"/>
  <c r="AX341" i="89"/>
  <c r="BV341" i="89"/>
  <c r="AW213" i="89"/>
  <c r="AI213" i="89"/>
  <c r="BK213" i="89"/>
  <c r="AP213" i="89"/>
  <c r="BR213" i="89"/>
  <c r="BD213" i="89"/>
  <c r="BD201" i="89" s="1"/>
  <c r="AB213" i="89"/>
  <c r="AB201" i="89" s="1"/>
  <c r="AC132" i="95"/>
  <c r="BL104" i="87"/>
  <c r="AX104" i="87"/>
  <c r="AQ104" i="87"/>
  <c r="AJ104" i="87"/>
  <c r="AC104" i="87"/>
  <c r="BS104" i="87"/>
  <c r="BE104" i="87"/>
  <c r="BD180" i="89"/>
  <c r="BR180" i="89"/>
  <c r="AP180" i="89"/>
  <c r="BK180" i="89"/>
  <c r="AW180" i="89"/>
  <c r="AI180" i="89"/>
  <c r="BD15" i="87"/>
  <c r="BD10" i="87"/>
  <c r="E88" i="96"/>
  <c r="E90" i="96"/>
  <c r="BR15" i="87"/>
  <c r="BR10" i="87"/>
  <c r="D90" i="96" s="1"/>
  <c r="AI10" i="87"/>
  <c r="AI15" i="87"/>
  <c r="E89" i="96"/>
  <c r="BK10" i="87"/>
  <c r="D89" i="96" s="1"/>
  <c r="BK15" i="87"/>
  <c r="AB15" i="87"/>
  <c r="AB10" i="87"/>
  <c r="AP15" i="87"/>
  <c r="AP10" i="87"/>
  <c r="AW15" i="87"/>
  <c r="AW10" i="87"/>
  <c r="AJ134" i="87"/>
  <c r="AC134" i="87"/>
  <c r="BD35" i="87"/>
  <c r="G90" i="96"/>
  <c r="BR35" i="87"/>
  <c r="G89" i="96"/>
  <c r="BK35" i="87"/>
  <c r="AW35" i="87"/>
  <c r="AP35" i="87"/>
  <c r="AI35" i="87"/>
  <c r="AB35" i="87"/>
  <c r="BT31" i="89"/>
  <c r="BM31" i="89"/>
  <c r="AY31" i="89"/>
  <c r="AK31" i="89"/>
  <c r="AR31" i="89"/>
  <c r="BW31" i="89"/>
  <c r="BF134" i="87"/>
  <c r="BT134" i="87"/>
  <c r="AR134" i="87"/>
  <c r="BM134" i="87"/>
  <c r="AY134" i="87"/>
  <c r="BS113" i="87"/>
  <c r="AJ113" i="87"/>
  <c r="AQ113" i="87"/>
  <c r="AX113" i="87"/>
  <c r="BL113" i="87"/>
  <c r="AC113" i="87"/>
  <c r="BR201" i="89"/>
  <c r="N90" i="96" s="1"/>
  <c r="AW201" i="89"/>
  <c r="BK201" i="89"/>
  <c r="N89" i="96" s="1"/>
  <c r="AP201" i="89"/>
  <c r="AI201" i="89"/>
  <c r="BE107" i="89"/>
  <c r="BS107" i="89"/>
  <c r="AQ107" i="89"/>
  <c r="BL107" i="89"/>
  <c r="AX107" i="89"/>
  <c r="AJ107" i="89"/>
  <c r="BV107" i="89"/>
  <c r="BE52" i="89"/>
  <c r="BS52" i="89"/>
  <c r="AX52" i="89"/>
  <c r="BL52" i="89"/>
  <c r="AJ52" i="89"/>
  <c r="AQ52" i="89"/>
  <c r="BV52" i="89"/>
  <c r="BE73" i="89"/>
  <c r="BS73" i="89"/>
  <c r="AQ73" i="89"/>
  <c r="AJ73" i="89"/>
  <c r="AX73" i="89"/>
  <c r="BL73" i="89"/>
  <c r="BV73" i="89"/>
  <c r="BE10" i="89"/>
  <c r="BS10" i="89"/>
  <c r="AQ10" i="89"/>
  <c r="AX10" i="89"/>
  <c r="BL10" i="89"/>
  <c r="AJ10" i="89"/>
  <c r="BV10" i="89"/>
  <c r="Q91" i="96" s="1"/>
  <c r="BE159" i="89"/>
  <c r="BS159" i="89"/>
  <c r="AJ159" i="89"/>
  <c r="AQ159" i="89"/>
  <c r="AX159" i="89"/>
  <c r="BL159" i="89"/>
  <c r="BV159" i="89"/>
  <c r="BE138" i="89"/>
  <c r="BS138" i="89"/>
  <c r="BL138" i="89"/>
  <c r="AJ138" i="89"/>
  <c r="AQ138" i="89"/>
  <c r="AX138" i="89"/>
  <c r="BV138" i="89"/>
  <c r="S91" i="96" s="1"/>
  <c r="BV222" i="89"/>
  <c r="M91" i="96" s="1"/>
  <c r="R40" i="84"/>
  <c r="E23" i="85"/>
  <c r="Q87" i="85"/>
  <c r="F87" i="85" s="1"/>
  <c r="G12" i="86"/>
  <c r="L285" i="101"/>
  <c r="P285" i="101" s="1"/>
  <c r="H257" i="87"/>
  <c r="H201" i="101"/>
  <c r="G201" i="101" s="1"/>
  <c r="H329" i="87"/>
  <c r="H218" i="101"/>
  <c r="G218" i="101" s="1"/>
  <c r="H168" i="87"/>
  <c r="H180" i="101"/>
  <c r="G180" i="101" s="1"/>
  <c r="H262" i="87"/>
  <c r="H202" i="101"/>
  <c r="G202" i="101" s="1"/>
  <c r="H299" i="87"/>
  <c r="H211" i="101"/>
  <c r="G211" i="101" s="1"/>
  <c r="H342" i="87"/>
  <c r="H221" i="101"/>
  <c r="G221" i="101" s="1"/>
  <c r="H295" i="87"/>
  <c r="H210" i="101"/>
  <c r="G210" i="101" s="1"/>
  <c r="H253" i="87"/>
  <c r="H200" i="101"/>
  <c r="G200" i="101" s="1"/>
  <c r="H164" i="87"/>
  <c r="H179" i="101"/>
  <c r="G179" i="101" s="1"/>
  <c r="H291" i="87"/>
  <c r="H209" i="101"/>
  <c r="G209" i="101" s="1"/>
  <c r="H117" i="101"/>
  <c r="G117" i="101" s="1"/>
  <c r="H124" i="88"/>
  <c r="U124" i="88"/>
  <c r="H285" i="89"/>
  <c r="H67" i="101"/>
  <c r="G67" i="101" s="1"/>
  <c r="AC341" i="89"/>
  <c r="H289" i="89"/>
  <c r="H68" i="101"/>
  <c r="G68" i="101" s="1"/>
  <c r="H293" i="89"/>
  <c r="H69" i="101"/>
  <c r="G69" i="101" s="1"/>
  <c r="H319" i="89"/>
  <c r="H75" i="101"/>
  <c r="G75" i="101" s="1"/>
  <c r="H336" i="89"/>
  <c r="H79" i="101"/>
  <c r="G79" i="101" s="1"/>
  <c r="H272" i="89"/>
  <c r="H64" i="101"/>
  <c r="G64" i="101" s="1"/>
  <c r="H268" i="89"/>
  <c r="H63" i="101"/>
  <c r="G63" i="101" s="1"/>
  <c r="H323" i="89"/>
  <c r="H76" i="101"/>
  <c r="G76" i="101" s="1"/>
  <c r="H366" i="89"/>
  <c r="H86" i="101"/>
  <c r="G86" i="101" s="1"/>
  <c r="H370" i="89"/>
  <c r="H87" i="101"/>
  <c r="G87" i="101" s="1"/>
  <c r="H349" i="89"/>
  <c r="H82" i="101"/>
  <c r="G82" i="101" s="1"/>
  <c r="H353" i="89"/>
  <c r="H83" i="101"/>
  <c r="G83" i="101" s="1"/>
  <c r="H83" i="84"/>
  <c r="H13" i="84"/>
  <c r="I222" i="101" s="1"/>
  <c r="M222" i="101" s="1"/>
  <c r="I226" i="101"/>
  <c r="M226" i="101" s="1"/>
  <c r="R14" i="84"/>
  <c r="M174" i="101"/>
  <c r="G174" i="101" s="1"/>
  <c r="O175" i="101"/>
  <c r="G175" i="101" s="1"/>
  <c r="H229" i="101"/>
  <c r="G229" i="101" s="1"/>
  <c r="H46" i="84"/>
  <c r="H240" i="101"/>
  <c r="G240" i="101" s="1"/>
  <c r="H248" i="84"/>
  <c r="H224" i="101"/>
  <c r="G224" i="101" s="1"/>
  <c r="H20" i="84"/>
  <c r="H243" i="84"/>
  <c r="H239" i="101"/>
  <c r="G239" i="101" s="1"/>
  <c r="H34" i="84"/>
  <c r="K226" i="101" s="1"/>
  <c r="O226" i="101" s="1"/>
  <c r="R267" i="84"/>
  <c r="H267" i="84" s="1"/>
  <c r="K243" i="101" s="1"/>
  <c r="O243" i="101" s="1"/>
  <c r="R234" i="84"/>
  <c r="R239" i="84" s="1"/>
  <c r="H239" i="84" s="1"/>
  <c r="R11" i="84"/>
  <c r="H16" i="84"/>
  <c r="H223" i="101" s="1"/>
  <c r="R52" i="84"/>
  <c r="H52" i="84" s="1"/>
  <c r="R266" i="84"/>
  <c r="H266" i="84" s="1"/>
  <c r="E118" i="85"/>
  <c r="D118" i="85"/>
  <c r="Q155" i="85"/>
  <c r="F155" i="85" s="1"/>
  <c r="E155" i="85"/>
  <c r="Q71" i="85"/>
  <c r="E71" i="85"/>
  <c r="U278" i="89"/>
  <c r="AD80" i="96" s="1"/>
  <c r="G108" i="87"/>
  <c r="U109" i="87"/>
  <c r="H109" i="87" s="1"/>
  <c r="H108" i="87" s="1"/>
  <c r="G313" i="89"/>
  <c r="G328" i="89"/>
  <c r="G312" i="89" s="1"/>
  <c r="CD211" i="95"/>
  <c r="BP211" i="95"/>
  <c r="BI211" i="95"/>
  <c r="BB211" i="95"/>
  <c r="CK211" i="95"/>
  <c r="AU211" i="95"/>
  <c r="BW211" i="95"/>
  <c r="H333" i="89"/>
  <c r="H78" i="101" s="1"/>
  <c r="G78" i="101" s="1"/>
  <c r="U329" i="89"/>
  <c r="U313" i="89" s="1"/>
  <c r="F313" i="89"/>
  <c r="F301" i="89" s="1"/>
  <c r="F328" i="89"/>
  <c r="F312" i="89" s="1"/>
  <c r="AD345" i="89"/>
  <c r="U157" i="87"/>
  <c r="H161" i="87"/>
  <c r="H178" i="101" s="1"/>
  <c r="G178" i="101" s="1"/>
  <c r="H339" i="87"/>
  <c r="U335" i="87"/>
  <c r="H316" i="89"/>
  <c r="U312" i="89"/>
  <c r="AD268" i="89"/>
  <c r="H250" i="87"/>
  <c r="U246" i="87"/>
  <c r="U322" i="87"/>
  <c r="H326" i="87"/>
  <c r="H217" i="101" s="1"/>
  <c r="G217" i="101" s="1"/>
  <c r="H288" i="87"/>
  <c r="H208" i="101" s="1"/>
  <c r="G208" i="101" s="1"/>
  <c r="U284" i="87"/>
  <c r="U342" i="89"/>
  <c r="H346" i="89"/>
  <c r="H81" i="101" s="1"/>
  <c r="G81" i="101" s="1"/>
  <c r="AD349" i="89"/>
  <c r="H363" i="89"/>
  <c r="H85" i="101" s="1"/>
  <c r="G85" i="101" s="1"/>
  <c r="U359" i="89"/>
  <c r="H278" i="89"/>
  <c r="H281" i="89"/>
  <c r="AC260" i="89"/>
  <c r="H265" i="89"/>
  <c r="H62" i="101" s="1"/>
  <c r="G62" i="101" s="1"/>
  <c r="U261" i="89"/>
  <c r="H215" i="89"/>
  <c r="I50" i="101" s="1"/>
  <c r="M50" i="101" s="1"/>
  <c r="H219" i="89"/>
  <c r="I51" i="101" s="1"/>
  <c r="M51" i="101" s="1"/>
  <c r="H193" i="89"/>
  <c r="H45" i="101" s="1"/>
  <c r="H195" i="89"/>
  <c r="K45" i="101" s="1"/>
  <c r="O45" i="101" s="1"/>
  <c r="H197" i="89"/>
  <c r="H46" i="101" s="1"/>
  <c r="H239" i="89"/>
  <c r="H56" i="101" s="1"/>
  <c r="H214" i="89"/>
  <c r="H50" i="101" s="1"/>
  <c r="H236" i="89"/>
  <c r="I55" i="101" s="1"/>
  <c r="M55" i="101" s="1"/>
  <c r="AY14" i="88"/>
  <c r="AK14" i="88"/>
  <c r="P85" i="96"/>
  <c r="AD14" i="88"/>
  <c r="BF14" i="88"/>
  <c r="AD111" i="89"/>
  <c r="AD107" i="89" s="1"/>
  <c r="AD125" i="95"/>
  <c r="AD135" i="95"/>
  <c r="BT14" i="88"/>
  <c r="AZ134" i="95"/>
  <c r="AS134" i="95"/>
  <c r="Q87" i="96"/>
  <c r="BO121" i="95"/>
  <c r="AB222" i="89"/>
  <c r="D34" i="85"/>
  <c r="D30" i="85" s="1"/>
  <c r="E34" i="85"/>
  <c r="H128" i="85"/>
  <c r="H108" i="85" s="1"/>
  <c r="H97" i="85"/>
  <c r="E97" i="85" s="1"/>
  <c r="H44" i="85"/>
  <c r="H29" i="85" s="1"/>
  <c r="Q23" i="85"/>
  <c r="W82" i="96" s="1"/>
  <c r="H160" i="85"/>
  <c r="H150" i="85" s="1"/>
  <c r="I80" i="85"/>
  <c r="G76" i="84"/>
  <c r="R76" i="84"/>
  <c r="I108" i="85"/>
  <c r="H265" i="84"/>
  <c r="J243" i="101" s="1"/>
  <c r="N243" i="101" s="1"/>
  <c r="H183" i="84"/>
  <c r="H106" i="85"/>
  <c r="J108" i="85"/>
  <c r="O81" i="85"/>
  <c r="I106" i="85"/>
  <c r="O108" i="85"/>
  <c r="N108" i="85"/>
  <c r="L106" i="85"/>
  <c r="K108" i="85"/>
  <c r="L108" i="85"/>
  <c r="K106" i="85"/>
  <c r="M108" i="85"/>
  <c r="M106" i="85"/>
  <c r="N106" i="85"/>
  <c r="Q111" i="85"/>
  <c r="Q112" i="85"/>
  <c r="E113" i="85"/>
  <c r="O149" i="85"/>
  <c r="F55" i="85"/>
  <c r="K250" i="101" s="1"/>
  <c r="O250" i="101" s="1"/>
  <c r="F34" i="85"/>
  <c r="K246" i="101" s="1"/>
  <c r="O246" i="101" s="1"/>
  <c r="E32" i="85"/>
  <c r="E33" i="85"/>
  <c r="Q33" i="85"/>
  <c r="E137" i="85"/>
  <c r="Q138" i="85"/>
  <c r="E138" i="85"/>
  <c r="E38" i="85"/>
  <c r="Q38" i="85"/>
  <c r="F38" i="85" s="1"/>
  <c r="I247" i="101" s="1"/>
  <c r="M247" i="101" s="1"/>
  <c r="Q53" i="85"/>
  <c r="E54" i="85"/>
  <c r="Q54" i="85"/>
  <c r="H66" i="85"/>
  <c r="E21" i="85"/>
  <c r="E22" i="85"/>
  <c r="Q22" i="85"/>
  <c r="F22" i="85" s="1"/>
  <c r="I244" i="101" s="1"/>
  <c r="M244" i="101" s="1"/>
  <c r="O133" i="85"/>
  <c r="Q153" i="85"/>
  <c r="F153" i="85" s="1"/>
  <c r="E154" i="85"/>
  <c r="Q154" i="85"/>
  <c r="E69" i="85"/>
  <c r="E70" i="85"/>
  <c r="Q70" i="85"/>
  <c r="E90" i="85"/>
  <c r="Q91" i="85"/>
  <c r="F91" i="85" s="1"/>
  <c r="I257" i="101" s="1"/>
  <c r="M257" i="101" s="1"/>
  <c r="E91" i="85"/>
  <c r="G159" i="85"/>
  <c r="G148" i="85" s="1"/>
  <c r="E16" i="85"/>
  <c r="Q16" i="85"/>
  <c r="Q116" i="85"/>
  <c r="F116" i="85" s="1"/>
  <c r="J262" i="101" s="1"/>
  <c r="N262" i="101" s="1"/>
  <c r="Q117" i="85"/>
  <c r="F32" i="85"/>
  <c r="J246" i="101" s="1"/>
  <c r="N246" i="101" s="1"/>
  <c r="E85" i="85"/>
  <c r="Q86" i="85"/>
  <c r="E86" i="85"/>
  <c r="BW136" i="88"/>
  <c r="H44" i="84"/>
  <c r="R39" i="84"/>
  <c r="G87" i="96"/>
  <c r="G85" i="96"/>
  <c r="BW153" i="88"/>
  <c r="AC31" i="89"/>
  <c r="AB180" i="89"/>
  <c r="BV170" i="88"/>
  <c r="BE170" i="88"/>
  <c r="G88" i="96"/>
  <c r="G86" i="96"/>
  <c r="M85" i="96"/>
  <c r="AX170" i="88"/>
  <c r="E83" i="96"/>
  <c r="M86" i="96"/>
  <c r="AX204" i="88"/>
  <c r="BV39" i="88"/>
  <c r="AC204" i="88"/>
  <c r="BE187" i="88"/>
  <c r="G83" i="96"/>
  <c r="BL170" i="88"/>
  <c r="AQ170" i="88"/>
  <c r="AC159" i="89"/>
  <c r="AC170" i="88"/>
  <c r="AC138" i="89"/>
  <c r="F83" i="96"/>
  <c r="D139" i="85"/>
  <c r="D135" i="85" s="1"/>
  <c r="D87" i="85"/>
  <c r="D83" i="85" s="1"/>
  <c r="Q139" i="85"/>
  <c r="F139" i="85" s="1"/>
  <c r="D113" i="85"/>
  <c r="D109" i="85" s="1"/>
  <c r="H134" i="85"/>
  <c r="Q113" i="85"/>
  <c r="Q39" i="85"/>
  <c r="F39" i="85" s="1"/>
  <c r="K247" i="101" s="1"/>
  <c r="O247" i="101" s="1"/>
  <c r="D39" i="85"/>
  <c r="D35" i="85" s="1"/>
  <c r="R38" i="84"/>
  <c r="Q90" i="85"/>
  <c r="F90" i="85" s="1"/>
  <c r="J257" i="101" s="1"/>
  <c r="N257" i="101" s="1"/>
  <c r="E8" i="85"/>
  <c r="E111" i="85"/>
  <c r="Q85" i="85"/>
  <c r="F85" i="85" s="1"/>
  <c r="J256" i="101" s="1"/>
  <c r="N256" i="101" s="1"/>
  <c r="E116" i="85"/>
  <c r="H12" i="84"/>
  <c r="J222" i="101" s="1"/>
  <c r="N222" i="101" s="1"/>
  <c r="R12" i="84"/>
  <c r="G11" i="84"/>
  <c r="G10" i="84" s="1"/>
  <c r="G30" i="84"/>
  <c r="Q21" i="85"/>
  <c r="W81" i="96" s="1"/>
  <c r="BN134" i="95"/>
  <c r="AD184" i="89"/>
  <c r="AD192" i="89"/>
  <c r="BK234" i="88"/>
  <c r="AI234" i="88"/>
  <c r="BR234" i="88"/>
  <c r="AP234" i="88"/>
  <c r="AB234" i="88"/>
  <c r="AW234" i="88"/>
  <c r="BD234" i="88"/>
  <c r="BW68" i="88"/>
  <c r="AJ204" i="88"/>
  <c r="AX187" i="88"/>
  <c r="AD47" i="89"/>
  <c r="BV238" i="88"/>
  <c r="AQ238" i="88"/>
  <c r="BL238" i="88"/>
  <c r="AC238" i="88"/>
  <c r="AX238" i="88"/>
  <c r="AJ238" i="88"/>
  <c r="BS238" i="88"/>
  <c r="BE238" i="88"/>
  <c r="AD238" i="89"/>
  <c r="AD234" i="89"/>
  <c r="AD60" i="89"/>
  <c r="AC196" i="89"/>
  <c r="AJ170" i="88"/>
  <c r="BS204" i="88"/>
  <c r="BV107" i="95"/>
  <c r="BL187" i="88"/>
  <c r="CJ107" i="95"/>
  <c r="CC107" i="95"/>
  <c r="AD98" i="89"/>
  <c r="AD94" i="89" s="1"/>
  <c r="AD77" i="89"/>
  <c r="AD226" i="89"/>
  <c r="AC226" i="89"/>
  <c r="AC222" i="89" s="1"/>
  <c r="AQ204" i="88"/>
  <c r="AJ187" i="88"/>
  <c r="AC10" i="89"/>
  <c r="AD175" i="89"/>
  <c r="AD150" i="89"/>
  <c r="AD154" i="89"/>
  <c r="BW10" i="88"/>
  <c r="BV204" i="88"/>
  <c r="AC187" i="88"/>
  <c r="AD163" i="89"/>
  <c r="AD142" i="89"/>
  <c r="AD133" i="89"/>
  <c r="BW212" i="88"/>
  <c r="AY212" i="88"/>
  <c r="BM212" i="88"/>
  <c r="BT212" i="88"/>
  <c r="AR212" i="88"/>
  <c r="AD212" i="88"/>
  <c r="AK212" i="88"/>
  <c r="BF212" i="88"/>
  <c r="AC73" i="89"/>
  <c r="BO107" i="95"/>
  <c r="BS187" i="88"/>
  <c r="AD188" i="89"/>
  <c r="AD85" i="89"/>
  <c r="AT107" i="95"/>
  <c r="AQ187" i="88"/>
  <c r="AD196" i="89"/>
  <c r="AD230" i="89"/>
  <c r="BH107" i="95"/>
  <c r="BV187" i="88"/>
  <c r="AD56" i="89"/>
  <c r="BV242" i="88"/>
  <c r="AX242" i="88"/>
  <c r="AJ242" i="88"/>
  <c r="AQ242" i="88"/>
  <c r="BS242" i="88"/>
  <c r="AC242" i="88"/>
  <c r="BL242" i="88"/>
  <c r="BE242" i="88"/>
  <c r="AC52" i="89"/>
  <c r="BA107" i="95"/>
  <c r="BC230" i="88"/>
  <c r="AD14" i="89"/>
  <c r="AD64" i="89"/>
  <c r="BW178" i="88"/>
  <c r="AR178" i="88"/>
  <c r="AD178" i="88"/>
  <c r="BM178" i="88"/>
  <c r="AK178" i="88"/>
  <c r="BT178" i="88"/>
  <c r="AY178" i="88"/>
  <c r="BF178" i="88"/>
  <c r="BR238" i="88"/>
  <c r="AW238" i="88"/>
  <c r="AI238" i="88"/>
  <c r="AB238" i="88"/>
  <c r="AP238" i="88"/>
  <c r="BK238" i="88"/>
  <c r="BD238" i="88"/>
  <c r="AD171" i="89"/>
  <c r="AA230" i="88"/>
  <c r="AC205" i="89"/>
  <c r="AD129" i="89"/>
  <c r="AD18" i="89"/>
  <c r="BW225" i="88"/>
  <c r="BT225" i="88"/>
  <c r="AY225" i="88"/>
  <c r="AD225" i="88"/>
  <c r="BM225" i="88"/>
  <c r="AR225" i="88"/>
  <c r="AK225" i="88"/>
  <c r="BF225" i="88"/>
  <c r="BW51" i="88"/>
  <c r="BW47" i="88"/>
  <c r="BQ230" i="88"/>
  <c r="BW191" i="88"/>
  <c r="AK191" i="88"/>
  <c r="BT191" i="88"/>
  <c r="BM191" i="88"/>
  <c r="AY191" i="88"/>
  <c r="AR191" i="88"/>
  <c r="AD191" i="88"/>
  <c r="BF191" i="88"/>
  <c r="AD81" i="89"/>
  <c r="BW216" i="88"/>
  <c r="BT216" i="88"/>
  <c r="AK216" i="88"/>
  <c r="AR216" i="88"/>
  <c r="AY216" i="88"/>
  <c r="AD216" i="88"/>
  <c r="BM216" i="88"/>
  <c r="BF216" i="88"/>
  <c r="BW199" i="88"/>
  <c r="AD199" i="88"/>
  <c r="AK199" i="88"/>
  <c r="BM199" i="88"/>
  <c r="BT199" i="88"/>
  <c r="AR199" i="88"/>
  <c r="AY199" i="88"/>
  <c r="BF199" i="88"/>
  <c r="AH230" i="88"/>
  <c r="BW182" i="88"/>
  <c r="AK182" i="88"/>
  <c r="BT182" i="88"/>
  <c r="AR182" i="88"/>
  <c r="BM182" i="88"/>
  <c r="AD182" i="88"/>
  <c r="AY182" i="88"/>
  <c r="BF182" i="88"/>
  <c r="AD26" i="89"/>
  <c r="AC125" i="89"/>
  <c r="AV230" i="88"/>
  <c r="BW208" i="88"/>
  <c r="AD208" i="88"/>
  <c r="AK208" i="88"/>
  <c r="AY208" i="88"/>
  <c r="BM208" i="88"/>
  <c r="AR208" i="88"/>
  <c r="BT208" i="88"/>
  <c r="BF208" i="88"/>
  <c r="AD209" i="89"/>
  <c r="BE204" i="88"/>
  <c r="AO230" i="88"/>
  <c r="AD39" i="89"/>
  <c r="BW220" i="88"/>
  <c r="AR220" i="88"/>
  <c r="AK220" i="88"/>
  <c r="BM220" i="88"/>
  <c r="BT220" i="88"/>
  <c r="AY220" i="88"/>
  <c r="AD220" i="88"/>
  <c r="BF220" i="88"/>
  <c r="AC184" i="89"/>
  <c r="BS170" i="88"/>
  <c r="BL204" i="88"/>
  <c r="BJ230" i="88"/>
  <c r="AB255" i="89"/>
  <c r="AB251" i="89"/>
  <c r="AB247" i="89"/>
  <c r="V83" i="96"/>
  <c r="AJ153" i="88"/>
  <c r="BS153" i="88"/>
  <c r="BV44" i="95"/>
  <c r="AC110" i="88"/>
  <c r="AX110" i="88"/>
  <c r="V87" i="96"/>
  <c r="V86" i="96"/>
  <c r="BE110" i="88"/>
  <c r="AQ110" i="88"/>
  <c r="BL153" i="88"/>
  <c r="AQ10" i="88"/>
  <c r="AX136" i="88"/>
  <c r="AC10" i="88"/>
  <c r="BL39" i="88"/>
  <c r="BL110" i="88"/>
  <c r="AJ39" i="88"/>
  <c r="AX10" i="88"/>
  <c r="AC93" i="88"/>
  <c r="BS39" i="88"/>
  <c r="AQ93" i="88"/>
  <c r="BL136" i="88"/>
  <c r="AC39" i="88"/>
  <c r="BS110" i="88"/>
  <c r="BS93" i="88"/>
  <c r="AC136" i="88"/>
  <c r="BL10" i="88"/>
  <c r="BS136" i="88"/>
  <c r="BS10" i="88"/>
  <c r="AC153" i="88"/>
  <c r="AQ153" i="88"/>
  <c r="AJ136" i="88"/>
  <c r="AJ10" i="88"/>
  <c r="AJ93" i="88"/>
  <c r="BE93" i="88"/>
  <c r="AX93" i="88"/>
  <c r="BL93" i="88"/>
  <c r="BE153" i="88"/>
  <c r="BE68" i="88"/>
  <c r="AJ68" i="88"/>
  <c r="BL68" i="88"/>
  <c r="AC68" i="88"/>
  <c r="AX153" i="88"/>
  <c r="BE39" i="88"/>
  <c r="BS68" i="88"/>
  <c r="BE136" i="88"/>
  <c r="AX39" i="88"/>
  <c r="AJ110" i="88"/>
  <c r="AQ68" i="88"/>
  <c r="AQ39" i="88"/>
  <c r="BE10" i="88"/>
  <c r="AX68" i="88"/>
  <c r="AQ136" i="88"/>
  <c r="AY127" i="88"/>
  <c r="AY123" i="88" s="1"/>
  <c r="BM127" i="88"/>
  <c r="BM123" i="88" s="1"/>
  <c r="AR127" i="88"/>
  <c r="AR123" i="88" s="1"/>
  <c r="AD127" i="88"/>
  <c r="AD123" i="88" s="1"/>
  <c r="AK127" i="88"/>
  <c r="AK123" i="88" s="1"/>
  <c r="BT127" i="88"/>
  <c r="BT123" i="88" s="1"/>
  <c r="BF127" i="88"/>
  <c r="BF123" i="88" s="1"/>
  <c r="BT148" i="88"/>
  <c r="AK148" i="88"/>
  <c r="AD148" i="88"/>
  <c r="BM148" i="88"/>
  <c r="AY148" i="88"/>
  <c r="AR148" i="88"/>
  <c r="BF148" i="88"/>
  <c r="BM174" i="88"/>
  <c r="AY174" i="88"/>
  <c r="AK174" i="88"/>
  <c r="BT174" i="88"/>
  <c r="AR174" i="88"/>
  <c r="AD174" i="88"/>
  <c r="BF174" i="88"/>
  <c r="AK144" i="88"/>
  <c r="AR144" i="88"/>
  <c r="BT144" i="88"/>
  <c r="AY144" i="88"/>
  <c r="AD144" i="88"/>
  <c r="BM144" i="88"/>
  <c r="BF144" i="88"/>
  <c r="AK157" i="88"/>
  <c r="AY157" i="88"/>
  <c r="AD157" i="88"/>
  <c r="BT157" i="88"/>
  <c r="AR157" i="88"/>
  <c r="BM157" i="88"/>
  <c r="BF157" i="88"/>
  <c r="AY161" i="88"/>
  <c r="AD161" i="88"/>
  <c r="AK161" i="88"/>
  <c r="BM161" i="88"/>
  <c r="BT161" i="88"/>
  <c r="AR161" i="88"/>
  <c r="BF161" i="88"/>
  <c r="AY118" i="88"/>
  <c r="AD118" i="88"/>
  <c r="BM118" i="88"/>
  <c r="AR118" i="88"/>
  <c r="BT118" i="88"/>
  <c r="AK118" i="88"/>
  <c r="BF118" i="88"/>
  <c r="AY140" i="88"/>
  <c r="AD140" i="88"/>
  <c r="BM140" i="88"/>
  <c r="AK140" i="88"/>
  <c r="BT140" i="88"/>
  <c r="AR140" i="88"/>
  <c r="BF140" i="88"/>
  <c r="AK72" i="88"/>
  <c r="AR72" i="88"/>
  <c r="BT72" i="88"/>
  <c r="AY72" i="88"/>
  <c r="BM72" i="88"/>
  <c r="BF72" i="88"/>
  <c r="AD72" i="88"/>
  <c r="AD114" i="88"/>
  <c r="AR114" i="88"/>
  <c r="AK114" i="88"/>
  <c r="BM114" i="88"/>
  <c r="BT114" i="88"/>
  <c r="AY114" i="88"/>
  <c r="BF114" i="88"/>
  <c r="BM18" i="88"/>
  <c r="AK18" i="88"/>
  <c r="AR18" i="88"/>
  <c r="BT18" i="88"/>
  <c r="AD18" i="88"/>
  <c r="AY18" i="88"/>
  <c r="BF18" i="88"/>
  <c r="AK59" i="88"/>
  <c r="BM59" i="88"/>
  <c r="AY59" i="88"/>
  <c r="BT59" i="88"/>
  <c r="AR59" i="88"/>
  <c r="AD59" i="88"/>
  <c r="BF59" i="88"/>
  <c r="AK63" i="88"/>
  <c r="AY63" i="88"/>
  <c r="AD63" i="88"/>
  <c r="BM63" i="88"/>
  <c r="AR63" i="88"/>
  <c r="BT63" i="88"/>
  <c r="BF63" i="88"/>
  <c r="AR84" i="88"/>
  <c r="AD84" i="88"/>
  <c r="AK84" i="88"/>
  <c r="BM84" i="88"/>
  <c r="BT84" i="88"/>
  <c r="AY84" i="88"/>
  <c r="BF84" i="88"/>
  <c r="AY47" i="88"/>
  <c r="AD47" i="88"/>
  <c r="BT47" i="88"/>
  <c r="BM47" i="88"/>
  <c r="AK47" i="88"/>
  <c r="AR47" i="88"/>
  <c r="BF47" i="88"/>
  <c r="BM26" i="88"/>
  <c r="AK26" i="88"/>
  <c r="AY26" i="88"/>
  <c r="AR26" i="88"/>
  <c r="AD26" i="88"/>
  <c r="BT26" i="88"/>
  <c r="BF26" i="88"/>
  <c r="AK76" i="88"/>
  <c r="AR76" i="88"/>
  <c r="BM76" i="88"/>
  <c r="AD76" i="88"/>
  <c r="AY76" i="88"/>
  <c r="BT76" i="88"/>
  <c r="BF76" i="88"/>
  <c r="BT88" i="88"/>
  <c r="BM88" i="88"/>
  <c r="AY88" i="88"/>
  <c r="AR88" i="88"/>
  <c r="AK88" i="88"/>
  <c r="AD88" i="88"/>
  <c r="BF88" i="88"/>
  <c r="AK34" i="88"/>
  <c r="AR34" i="88"/>
  <c r="BM34" i="88"/>
  <c r="BF34" i="88"/>
  <c r="AD34" i="88"/>
  <c r="BT34" i="88"/>
  <c r="AY34" i="88"/>
  <c r="AK43" i="88"/>
  <c r="AY43" i="88"/>
  <c r="AR43" i="88"/>
  <c r="AD43" i="88"/>
  <c r="BT43" i="88"/>
  <c r="BM43" i="88"/>
  <c r="BF43" i="88"/>
  <c r="AR101" i="88"/>
  <c r="AR93" i="88" s="1"/>
  <c r="AD101" i="88"/>
  <c r="AD93" i="88" s="1"/>
  <c r="AY101" i="88"/>
  <c r="AY93" i="88" s="1"/>
  <c r="AK101" i="88"/>
  <c r="AK93" i="88" s="1"/>
  <c r="BM101" i="88"/>
  <c r="BM93" i="88" s="1"/>
  <c r="BT101" i="88"/>
  <c r="BT93" i="88" s="1"/>
  <c r="BF101" i="88"/>
  <c r="BF93" i="88" s="1"/>
  <c r="BU148" i="95"/>
  <c r="BT12" i="95"/>
  <c r="U40" i="88"/>
  <c r="BV108" i="87"/>
  <c r="BW104" i="87"/>
  <c r="BV25" i="87"/>
  <c r="BV45" i="87"/>
  <c r="BV96" i="87"/>
  <c r="BV100" i="87"/>
  <c r="BV121" i="87"/>
  <c r="BV125" i="87"/>
  <c r="BV67" i="87"/>
  <c r="BW50" i="87"/>
  <c r="BW142" i="87"/>
  <c r="BV40" i="87"/>
  <c r="BW146" i="87"/>
  <c r="BV30" i="87"/>
  <c r="F91" i="96" s="1"/>
  <c r="BW117" i="87"/>
  <c r="BW129" i="87"/>
  <c r="U74" i="89"/>
  <c r="H19" i="101"/>
  <c r="G19" i="101" s="1"/>
  <c r="H40" i="88"/>
  <c r="H97" i="101"/>
  <c r="G97" i="101" s="1"/>
  <c r="H36" i="101"/>
  <c r="G36" i="101" s="1"/>
  <c r="H139" i="89"/>
  <c r="H32" i="101" s="1"/>
  <c r="U139" i="89"/>
  <c r="S80" i="96" s="1"/>
  <c r="O80" i="96" s="1"/>
  <c r="H15" i="101"/>
  <c r="G15" i="101" s="1"/>
  <c r="H64" i="89"/>
  <c r="U53" i="89"/>
  <c r="BU124" i="95"/>
  <c r="AZ5" i="95"/>
  <c r="CJ143" i="95"/>
  <c r="Q88" i="96"/>
  <c r="S88" i="96"/>
  <c r="P88" i="96"/>
  <c r="V91" i="96"/>
  <c r="V90" i="96"/>
  <c r="V89" i="96"/>
  <c r="V88" i="96"/>
  <c r="G96" i="85"/>
  <c r="Q137" i="85"/>
  <c r="F137" i="85" s="1"/>
  <c r="E153" i="85"/>
  <c r="G143" i="85"/>
  <c r="G59" i="85"/>
  <c r="G49" i="85" s="1"/>
  <c r="G122" i="85"/>
  <c r="E15" i="85"/>
  <c r="G127" i="85"/>
  <c r="G75" i="85"/>
  <c r="G101" i="85"/>
  <c r="G43" i="85"/>
  <c r="G28" i="85" s="1"/>
  <c r="G139" i="84"/>
  <c r="Q69" i="85"/>
  <c r="G233" i="84"/>
  <c r="E53" i="85"/>
  <c r="G82" i="84"/>
  <c r="U32" i="89"/>
  <c r="BA44" i="95"/>
  <c r="U116" i="87"/>
  <c r="AD8" i="95"/>
  <c r="I113" i="101"/>
  <c r="M113" i="101" s="1"/>
  <c r="BU134" i="95"/>
  <c r="G62" i="87"/>
  <c r="F62" i="87"/>
  <c r="G170" i="88"/>
  <c r="U137" i="87"/>
  <c r="H161" i="88"/>
  <c r="U154" i="88"/>
  <c r="BN5" i="95"/>
  <c r="H115" i="101"/>
  <c r="BU5" i="95"/>
  <c r="BG5" i="95"/>
  <c r="G170" i="101"/>
  <c r="H125" i="87"/>
  <c r="AS5" i="95"/>
  <c r="AD151" i="95"/>
  <c r="AZ124" i="95"/>
  <c r="G230" i="88"/>
  <c r="G120" i="85"/>
  <c r="G41" i="85"/>
  <c r="G26" i="85" s="1"/>
  <c r="G157" i="85"/>
  <c r="G147" i="85" s="1"/>
  <c r="G125" i="85"/>
  <c r="G141" i="85"/>
  <c r="G131" i="85" s="1"/>
  <c r="G57" i="85"/>
  <c r="G47" i="85" s="1"/>
  <c r="G99" i="85"/>
  <c r="G79" i="85" s="1"/>
  <c r="G73" i="85"/>
  <c r="G63" i="85" s="1"/>
  <c r="H236" i="101"/>
  <c r="G236" i="101" s="1"/>
  <c r="M79" i="85"/>
  <c r="N74" i="84"/>
  <c r="H80" i="85"/>
  <c r="F78" i="84"/>
  <c r="I79" i="85"/>
  <c r="O82" i="85"/>
  <c r="L147" i="85"/>
  <c r="F75" i="84"/>
  <c r="L73" i="85"/>
  <c r="L63" i="85" s="1"/>
  <c r="G57" i="84"/>
  <c r="R58" i="84"/>
  <c r="F51" i="84"/>
  <c r="E123" i="85"/>
  <c r="L57" i="85"/>
  <c r="L47" i="85" s="1"/>
  <c r="L94" i="85"/>
  <c r="L120" i="85"/>
  <c r="D120" i="85" s="1"/>
  <c r="L141" i="85"/>
  <c r="L131" i="85" s="1"/>
  <c r="L41" i="85"/>
  <c r="L26" i="85" s="1"/>
  <c r="L125" i="85"/>
  <c r="L99" i="85"/>
  <c r="D100" i="85"/>
  <c r="D123" i="85"/>
  <c r="K80" i="85"/>
  <c r="E160" i="85"/>
  <c r="E150" i="85" s="1"/>
  <c r="J82" i="85"/>
  <c r="D160" i="85"/>
  <c r="D150" i="85" s="1"/>
  <c r="G51" i="84"/>
  <c r="E102" i="85"/>
  <c r="D102" i="85"/>
  <c r="H237" i="101"/>
  <c r="G237" i="101" s="1"/>
  <c r="D60" i="85"/>
  <c r="D50" i="85" s="1"/>
  <c r="E60" i="85"/>
  <c r="E50" i="85" s="1"/>
  <c r="F30" i="84"/>
  <c r="F10" i="84"/>
  <c r="Q123" i="85"/>
  <c r="F123" i="85" s="1"/>
  <c r="K263" i="101" s="1"/>
  <c r="O263" i="101" s="1"/>
  <c r="F138" i="84"/>
  <c r="G204" i="88"/>
  <c r="Q102" i="85"/>
  <c r="F102" i="85" s="1"/>
  <c r="K259" i="101" s="1"/>
  <c r="O259" i="101" s="1"/>
  <c r="G37" i="84"/>
  <c r="G36" i="84" s="1"/>
  <c r="D144" i="85"/>
  <c r="BN124" i="95"/>
  <c r="Q144" i="85"/>
  <c r="F144" i="85" s="1"/>
  <c r="E144" i="85"/>
  <c r="E134" i="85" s="1"/>
  <c r="BV54" i="95"/>
  <c r="H31" i="84"/>
  <c r="D13" i="85"/>
  <c r="Q60" i="85"/>
  <c r="F60" i="85" s="1"/>
  <c r="K251" i="101" s="1"/>
  <c r="O251" i="101" s="1"/>
  <c r="AC148" i="95"/>
  <c r="I82" i="85"/>
  <c r="BU24" i="95"/>
  <c r="G89" i="86"/>
  <c r="AZ148" i="95"/>
  <c r="BV69" i="95"/>
  <c r="AY12" i="95"/>
  <c r="BT49" i="95"/>
  <c r="U188" i="88"/>
  <c r="D58" i="85"/>
  <c r="D48" i="85" s="1"/>
  <c r="D76" i="85"/>
  <c r="D66" i="85" s="1"/>
  <c r="Q160" i="85"/>
  <c r="F160" i="85" s="1"/>
  <c r="K270" i="101" s="1"/>
  <c r="O270" i="101" s="1"/>
  <c r="E76" i="85"/>
  <c r="E66" i="85" s="1"/>
  <c r="Q76" i="85"/>
  <c r="F76" i="85" s="1"/>
  <c r="K254" i="101" s="1"/>
  <c r="O254" i="101" s="1"/>
  <c r="BO44" i="95"/>
  <c r="D74" i="85"/>
  <c r="D64" i="85" s="1"/>
  <c r="D126" i="85"/>
  <c r="M105" i="85"/>
  <c r="G205" i="89"/>
  <c r="J79" i="85"/>
  <c r="G264" i="84"/>
  <c r="D142" i="85"/>
  <c r="D132" i="85" s="1"/>
  <c r="F264" i="84"/>
  <c r="F263" i="84" s="1"/>
  <c r="BG124" i="95"/>
  <c r="G159" i="89"/>
  <c r="H188" i="88"/>
  <c r="H130" i="101" s="1"/>
  <c r="H132" i="101"/>
  <c r="G132" i="101" s="1"/>
  <c r="H79" i="85"/>
  <c r="AT44" i="95"/>
  <c r="AS148" i="95"/>
  <c r="D114" i="85"/>
  <c r="AS124" i="95"/>
  <c r="D94" i="85"/>
  <c r="G125" i="89"/>
  <c r="AC5" i="95"/>
  <c r="F71" i="85"/>
  <c r="K253" i="101" s="1"/>
  <c r="O253" i="101" s="1"/>
  <c r="D158" i="85"/>
  <c r="D148" i="85" s="1"/>
  <c r="BF12" i="95"/>
  <c r="BH44" i="95"/>
  <c r="G39" i="88"/>
  <c r="Q158" i="85"/>
  <c r="F158" i="85" s="1"/>
  <c r="E158" i="85"/>
  <c r="G75" i="84"/>
  <c r="G80" i="84"/>
  <c r="D121" i="85"/>
  <c r="D95" i="85"/>
  <c r="D42" i="85"/>
  <c r="D27" i="85" s="1"/>
  <c r="H140" i="84"/>
  <c r="BN148" i="95"/>
  <c r="BO65" i="95"/>
  <c r="F77" i="84"/>
  <c r="G72" i="87"/>
  <c r="G225" i="89"/>
  <c r="BH69" i="95"/>
  <c r="BA65" i="95"/>
  <c r="BV65" i="95"/>
  <c r="U73" i="87"/>
  <c r="H160" i="101"/>
  <c r="G160" i="101" s="1"/>
  <c r="U235" i="89"/>
  <c r="BG148" i="95"/>
  <c r="CB124" i="95"/>
  <c r="CI124" i="95"/>
  <c r="AD150" i="95"/>
  <c r="BA69" i="95"/>
  <c r="CD44" i="95"/>
  <c r="CK44" i="95"/>
  <c r="CB129" i="95"/>
  <c r="CI129" i="95"/>
  <c r="CA12" i="95"/>
  <c r="CH12" i="95"/>
  <c r="H120" i="87"/>
  <c r="K168" i="101" s="1"/>
  <c r="O168" i="101" s="1"/>
  <c r="H78" i="89"/>
  <c r="H74" i="89" s="1"/>
  <c r="G226" i="89"/>
  <c r="G93" i="87"/>
  <c r="K295" i="101"/>
  <c r="G142" i="86"/>
  <c r="K294" i="101" s="1"/>
  <c r="O294" i="101" s="1"/>
  <c r="CA139" i="95"/>
  <c r="CH139" i="95"/>
  <c r="CA49" i="95"/>
  <c r="CH49" i="95"/>
  <c r="CB24" i="95"/>
  <c r="CI24" i="95"/>
  <c r="AD10" i="95"/>
  <c r="AD6" i="95"/>
  <c r="AR12" i="95"/>
  <c r="M80" i="85"/>
  <c r="AZ129" i="95"/>
  <c r="N85" i="96" s="1"/>
  <c r="AB12" i="95"/>
  <c r="H105" i="85"/>
  <c r="H113" i="101"/>
  <c r="AC14" i="95"/>
  <c r="AD57" i="95"/>
  <c r="CC57" i="95"/>
  <c r="AD107" i="95"/>
  <c r="AD65" i="95"/>
  <c r="CC65" i="95"/>
  <c r="CB5" i="95"/>
  <c r="AD74" i="95"/>
  <c r="CC74" i="95"/>
  <c r="AD84" i="95"/>
  <c r="CC84" i="95"/>
  <c r="AD9" i="95"/>
  <c r="CI5" i="95"/>
  <c r="AU147" i="95"/>
  <c r="BB147" i="95"/>
  <c r="AD7" i="95"/>
  <c r="AD16" i="95"/>
  <c r="CC16" i="95"/>
  <c r="AD37" i="95"/>
  <c r="CC37" i="95"/>
  <c r="AD61" i="95"/>
  <c r="CC61" i="95"/>
  <c r="AD69" i="95"/>
  <c r="CC69" i="95"/>
  <c r="AD112" i="95"/>
  <c r="CC112" i="95"/>
  <c r="BM12" i="95"/>
  <c r="AD54" i="95"/>
  <c r="CC54" i="95"/>
  <c r="AD121" i="95"/>
  <c r="CC121" i="95"/>
  <c r="AC13" i="95"/>
  <c r="AD78" i="95"/>
  <c r="CC78" i="95"/>
  <c r="AD104" i="95"/>
  <c r="CC104" i="95"/>
  <c r="AD134" i="95"/>
  <c r="CC134" i="95"/>
  <c r="AD26" i="95"/>
  <c r="AD99" i="95"/>
  <c r="CC99" i="95"/>
  <c r="AD25" i="95"/>
  <c r="AD143" i="95"/>
  <c r="CC143" i="95"/>
  <c r="AD51" i="95"/>
  <c r="AD15" i="95"/>
  <c r="AD89" i="95"/>
  <c r="CC89" i="95"/>
  <c r="AD30" i="95"/>
  <c r="CC30" i="95"/>
  <c r="AD94" i="95"/>
  <c r="CC94" i="95"/>
  <c r="AD118" i="95"/>
  <c r="CC118" i="95"/>
  <c r="AD124" i="95"/>
  <c r="CC124" i="95"/>
  <c r="AC53" i="95"/>
  <c r="AD52" i="95"/>
  <c r="G217" i="89"/>
  <c r="U218" i="89"/>
  <c r="D67" i="85"/>
  <c r="G243" i="89"/>
  <c r="D157" i="85"/>
  <c r="D147" i="85" s="1"/>
  <c r="D19" i="85"/>
  <c r="D151" i="85"/>
  <c r="BA99" i="95"/>
  <c r="H12" i="88"/>
  <c r="G10" i="89"/>
  <c r="AT65" i="95"/>
  <c r="H75" i="88"/>
  <c r="H71" i="88" s="1"/>
  <c r="K102" i="101" s="1"/>
  <c r="O102" i="101" s="1"/>
  <c r="U207" i="88"/>
  <c r="G31" i="89"/>
  <c r="G138" i="89"/>
  <c r="BA121" i="95"/>
  <c r="G68" i="88"/>
  <c r="F31" i="89"/>
  <c r="G171" i="101"/>
  <c r="H129" i="87"/>
  <c r="BA57" i="95"/>
  <c r="BH65" i="95"/>
  <c r="G180" i="89"/>
  <c r="BV16" i="95"/>
  <c r="H117" i="88"/>
  <c r="H114" i="88" s="1"/>
  <c r="U203" i="89"/>
  <c r="N81" i="96" s="1"/>
  <c r="U181" i="89"/>
  <c r="H16" i="87"/>
  <c r="H147" i="101"/>
  <c r="H136" i="87"/>
  <c r="I172" i="101" s="1"/>
  <c r="M172" i="101" s="1"/>
  <c r="Q83" i="96"/>
  <c r="S83" i="96"/>
  <c r="O87" i="96"/>
  <c r="P83" i="96"/>
  <c r="O85" i="96"/>
  <c r="O86" i="96"/>
  <c r="M83" i="96"/>
  <c r="G54" i="101"/>
  <c r="H228" i="89"/>
  <c r="H224" i="89" s="1"/>
  <c r="U224" i="89"/>
  <c r="M81" i="96" s="1"/>
  <c r="BO16" i="95"/>
  <c r="BH37" i="95"/>
  <c r="BO37" i="95"/>
  <c r="BA37" i="95"/>
  <c r="BV37" i="95"/>
  <c r="AT37" i="95"/>
  <c r="BO84" i="95"/>
  <c r="BV143" i="95"/>
  <c r="BH143" i="95"/>
  <c r="AT143" i="95"/>
  <c r="BA143" i="95"/>
  <c r="BO143" i="95"/>
  <c r="BA112" i="95"/>
  <c r="BV112" i="95"/>
  <c r="AT112" i="95"/>
  <c r="BH112" i="95"/>
  <c r="BV74" i="95"/>
  <c r="BH99" i="95"/>
  <c r="BV99" i="95"/>
  <c r="BA54" i="95"/>
  <c r="BO54" i="95"/>
  <c r="AT54" i="95"/>
  <c r="BH54" i="95"/>
  <c r="BA61" i="95"/>
  <c r="AT61" i="95"/>
  <c r="BV61" i="95"/>
  <c r="BH61" i="95"/>
  <c r="BO61" i="95"/>
  <c r="BA94" i="95"/>
  <c r="BF49" i="95"/>
  <c r="AR49" i="95"/>
  <c r="AY49" i="95"/>
  <c r="BM49" i="95"/>
  <c r="BA104" i="95"/>
  <c r="BO104" i="95"/>
  <c r="BO99" i="95"/>
  <c r="AT104" i="95"/>
  <c r="BV104" i="95"/>
  <c r="BH121" i="95"/>
  <c r="AT94" i="95"/>
  <c r="BH94" i="95"/>
  <c r="BV94" i="95"/>
  <c r="AT99" i="95"/>
  <c r="BU129" i="95"/>
  <c r="BG129" i="95"/>
  <c r="N86" i="96" s="1"/>
  <c r="AT121" i="95"/>
  <c r="AS129" i="95"/>
  <c r="BV121" i="95"/>
  <c r="BN129" i="95"/>
  <c r="N87" i="96" s="1"/>
  <c r="BH104" i="95"/>
  <c r="BO94" i="95"/>
  <c r="AT69" i="95"/>
  <c r="BO69" i="95"/>
  <c r="G204" i="89"/>
  <c r="U237" i="89"/>
  <c r="H237" i="89" s="1"/>
  <c r="K173" i="101"/>
  <c r="H137" i="87"/>
  <c r="K172" i="101" s="1"/>
  <c r="O172" i="101" s="1"/>
  <c r="F137" i="87"/>
  <c r="F138" i="87"/>
  <c r="G137" i="87"/>
  <c r="H164" i="101"/>
  <c r="G164" i="101" s="1"/>
  <c r="I56" i="101"/>
  <c r="M56" i="101" s="1"/>
  <c r="U220" i="89"/>
  <c r="H220" i="89" s="1"/>
  <c r="U241" i="89"/>
  <c r="H241" i="89" s="1"/>
  <c r="F96" i="87"/>
  <c r="F92" i="87"/>
  <c r="H98" i="87"/>
  <c r="U94" i="87"/>
  <c r="H97" i="87"/>
  <c r="H163" i="101" s="1"/>
  <c r="U99" i="87"/>
  <c r="G95" i="87"/>
  <c r="G273" i="101"/>
  <c r="F201" i="89"/>
  <c r="H188" i="89"/>
  <c r="H44" i="101"/>
  <c r="G44" i="101" s="1"/>
  <c r="K48" i="101"/>
  <c r="O48" i="101" s="1"/>
  <c r="I48" i="101"/>
  <c r="M48" i="101" s="1"/>
  <c r="H203" i="89"/>
  <c r="I47" i="101" s="1"/>
  <c r="M47" i="101" s="1"/>
  <c r="G202" i="89"/>
  <c r="U206" i="89"/>
  <c r="G213" i="89"/>
  <c r="U216" i="89"/>
  <c r="H216" i="89" s="1"/>
  <c r="G209" i="89"/>
  <c r="U210" i="89"/>
  <c r="H210" i="89" s="1"/>
  <c r="G149" i="101"/>
  <c r="G276" i="101"/>
  <c r="G4" i="101"/>
  <c r="N80" i="85"/>
  <c r="L132" i="85"/>
  <c r="J105" i="85"/>
  <c r="D88" i="85"/>
  <c r="D51" i="85"/>
  <c r="D125" i="85"/>
  <c r="D41" i="85"/>
  <c r="D26" i="85" s="1"/>
  <c r="D99" i="85"/>
  <c r="K147" i="85"/>
  <c r="O105" i="85"/>
  <c r="O79" i="85"/>
  <c r="K79" i="85"/>
  <c r="K105" i="85"/>
  <c r="D57" i="85"/>
  <c r="D47" i="85" s="1"/>
  <c r="BO112" i="95"/>
  <c r="AT16" i="95"/>
  <c r="F183" i="84"/>
  <c r="G12" i="88"/>
  <c r="G10" i="88" s="1"/>
  <c r="H142" i="84"/>
  <c r="R77" i="84"/>
  <c r="H38" i="84"/>
  <c r="J227" i="101" s="1"/>
  <c r="N227" i="101" s="1"/>
  <c r="AD28" i="95"/>
  <c r="AD130" i="95"/>
  <c r="AZ24" i="95"/>
  <c r="AS24" i="95"/>
  <c r="AC24" i="95"/>
  <c r="BG24" i="95"/>
  <c r="BN24" i="95"/>
  <c r="K272" i="101"/>
  <c r="O272" i="101" s="1"/>
  <c r="G10" i="86"/>
  <c r="I275" i="101"/>
  <c r="M275" i="101" s="1"/>
  <c r="E89" i="85"/>
  <c r="Q89" i="85"/>
  <c r="F89" i="85" s="1"/>
  <c r="AC129" i="95"/>
  <c r="CJ129" i="95" s="1"/>
  <c r="G36" i="86"/>
  <c r="H275" i="101"/>
  <c r="Q31" i="85"/>
  <c r="E84" i="85"/>
  <c r="Q84" i="85"/>
  <c r="U12" i="88"/>
  <c r="Q68" i="85"/>
  <c r="E68" i="85"/>
  <c r="G20" i="86"/>
  <c r="H272" i="101"/>
  <c r="N73" i="85"/>
  <c r="N63" i="85" s="1"/>
  <c r="N57" i="85"/>
  <c r="N47" i="85" s="1"/>
  <c r="N41" i="85"/>
  <c r="N26" i="85" s="1"/>
  <c r="N94" i="85"/>
  <c r="N99" i="85"/>
  <c r="N120" i="85"/>
  <c r="N141" i="85"/>
  <c r="N131" i="85" s="1"/>
  <c r="N157" i="85"/>
  <c r="N147" i="85" s="1"/>
  <c r="N125" i="85"/>
  <c r="Q14" i="85"/>
  <c r="E14" i="85"/>
  <c r="E52" i="85"/>
  <c r="Q52" i="85"/>
  <c r="BA16" i="95"/>
  <c r="K269" i="101"/>
  <c r="O269" i="101" s="1"/>
  <c r="K266" i="101"/>
  <c r="O266" i="101" s="1"/>
  <c r="E20" i="85"/>
  <c r="Q20" i="85"/>
  <c r="J266" i="101"/>
  <c r="N266" i="101" s="1"/>
  <c r="J269" i="101"/>
  <c r="N269" i="101" s="1"/>
  <c r="H258" i="84"/>
  <c r="H242" i="101"/>
  <c r="G242" i="101" s="1"/>
  <c r="BH16" i="95"/>
  <c r="K256" i="101"/>
  <c r="O256" i="101" s="1"/>
  <c r="E36" i="85"/>
  <c r="Q36" i="85"/>
  <c r="F36" i="85" s="1"/>
  <c r="G77" i="84"/>
  <c r="G183" i="84"/>
  <c r="E136" i="85"/>
  <c r="Q136" i="85"/>
  <c r="E152" i="85"/>
  <c r="Q152" i="85"/>
  <c r="Q115" i="85"/>
  <c r="F115" i="85" s="1"/>
  <c r="E115" i="85"/>
  <c r="H294" i="101"/>
  <c r="Q110" i="85"/>
  <c r="E110" i="85"/>
  <c r="AR139" i="95"/>
  <c r="BT139" i="95"/>
  <c r="BF139" i="95"/>
  <c r="BM139" i="95"/>
  <c r="AY139" i="95"/>
  <c r="AB139" i="95"/>
  <c r="G30" i="88"/>
  <c r="I116" i="101"/>
  <c r="M116" i="101" s="1"/>
  <c r="BA30" i="95"/>
  <c r="BA118" i="95"/>
  <c r="BO118" i="95"/>
  <c r="BV118" i="95"/>
  <c r="AT118" i="95"/>
  <c r="BH118" i="95"/>
  <c r="U31" i="88"/>
  <c r="H31" i="88" s="1"/>
  <c r="H11" i="88" s="1"/>
  <c r="AC50" i="95"/>
  <c r="AB49" i="95"/>
  <c r="BO78" i="95"/>
  <c r="AT89" i="95"/>
  <c r="BA89" i="95"/>
  <c r="BV89" i="95"/>
  <c r="BH89" i="95"/>
  <c r="BO89" i="95"/>
  <c r="BV84" i="95"/>
  <c r="BA74" i="95"/>
  <c r="AT84" i="95"/>
  <c r="AT57" i="95"/>
  <c r="BA84" i="95"/>
  <c r="BH84" i="95"/>
  <c r="H98" i="89"/>
  <c r="BH74" i="95"/>
  <c r="BO74" i="95"/>
  <c r="AT74" i="95"/>
  <c r="BH78" i="95"/>
  <c r="AT78" i="95"/>
  <c r="BA78" i="95"/>
  <c r="BV78" i="95"/>
  <c r="H127" i="88"/>
  <c r="V82" i="96"/>
  <c r="BV57" i="95"/>
  <c r="BH57" i="95"/>
  <c r="BO57" i="95"/>
  <c r="G52" i="89"/>
  <c r="BO30" i="95"/>
  <c r="AT30" i="95"/>
  <c r="BH30" i="95"/>
  <c r="H208" i="88"/>
  <c r="AC141" i="95"/>
  <c r="H20" i="87"/>
  <c r="AC140" i="95"/>
  <c r="BV30" i="95"/>
  <c r="AC142" i="95"/>
  <c r="O81" i="96"/>
  <c r="H38" i="89"/>
  <c r="U34" i="89"/>
  <c r="G127" i="86"/>
  <c r="H292" i="101"/>
  <c r="G292" i="101" s="1"/>
  <c r="G9" i="86"/>
  <c r="H58" i="84"/>
  <c r="H62" i="84"/>
  <c r="H232" i="101"/>
  <c r="G232" i="101" s="1"/>
  <c r="H141" i="89"/>
  <c r="K32" i="101" s="1"/>
  <c r="O32" i="101" s="1"/>
  <c r="K33" i="101"/>
  <c r="O33" i="101" s="1"/>
  <c r="H25" i="84"/>
  <c r="H225" i="101"/>
  <c r="G225" i="101" s="1"/>
  <c r="I25" i="101"/>
  <c r="M25" i="101" s="1"/>
  <c r="H14" i="88"/>
  <c r="H89" i="101"/>
  <c r="H250" i="89"/>
  <c r="K223" i="101"/>
  <c r="H160" i="89"/>
  <c r="H38" i="101"/>
  <c r="H151" i="87"/>
  <c r="H176" i="101"/>
  <c r="G176" i="101" s="1"/>
  <c r="H232" i="88"/>
  <c r="I141" i="101"/>
  <c r="M141" i="101" s="1"/>
  <c r="H96" i="89"/>
  <c r="I23" i="101"/>
  <c r="M23" i="101" s="1"/>
  <c r="H13" i="87"/>
  <c r="K145" i="101" s="1"/>
  <c r="O145" i="101" s="1"/>
  <c r="K147" i="101"/>
  <c r="O147" i="101" s="1"/>
  <c r="H18" i="87"/>
  <c r="I122" i="101"/>
  <c r="M122" i="101" s="1"/>
  <c r="H227" i="89"/>
  <c r="H134" i="101"/>
  <c r="H17" i="87"/>
  <c r="H12" i="87"/>
  <c r="I145" i="101" s="1"/>
  <c r="M145" i="101" s="1"/>
  <c r="I147" i="101"/>
  <c r="M147" i="101" s="1"/>
  <c r="H71" i="84"/>
  <c r="R61" i="84"/>
  <c r="AC82" i="96" s="1"/>
  <c r="H184" i="89"/>
  <c r="H43" i="101"/>
  <c r="H126" i="89"/>
  <c r="H30" i="101"/>
  <c r="H40" i="84"/>
  <c r="K228" i="101"/>
  <c r="O228" i="101" s="1"/>
  <c r="H140" i="89"/>
  <c r="I32" i="101" s="1"/>
  <c r="M32" i="101" s="1"/>
  <c r="I33" i="101"/>
  <c r="M33" i="101" s="1"/>
  <c r="U183" i="89"/>
  <c r="H126" i="88"/>
  <c r="H123" i="88" s="1"/>
  <c r="K116" i="101"/>
  <c r="O116" i="101" s="1"/>
  <c r="I157" i="101"/>
  <c r="H57" i="87"/>
  <c r="H67" i="87"/>
  <c r="H207" i="88"/>
  <c r="K135" i="101"/>
  <c r="O135" i="101" s="1"/>
  <c r="H137" i="88"/>
  <c r="H119" i="101"/>
  <c r="H13" i="88"/>
  <c r="K89" i="101"/>
  <c r="O89" i="101" s="1"/>
  <c r="H22" i="101"/>
  <c r="H126" i="101"/>
  <c r="H183" i="89"/>
  <c r="K43" i="101"/>
  <c r="O43" i="101" s="1"/>
  <c r="U55" i="89"/>
  <c r="H59" i="89"/>
  <c r="H80" i="87"/>
  <c r="U75" i="87"/>
  <c r="H82" i="96" s="1"/>
  <c r="J82" i="96" s="1"/>
  <c r="H11" i="89"/>
  <c r="H3" i="101"/>
  <c r="U139" i="88"/>
  <c r="H143" i="88"/>
  <c r="H145" i="101"/>
  <c r="K140" i="101"/>
  <c r="O140" i="101" s="1"/>
  <c r="H138" i="88"/>
  <c r="I119" i="101"/>
  <c r="M119" i="101" s="1"/>
  <c r="H76" i="89"/>
  <c r="K18" i="101"/>
  <c r="O18" i="101" s="1"/>
  <c r="U128" i="89"/>
  <c r="H132" i="89"/>
  <c r="H129" i="89" s="1"/>
  <c r="K156" i="101"/>
  <c r="H73" i="87"/>
  <c r="H159" i="101"/>
  <c r="H12" i="101"/>
  <c r="H229" i="89"/>
  <c r="H231" i="88"/>
  <c r="H234" i="88"/>
  <c r="H141" i="101"/>
  <c r="H228" i="101"/>
  <c r="H58" i="101"/>
  <c r="H102" i="101"/>
  <c r="H142" i="89"/>
  <c r="H154" i="88"/>
  <c r="H157" i="88"/>
  <c r="H123" i="101"/>
  <c r="U13" i="89"/>
  <c r="Q82" i="96" s="1"/>
  <c r="H17" i="89"/>
  <c r="H56" i="87"/>
  <c r="H155" i="101"/>
  <c r="H42" i="88"/>
  <c r="K96" i="101"/>
  <c r="H110" i="89"/>
  <c r="H107" i="89" s="1"/>
  <c r="K26" i="101"/>
  <c r="I115" i="101"/>
  <c r="M115" i="101" s="1"/>
  <c r="I112" i="101"/>
  <c r="M112" i="101" s="1"/>
  <c r="H190" i="88"/>
  <c r="K131" i="101"/>
  <c r="I108" i="101"/>
  <c r="M108" i="101" s="1"/>
  <c r="H47" i="89"/>
  <c r="H11" i="101"/>
  <c r="G11" i="101" s="1"/>
  <c r="H32" i="89"/>
  <c r="H115" i="87"/>
  <c r="I168" i="101"/>
  <c r="M168" i="101" s="1"/>
  <c r="H161" i="89"/>
  <c r="I37" i="101" s="1"/>
  <c r="M37" i="101" s="1"/>
  <c r="I38" i="101"/>
  <c r="M38" i="101" s="1"/>
  <c r="I57" i="101"/>
  <c r="M57" i="101" s="1"/>
  <c r="H182" i="89"/>
  <c r="I43" i="101"/>
  <c r="M43" i="101" s="1"/>
  <c r="H25" i="101"/>
  <c r="K46" i="101"/>
  <c r="O46" i="101" s="1"/>
  <c r="H196" i="89"/>
  <c r="H75" i="89"/>
  <c r="I18" i="101"/>
  <c r="M18" i="101" s="1"/>
  <c r="H177" i="88"/>
  <c r="U173" i="88"/>
  <c r="I130" i="101"/>
  <c r="M130" i="101" s="1"/>
  <c r="H94" i="88"/>
  <c r="H97" i="88"/>
  <c r="H109" i="101"/>
  <c r="G109" i="101" s="1"/>
  <c r="K108" i="101"/>
  <c r="O108" i="101" s="1"/>
  <c r="H38" i="87"/>
  <c r="H35" i="87" s="1"/>
  <c r="K151" i="101"/>
  <c r="H206" i="88"/>
  <c r="I135" i="101"/>
  <c r="M135" i="101" s="1"/>
  <c r="H74" i="87"/>
  <c r="I159" i="101"/>
  <c r="M159" i="101" s="1"/>
  <c r="H156" i="88"/>
  <c r="K123" i="101"/>
  <c r="O123" i="101" s="1"/>
  <c r="I2" i="101"/>
  <c r="M2" i="101" s="1"/>
  <c r="I150" i="101"/>
  <c r="M150" i="101" s="1"/>
  <c r="H114" i="87"/>
  <c r="H168" i="101"/>
  <c r="H112" i="101"/>
  <c r="U162" i="89"/>
  <c r="T82" i="96" s="1"/>
  <c r="H166" i="89"/>
  <c r="H163" i="89" s="1"/>
  <c r="H97" i="89"/>
  <c r="K23" i="101"/>
  <c r="O23" i="101" s="1"/>
  <c r="H14" i="84" l="1"/>
  <c r="BF341" i="89"/>
  <c r="BE113" i="87"/>
  <c r="BD243" i="89"/>
  <c r="G91" i="96"/>
  <c r="BV35" i="87"/>
  <c r="BW134" i="87"/>
  <c r="BV113" i="87"/>
  <c r="BV92" i="87"/>
  <c r="BV15" i="87"/>
  <c r="BV10" i="87"/>
  <c r="H199" i="101"/>
  <c r="G199" i="101" s="1"/>
  <c r="H246" i="87"/>
  <c r="H220" i="101"/>
  <c r="G220" i="101" s="1"/>
  <c r="H335" i="87"/>
  <c r="BV255" i="89"/>
  <c r="AJ255" i="89"/>
  <c r="AQ255" i="89"/>
  <c r="AX255" i="89"/>
  <c r="BL255" i="89"/>
  <c r="BS255" i="89"/>
  <c r="BE255" i="89"/>
  <c r="BV247" i="89"/>
  <c r="AX247" i="89"/>
  <c r="BL247" i="89"/>
  <c r="AQ247" i="89"/>
  <c r="AJ247" i="89"/>
  <c r="BS247" i="89"/>
  <c r="BE247" i="89"/>
  <c r="BV251" i="89"/>
  <c r="BL251" i="89"/>
  <c r="AX251" i="89"/>
  <c r="AJ251" i="89"/>
  <c r="AQ251" i="89"/>
  <c r="BS251" i="89"/>
  <c r="BE251" i="89"/>
  <c r="BW204" i="89"/>
  <c r="AK205" i="89"/>
  <c r="AY205" i="89"/>
  <c r="BM205" i="89"/>
  <c r="AR205" i="89"/>
  <c r="BT205" i="89"/>
  <c r="BF205" i="89"/>
  <c r="AD108" i="87"/>
  <c r="AK108" i="87"/>
  <c r="AR108" i="87"/>
  <c r="AY108" i="87"/>
  <c r="BM108" i="87"/>
  <c r="BT108" i="87"/>
  <c r="BF108" i="87"/>
  <c r="AX246" i="88"/>
  <c r="AC246" i="88"/>
  <c r="AJ246" i="88"/>
  <c r="AQ246" i="88"/>
  <c r="BL246" i="88"/>
  <c r="BS246" i="88"/>
  <c r="BE246" i="88"/>
  <c r="AY67" i="87"/>
  <c r="AK67" i="87"/>
  <c r="AR67" i="87"/>
  <c r="AD67" i="87"/>
  <c r="BM67" i="87"/>
  <c r="BT67" i="87"/>
  <c r="BF67" i="87"/>
  <c r="AY96" i="87"/>
  <c r="BM96" i="87"/>
  <c r="BT96" i="87"/>
  <c r="AK96" i="87"/>
  <c r="AR96" i="87"/>
  <c r="AD96" i="87"/>
  <c r="BF96" i="87"/>
  <c r="AD100" i="87"/>
  <c r="AK100" i="87"/>
  <c r="AR100" i="87"/>
  <c r="AY100" i="87"/>
  <c r="BM100" i="87"/>
  <c r="BT100" i="87"/>
  <c r="BF100" i="87"/>
  <c r="BL59" i="87"/>
  <c r="AX59" i="87"/>
  <c r="AQ59" i="87"/>
  <c r="AJ59" i="87"/>
  <c r="AC59" i="87"/>
  <c r="BS59" i="87"/>
  <c r="BE59" i="87"/>
  <c r="AD24" i="87"/>
  <c r="AK24" i="87"/>
  <c r="AR24" i="87"/>
  <c r="AY24" i="87"/>
  <c r="BM24" i="87"/>
  <c r="BT24" i="87"/>
  <c r="BF24" i="87"/>
  <c r="BM40" i="87"/>
  <c r="AY40" i="87"/>
  <c r="AD40" i="87"/>
  <c r="AK40" i="87"/>
  <c r="AR40" i="87"/>
  <c r="BT40" i="87"/>
  <c r="BF40" i="87"/>
  <c r="AC63" i="87"/>
  <c r="AJ63" i="87"/>
  <c r="AQ63" i="87"/>
  <c r="AX63" i="87"/>
  <c r="BL63" i="87"/>
  <c r="BS63" i="87"/>
  <c r="BE63" i="87"/>
  <c r="AD20" i="87"/>
  <c r="AK20" i="87"/>
  <c r="AR20" i="87"/>
  <c r="AY20" i="87"/>
  <c r="BM20" i="87"/>
  <c r="BT20" i="87"/>
  <c r="BF20" i="87"/>
  <c r="AY45" i="87"/>
  <c r="BM45" i="87"/>
  <c r="AR45" i="87"/>
  <c r="AD45" i="87"/>
  <c r="AK45" i="87"/>
  <c r="BT45" i="87"/>
  <c r="BF45" i="87"/>
  <c r="BM121" i="87"/>
  <c r="AY121" i="87"/>
  <c r="AD121" i="87"/>
  <c r="AK121" i="87"/>
  <c r="AR121" i="87"/>
  <c r="BT121" i="87"/>
  <c r="BF121" i="87"/>
  <c r="AY125" i="87"/>
  <c r="AR125" i="87"/>
  <c r="BM125" i="87"/>
  <c r="AK125" i="87"/>
  <c r="AD125" i="87"/>
  <c r="BT125" i="87"/>
  <c r="BF125" i="87"/>
  <c r="AY30" i="87"/>
  <c r="AK30" i="87"/>
  <c r="AD30" i="87"/>
  <c r="BM30" i="87"/>
  <c r="AR30" i="87"/>
  <c r="BT30" i="87"/>
  <c r="BF30" i="87"/>
  <c r="BW226" i="89"/>
  <c r="BM226" i="89"/>
  <c r="BM222" i="89" s="1"/>
  <c r="AY226" i="89"/>
  <c r="AY222" i="89" s="1"/>
  <c r="AR226" i="89"/>
  <c r="AR222" i="89" s="1"/>
  <c r="AK226" i="89"/>
  <c r="AK222" i="89" s="1"/>
  <c r="BT226" i="89"/>
  <c r="BT222" i="89" s="1"/>
  <c r="BF226" i="89"/>
  <c r="BF222" i="89" s="1"/>
  <c r="BW184" i="89"/>
  <c r="BW180" i="89" s="1"/>
  <c r="BM184" i="89"/>
  <c r="BM180" i="89" s="1"/>
  <c r="AK184" i="89"/>
  <c r="AK180" i="89" s="1"/>
  <c r="AR184" i="89"/>
  <c r="AR180" i="89" s="1"/>
  <c r="AY184" i="89"/>
  <c r="AY180" i="89" s="1"/>
  <c r="BT184" i="89"/>
  <c r="BT180" i="89" s="1"/>
  <c r="BF184" i="89"/>
  <c r="BF180" i="89" s="1"/>
  <c r="BV213" i="89"/>
  <c r="BL213" i="89"/>
  <c r="AX213" i="89"/>
  <c r="AQ213" i="89"/>
  <c r="AJ213" i="89"/>
  <c r="BS213" i="89"/>
  <c r="BE213" i="89"/>
  <c r="AC213" i="89"/>
  <c r="AD132" i="95"/>
  <c r="BV217" i="89"/>
  <c r="AX217" i="89"/>
  <c r="AJ217" i="89"/>
  <c r="BL217" i="89"/>
  <c r="AQ217" i="89"/>
  <c r="BS217" i="89"/>
  <c r="BE217" i="89"/>
  <c r="BV129" i="95" s="1"/>
  <c r="AC217" i="89"/>
  <c r="AD133" i="95"/>
  <c r="BT341" i="89"/>
  <c r="BE180" i="89"/>
  <c r="BS180" i="89"/>
  <c r="AQ180" i="89"/>
  <c r="BL180" i="89"/>
  <c r="AX180" i="89"/>
  <c r="AJ180" i="89"/>
  <c r="BV180" i="89"/>
  <c r="BF125" i="89"/>
  <c r="BT125" i="89"/>
  <c r="AK125" i="89"/>
  <c r="BM125" i="89"/>
  <c r="AY125" i="89"/>
  <c r="AR125" i="89"/>
  <c r="BW125" i="89"/>
  <c r="BE10" i="87"/>
  <c r="BE15" i="87"/>
  <c r="BS10" i="87"/>
  <c r="BS15" i="87"/>
  <c r="BL10" i="87"/>
  <c r="BL15" i="87"/>
  <c r="AX10" i="87"/>
  <c r="AX15" i="87"/>
  <c r="AQ10" i="87"/>
  <c r="AQ15" i="87"/>
  <c r="AJ10" i="87"/>
  <c r="AJ15" i="87"/>
  <c r="AC15" i="87"/>
  <c r="AC10" i="87"/>
  <c r="BW20" i="87"/>
  <c r="BF138" i="89"/>
  <c r="BT138" i="89"/>
  <c r="AY138" i="89"/>
  <c r="AK138" i="89"/>
  <c r="AR138" i="89"/>
  <c r="BM138" i="89"/>
  <c r="BW138" i="89"/>
  <c r="BF73" i="89"/>
  <c r="BT73" i="89"/>
  <c r="BM73" i="89"/>
  <c r="AK73" i="89"/>
  <c r="AR73" i="89"/>
  <c r="AY73" i="89"/>
  <c r="BW73" i="89"/>
  <c r="BF113" i="87"/>
  <c r="BT113" i="87"/>
  <c r="AK113" i="87"/>
  <c r="AR113" i="87"/>
  <c r="AY113" i="87"/>
  <c r="AD113" i="87"/>
  <c r="BM113" i="87"/>
  <c r="BE35" i="87"/>
  <c r="BS35" i="87"/>
  <c r="BL35" i="87"/>
  <c r="AX35" i="87"/>
  <c r="AQ35" i="87"/>
  <c r="AJ35" i="87"/>
  <c r="AC35" i="87"/>
  <c r="BD55" i="87"/>
  <c r="BR55" i="87"/>
  <c r="AP55" i="87"/>
  <c r="AI55" i="87"/>
  <c r="AB55" i="87"/>
  <c r="AW55" i="87"/>
  <c r="BK55" i="87"/>
  <c r="BF159" i="89"/>
  <c r="BT159" i="89"/>
  <c r="AK159" i="89"/>
  <c r="BM159" i="89"/>
  <c r="AR159" i="89"/>
  <c r="AY159" i="89"/>
  <c r="BW159" i="89"/>
  <c r="BF10" i="89"/>
  <c r="BT10" i="89"/>
  <c r="AY10" i="89"/>
  <c r="AR10" i="89"/>
  <c r="BM10" i="89"/>
  <c r="AK10" i="89"/>
  <c r="BW10" i="89"/>
  <c r="BF52" i="89"/>
  <c r="BT52" i="89"/>
  <c r="AR52" i="89"/>
  <c r="AY52" i="89"/>
  <c r="BM52" i="89"/>
  <c r="AK52" i="89"/>
  <c r="BW52" i="89"/>
  <c r="BF107" i="89"/>
  <c r="BT107" i="89"/>
  <c r="BM107" i="89"/>
  <c r="AR107" i="89"/>
  <c r="AY107" i="89"/>
  <c r="AK107" i="89"/>
  <c r="BW107" i="89"/>
  <c r="BE92" i="87"/>
  <c r="AC92" i="87"/>
  <c r="AQ92" i="87"/>
  <c r="AJ92" i="87"/>
  <c r="BS92" i="87"/>
  <c r="BL92" i="87"/>
  <c r="AX92" i="87"/>
  <c r="BS201" i="89"/>
  <c r="BL201" i="89"/>
  <c r="AX201" i="89"/>
  <c r="AJ201" i="89"/>
  <c r="AQ201" i="89"/>
  <c r="D73" i="85"/>
  <c r="D63" i="85" s="1"/>
  <c r="D62" i="85" s="1"/>
  <c r="D141" i="85"/>
  <c r="D131" i="85" s="1"/>
  <c r="R37" i="84"/>
  <c r="H11" i="84"/>
  <c r="H10" i="84" s="1"/>
  <c r="H15" i="84"/>
  <c r="H76" i="84"/>
  <c r="I234" i="101" s="1"/>
  <c r="M234" i="101" s="1"/>
  <c r="I243" i="101"/>
  <c r="M243" i="101" s="1"/>
  <c r="E91" i="96"/>
  <c r="H80" i="96"/>
  <c r="J80" i="96" s="1"/>
  <c r="H181" i="89"/>
  <c r="H180" i="89" s="1"/>
  <c r="H315" i="89"/>
  <c r="H74" i="101"/>
  <c r="G74" i="101" s="1"/>
  <c r="G311" i="89"/>
  <c r="H277" i="89"/>
  <c r="H65" i="101"/>
  <c r="G65" i="101" s="1"/>
  <c r="H192" i="89"/>
  <c r="H51" i="84"/>
  <c r="H37" i="84"/>
  <c r="H230" i="101"/>
  <c r="G230" i="101" s="1"/>
  <c r="H39" i="84"/>
  <c r="I227" i="101" s="1"/>
  <c r="M227" i="101" s="1"/>
  <c r="I228" i="101"/>
  <c r="M228" i="101" s="1"/>
  <c r="G228" i="101" s="1"/>
  <c r="O223" i="101"/>
  <c r="G223" i="101" s="1"/>
  <c r="O156" i="101"/>
  <c r="G156" i="101" s="1"/>
  <c r="O295" i="101"/>
  <c r="G295" i="101" s="1"/>
  <c r="O131" i="101"/>
  <c r="G131" i="101" s="1"/>
  <c r="O26" i="101"/>
  <c r="G26" i="101" s="1"/>
  <c r="O173" i="101"/>
  <c r="G173" i="101" s="1"/>
  <c r="O96" i="101"/>
  <c r="G96" i="101" s="1"/>
  <c r="M157" i="101"/>
  <c r="G157" i="101" s="1"/>
  <c r="O151" i="101"/>
  <c r="G151" i="101" s="1"/>
  <c r="H238" i="84"/>
  <c r="H238" i="101"/>
  <c r="G238" i="101" s="1"/>
  <c r="G138" i="84"/>
  <c r="R139" i="84"/>
  <c r="H139" i="84" s="1"/>
  <c r="G263" i="84"/>
  <c r="R264" i="84"/>
  <c r="Q44" i="85"/>
  <c r="F44" i="85" s="1"/>
  <c r="K248" i="101" s="1"/>
  <c r="O248" i="101" s="1"/>
  <c r="D44" i="85"/>
  <c r="D29" i="85" s="1"/>
  <c r="D25" i="85" s="1"/>
  <c r="E44" i="85"/>
  <c r="E29" i="85" s="1"/>
  <c r="F148" i="85"/>
  <c r="E128" i="85"/>
  <c r="E108" i="85" s="1"/>
  <c r="Q128" i="85"/>
  <c r="F128" i="85" s="1"/>
  <c r="K264" i="101" s="1"/>
  <c r="O264" i="101" s="1"/>
  <c r="D128" i="85"/>
  <c r="D108" i="85" s="1"/>
  <c r="D97" i="85"/>
  <c r="D82" i="85" s="1"/>
  <c r="Q97" i="85"/>
  <c r="F97" i="85" s="1"/>
  <c r="K258" i="101" s="1"/>
  <c r="O258" i="101" s="1"/>
  <c r="H82" i="85"/>
  <c r="H261" i="89"/>
  <c r="H264" i="89"/>
  <c r="AD260" i="89" s="1"/>
  <c r="H338" i="87"/>
  <c r="H284" i="87"/>
  <c r="H287" i="87"/>
  <c r="H157" i="87"/>
  <c r="H160" i="87"/>
  <c r="H322" i="87"/>
  <c r="H325" i="87"/>
  <c r="H249" i="87"/>
  <c r="AD341" i="89"/>
  <c r="H329" i="89"/>
  <c r="H77" i="101" s="1"/>
  <c r="G77" i="101" s="1"/>
  <c r="H332" i="89"/>
  <c r="H359" i="89"/>
  <c r="H362" i="89"/>
  <c r="F300" i="89"/>
  <c r="F311" i="89"/>
  <c r="F299" i="89" s="1"/>
  <c r="F298" i="89" s="1"/>
  <c r="H342" i="89"/>
  <c r="H345" i="89"/>
  <c r="F134" i="85"/>
  <c r="G45" i="101"/>
  <c r="H218" i="89"/>
  <c r="H51" i="101" s="1"/>
  <c r="H235" i="89"/>
  <c r="H55" i="101" s="1"/>
  <c r="G46" i="101"/>
  <c r="H247" i="89"/>
  <c r="H246" i="89"/>
  <c r="BA134" i="95"/>
  <c r="BO134" i="95"/>
  <c r="BV124" i="95"/>
  <c r="BO124" i="95"/>
  <c r="AC180" i="89"/>
  <c r="BH124" i="95"/>
  <c r="E35" i="85"/>
  <c r="E19" i="85"/>
  <c r="F23" i="85"/>
  <c r="K244" i="101" s="1"/>
  <c r="O244" i="101" s="1"/>
  <c r="E88" i="85"/>
  <c r="D106" i="85"/>
  <c r="F113" i="85"/>
  <c r="F33" i="85"/>
  <c r="I246" i="101" s="1"/>
  <c r="M246" i="101" s="1"/>
  <c r="Q43" i="85"/>
  <c r="F43" i="85" s="1"/>
  <c r="I248" i="101" s="1"/>
  <c r="M248" i="101" s="1"/>
  <c r="E43" i="85"/>
  <c r="E28" i="85" s="1"/>
  <c r="E101" i="85"/>
  <c r="Q101" i="85"/>
  <c r="F101" i="85" s="1"/>
  <c r="I259" i="101" s="1"/>
  <c r="M259" i="101" s="1"/>
  <c r="E75" i="85"/>
  <c r="E65" i="85" s="1"/>
  <c r="Q75" i="85"/>
  <c r="F75" i="85" s="1"/>
  <c r="I254" i="101" s="1"/>
  <c r="M254" i="101" s="1"/>
  <c r="Q126" i="85"/>
  <c r="F126" i="85" s="1"/>
  <c r="J264" i="101" s="1"/>
  <c r="N264" i="101" s="1"/>
  <c r="Q127" i="85"/>
  <c r="Q159" i="85"/>
  <c r="F159" i="85" s="1"/>
  <c r="I270" i="101" s="1"/>
  <c r="M270" i="101" s="1"/>
  <c r="E159" i="85"/>
  <c r="E149" i="85" s="1"/>
  <c r="F54" i="85"/>
  <c r="I250" i="101" s="1"/>
  <c r="M250" i="101" s="1"/>
  <c r="E121" i="85"/>
  <c r="Q122" i="85"/>
  <c r="Q50" i="85"/>
  <c r="Q58" i="85"/>
  <c r="F58" i="85" s="1"/>
  <c r="J251" i="101" s="1"/>
  <c r="N251" i="101" s="1"/>
  <c r="Q59" i="85"/>
  <c r="F59" i="85" s="1"/>
  <c r="I251" i="101" s="1"/>
  <c r="M251" i="101" s="1"/>
  <c r="E59" i="85"/>
  <c r="E49" i="85" s="1"/>
  <c r="G132" i="85"/>
  <c r="Q143" i="85"/>
  <c r="F143" i="85" s="1"/>
  <c r="I267" i="101" s="1"/>
  <c r="M267" i="101" s="1"/>
  <c r="E143" i="85"/>
  <c r="E133" i="85" s="1"/>
  <c r="F53" i="85"/>
  <c r="J250" i="101" s="1"/>
  <c r="N250" i="101" s="1"/>
  <c r="F70" i="85"/>
  <c r="I253" i="101" s="1"/>
  <c r="M253" i="101" s="1"/>
  <c r="Q66" i="85"/>
  <c r="G65" i="85"/>
  <c r="E95" i="85"/>
  <c r="Q96" i="85"/>
  <c r="F96" i="85" s="1"/>
  <c r="I258" i="101" s="1"/>
  <c r="M258" i="101" s="1"/>
  <c r="E96" i="85"/>
  <c r="F86" i="85"/>
  <c r="I256" i="101" s="1"/>
  <c r="M256" i="101" s="1"/>
  <c r="G107" i="85"/>
  <c r="F154" i="85"/>
  <c r="I269" i="101" s="1"/>
  <c r="M269" i="101" s="1"/>
  <c r="F138" i="85"/>
  <c r="I266" i="101" s="1"/>
  <c r="M266" i="101" s="1"/>
  <c r="F111" i="85"/>
  <c r="F69" i="85"/>
  <c r="J253" i="101" s="1"/>
  <c r="N253" i="101" s="1"/>
  <c r="H41" i="84"/>
  <c r="BA124" i="95"/>
  <c r="AY170" i="88"/>
  <c r="M87" i="96"/>
  <c r="U202" i="89"/>
  <c r="AT124" i="95"/>
  <c r="BV134" i="95"/>
  <c r="AT134" i="95"/>
  <c r="BW118" i="95"/>
  <c r="BH134" i="95"/>
  <c r="BW170" i="88"/>
  <c r="AD125" i="89"/>
  <c r="BT170" i="88"/>
  <c r="BW39" i="88"/>
  <c r="AD31" i="89"/>
  <c r="BF170" i="88"/>
  <c r="AD52" i="89"/>
  <c r="AB243" i="89"/>
  <c r="BF187" i="88"/>
  <c r="BW204" i="88"/>
  <c r="AD187" i="88"/>
  <c r="AR187" i="88"/>
  <c r="AY187" i="88"/>
  <c r="AR204" i="88"/>
  <c r="BI107" i="95"/>
  <c r="AK204" i="88"/>
  <c r="AU107" i="95"/>
  <c r="AD138" i="89"/>
  <c r="AD10" i="89"/>
  <c r="AD159" i="89"/>
  <c r="BM170" i="88"/>
  <c r="BM187" i="88"/>
  <c r="AD180" i="89"/>
  <c r="AD222" i="89"/>
  <c r="BB107" i="95"/>
  <c r="D134" i="85"/>
  <c r="D130" i="85" s="1"/>
  <c r="E114" i="85"/>
  <c r="E142" i="85"/>
  <c r="E132" i="85" s="1"/>
  <c r="E74" i="85"/>
  <c r="E64" i="85" s="1"/>
  <c r="Q74" i="85"/>
  <c r="F74" i="85" s="1"/>
  <c r="J254" i="101" s="1"/>
  <c r="N254" i="101" s="1"/>
  <c r="F21" i="85"/>
  <c r="J244" i="101" s="1"/>
  <c r="N244" i="101" s="1"/>
  <c r="E42" i="85"/>
  <c r="E27" i="85" s="1"/>
  <c r="Q42" i="85"/>
  <c r="E148" i="85"/>
  <c r="Q95" i="85"/>
  <c r="F95" i="85" s="1"/>
  <c r="J258" i="101" s="1"/>
  <c r="N258" i="101" s="1"/>
  <c r="G80" i="85"/>
  <c r="E100" i="85"/>
  <c r="Q142" i="85"/>
  <c r="F142" i="85" s="1"/>
  <c r="F132" i="85" s="1"/>
  <c r="Q100" i="85"/>
  <c r="F100" i="85" s="1"/>
  <c r="J259" i="101" s="1"/>
  <c r="N259" i="101" s="1"/>
  <c r="Q121" i="85"/>
  <c r="F121" i="85" s="1"/>
  <c r="J263" i="101" s="1"/>
  <c r="N263" i="101" s="1"/>
  <c r="AD170" i="88"/>
  <c r="AR170" i="88"/>
  <c r="AD204" i="88"/>
  <c r="BW238" i="88"/>
  <c r="BT238" i="88"/>
  <c r="AY238" i="88"/>
  <c r="AD238" i="88"/>
  <c r="AK238" i="88"/>
  <c r="BM238" i="88"/>
  <c r="AR238" i="88"/>
  <c r="BF238" i="88"/>
  <c r="AK170" i="88"/>
  <c r="BW242" i="88"/>
  <c r="AY242" i="88"/>
  <c r="BM242" i="88"/>
  <c r="BT242" i="88"/>
  <c r="AD242" i="88"/>
  <c r="AK242" i="88"/>
  <c r="AR242" i="88"/>
  <c r="BF242" i="88"/>
  <c r="BV234" i="88"/>
  <c r="AQ234" i="88"/>
  <c r="AJ234" i="88"/>
  <c r="BS234" i="88"/>
  <c r="AC234" i="88"/>
  <c r="AX234" i="88"/>
  <c r="BL234" i="88"/>
  <c r="BE234" i="88"/>
  <c r="BV246" i="88"/>
  <c r="BT187" i="88"/>
  <c r="AK187" i="88"/>
  <c r="AD73" i="89"/>
  <c r="BD230" i="88"/>
  <c r="BW187" i="88"/>
  <c r="AW230" i="88"/>
  <c r="AB230" i="88"/>
  <c r="AP230" i="88"/>
  <c r="BF204" i="88"/>
  <c r="BW107" i="95"/>
  <c r="BR230" i="88"/>
  <c r="CK107" i="95"/>
  <c r="CD107" i="95"/>
  <c r="BT204" i="88"/>
  <c r="BP107" i="95"/>
  <c r="AI230" i="88"/>
  <c r="BK230" i="88"/>
  <c r="BM204" i="88"/>
  <c r="AD205" i="89"/>
  <c r="AY204" i="88"/>
  <c r="AC255" i="89"/>
  <c r="AC251" i="89"/>
  <c r="AC247" i="89"/>
  <c r="AY110" i="88"/>
  <c r="BM136" i="88"/>
  <c r="AK110" i="88"/>
  <c r="AY10" i="88"/>
  <c r="BT110" i="88"/>
  <c r="BM110" i="88"/>
  <c r="AD136" i="88"/>
  <c r="BF153" i="88"/>
  <c r="BF110" i="88"/>
  <c r="BT136" i="88"/>
  <c r="AR136" i="88"/>
  <c r="AD110" i="88"/>
  <c r="AD10" i="88"/>
  <c r="BM10" i="88"/>
  <c r="AK39" i="88"/>
  <c r="BT10" i="88"/>
  <c r="AD153" i="88"/>
  <c r="BF10" i="88"/>
  <c r="AD39" i="88"/>
  <c r="AR10" i="88"/>
  <c r="AK68" i="88"/>
  <c r="AR39" i="88"/>
  <c r="AK10" i="88"/>
  <c r="BF136" i="88"/>
  <c r="AY39" i="88"/>
  <c r="AK136" i="88"/>
  <c r="AY136" i="88"/>
  <c r="BM153" i="88"/>
  <c r="AR110" i="88"/>
  <c r="AR153" i="88"/>
  <c r="BT153" i="88"/>
  <c r="AD68" i="88"/>
  <c r="BF68" i="88"/>
  <c r="AY153" i="88"/>
  <c r="BM68" i="88"/>
  <c r="AK153" i="88"/>
  <c r="BF39" i="88"/>
  <c r="AY68" i="88"/>
  <c r="BM39" i="88"/>
  <c r="BT68" i="88"/>
  <c r="BT39" i="88"/>
  <c r="AR68" i="88"/>
  <c r="BW45" i="87"/>
  <c r="BW121" i="87"/>
  <c r="BW125" i="87"/>
  <c r="BW67" i="87"/>
  <c r="BV59" i="87"/>
  <c r="BW96" i="87"/>
  <c r="BW100" i="87"/>
  <c r="BW108" i="87"/>
  <c r="BW25" i="87"/>
  <c r="D91" i="96"/>
  <c r="BV63" i="87"/>
  <c r="BV55" i="87" s="1"/>
  <c r="BW30" i="87"/>
  <c r="BW40" i="87"/>
  <c r="H95" i="101"/>
  <c r="H39" i="88"/>
  <c r="D83" i="96"/>
  <c r="D85" i="96"/>
  <c r="D86" i="96"/>
  <c r="D87" i="96"/>
  <c r="CJ148" i="95"/>
  <c r="O88" i="96"/>
  <c r="O89" i="96"/>
  <c r="O90" i="96"/>
  <c r="O91" i="96"/>
  <c r="E126" i="85"/>
  <c r="N88" i="96"/>
  <c r="D88" i="96"/>
  <c r="M88" i="96"/>
  <c r="E13" i="85"/>
  <c r="G79" i="84"/>
  <c r="G78" i="84" s="1"/>
  <c r="E58" i="85"/>
  <c r="E48" i="85" s="1"/>
  <c r="BV148" i="95"/>
  <c r="CC148" i="95"/>
  <c r="AD148" i="95"/>
  <c r="BP124" i="95"/>
  <c r="BI37" i="95"/>
  <c r="F59" i="87"/>
  <c r="F58" i="87"/>
  <c r="F55" i="87" s="1"/>
  <c r="U62" i="87"/>
  <c r="G59" i="87"/>
  <c r="G58" i="87"/>
  <c r="G55" i="87" s="1"/>
  <c r="H117" i="87"/>
  <c r="I88" i="101"/>
  <c r="M88" i="101" s="1"/>
  <c r="BB61" i="95"/>
  <c r="AC80" i="96"/>
  <c r="G105" i="85"/>
  <c r="Q134" i="85"/>
  <c r="L105" i="85"/>
  <c r="L79" i="85"/>
  <c r="D80" i="85"/>
  <c r="F66" i="85"/>
  <c r="D124" i="85"/>
  <c r="F74" i="84"/>
  <c r="F73" i="84" s="1"/>
  <c r="E82" i="85"/>
  <c r="F50" i="85"/>
  <c r="K249" i="101" s="1"/>
  <c r="O249" i="101" s="1"/>
  <c r="BH148" i="95"/>
  <c r="BP37" i="95"/>
  <c r="BW89" i="95"/>
  <c r="G294" i="101"/>
  <c r="G139" i="86"/>
  <c r="G11" i="86"/>
  <c r="G8" i="86" s="1"/>
  <c r="BO129" i="95"/>
  <c r="BI134" i="95"/>
  <c r="D56" i="85"/>
  <c r="D119" i="85"/>
  <c r="H88" i="96"/>
  <c r="BI44" i="95"/>
  <c r="AU118" i="95"/>
  <c r="BA148" i="95"/>
  <c r="F29" i="85"/>
  <c r="BB134" i="95"/>
  <c r="H30" i="84"/>
  <c r="H226" i="101"/>
  <c r="G226" i="101" s="1"/>
  <c r="AU30" i="95"/>
  <c r="BP134" i="95"/>
  <c r="Q148" i="85"/>
  <c r="X81" i="96" s="1"/>
  <c r="AA81" i="96" s="1"/>
  <c r="J267" i="101"/>
  <c r="N267" i="101" s="1"/>
  <c r="J270" i="101"/>
  <c r="N270" i="101" s="1"/>
  <c r="D93" i="85"/>
  <c r="F150" i="85"/>
  <c r="K265" i="101" s="1"/>
  <c r="O265" i="101" s="1"/>
  <c r="BB30" i="95"/>
  <c r="AS12" i="95"/>
  <c r="H146" i="101"/>
  <c r="D156" i="85"/>
  <c r="Q150" i="85"/>
  <c r="X82" i="96" s="1"/>
  <c r="AA82" i="96" s="1"/>
  <c r="BW44" i="95"/>
  <c r="BI65" i="95"/>
  <c r="BI61" i="95"/>
  <c r="BP89" i="95"/>
  <c r="K267" i="101"/>
  <c r="O267" i="101" s="1"/>
  <c r="BB37" i="95"/>
  <c r="BP61" i="95"/>
  <c r="BB124" i="95"/>
  <c r="BP44" i="95"/>
  <c r="D79" i="85"/>
  <c r="H264" i="84"/>
  <c r="H263" i="84" s="1"/>
  <c r="G74" i="84"/>
  <c r="G73" i="84" s="1"/>
  <c r="BB65" i="95"/>
  <c r="BW134" i="95"/>
  <c r="BI124" i="95"/>
  <c r="BP118" i="95"/>
  <c r="AU89" i="95"/>
  <c r="AU65" i="95"/>
  <c r="BI118" i="95"/>
  <c r="BW37" i="95"/>
  <c r="BO5" i="95"/>
  <c r="AU124" i="95"/>
  <c r="AU134" i="95"/>
  <c r="AU61" i="95"/>
  <c r="BW30" i="95"/>
  <c r="BB44" i="95"/>
  <c r="BI74" i="95"/>
  <c r="BI89" i="95"/>
  <c r="AT148" i="95"/>
  <c r="R75" i="84"/>
  <c r="BV5" i="95"/>
  <c r="BP74" i="95"/>
  <c r="BP65" i="95"/>
  <c r="AU37" i="95"/>
  <c r="BP30" i="95"/>
  <c r="AU44" i="95"/>
  <c r="BO148" i="95"/>
  <c r="BB74" i="95"/>
  <c r="BB89" i="95"/>
  <c r="AU74" i="95"/>
  <c r="BI30" i="95"/>
  <c r="BB118" i="95"/>
  <c r="AC12" i="95"/>
  <c r="H18" i="101"/>
  <c r="G18" i="101" s="1"/>
  <c r="U223" i="89"/>
  <c r="M80" i="96" s="1"/>
  <c r="H77" i="89"/>
  <c r="H223" i="89"/>
  <c r="H52" i="101" s="1"/>
  <c r="BW61" i="95"/>
  <c r="BA129" i="95"/>
  <c r="H116" i="87"/>
  <c r="K167" i="101" s="1"/>
  <c r="O167" i="101" s="1"/>
  <c r="AZ12" i="95"/>
  <c r="BG12" i="95"/>
  <c r="U93" i="87"/>
  <c r="H166" i="101"/>
  <c r="G166" i="101" s="1"/>
  <c r="G92" i="87"/>
  <c r="AT5" i="95"/>
  <c r="CD134" i="95"/>
  <c r="CK134" i="95"/>
  <c r="CD61" i="95"/>
  <c r="CK61" i="95"/>
  <c r="CD74" i="95"/>
  <c r="CK74" i="95"/>
  <c r="CB12" i="95"/>
  <c r="CI12" i="95"/>
  <c r="CD118" i="95"/>
  <c r="CK118" i="95"/>
  <c r="CD143" i="95"/>
  <c r="CK143" i="95"/>
  <c r="CD54" i="95"/>
  <c r="CK54" i="95"/>
  <c r="CD104" i="95"/>
  <c r="CK104" i="95"/>
  <c r="CD37" i="95"/>
  <c r="CK37" i="95"/>
  <c r="CD94" i="95"/>
  <c r="CK94" i="95"/>
  <c r="CD89" i="95"/>
  <c r="CK89" i="95"/>
  <c r="CD112" i="95"/>
  <c r="CK112" i="95"/>
  <c r="CD65" i="95"/>
  <c r="CK65" i="95"/>
  <c r="CD78" i="95"/>
  <c r="CK78" i="95"/>
  <c r="CD16" i="95"/>
  <c r="CK16" i="95"/>
  <c r="CD148" i="95"/>
  <c r="CK148" i="95"/>
  <c r="CD69" i="95"/>
  <c r="CK69" i="95"/>
  <c r="CD84" i="95"/>
  <c r="CK84" i="95"/>
  <c r="CD124" i="95"/>
  <c r="CK124" i="95"/>
  <c r="CD30" i="95"/>
  <c r="CK30" i="95"/>
  <c r="CD99" i="95"/>
  <c r="CK99" i="95"/>
  <c r="CD121" i="95"/>
  <c r="CK121" i="95"/>
  <c r="CD57" i="95"/>
  <c r="CK57" i="95"/>
  <c r="K113" i="101"/>
  <c r="CB139" i="95"/>
  <c r="CI139" i="95"/>
  <c r="CB49" i="95"/>
  <c r="CI49" i="95"/>
  <c r="CC24" i="95"/>
  <c r="CJ24" i="95"/>
  <c r="AD5" i="95"/>
  <c r="BA5" i="95"/>
  <c r="BN12" i="95"/>
  <c r="G275" i="101"/>
  <c r="BH5" i="95"/>
  <c r="AT129" i="95"/>
  <c r="BH129" i="95"/>
  <c r="BW74" i="95"/>
  <c r="AD14" i="95"/>
  <c r="BU12" i="95"/>
  <c r="AD129" i="95"/>
  <c r="CC129" i="95"/>
  <c r="D146" i="85"/>
  <c r="AD53" i="95"/>
  <c r="CC5" i="95"/>
  <c r="BW65" i="95"/>
  <c r="CJ5" i="95"/>
  <c r="AD141" i="95"/>
  <c r="AD142" i="95"/>
  <c r="AD50" i="95"/>
  <c r="AD13" i="95"/>
  <c r="H72" i="88"/>
  <c r="K103" i="101"/>
  <c r="W80" i="96"/>
  <c r="G201" i="89"/>
  <c r="G172" i="101"/>
  <c r="H113" i="88"/>
  <c r="H110" i="88" s="1"/>
  <c r="H93" i="101"/>
  <c r="G93" i="101" s="1"/>
  <c r="I53" i="101"/>
  <c r="M53" i="101" s="1"/>
  <c r="N83" i="96"/>
  <c r="O83" i="96"/>
  <c r="K53" i="101"/>
  <c r="O53" i="101" s="1"/>
  <c r="BG49" i="95"/>
  <c r="BU49" i="95"/>
  <c r="AZ49" i="95"/>
  <c r="AS49" i="95"/>
  <c r="BN49" i="95"/>
  <c r="BW143" i="95"/>
  <c r="AU143" i="95"/>
  <c r="BI143" i="95"/>
  <c r="BB143" i="95"/>
  <c r="BP143" i="95"/>
  <c r="BI112" i="95"/>
  <c r="BP112" i="95"/>
  <c r="BB112" i="95"/>
  <c r="BW78" i="95"/>
  <c r="BP78" i="95"/>
  <c r="BI78" i="95"/>
  <c r="BB78" i="95"/>
  <c r="AU78" i="95"/>
  <c r="BW99" i="95"/>
  <c r="BI99" i="95"/>
  <c r="AU99" i="95"/>
  <c r="BP99" i="95"/>
  <c r="BB99" i="95"/>
  <c r="BW54" i="95"/>
  <c r="BB54" i="95"/>
  <c r="AU54" i="95"/>
  <c r="BI54" i="95"/>
  <c r="BP54" i="95"/>
  <c r="BW69" i="95"/>
  <c r="BP69" i="95"/>
  <c r="AU69" i="95"/>
  <c r="BI69" i="95"/>
  <c r="BB69" i="95"/>
  <c r="BW84" i="95"/>
  <c r="BB84" i="95"/>
  <c r="AU84" i="95"/>
  <c r="BP84" i="95"/>
  <c r="BI84" i="95"/>
  <c r="BW94" i="95"/>
  <c r="BB94" i="95"/>
  <c r="AU94" i="95"/>
  <c r="BI94" i="95"/>
  <c r="BP94" i="95"/>
  <c r="BW104" i="95"/>
  <c r="AU104" i="95"/>
  <c r="BP104" i="95"/>
  <c r="BI104" i="95"/>
  <c r="BB104" i="95"/>
  <c r="BW121" i="95"/>
  <c r="AU121" i="95"/>
  <c r="BP121" i="95"/>
  <c r="BI121" i="95"/>
  <c r="BB121" i="95"/>
  <c r="H87" i="96"/>
  <c r="J87" i="96" s="1"/>
  <c r="H86" i="96"/>
  <c r="J86" i="96" s="1"/>
  <c r="BV24" i="95"/>
  <c r="AT24" i="95"/>
  <c r="H85" i="96"/>
  <c r="J85" i="96" s="1"/>
  <c r="D46" i="85"/>
  <c r="H209" i="89"/>
  <c r="H49" i="101"/>
  <c r="G49" i="101" s="1"/>
  <c r="H213" i="89"/>
  <c r="K50" i="101"/>
  <c r="N80" i="96"/>
  <c r="H94" i="87"/>
  <c r="I162" i="101" s="1"/>
  <c r="M162" i="101" s="1"/>
  <c r="I163" i="101"/>
  <c r="M163" i="101" s="1"/>
  <c r="K56" i="101"/>
  <c r="H238" i="89"/>
  <c r="K51" i="101"/>
  <c r="O51" i="101" s="1"/>
  <c r="U225" i="89"/>
  <c r="M82" i="96" s="1"/>
  <c r="I52" i="101"/>
  <c r="M52" i="101" s="1"/>
  <c r="G141" i="101"/>
  <c r="H99" i="87"/>
  <c r="H96" i="87" s="1"/>
  <c r="U95" i="87"/>
  <c r="H93" i="87"/>
  <c r="G168" i="101"/>
  <c r="G272" i="101"/>
  <c r="U204" i="89"/>
  <c r="N82" i="96" s="1"/>
  <c r="H206" i="89"/>
  <c r="H204" i="89"/>
  <c r="K47" i="101" s="1"/>
  <c r="O47" i="101" s="1"/>
  <c r="G135" i="101"/>
  <c r="G147" i="101"/>
  <c r="G102" i="101"/>
  <c r="G23" i="101"/>
  <c r="G33" i="101"/>
  <c r="G32" i="101"/>
  <c r="G145" i="101"/>
  <c r="G123" i="101"/>
  <c r="G89" i="101"/>
  <c r="G43" i="101"/>
  <c r="G116" i="101"/>
  <c r="H30" i="88"/>
  <c r="D105" i="85"/>
  <c r="D40" i="85"/>
  <c r="D98" i="85"/>
  <c r="D140" i="85"/>
  <c r="H80" i="84"/>
  <c r="J235" i="101" s="1"/>
  <c r="N235" i="101" s="1"/>
  <c r="H75" i="84"/>
  <c r="J234" i="101" s="1"/>
  <c r="N234" i="101" s="1"/>
  <c r="BW112" i="95"/>
  <c r="AU112" i="95"/>
  <c r="H82" i="84"/>
  <c r="K235" i="101" s="1"/>
  <c r="O235" i="101" s="1"/>
  <c r="H77" i="84"/>
  <c r="K234" i="101" s="1"/>
  <c r="O234" i="101" s="1"/>
  <c r="N105" i="85"/>
  <c r="H15" i="87"/>
  <c r="AC139" i="95"/>
  <c r="CJ139" i="95" s="1"/>
  <c r="AD140" i="95"/>
  <c r="N79" i="85"/>
  <c r="BW16" i="95"/>
  <c r="BB16" i="95"/>
  <c r="BP16" i="95"/>
  <c r="BI16" i="95"/>
  <c r="AU16" i="95"/>
  <c r="BW57" i="95"/>
  <c r="BI57" i="95"/>
  <c r="BP57" i="95"/>
  <c r="BB57" i="95"/>
  <c r="AU57" i="95"/>
  <c r="I271" i="101"/>
  <c r="M271" i="101" s="1"/>
  <c r="BO24" i="95"/>
  <c r="BH24" i="95"/>
  <c r="BA24" i="95"/>
  <c r="AD24" i="95"/>
  <c r="U11" i="88"/>
  <c r="E157" i="85"/>
  <c r="E156" i="85" s="1"/>
  <c r="Q157" i="85"/>
  <c r="F157" i="85" s="1"/>
  <c r="E30" i="85"/>
  <c r="E141" i="85"/>
  <c r="Q141" i="85"/>
  <c r="F141" i="85" s="1"/>
  <c r="F84" i="85"/>
  <c r="F20" i="85"/>
  <c r="E120" i="85"/>
  <c r="E119" i="85" s="1"/>
  <c r="Q120" i="85"/>
  <c r="F120" i="85" s="1"/>
  <c r="E83" i="85"/>
  <c r="Q99" i="85"/>
  <c r="F99" i="85" s="1"/>
  <c r="E99" i="85"/>
  <c r="E67" i="85"/>
  <c r="Q94" i="85"/>
  <c r="F94" i="85" s="1"/>
  <c r="E94" i="85"/>
  <c r="F68" i="85"/>
  <c r="F35" i="85"/>
  <c r="H247" i="101"/>
  <c r="G247" i="101" s="1"/>
  <c r="Q41" i="85"/>
  <c r="F41" i="85" s="1"/>
  <c r="E41" i="85"/>
  <c r="F136" i="85"/>
  <c r="Q57" i="85"/>
  <c r="F57" i="85" s="1"/>
  <c r="E57" i="85"/>
  <c r="F88" i="85"/>
  <c r="H257" i="101"/>
  <c r="G257" i="101" s="1"/>
  <c r="E135" i="85"/>
  <c r="Q73" i="85"/>
  <c r="F73" i="85" s="1"/>
  <c r="E73" i="85"/>
  <c r="J268" i="101"/>
  <c r="N268" i="101" s="1"/>
  <c r="J265" i="101"/>
  <c r="N265" i="101" s="1"/>
  <c r="F152" i="85"/>
  <c r="E151" i="85"/>
  <c r="E109" i="85"/>
  <c r="F114" i="85"/>
  <c r="H262" i="101"/>
  <c r="G262" i="101" s="1"/>
  <c r="F52" i="85"/>
  <c r="F110" i="85"/>
  <c r="E51" i="85"/>
  <c r="Q125" i="85"/>
  <c r="F125" i="85" s="1"/>
  <c r="E125" i="85"/>
  <c r="F31" i="85"/>
  <c r="AZ139" i="95"/>
  <c r="AS139" i="95"/>
  <c r="BU139" i="95"/>
  <c r="BN139" i="95"/>
  <c r="BG139" i="95"/>
  <c r="AC49" i="95"/>
  <c r="CJ49" i="95" s="1"/>
  <c r="H138" i="89"/>
  <c r="H204" i="88"/>
  <c r="O82" i="96"/>
  <c r="K8" i="101"/>
  <c r="H34" i="89"/>
  <c r="K7" i="101" s="1"/>
  <c r="O7" i="101" s="1"/>
  <c r="H35" i="89"/>
  <c r="H271" i="101"/>
  <c r="I42" i="101"/>
  <c r="M42" i="101" s="1"/>
  <c r="K130" i="101"/>
  <c r="H154" i="101"/>
  <c r="K146" i="101"/>
  <c r="O146" i="101" s="1"/>
  <c r="I22" i="101"/>
  <c r="M22" i="101" s="1"/>
  <c r="H173" i="88"/>
  <c r="K127" i="101"/>
  <c r="H174" i="88"/>
  <c r="H57" i="101"/>
  <c r="H139" i="88"/>
  <c r="H136" i="88" s="1"/>
  <c r="K119" i="101"/>
  <c r="K42" i="101"/>
  <c r="O42" i="101" s="1"/>
  <c r="H37" i="101"/>
  <c r="K122" i="101"/>
  <c r="O122" i="101" s="1"/>
  <c r="K22" i="101"/>
  <c r="O22" i="101" s="1"/>
  <c r="I158" i="101"/>
  <c r="M158" i="101" s="1"/>
  <c r="K88" i="101"/>
  <c r="O88" i="101" s="1"/>
  <c r="H187" i="88"/>
  <c r="H226" i="89"/>
  <c r="H53" i="101"/>
  <c r="H10" i="88"/>
  <c r="H88" i="101"/>
  <c r="I118" i="101"/>
  <c r="M118" i="101" s="1"/>
  <c r="H167" i="101"/>
  <c r="H7" i="101"/>
  <c r="H55" i="89"/>
  <c r="K13" i="101"/>
  <c r="H56" i="89"/>
  <c r="K233" i="101"/>
  <c r="H67" i="84"/>
  <c r="H61" i="84"/>
  <c r="H57" i="84" s="1"/>
  <c r="I134" i="101"/>
  <c r="M134" i="101" s="1"/>
  <c r="H13" i="89"/>
  <c r="H10" i="89" s="1"/>
  <c r="K3" i="101"/>
  <c r="H94" i="89"/>
  <c r="H118" i="101"/>
  <c r="K115" i="101"/>
  <c r="H140" i="88"/>
  <c r="H29" i="101"/>
  <c r="H73" i="89"/>
  <c r="H17" i="101"/>
  <c r="K134" i="101"/>
  <c r="O134" i="101" s="1"/>
  <c r="I140" i="101"/>
  <c r="M140" i="101" s="1"/>
  <c r="I17" i="101"/>
  <c r="M17" i="101" s="1"/>
  <c r="H68" i="88"/>
  <c r="H2" i="101"/>
  <c r="I154" i="101"/>
  <c r="M154" i="101" s="1"/>
  <c r="H128" i="89"/>
  <c r="K29" i="101" s="1"/>
  <c r="O29" i="101" s="1"/>
  <c r="K30" i="101"/>
  <c r="H14" i="89"/>
  <c r="K222" i="101"/>
  <c r="O222" i="101" s="1"/>
  <c r="H75" i="87"/>
  <c r="H72" i="87" s="1"/>
  <c r="K159" i="101"/>
  <c r="H153" i="88"/>
  <c r="H122" i="101"/>
  <c r="K25" i="101"/>
  <c r="H230" i="88"/>
  <c r="H140" i="101"/>
  <c r="H158" i="101"/>
  <c r="H243" i="89"/>
  <c r="K58" i="101"/>
  <c r="H162" i="89"/>
  <c r="K37" i="101" s="1"/>
  <c r="O37" i="101" s="1"/>
  <c r="K38" i="101"/>
  <c r="H93" i="88"/>
  <c r="H108" i="101"/>
  <c r="G108" i="101" s="1"/>
  <c r="H77" i="87"/>
  <c r="H10" i="87"/>
  <c r="I146" i="101"/>
  <c r="M146" i="101" s="1"/>
  <c r="K150" i="101"/>
  <c r="I167" i="101"/>
  <c r="M167" i="101" s="1"/>
  <c r="K95" i="101"/>
  <c r="O95" i="101" s="1"/>
  <c r="K17" i="101"/>
  <c r="O17" i="101" s="1"/>
  <c r="K227" i="101"/>
  <c r="O227" i="101" s="1"/>
  <c r="H231" i="101"/>
  <c r="H42" i="101" l="1"/>
  <c r="BW124" i="95"/>
  <c r="BE201" i="89"/>
  <c r="D72" i="85"/>
  <c r="H222" i="101"/>
  <c r="BW92" i="87"/>
  <c r="BW113" i="87"/>
  <c r="BW247" i="89"/>
  <c r="AR247" i="89"/>
  <c r="BM247" i="89"/>
  <c r="AK247" i="89"/>
  <c r="AY247" i="89"/>
  <c r="BT247" i="89"/>
  <c r="BF247" i="89"/>
  <c r="AD59" i="87"/>
  <c r="AK59" i="87"/>
  <c r="AR59" i="87"/>
  <c r="AY59" i="87"/>
  <c r="BM59" i="87"/>
  <c r="BT59" i="87"/>
  <c r="BF59" i="87"/>
  <c r="BW255" i="89"/>
  <c r="BM255" i="89"/>
  <c r="AY255" i="89"/>
  <c r="AR255" i="89"/>
  <c r="AK255" i="89"/>
  <c r="BT255" i="89"/>
  <c r="BF255" i="89"/>
  <c r="BW251" i="89"/>
  <c r="BM251" i="89"/>
  <c r="AY251" i="89"/>
  <c r="AK251" i="89"/>
  <c r="AR251" i="89"/>
  <c r="BT251" i="89"/>
  <c r="BF251" i="89"/>
  <c r="BM246" i="88"/>
  <c r="AY246" i="88"/>
  <c r="AD246" i="88"/>
  <c r="AK246" i="88"/>
  <c r="AR246" i="88"/>
  <c r="BT246" i="88"/>
  <c r="BF246" i="88"/>
  <c r="AD63" i="87"/>
  <c r="AK63" i="87"/>
  <c r="AR63" i="87"/>
  <c r="AY63" i="87"/>
  <c r="BM63" i="87"/>
  <c r="BT63" i="87"/>
  <c r="BF63" i="87"/>
  <c r="H36" i="84"/>
  <c r="BW217" i="89"/>
  <c r="AR217" i="89"/>
  <c r="AY217" i="89"/>
  <c r="AK217" i="89"/>
  <c r="BM217" i="89"/>
  <c r="BT217" i="89"/>
  <c r="BF217" i="89"/>
  <c r="AD217" i="89"/>
  <c r="BW213" i="89"/>
  <c r="BW201" i="89" s="1"/>
  <c r="BM213" i="89"/>
  <c r="AY213" i="89"/>
  <c r="AK213" i="89"/>
  <c r="AR213" i="89"/>
  <c r="BT213" i="89"/>
  <c r="BF213" i="89"/>
  <c r="BF201" i="89" s="1"/>
  <c r="AD213" i="89"/>
  <c r="AD201" i="89" s="1"/>
  <c r="AC201" i="89"/>
  <c r="BV201" i="89"/>
  <c r="N91" i="96" s="1"/>
  <c r="BF10" i="87"/>
  <c r="BF15" i="87"/>
  <c r="BT10" i="87"/>
  <c r="BT15" i="87"/>
  <c r="BM10" i="87"/>
  <c r="BM15" i="87"/>
  <c r="AY10" i="87"/>
  <c r="AY15" i="87"/>
  <c r="AR10" i="87"/>
  <c r="AR15" i="87"/>
  <c r="AK10" i="87"/>
  <c r="AK15" i="87"/>
  <c r="AD10" i="87"/>
  <c r="AD15" i="87"/>
  <c r="BF35" i="87"/>
  <c r="BT35" i="87"/>
  <c r="AR35" i="87"/>
  <c r="AK35" i="87"/>
  <c r="AD35" i="87"/>
  <c r="AY35" i="87"/>
  <c r="BM35" i="87"/>
  <c r="BE55" i="87"/>
  <c r="BS55" i="87"/>
  <c r="AC55" i="87"/>
  <c r="AJ55" i="87"/>
  <c r="AQ55" i="87"/>
  <c r="AX55" i="87"/>
  <c r="BL55" i="87"/>
  <c r="BF92" i="87"/>
  <c r="AD92" i="87"/>
  <c r="AR92" i="87"/>
  <c r="AK92" i="87"/>
  <c r="BT92" i="87"/>
  <c r="BM92" i="87"/>
  <c r="AY92" i="87"/>
  <c r="BT201" i="89"/>
  <c r="AR201" i="89"/>
  <c r="BM201" i="89"/>
  <c r="AY201" i="89"/>
  <c r="AK201" i="89"/>
  <c r="BE243" i="89"/>
  <c r="BS243" i="89"/>
  <c r="AJ243" i="89"/>
  <c r="AQ243" i="89"/>
  <c r="BL243" i="89"/>
  <c r="AX243" i="89"/>
  <c r="BV243" i="89"/>
  <c r="H74" i="84"/>
  <c r="H227" i="101"/>
  <c r="G227" i="101" s="1"/>
  <c r="T250" i="90"/>
  <c r="H334" i="87"/>
  <c r="H219" i="101"/>
  <c r="G219" i="101" s="1"/>
  <c r="T117" i="90"/>
  <c r="U117" i="90" s="1"/>
  <c r="V117" i="90" s="1"/>
  <c r="T47" i="90"/>
  <c r="U47" i="90" s="1"/>
  <c r="V47" i="90" s="1"/>
  <c r="T95" i="90"/>
  <c r="U95" i="90" s="1"/>
  <c r="V95" i="90" s="1"/>
  <c r="T89" i="90"/>
  <c r="U89" i="90" s="1"/>
  <c r="V89" i="90" s="1"/>
  <c r="H245" i="87"/>
  <c r="H198" i="101"/>
  <c r="G198" i="101" s="1"/>
  <c r="H321" i="87"/>
  <c r="H216" i="101"/>
  <c r="G216" i="101" s="1"/>
  <c r="H156" i="87"/>
  <c r="H177" i="101"/>
  <c r="G177" i="101" s="1"/>
  <c r="X83" i="90"/>
  <c r="Y83" i="90" s="1"/>
  <c r="Z83" i="90" s="1"/>
  <c r="H283" i="87"/>
  <c r="H207" i="101"/>
  <c r="G207" i="101" s="1"/>
  <c r="T133" i="90"/>
  <c r="X191" i="90"/>
  <c r="Y191" i="90" s="1"/>
  <c r="Z191" i="90" s="1"/>
  <c r="X167" i="90"/>
  <c r="Y167" i="90" s="1"/>
  <c r="Z167" i="90" s="1"/>
  <c r="X13" i="90"/>
  <c r="T185" i="90"/>
  <c r="U185" i="90" s="1"/>
  <c r="V185" i="90" s="1"/>
  <c r="T229" i="90"/>
  <c r="U229" i="90" s="1"/>
  <c r="V229" i="90" s="1"/>
  <c r="X65" i="90"/>
  <c r="Y65" i="90" s="1"/>
  <c r="Z65" i="90" s="1"/>
  <c r="X101" i="90"/>
  <c r="Y101" i="90" s="1"/>
  <c r="Z101" i="90" s="1"/>
  <c r="X219" i="90"/>
  <c r="Y219" i="90" s="1"/>
  <c r="Z219" i="90" s="1"/>
  <c r="T155" i="90"/>
  <c r="U155" i="90" s="1"/>
  <c r="V155" i="90" s="1"/>
  <c r="X266" i="90"/>
  <c r="Y266" i="90" s="1"/>
  <c r="Z266" i="90" s="1"/>
  <c r="X41" i="90"/>
  <c r="Y41" i="90" s="1"/>
  <c r="Z41" i="90" s="1"/>
  <c r="X143" i="90"/>
  <c r="X261" i="90"/>
  <c r="Y261" i="90" s="1"/>
  <c r="X271" i="90"/>
  <c r="Y271" i="90" s="1"/>
  <c r="Z271" i="90" s="1"/>
  <c r="X197" i="90"/>
  <c r="Y197" i="90" s="1"/>
  <c r="Z197" i="90" s="1"/>
  <c r="T71" i="90"/>
  <c r="U71" i="90" s="1"/>
  <c r="V71" i="90" s="1"/>
  <c r="T23" i="90"/>
  <c r="U23" i="90" s="1"/>
  <c r="V23" i="90" s="1"/>
  <c r="X185" i="90"/>
  <c r="Y185" i="90" s="1"/>
  <c r="Z185" i="90" s="1"/>
  <c r="X35" i="90"/>
  <c r="Y35" i="90" s="1"/>
  <c r="Z35" i="90" s="1"/>
  <c r="X214" i="90"/>
  <c r="T245" i="90"/>
  <c r="T149" i="90"/>
  <c r="U149" i="90" s="1"/>
  <c r="V149" i="90" s="1"/>
  <c r="X122" i="90"/>
  <c r="Y122" i="90" s="1"/>
  <c r="Z122" i="90" s="1"/>
  <c r="X161" i="90"/>
  <c r="Y161" i="90" s="1"/>
  <c r="Z161" i="90" s="1"/>
  <c r="X138" i="90"/>
  <c r="T179" i="90"/>
  <c r="U179" i="90" s="1"/>
  <c r="V179" i="90" s="1"/>
  <c r="T83" i="90"/>
  <c r="U83" i="90" s="1"/>
  <c r="V83" i="90" s="1"/>
  <c r="X59" i="90"/>
  <c r="Y59" i="90" s="1"/>
  <c r="Z59" i="90" s="1"/>
  <c r="X95" i="90"/>
  <c r="Y95" i="90" s="1"/>
  <c r="Z95" i="90" s="1"/>
  <c r="X77" i="90"/>
  <c r="Y77" i="90" s="1"/>
  <c r="Z77" i="90" s="1"/>
  <c r="T266" i="90"/>
  <c r="U266" i="90" s="1"/>
  <c r="V266" i="90" s="1"/>
  <c r="T240" i="90"/>
  <c r="T18" i="90"/>
  <c r="U18" i="90" s="1"/>
  <c r="V18" i="90" s="1"/>
  <c r="X250" i="90"/>
  <c r="X29" i="90"/>
  <c r="Y29" i="90" s="1"/>
  <c r="Z29" i="90" s="1"/>
  <c r="X133" i="90"/>
  <c r="T214" i="90"/>
  <c r="T173" i="90"/>
  <c r="U173" i="90" s="1"/>
  <c r="V173" i="90" s="1"/>
  <c r="T224" i="90"/>
  <c r="U224" i="90" s="1"/>
  <c r="V224" i="90" s="1"/>
  <c r="X179" i="90"/>
  <c r="Y179" i="90" s="1"/>
  <c r="Z179" i="90" s="1"/>
  <c r="X229" i="90"/>
  <c r="Y229" i="90" s="1"/>
  <c r="Z229" i="90" s="1"/>
  <c r="X71" i="90"/>
  <c r="Y71" i="90" s="1"/>
  <c r="Z71" i="90" s="1"/>
  <c r="T65" i="90"/>
  <c r="U65" i="90" s="1"/>
  <c r="V65" i="90" s="1"/>
  <c r="T112" i="90"/>
  <c r="T143" i="90"/>
  <c r="X117" i="90"/>
  <c r="Y117" i="90" s="1"/>
  <c r="Z117" i="90" s="1"/>
  <c r="X155" i="90"/>
  <c r="Y155" i="90" s="1"/>
  <c r="Z155" i="90" s="1"/>
  <c r="T197" i="90"/>
  <c r="U197" i="90" s="1"/>
  <c r="V197" i="90" s="1"/>
  <c r="T41" i="90"/>
  <c r="U41" i="90" s="1"/>
  <c r="V41" i="90" s="1"/>
  <c r="T77" i="90"/>
  <c r="U77" i="90" s="1"/>
  <c r="V77" i="90" s="1"/>
  <c r="X53" i="90"/>
  <c r="Y53" i="90" s="1"/>
  <c r="Z53" i="90" s="1"/>
  <c r="X89" i="90"/>
  <c r="Y89" i="90" s="1"/>
  <c r="Z89" i="90" s="1"/>
  <c r="T122" i="90"/>
  <c r="U122" i="90" s="1"/>
  <c r="V122" i="90" s="1"/>
  <c r="T167" i="90"/>
  <c r="U167" i="90" s="1"/>
  <c r="V167" i="90" s="1"/>
  <c r="T138" i="90"/>
  <c r="X245" i="90"/>
  <c r="X23" i="90"/>
  <c r="Y23" i="90" s="1"/>
  <c r="Z23" i="90" s="1"/>
  <c r="T59" i="90"/>
  <c r="U59" i="90" s="1"/>
  <c r="V59" i="90" s="1"/>
  <c r="T101" i="90"/>
  <c r="U101" i="90" s="1"/>
  <c r="V101" i="90" s="1"/>
  <c r="T13" i="90"/>
  <c r="T8" i="90" s="1"/>
  <c r="X173" i="90"/>
  <c r="Y173" i="90" s="1"/>
  <c r="Z173" i="90" s="1"/>
  <c r="X18" i="90"/>
  <c r="Y18" i="90" s="1"/>
  <c r="Z18" i="90" s="1"/>
  <c r="T261" i="90"/>
  <c r="U261" i="90" s="1"/>
  <c r="V261" i="90" s="1"/>
  <c r="T35" i="90"/>
  <c r="U35" i="90" s="1"/>
  <c r="V35" i="90" s="1"/>
  <c r="T271" i="90"/>
  <c r="U271" i="90" s="1"/>
  <c r="V271" i="90" s="1"/>
  <c r="X112" i="90"/>
  <c r="Y112" i="90" s="1"/>
  <c r="X224" i="90"/>
  <c r="Y224" i="90" s="1"/>
  <c r="Z224" i="90" s="1"/>
  <c r="T191" i="90"/>
  <c r="U191" i="90" s="1"/>
  <c r="V191" i="90" s="1"/>
  <c r="T29" i="90"/>
  <c r="U29" i="90" s="1"/>
  <c r="V29" i="90" s="1"/>
  <c r="T219" i="90"/>
  <c r="U219" i="90" s="1"/>
  <c r="V219" i="90" s="1"/>
  <c r="X240" i="90"/>
  <c r="X149" i="90"/>
  <c r="Y149" i="90" s="1"/>
  <c r="Z149" i="90" s="1"/>
  <c r="T53" i="90"/>
  <c r="U53" i="90" s="1"/>
  <c r="V53" i="90" s="1"/>
  <c r="T161" i="90"/>
  <c r="U161" i="90" s="1"/>
  <c r="V161" i="90" s="1"/>
  <c r="X47" i="90"/>
  <c r="Y47" i="90" s="1"/>
  <c r="Z47" i="90" s="1"/>
  <c r="H260" i="89"/>
  <c r="H61" i="101"/>
  <c r="G61" i="101" s="1"/>
  <c r="H358" i="89"/>
  <c r="H84" i="101"/>
  <c r="G84" i="101" s="1"/>
  <c r="AB23" i="90"/>
  <c r="AC23" i="90" s="1"/>
  <c r="AD23" i="90" s="1"/>
  <c r="AB133" i="90"/>
  <c r="AB29" i="90"/>
  <c r="AC29" i="90" s="1"/>
  <c r="AD29" i="90" s="1"/>
  <c r="AB83" i="90"/>
  <c r="AC83" i="90" s="1"/>
  <c r="AD83" i="90" s="1"/>
  <c r="AB138" i="90"/>
  <c r="AB214" i="90"/>
  <c r="AB197" i="90"/>
  <c r="AC197" i="90" s="1"/>
  <c r="AD197" i="90" s="1"/>
  <c r="AB35" i="90"/>
  <c r="AC35" i="90" s="1"/>
  <c r="AD35" i="90" s="1"/>
  <c r="AB143" i="90"/>
  <c r="AB219" i="90"/>
  <c r="AC219" i="90" s="1"/>
  <c r="AD219" i="90" s="1"/>
  <c r="AB271" i="90"/>
  <c r="AC271" i="90" s="1"/>
  <c r="AD271" i="90" s="1"/>
  <c r="AB41" i="90"/>
  <c r="AC41" i="90" s="1"/>
  <c r="AD41" i="90" s="1"/>
  <c r="AB89" i="90"/>
  <c r="AC89" i="90" s="1"/>
  <c r="AD89" i="90" s="1"/>
  <c r="AB149" i="90"/>
  <c r="AC149" i="90" s="1"/>
  <c r="AD149" i="90" s="1"/>
  <c r="AB224" i="90"/>
  <c r="AC224" i="90" s="1"/>
  <c r="AD224" i="90" s="1"/>
  <c r="AB18" i="90"/>
  <c r="AC18" i="90" s="1"/>
  <c r="AD18" i="90" s="1"/>
  <c r="AB95" i="90"/>
  <c r="AC95" i="90" s="1"/>
  <c r="AD95" i="90" s="1"/>
  <c r="AB155" i="90"/>
  <c r="AC155" i="90" s="1"/>
  <c r="AD155" i="90" s="1"/>
  <c r="AB47" i="90"/>
  <c r="AC47" i="90" s="1"/>
  <c r="AD47" i="90" s="1"/>
  <c r="AB229" i="90"/>
  <c r="AC229" i="90" s="1"/>
  <c r="AD229" i="90" s="1"/>
  <c r="AB101" i="90"/>
  <c r="AC101" i="90" s="1"/>
  <c r="AD101" i="90" s="1"/>
  <c r="AB161" i="90"/>
  <c r="AC161" i="90" s="1"/>
  <c r="AD161" i="90" s="1"/>
  <c r="AB53" i="90"/>
  <c r="AC53" i="90" s="1"/>
  <c r="AD53" i="90" s="1"/>
  <c r="AB266" i="90"/>
  <c r="AC266" i="90" s="1"/>
  <c r="AD266" i="90" s="1"/>
  <c r="AB167" i="90"/>
  <c r="AC167" i="90" s="1"/>
  <c r="AD167" i="90" s="1"/>
  <c r="AB59" i="90"/>
  <c r="AC59" i="90" s="1"/>
  <c r="AD59" i="90" s="1"/>
  <c r="AB173" i="90"/>
  <c r="AC173" i="90" s="1"/>
  <c r="AD173" i="90" s="1"/>
  <c r="AB112" i="90"/>
  <c r="AB240" i="90"/>
  <c r="AB65" i="90"/>
  <c r="AC65" i="90" s="1"/>
  <c r="AD65" i="90" s="1"/>
  <c r="AB117" i="90"/>
  <c r="AC117" i="90" s="1"/>
  <c r="AD117" i="90" s="1"/>
  <c r="AB179" i="90"/>
  <c r="AC179" i="90" s="1"/>
  <c r="AD179" i="90" s="1"/>
  <c r="AB245" i="90"/>
  <c r="AB71" i="90"/>
  <c r="AC71" i="90" s="1"/>
  <c r="AD71" i="90" s="1"/>
  <c r="AB185" i="90"/>
  <c r="AC185" i="90" s="1"/>
  <c r="AD185" i="90" s="1"/>
  <c r="AB250" i="90"/>
  <c r="AB122" i="90"/>
  <c r="AC122" i="90" s="1"/>
  <c r="AD122" i="90" s="1"/>
  <c r="AB261" i="90"/>
  <c r="AB13" i="90"/>
  <c r="AB77" i="90"/>
  <c r="AC77" i="90" s="1"/>
  <c r="AD77" i="90" s="1"/>
  <c r="AB191" i="90"/>
  <c r="AC191" i="90" s="1"/>
  <c r="AD191" i="90" s="1"/>
  <c r="Y13" i="90"/>
  <c r="H341" i="89"/>
  <c r="H80" i="101"/>
  <c r="G80" i="101" s="1"/>
  <c r="Y214" i="90"/>
  <c r="U214" i="90"/>
  <c r="Q29" i="85"/>
  <c r="L82" i="96" s="1"/>
  <c r="O25" i="101"/>
  <c r="G25" i="101" s="1"/>
  <c r="O119" i="101"/>
  <c r="G119" i="101" s="1"/>
  <c r="O233" i="101"/>
  <c r="G233" i="101" s="1"/>
  <c r="O50" i="101"/>
  <c r="G50" i="101" s="1"/>
  <c r="O8" i="101"/>
  <c r="G8" i="101" s="1"/>
  <c r="O150" i="101"/>
  <c r="G150" i="101" s="1"/>
  <c r="O159" i="101"/>
  <c r="G159" i="101" s="1"/>
  <c r="O115" i="101"/>
  <c r="G115" i="101" s="1"/>
  <c r="O30" i="101"/>
  <c r="G30" i="101" s="1"/>
  <c r="O3" i="101"/>
  <c r="G3" i="101" s="1"/>
  <c r="O113" i="101"/>
  <c r="G113" i="101" s="1"/>
  <c r="O13" i="101"/>
  <c r="G13" i="101" s="1"/>
  <c r="O38" i="101"/>
  <c r="G38" i="101" s="1"/>
  <c r="O56" i="101"/>
  <c r="G56" i="101" s="1"/>
  <c r="O130" i="101"/>
  <c r="G130" i="101" s="1"/>
  <c r="O127" i="101"/>
  <c r="G127" i="101" s="1"/>
  <c r="O58" i="101"/>
  <c r="G58" i="101" s="1"/>
  <c r="O103" i="101"/>
  <c r="G103" i="101" s="1"/>
  <c r="E93" i="85"/>
  <c r="Q108" i="85"/>
  <c r="Q82" i="85"/>
  <c r="F82" i="85"/>
  <c r="K255" i="101" s="1"/>
  <c r="O255" i="101" s="1"/>
  <c r="H328" i="89"/>
  <c r="H312" i="89" s="1"/>
  <c r="H73" i="101" s="1"/>
  <c r="H313" i="89"/>
  <c r="I73" i="101" s="1"/>
  <c r="M73" i="101" s="1"/>
  <c r="H217" i="89"/>
  <c r="G51" i="101"/>
  <c r="F48" i="85"/>
  <c r="J249" i="101" s="1"/>
  <c r="N249" i="101" s="1"/>
  <c r="E40" i="85"/>
  <c r="Q107" i="85"/>
  <c r="F64" i="85"/>
  <c r="J252" i="101" s="1"/>
  <c r="N252" i="101" s="1"/>
  <c r="Q65" i="85"/>
  <c r="Q48" i="85"/>
  <c r="E140" i="85"/>
  <c r="Q133" i="85"/>
  <c r="F81" i="85"/>
  <c r="I255" i="101" s="1"/>
  <c r="M255" i="101" s="1"/>
  <c r="Q81" i="85"/>
  <c r="E106" i="85"/>
  <c r="E80" i="85"/>
  <c r="F133" i="85"/>
  <c r="I265" i="101" s="1"/>
  <c r="M265" i="101" s="1"/>
  <c r="E81" i="85"/>
  <c r="Q28" i="85"/>
  <c r="Q149" i="85"/>
  <c r="F149" i="85"/>
  <c r="I268" i="101" s="1"/>
  <c r="M268" i="101" s="1"/>
  <c r="Q64" i="85"/>
  <c r="Z81" i="96" s="1"/>
  <c r="Q106" i="85"/>
  <c r="Q49" i="85"/>
  <c r="F28" i="85"/>
  <c r="I245" i="101" s="1"/>
  <c r="M245" i="101" s="1"/>
  <c r="F106" i="85"/>
  <c r="J260" i="101" s="1"/>
  <c r="N260" i="101" s="1"/>
  <c r="J261" i="101"/>
  <c r="N261" i="101" s="1"/>
  <c r="F49" i="85"/>
  <c r="I249" i="101" s="1"/>
  <c r="M249" i="101" s="1"/>
  <c r="F42" i="85"/>
  <c r="J248" i="101" s="1"/>
  <c r="N248" i="101" s="1"/>
  <c r="Q27" i="85"/>
  <c r="L81" i="96" s="1"/>
  <c r="F65" i="85"/>
  <c r="I252" i="101" s="1"/>
  <c r="M252" i="101" s="1"/>
  <c r="F108" i="85"/>
  <c r="K261" i="101"/>
  <c r="O261" i="101" s="1"/>
  <c r="AC230" i="88"/>
  <c r="BS230" i="88"/>
  <c r="AQ230" i="88"/>
  <c r="BV230" i="88"/>
  <c r="AC243" i="89"/>
  <c r="AJ230" i="88"/>
  <c r="E98" i="85"/>
  <c r="E72" i="85"/>
  <c r="Q80" i="85"/>
  <c r="F140" i="85"/>
  <c r="Q132" i="85"/>
  <c r="F80" i="85"/>
  <c r="J255" i="101" s="1"/>
  <c r="N255" i="101" s="1"/>
  <c r="E56" i="85"/>
  <c r="E124" i="85"/>
  <c r="BW234" i="88"/>
  <c r="AR234" i="88"/>
  <c r="AK234" i="88"/>
  <c r="BT234" i="88"/>
  <c r="AD234" i="88"/>
  <c r="AY234" i="88"/>
  <c r="BM234" i="88"/>
  <c r="BF234" i="88"/>
  <c r="BW246" i="88"/>
  <c r="BE230" i="88"/>
  <c r="BL230" i="88"/>
  <c r="AX230" i="88"/>
  <c r="AD255" i="89"/>
  <c r="AD251" i="89"/>
  <c r="AD247" i="89"/>
  <c r="G95" i="101"/>
  <c r="BW35" i="87"/>
  <c r="BW59" i="87"/>
  <c r="BW15" i="87"/>
  <c r="BW10" i="87"/>
  <c r="BW63" i="87"/>
  <c r="CJ12" i="95"/>
  <c r="CK5" i="95"/>
  <c r="H62" i="87"/>
  <c r="U58" i="87"/>
  <c r="K271" i="101"/>
  <c r="J88" i="96"/>
  <c r="AF185" i="90" s="1"/>
  <c r="AG185" i="90" s="1"/>
  <c r="AH185" i="90" s="1"/>
  <c r="AE303" i="90"/>
  <c r="W294" i="90"/>
  <c r="W302" i="90"/>
  <c r="W303" i="90"/>
  <c r="AE301" i="90"/>
  <c r="AE299" i="90"/>
  <c r="AE287" i="90"/>
  <c r="AA289" i="90"/>
  <c r="AE294" i="90"/>
  <c r="W301" i="90"/>
  <c r="W289" i="90"/>
  <c r="AA299" i="90"/>
  <c r="AE302" i="90"/>
  <c r="W287" i="90"/>
  <c r="AA303" i="90"/>
  <c r="AA294" i="90"/>
  <c r="AA287" i="90"/>
  <c r="W299" i="90"/>
  <c r="AE289" i="90"/>
  <c r="AA301" i="90"/>
  <c r="AA302" i="90"/>
  <c r="Z82" i="96"/>
  <c r="K252" i="101"/>
  <c r="O252" i="101" s="1"/>
  <c r="D78" i="85"/>
  <c r="H243" i="101"/>
  <c r="G243" i="101" s="1"/>
  <c r="R74" i="84"/>
  <c r="K268" i="101"/>
  <c r="O268" i="101" s="1"/>
  <c r="K245" i="101"/>
  <c r="O245" i="101" s="1"/>
  <c r="D104" i="85"/>
  <c r="CC12" i="95"/>
  <c r="AD12" i="95"/>
  <c r="H113" i="87"/>
  <c r="BI148" i="95"/>
  <c r="AU148" i="95"/>
  <c r="BW148" i="95"/>
  <c r="BP148" i="95"/>
  <c r="BB148" i="95"/>
  <c r="BB5" i="95"/>
  <c r="CD129" i="95"/>
  <c r="CK129" i="95"/>
  <c r="CD24" i="95"/>
  <c r="CK24" i="95"/>
  <c r="AU5" i="95"/>
  <c r="K112" i="101"/>
  <c r="BA12" i="95"/>
  <c r="BH12" i="95"/>
  <c r="AT12" i="95"/>
  <c r="BP5" i="95"/>
  <c r="BW5" i="95"/>
  <c r="BI5" i="95"/>
  <c r="BV12" i="95"/>
  <c r="BO12" i="95"/>
  <c r="CD5" i="95"/>
  <c r="AD139" i="95"/>
  <c r="CC139" i="95"/>
  <c r="AD49" i="95"/>
  <c r="CC49" i="95"/>
  <c r="G146" i="101"/>
  <c r="G53" i="101"/>
  <c r="H83" i="96"/>
  <c r="J84" i="96"/>
  <c r="BV49" i="95"/>
  <c r="BH49" i="95"/>
  <c r="BA49" i="95"/>
  <c r="BO49" i="95"/>
  <c r="AT49" i="95"/>
  <c r="BB129" i="95"/>
  <c r="AU129" i="95"/>
  <c r="BP129" i="95"/>
  <c r="BI129" i="95"/>
  <c r="H162" i="101"/>
  <c r="H95" i="87"/>
  <c r="K163" i="101"/>
  <c r="K55" i="101"/>
  <c r="H234" i="89"/>
  <c r="H225" i="89"/>
  <c r="H202" i="89"/>
  <c r="H205" i="89"/>
  <c r="H48" i="101"/>
  <c r="G48" i="101" s="1"/>
  <c r="G7" i="101"/>
  <c r="G42" i="101"/>
  <c r="G29" i="101"/>
  <c r="G134" i="101"/>
  <c r="G22" i="101"/>
  <c r="G122" i="101"/>
  <c r="G167" i="101"/>
  <c r="G17" i="101"/>
  <c r="G140" i="101"/>
  <c r="G88" i="101"/>
  <c r="G37" i="101"/>
  <c r="G222" i="101"/>
  <c r="E147" i="85"/>
  <c r="E146" i="85" s="1"/>
  <c r="E47" i="85"/>
  <c r="E46" i="85" s="1"/>
  <c r="Q147" i="85"/>
  <c r="Q26" i="85"/>
  <c r="L80" i="96" s="1"/>
  <c r="BW24" i="95"/>
  <c r="AU24" i="95"/>
  <c r="BP24" i="95"/>
  <c r="BI24" i="95"/>
  <c r="BB24" i="95"/>
  <c r="Q47" i="85"/>
  <c r="F51" i="85"/>
  <c r="F47" i="85"/>
  <c r="H250" i="101"/>
  <c r="G250" i="101" s="1"/>
  <c r="F67" i="85"/>
  <c r="F63" i="85"/>
  <c r="H253" i="101"/>
  <c r="G253" i="101" s="1"/>
  <c r="Q63" i="85"/>
  <c r="F19" i="85"/>
  <c r="H244" i="101"/>
  <c r="G244" i="101" s="1"/>
  <c r="F93" i="85"/>
  <c r="H258" i="101"/>
  <c r="G258" i="101" s="1"/>
  <c r="H248" i="101"/>
  <c r="F30" i="85"/>
  <c r="F26" i="85"/>
  <c r="H246" i="101"/>
  <c r="G246" i="101" s="1"/>
  <c r="E26" i="85"/>
  <c r="E25" i="85" s="1"/>
  <c r="E105" i="85"/>
  <c r="H138" i="84"/>
  <c r="H79" i="84"/>
  <c r="E63" i="85"/>
  <c r="E62" i="85" s="1"/>
  <c r="F83" i="85"/>
  <c r="F79" i="85"/>
  <c r="H256" i="101"/>
  <c r="G256" i="101" s="1"/>
  <c r="F156" i="85"/>
  <c r="H270" i="101"/>
  <c r="G270" i="101" s="1"/>
  <c r="H267" i="101"/>
  <c r="G267" i="101" s="1"/>
  <c r="F151" i="85"/>
  <c r="F147" i="85"/>
  <c r="H266" i="101"/>
  <c r="G266" i="101" s="1"/>
  <c r="H269" i="101"/>
  <c r="G269" i="101" s="1"/>
  <c r="F56" i="85"/>
  <c r="H251" i="101"/>
  <c r="G251" i="101" s="1"/>
  <c r="Q79" i="85"/>
  <c r="F109" i="85"/>
  <c r="F105" i="85"/>
  <c r="H261" i="101"/>
  <c r="F98" i="85"/>
  <c r="H259" i="101"/>
  <c r="G259" i="101" s="1"/>
  <c r="F124" i="85"/>
  <c r="H264" i="101"/>
  <c r="G264" i="101" s="1"/>
  <c r="Q105" i="85"/>
  <c r="F72" i="85"/>
  <c r="H254" i="101"/>
  <c r="G254" i="101" s="1"/>
  <c r="BA139" i="95"/>
  <c r="E131" i="85"/>
  <c r="E130" i="85" s="1"/>
  <c r="F135" i="85"/>
  <c r="F131" i="85"/>
  <c r="E79" i="85"/>
  <c r="Q131" i="85"/>
  <c r="F119" i="85"/>
  <c r="H263" i="101"/>
  <c r="G263" i="101" s="1"/>
  <c r="BH139" i="95"/>
  <c r="BO139" i="95"/>
  <c r="AT139" i="95"/>
  <c r="BV139" i="95"/>
  <c r="H31" i="89"/>
  <c r="K2" i="101"/>
  <c r="H125" i="89"/>
  <c r="H159" i="89"/>
  <c r="K231" i="101"/>
  <c r="K126" i="101"/>
  <c r="H170" i="88"/>
  <c r="K118" i="101"/>
  <c r="K158" i="101"/>
  <c r="K57" i="101"/>
  <c r="K12" i="101"/>
  <c r="H52" i="89"/>
  <c r="BW129" i="95" l="1"/>
  <c r="P261" i="90"/>
  <c r="P133" i="90"/>
  <c r="P250" i="90"/>
  <c r="P65" i="90"/>
  <c r="Q65" i="90" s="1"/>
  <c r="R65" i="90" s="1"/>
  <c r="P149" i="90"/>
  <c r="Q149" i="90" s="1"/>
  <c r="R149" i="90" s="1"/>
  <c r="P35" i="90"/>
  <c r="Q35" i="90" s="1"/>
  <c r="R35" i="90" s="1"/>
  <c r="P191" i="90"/>
  <c r="Q191" i="90" s="1"/>
  <c r="R191" i="90" s="1"/>
  <c r="P101" i="90"/>
  <c r="Q101" i="90" s="1"/>
  <c r="R101" i="90" s="1"/>
  <c r="P29" i="90"/>
  <c r="Q29" i="90" s="1"/>
  <c r="R29" i="90" s="1"/>
  <c r="P219" i="90"/>
  <c r="Q219" i="90" s="1"/>
  <c r="R219" i="90" s="1"/>
  <c r="P155" i="90"/>
  <c r="Q155" i="90" s="1"/>
  <c r="R155" i="90" s="1"/>
  <c r="P71" i="90"/>
  <c r="Q71" i="90" s="1"/>
  <c r="R71" i="90" s="1"/>
  <c r="P197" i="90"/>
  <c r="Q197" i="90" s="1"/>
  <c r="R197" i="90" s="1"/>
  <c r="P138" i="90"/>
  <c r="P53" i="90"/>
  <c r="Q53" i="90" s="1"/>
  <c r="R53" i="90" s="1"/>
  <c r="P229" i="90"/>
  <c r="Q229" i="90" s="1"/>
  <c r="R229" i="90" s="1"/>
  <c r="P112" i="90"/>
  <c r="P179" i="90"/>
  <c r="Q179" i="90" s="1"/>
  <c r="R179" i="90" s="1"/>
  <c r="P185" i="90"/>
  <c r="Q185" i="90" s="1"/>
  <c r="R185" i="90" s="1"/>
  <c r="P214" i="90"/>
  <c r="P89" i="90"/>
  <c r="Q89" i="90" s="1"/>
  <c r="R89" i="90" s="1"/>
  <c r="P117" i="90"/>
  <c r="Q117" i="90" s="1"/>
  <c r="R117" i="90" s="1"/>
  <c r="P18" i="90"/>
  <c r="Q18" i="90" s="1"/>
  <c r="R18" i="90" s="1"/>
  <c r="P77" i="90"/>
  <c r="Q77" i="90" s="1"/>
  <c r="R77" i="90" s="1"/>
  <c r="P266" i="90"/>
  <c r="Q266" i="90" s="1"/>
  <c r="R266" i="90" s="1"/>
  <c r="P224" i="90"/>
  <c r="Q224" i="90" s="1"/>
  <c r="R224" i="90" s="1"/>
  <c r="P83" i="90"/>
  <c r="Q83" i="90" s="1"/>
  <c r="R83" i="90" s="1"/>
  <c r="P23" i="90"/>
  <c r="Q23" i="90" s="1"/>
  <c r="R23" i="90" s="1"/>
  <c r="P143" i="90"/>
  <c r="P271" i="90"/>
  <c r="Q271" i="90" s="1"/>
  <c r="R271" i="90" s="1"/>
  <c r="P161" i="90"/>
  <c r="Q161" i="90" s="1"/>
  <c r="R161" i="90" s="1"/>
  <c r="P41" i="90"/>
  <c r="Q41" i="90" s="1"/>
  <c r="R41" i="90" s="1"/>
  <c r="P167" i="90"/>
  <c r="Q167" i="90" s="1"/>
  <c r="R167" i="90" s="1"/>
  <c r="P173" i="90"/>
  <c r="Q173" i="90" s="1"/>
  <c r="R173" i="90" s="1"/>
  <c r="P47" i="90"/>
  <c r="Q47" i="90" s="1"/>
  <c r="R47" i="90" s="1"/>
  <c r="P245" i="90"/>
  <c r="P95" i="90"/>
  <c r="Q95" i="90" s="1"/>
  <c r="R95" i="90" s="1"/>
  <c r="P13" i="90"/>
  <c r="P240" i="90"/>
  <c r="P235" i="90" s="1"/>
  <c r="P59" i="90"/>
  <c r="Q59" i="90" s="1"/>
  <c r="R59" i="90" s="1"/>
  <c r="P122" i="90"/>
  <c r="Q122" i="90" s="1"/>
  <c r="R122" i="90" s="1"/>
  <c r="G73" i="101"/>
  <c r="T128" i="90"/>
  <c r="T235" i="90"/>
  <c r="X128" i="90"/>
  <c r="BF55" i="87"/>
  <c r="BT55" i="87"/>
  <c r="BM55" i="87"/>
  <c r="AY55" i="87"/>
  <c r="AR55" i="87"/>
  <c r="AK55" i="87"/>
  <c r="AD55" i="87"/>
  <c r="BF243" i="89"/>
  <c r="BT243" i="89"/>
  <c r="AY243" i="89"/>
  <c r="AK243" i="89"/>
  <c r="BM243" i="89"/>
  <c r="AR243" i="89"/>
  <c r="BW243" i="89"/>
  <c r="U13" i="90"/>
  <c r="X209" i="90"/>
  <c r="X256" i="90"/>
  <c r="X107" i="90"/>
  <c r="G201" i="90"/>
  <c r="F201" i="90" s="1"/>
  <c r="K333" i="101" s="1"/>
  <c r="O333" i="101" s="1"/>
  <c r="G183" i="90"/>
  <c r="F183" i="90" s="1"/>
  <c r="K330" i="101" s="1"/>
  <c r="O330" i="101" s="1"/>
  <c r="X8" i="90"/>
  <c r="T107" i="90"/>
  <c r="T209" i="90"/>
  <c r="U112" i="90"/>
  <c r="X235" i="90"/>
  <c r="V256" i="90"/>
  <c r="AF214" i="90"/>
  <c r="AG214" i="90" s="1"/>
  <c r="AF41" i="90"/>
  <c r="AG41" i="90" s="1"/>
  <c r="AH41" i="90" s="1"/>
  <c r="AF149" i="90"/>
  <c r="AG149" i="90" s="1"/>
  <c r="AH149" i="90" s="1"/>
  <c r="AF35" i="90"/>
  <c r="AG35" i="90" s="1"/>
  <c r="AH35" i="90" s="1"/>
  <c r="AF250" i="90"/>
  <c r="AF133" i="90"/>
  <c r="T256" i="90"/>
  <c r="AF197" i="90"/>
  <c r="AG197" i="90" s="1"/>
  <c r="AH197" i="90" s="1"/>
  <c r="AF18" i="90"/>
  <c r="AG18" i="90" s="1"/>
  <c r="AH18" i="90" s="1"/>
  <c r="AF240" i="90"/>
  <c r="AF179" i="90"/>
  <c r="AG179" i="90" s="1"/>
  <c r="AH179" i="90" s="1"/>
  <c r="AF112" i="90"/>
  <c r="AG112" i="90" s="1"/>
  <c r="AH112" i="90" s="1"/>
  <c r="AF13" i="90"/>
  <c r="AG13" i="90" s="1"/>
  <c r="AF219" i="90"/>
  <c r="AG219" i="90" s="1"/>
  <c r="AH219" i="90" s="1"/>
  <c r="AF261" i="90"/>
  <c r="AG261" i="90" s="1"/>
  <c r="AF224" i="90"/>
  <c r="AG224" i="90" s="1"/>
  <c r="AH224" i="90" s="1"/>
  <c r="AF161" i="90"/>
  <c r="AG161" i="90" s="1"/>
  <c r="AH161" i="90" s="1"/>
  <c r="AF191" i="90"/>
  <c r="AG191" i="90" s="1"/>
  <c r="AH191" i="90" s="1"/>
  <c r="AF71" i="90"/>
  <c r="AG71" i="90" s="1"/>
  <c r="AH71" i="90" s="1"/>
  <c r="AF53" i="90"/>
  <c r="AG53" i="90" s="1"/>
  <c r="AH53" i="90" s="1"/>
  <c r="AF143" i="90"/>
  <c r="AF173" i="90"/>
  <c r="AG173" i="90" s="1"/>
  <c r="AH173" i="90" s="1"/>
  <c r="AF101" i="90"/>
  <c r="AG101" i="90" s="1"/>
  <c r="AH101" i="90" s="1"/>
  <c r="AF83" i="90"/>
  <c r="AG83" i="90" s="1"/>
  <c r="AH83" i="90" s="1"/>
  <c r="AF122" i="90"/>
  <c r="AG122" i="90" s="1"/>
  <c r="AH122" i="90" s="1"/>
  <c r="AF271" i="90"/>
  <c r="AG271" i="90" s="1"/>
  <c r="AH271" i="90" s="1"/>
  <c r="AF29" i="90"/>
  <c r="AG29" i="90" s="1"/>
  <c r="AH29" i="90" s="1"/>
  <c r="AF65" i="90"/>
  <c r="AG65" i="90" s="1"/>
  <c r="AH65" i="90" s="1"/>
  <c r="AF229" i="90"/>
  <c r="AG229" i="90" s="1"/>
  <c r="AH229" i="90" s="1"/>
  <c r="AF47" i="90"/>
  <c r="AG47" i="90" s="1"/>
  <c r="AH47" i="90" s="1"/>
  <c r="AF138" i="90"/>
  <c r="AF167" i="90"/>
  <c r="AG167" i="90" s="1"/>
  <c r="AH167" i="90" s="1"/>
  <c r="AF155" i="90"/>
  <c r="AG155" i="90" s="1"/>
  <c r="AH155" i="90" s="1"/>
  <c r="AF77" i="90"/>
  <c r="AG77" i="90" s="1"/>
  <c r="AH77" i="90" s="1"/>
  <c r="AF117" i="90"/>
  <c r="AF95" i="90"/>
  <c r="AG95" i="90" s="1"/>
  <c r="AH95" i="90" s="1"/>
  <c r="AF23" i="90"/>
  <c r="AG23" i="90" s="1"/>
  <c r="AH23" i="90" s="1"/>
  <c r="AF59" i="90"/>
  <c r="AG59" i="90" s="1"/>
  <c r="AH59" i="90" s="1"/>
  <c r="AF266" i="90"/>
  <c r="AG266" i="90" s="1"/>
  <c r="AH266" i="90" s="1"/>
  <c r="AF245" i="90"/>
  <c r="AF89" i="90"/>
  <c r="AG89" i="90" s="1"/>
  <c r="AH89" i="90" s="1"/>
  <c r="Y8" i="90"/>
  <c r="Z13" i="90"/>
  <c r="Z8" i="90" s="1"/>
  <c r="AB128" i="90"/>
  <c r="U209" i="90"/>
  <c r="V214" i="90"/>
  <c r="V209" i="90" s="1"/>
  <c r="Y107" i="90"/>
  <c r="Z112" i="90"/>
  <c r="Z107" i="90" s="1"/>
  <c r="V112" i="90"/>
  <c r="V107" i="90" s="1"/>
  <c r="U107" i="90"/>
  <c r="U256" i="90"/>
  <c r="AB235" i="90"/>
  <c r="U8" i="90"/>
  <c r="V13" i="90"/>
  <c r="V8" i="90" s="1"/>
  <c r="AC112" i="90"/>
  <c r="AB107" i="90"/>
  <c r="Y209" i="90"/>
  <c r="Z214" i="90"/>
  <c r="Z209" i="90" s="1"/>
  <c r="Z261" i="90"/>
  <c r="Z256" i="90" s="1"/>
  <c r="Y256" i="90"/>
  <c r="AB8" i="90"/>
  <c r="AC13" i="90"/>
  <c r="AB256" i="90"/>
  <c r="AC261" i="90"/>
  <c r="AB209" i="90"/>
  <c r="AC214" i="90"/>
  <c r="O231" i="101"/>
  <c r="G231" i="101" s="1"/>
  <c r="O2" i="101"/>
  <c r="G2" i="101" s="1"/>
  <c r="O271" i="101"/>
  <c r="G271" i="101" s="1"/>
  <c r="O118" i="101"/>
  <c r="G118" i="101" s="1"/>
  <c r="O112" i="101"/>
  <c r="G112" i="101" s="1"/>
  <c r="O55" i="101"/>
  <c r="G55" i="101" s="1"/>
  <c r="O163" i="101"/>
  <c r="G163" i="101" s="1"/>
  <c r="O12" i="101"/>
  <c r="G12" i="101" s="1"/>
  <c r="O57" i="101"/>
  <c r="G57" i="101" s="1"/>
  <c r="O126" i="101"/>
  <c r="G126" i="101" s="1"/>
  <c r="O158" i="101"/>
  <c r="G158" i="101" s="1"/>
  <c r="G104" i="90"/>
  <c r="F104" i="90" s="1"/>
  <c r="G56" i="90"/>
  <c r="F56" i="90" s="1"/>
  <c r="E78" i="85"/>
  <c r="E104" i="85"/>
  <c r="K260" i="101"/>
  <c r="O260" i="101" s="1"/>
  <c r="H311" i="89"/>
  <c r="AD230" i="88"/>
  <c r="G182" i="90"/>
  <c r="F182" i="90" s="1"/>
  <c r="G164" i="90"/>
  <c r="F164" i="90" s="1"/>
  <c r="G176" i="90"/>
  <c r="F176" i="90" s="1"/>
  <c r="G62" i="90"/>
  <c r="F62" i="90" s="1"/>
  <c r="G187" i="90"/>
  <c r="F187" i="90" s="1"/>
  <c r="G98" i="90"/>
  <c r="F98" i="90" s="1"/>
  <c r="G21" i="90"/>
  <c r="F21" i="90" s="1"/>
  <c r="G32" i="90"/>
  <c r="F32" i="90" s="1"/>
  <c r="G158" i="90"/>
  <c r="G44" i="90"/>
  <c r="F43" i="90" s="1"/>
  <c r="I306" i="101" s="1"/>
  <c r="M306" i="101" s="1"/>
  <c r="G92" i="90"/>
  <c r="F92" i="90" s="1"/>
  <c r="G68" i="90"/>
  <c r="F68" i="90" s="1"/>
  <c r="G194" i="90"/>
  <c r="F194" i="90" s="1"/>
  <c r="G199" i="90"/>
  <c r="F199" i="90" s="1"/>
  <c r="G50" i="90"/>
  <c r="F50" i="90" s="1"/>
  <c r="G16" i="90"/>
  <c r="F16" i="90" s="1"/>
  <c r="G115" i="90"/>
  <c r="G110" i="90" s="1"/>
  <c r="G86" i="90"/>
  <c r="F86" i="90" s="1"/>
  <c r="G38" i="90"/>
  <c r="F38" i="90" s="1"/>
  <c r="G73" i="90"/>
  <c r="F73" i="90" s="1"/>
  <c r="J311" i="101" s="1"/>
  <c r="N311" i="101" s="1"/>
  <c r="G26" i="90"/>
  <c r="F26" i="90" s="1"/>
  <c r="G80" i="90"/>
  <c r="F80" i="90" s="1"/>
  <c r="G261" i="101"/>
  <c r="G248" i="101"/>
  <c r="F40" i="85"/>
  <c r="F27" i="85"/>
  <c r="F25" i="85" s="1"/>
  <c r="F79" i="90"/>
  <c r="F103" i="90"/>
  <c r="I316" i="101" s="1"/>
  <c r="M316" i="101" s="1"/>
  <c r="F175" i="90"/>
  <c r="I329" i="101" s="1"/>
  <c r="M329" i="101" s="1"/>
  <c r="F181" i="90"/>
  <c r="I330" i="101" s="1"/>
  <c r="M330" i="101" s="1"/>
  <c r="F97" i="90"/>
  <c r="I315" i="101" s="1"/>
  <c r="M315" i="101" s="1"/>
  <c r="F157" i="90"/>
  <c r="F91" i="90"/>
  <c r="I314" i="101" s="1"/>
  <c r="M314" i="101" s="1"/>
  <c r="F163" i="90"/>
  <c r="I327" i="101" s="1"/>
  <c r="M327" i="101" s="1"/>
  <c r="F193" i="90"/>
  <c r="I332" i="101" s="1"/>
  <c r="M332" i="101" s="1"/>
  <c r="F114" i="90"/>
  <c r="F109" i="90" s="1"/>
  <c r="F85" i="90"/>
  <c r="AD243" i="89"/>
  <c r="F25" i="90"/>
  <c r="I303" i="101" s="1"/>
  <c r="M303" i="101" s="1"/>
  <c r="F61" i="90"/>
  <c r="I309" i="101" s="1"/>
  <c r="M309" i="101" s="1"/>
  <c r="F49" i="90"/>
  <c r="I307" i="101" s="1"/>
  <c r="M307" i="101" s="1"/>
  <c r="F55" i="90"/>
  <c r="I308" i="101" s="1"/>
  <c r="M308" i="101" s="1"/>
  <c r="F20" i="90"/>
  <c r="I302" i="101" s="1"/>
  <c r="M302" i="101" s="1"/>
  <c r="F37" i="90"/>
  <c r="F31" i="90"/>
  <c r="F67" i="90"/>
  <c r="F15" i="90"/>
  <c r="I301" i="101" s="1"/>
  <c r="M301" i="101" s="1"/>
  <c r="BF230" i="88"/>
  <c r="BM230" i="88"/>
  <c r="AY230" i="88"/>
  <c r="BT230" i="88"/>
  <c r="AK230" i="88"/>
  <c r="AR230" i="88"/>
  <c r="BW230" i="88"/>
  <c r="BW55" i="87"/>
  <c r="CK12" i="95"/>
  <c r="J91" i="96"/>
  <c r="J90" i="96"/>
  <c r="G105" i="90"/>
  <c r="F105" i="90" s="1"/>
  <c r="K316" i="101" s="1"/>
  <c r="O316" i="101" s="1"/>
  <c r="G87" i="90"/>
  <c r="F87" i="90" s="1"/>
  <c r="K313" i="101" s="1"/>
  <c r="O313" i="101" s="1"/>
  <c r="G22" i="90"/>
  <c r="F22" i="90" s="1"/>
  <c r="K302" i="101" s="1"/>
  <c r="O302" i="101" s="1"/>
  <c r="G51" i="90"/>
  <c r="F51" i="90" s="1"/>
  <c r="K307" i="101" s="1"/>
  <c r="O307" i="101" s="1"/>
  <c r="G39" i="90"/>
  <c r="F39" i="90" s="1"/>
  <c r="G63" i="90"/>
  <c r="F63" i="90" s="1"/>
  <c r="K309" i="101" s="1"/>
  <c r="O309" i="101" s="1"/>
  <c r="G165" i="90"/>
  <c r="F165" i="90" s="1"/>
  <c r="K327" i="101" s="1"/>
  <c r="O327" i="101" s="1"/>
  <c r="G81" i="90"/>
  <c r="G159" i="90"/>
  <c r="F159" i="90" s="1"/>
  <c r="K326" i="101" s="1"/>
  <c r="O326" i="101" s="1"/>
  <c r="G17" i="90"/>
  <c r="G93" i="90"/>
  <c r="F93" i="90" s="1"/>
  <c r="G27" i="90"/>
  <c r="F27" i="90" s="1"/>
  <c r="K303" i="101" s="1"/>
  <c r="O303" i="101" s="1"/>
  <c r="G116" i="90"/>
  <c r="G111" i="90" s="1"/>
  <c r="G177" i="90"/>
  <c r="F177" i="90" s="1"/>
  <c r="K329" i="101" s="1"/>
  <c r="O329" i="101" s="1"/>
  <c r="G189" i="90"/>
  <c r="F189" i="90" s="1"/>
  <c r="K331" i="101" s="1"/>
  <c r="O331" i="101" s="1"/>
  <c r="G69" i="90"/>
  <c r="F69" i="90" s="1"/>
  <c r="K310" i="101" s="1"/>
  <c r="O310" i="101" s="1"/>
  <c r="G75" i="90"/>
  <c r="F75" i="90" s="1"/>
  <c r="G99" i="90"/>
  <c r="F99" i="90" s="1"/>
  <c r="K315" i="101" s="1"/>
  <c r="O315" i="101" s="1"/>
  <c r="G195" i="90"/>
  <c r="F195" i="90" s="1"/>
  <c r="G33" i="90"/>
  <c r="F33" i="90" s="1"/>
  <c r="K304" i="101" s="1"/>
  <c r="O304" i="101" s="1"/>
  <c r="G57" i="90"/>
  <c r="F57" i="90" s="1"/>
  <c r="K308" i="101" s="1"/>
  <c r="O308" i="101" s="1"/>
  <c r="G45" i="90"/>
  <c r="F45" i="90" s="1"/>
  <c r="K306" i="101" s="1"/>
  <c r="O306" i="101" s="1"/>
  <c r="K155" i="101"/>
  <c r="H59" i="87"/>
  <c r="H58" i="87"/>
  <c r="AI287" i="90"/>
  <c r="AI299" i="90"/>
  <c r="AI294" i="90"/>
  <c r="AI303" i="90"/>
  <c r="AI289" i="90"/>
  <c r="AI301" i="90"/>
  <c r="AI302" i="90"/>
  <c r="S289" i="90"/>
  <c r="S294" i="90"/>
  <c r="S299" i="90"/>
  <c r="S301" i="90"/>
  <c r="S302" i="90"/>
  <c r="S303" i="90"/>
  <c r="S287" i="90"/>
  <c r="J83" i="96"/>
  <c r="J89" i="96"/>
  <c r="I312" i="101"/>
  <c r="M312" i="101" s="1"/>
  <c r="I304" i="101"/>
  <c r="M304" i="101" s="1"/>
  <c r="I305" i="101"/>
  <c r="M305" i="101" s="1"/>
  <c r="I313" i="101"/>
  <c r="M313" i="101" s="1"/>
  <c r="F169" i="90"/>
  <c r="CD12" i="95"/>
  <c r="BW49" i="95"/>
  <c r="CD139" i="95"/>
  <c r="CK139" i="95"/>
  <c r="CD49" i="95"/>
  <c r="CK49" i="95"/>
  <c r="BP49" i="95"/>
  <c r="BB49" i="95"/>
  <c r="AU49" i="95"/>
  <c r="BI49" i="95"/>
  <c r="AU12" i="95"/>
  <c r="BI12" i="95"/>
  <c r="BB12" i="95"/>
  <c r="BP12" i="95"/>
  <c r="BW12" i="95"/>
  <c r="Z80" i="96"/>
  <c r="AA83" i="96"/>
  <c r="X80" i="96"/>
  <c r="AA80" i="96" s="1"/>
  <c r="BW139" i="95"/>
  <c r="BP139" i="95"/>
  <c r="BI139" i="95"/>
  <c r="BB139" i="95"/>
  <c r="AU139" i="95"/>
  <c r="H201" i="89"/>
  <c r="H47" i="101"/>
  <c r="G47" i="101" s="1"/>
  <c r="K52" i="101"/>
  <c r="H222" i="89"/>
  <c r="K162" i="101"/>
  <c r="H92" i="87"/>
  <c r="H245" i="101"/>
  <c r="F78" i="85"/>
  <c r="H255" i="101"/>
  <c r="G255" i="101" s="1"/>
  <c r="F130" i="85"/>
  <c r="F104" i="85"/>
  <c r="H260" i="101"/>
  <c r="H73" i="84"/>
  <c r="H234" i="101"/>
  <c r="G234" i="101" s="1"/>
  <c r="H78" i="84"/>
  <c r="H235" i="101"/>
  <c r="G235" i="101" s="1"/>
  <c r="F62" i="85"/>
  <c r="H252" i="101"/>
  <c r="G252" i="101" s="1"/>
  <c r="F146" i="85"/>
  <c r="H268" i="101"/>
  <c r="G268" i="101" s="1"/>
  <c r="H265" i="101"/>
  <c r="G265" i="101" s="1"/>
  <c r="F46" i="85"/>
  <c r="H249" i="101"/>
  <c r="G249" i="101" s="1"/>
  <c r="F151" i="90"/>
  <c r="I326" i="101"/>
  <c r="M326" i="101" s="1"/>
  <c r="Q13" i="90" l="1"/>
  <c r="P8" i="90"/>
  <c r="P209" i="90"/>
  <c r="Q214" i="90"/>
  <c r="P107" i="90"/>
  <c r="Q112" i="90"/>
  <c r="P128" i="90"/>
  <c r="P256" i="90"/>
  <c r="Q261" i="90"/>
  <c r="AF235" i="90"/>
  <c r="AF209" i="90"/>
  <c r="AF128" i="90"/>
  <c r="AF107" i="90"/>
  <c r="AF8" i="90"/>
  <c r="AF256" i="90"/>
  <c r="AJ59" i="90"/>
  <c r="AK59" i="90" s="1"/>
  <c r="AL59" i="90" s="1"/>
  <c r="AJ95" i="90"/>
  <c r="AK95" i="90" s="1"/>
  <c r="AL95" i="90" s="1"/>
  <c r="AJ179" i="90"/>
  <c r="AK179" i="90" s="1"/>
  <c r="AL179" i="90" s="1"/>
  <c r="AJ18" i="90"/>
  <c r="AK18" i="90" s="1"/>
  <c r="AL18" i="90" s="1"/>
  <c r="AJ71" i="90"/>
  <c r="AK71" i="90" s="1"/>
  <c r="AL71" i="90" s="1"/>
  <c r="AJ13" i="90"/>
  <c r="AJ161" i="90"/>
  <c r="AK161" i="90" s="1"/>
  <c r="AL161" i="90" s="1"/>
  <c r="AJ155" i="90"/>
  <c r="AK155" i="90" s="1"/>
  <c r="AL155" i="90" s="1"/>
  <c r="AJ65" i="90"/>
  <c r="AK65" i="90" s="1"/>
  <c r="AL65" i="90" s="1"/>
  <c r="AJ101" i="90"/>
  <c r="AK101" i="90" s="1"/>
  <c r="AL101" i="90" s="1"/>
  <c r="AJ197" i="90"/>
  <c r="AK197" i="90" s="1"/>
  <c r="AL197" i="90" s="1"/>
  <c r="AJ77" i="90"/>
  <c r="AK77" i="90" s="1"/>
  <c r="AL77" i="90" s="1"/>
  <c r="AJ229" i="90"/>
  <c r="AK229" i="90" s="1"/>
  <c r="AL229" i="90" s="1"/>
  <c r="AJ219" i="90"/>
  <c r="AK219" i="90" s="1"/>
  <c r="AL219" i="90" s="1"/>
  <c r="AJ35" i="90"/>
  <c r="AK35" i="90" s="1"/>
  <c r="AL35" i="90" s="1"/>
  <c r="AJ167" i="90"/>
  <c r="AK167" i="90" s="1"/>
  <c r="AL167" i="90" s="1"/>
  <c r="AJ89" i="90"/>
  <c r="AK89" i="90" s="1"/>
  <c r="AL89" i="90" s="1"/>
  <c r="AJ191" i="90"/>
  <c r="AK191" i="90" s="1"/>
  <c r="AL191" i="90" s="1"/>
  <c r="AJ122" i="90"/>
  <c r="AK122" i="90" s="1"/>
  <c r="AL122" i="90" s="1"/>
  <c r="AJ47" i="90"/>
  <c r="AK47" i="90" s="1"/>
  <c r="AL47" i="90" s="1"/>
  <c r="AJ240" i="90"/>
  <c r="AJ245" i="90"/>
  <c r="AJ261" i="90"/>
  <c r="AJ133" i="90"/>
  <c r="AJ83" i="90"/>
  <c r="AK83" i="90" s="1"/>
  <c r="AL83" i="90" s="1"/>
  <c r="AJ271" i="90"/>
  <c r="AK271" i="90" s="1"/>
  <c r="AL271" i="90" s="1"/>
  <c r="AJ173" i="90"/>
  <c r="AK173" i="90" s="1"/>
  <c r="AL173" i="90" s="1"/>
  <c r="AJ112" i="90"/>
  <c r="AJ29" i="90"/>
  <c r="AK29" i="90" s="1"/>
  <c r="AL29" i="90" s="1"/>
  <c r="AJ224" i="90"/>
  <c r="AK224" i="90" s="1"/>
  <c r="AL224" i="90" s="1"/>
  <c r="AJ138" i="90"/>
  <c r="AJ143" i="90"/>
  <c r="AJ250" i="90"/>
  <c r="AJ117" i="90"/>
  <c r="AK117" i="90" s="1"/>
  <c r="AL117" i="90" s="1"/>
  <c r="AJ185" i="90"/>
  <c r="AK185" i="90" s="1"/>
  <c r="AL185" i="90" s="1"/>
  <c r="AJ149" i="90"/>
  <c r="AK149" i="90" s="1"/>
  <c r="AL149" i="90" s="1"/>
  <c r="AJ41" i="90"/>
  <c r="AK41" i="90" s="1"/>
  <c r="AL41" i="90" s="1"/>
  <c r="AJ23" i="90"/>
  <c r="AK23" i="90" s="1"/>
  <c r="AL23" i="90" s="1"/>
  <c r="AJ53" i="90"/>
  <c r="AK53" i="90" s="1"/>
  <c r="AL53" i="90" s="1"/>
  <c r="AJ214" i="90"/>
  <c r="AJ266" i="90"/>
  <c r="AK266" i="90" s="1"/>
  <c r="AL266" i="90" s="1"/>
  <c r="AN65" i="90"/>
  <c r="AO65" i="90" s="1"/>
  <c r="AP65" i="90" s="1"/>
  <c r="AN29" i="90"/>
  <c r="AO29" i="90" s="1"/>
  <c r="AP29" i="90" s="1"/>
  <c r="AN224" i="90"/>
  <c r="AO224" i="90" s="1"/>
  <c r="AP224" i="90" s="1"/>
  <c r="AN112" i="90"/>
  <c r="AN13" i="90"/>
  <c r="AN197" i="90"/>
  <c r="AO197" i="90" s="1"/>
  <c r="AP197" i="90" s="1"/>
  <c r="AN53" i="90"/>
  <c r="AO53" i="90" s="1"/>
  <c r="AP53" i="90" s="1"/>
  <c r="AN41" i="90"/>
  <c r="AO41" i="90" s="1"/>
  <c r="AP41" i="90" s="1"/>
  <c r="AN101" i="90"/>
  <c r="AO101" i="90" s="1"/>
  <c r="AP101" i="90" s="1"/>
  <c r="AN47" i="90"/>
  <c r="AO47" i="90" s="1"/>
  <c r="AP47" i="90" s="1"/>
  <c r="AN266" i="90"/>
  <c r="AO266" i="90" s="1"/>
  <c r="AP266" i="90" s="1"/>
  <c r="AN229" i="90"/>
  <c r="AO229" i="90" s="1"/>
  <c r="AP229" i="90" s="1"/>
  <c r="AN23" i="90"/>
  <c r="AO23" i="90" s="1"/>
  <c r="AP23" i="90" s="1"/>
  <c r="AN250" i="90"/>
  <c r="AN149" i="90"/>
  <c r="AO149" i="90" s="1"/>
  <c r="AP149" i="90" s="1"/>
  <c r="AN179" i="90"/>
  <c r="AO179" i="90" s="1"/>
  <c r="AP179" i="90" s="1"/>
  <c r="AN185" i="90"/>
  <c r="AO185" i="90" s="1"/>
  <c r="AP185" i="90" s="1"/>
  <c r="AN219" i="90"/>
  <c r="AO219" i="90" s="1"/>
  <c r="AP219" i="90" s="1"/>
  <c r="AN71" i="90"/>
  <c r="AO71" i="90" s="1"/>
  <c r="AP71" i="90" s="1"/>
  <c r="AN83" i="90"/>
  <c r="AO83" i="90" s="1"/>
  <c r="AP83" i="90" s="1"/>
  <c r="AN117" i="90"/>
  <c r="AO117" i="90" s="1"/>
  <c r="AP117" i="90" s="1"/>
  <c r="AN95" i="90"/>
  <c r="AO95" i="90" s="1"/>
  <c r="AP95" i="90" s="1"/>
  <c r="AN161" i="90"/>
  <c r="AO161" i="90" s="1"/>
  <c r="AP161" i="90" s="1"/>
  <c r="AN122" i="90"/>
  <c r="AO122" i="90" s="1"/>
  <c r="AP122" i="90" s="1"/>
  <c r="AN261" i="90"/>
  <c r="AN35" i="90"/>
  <c r="AO35" i="90" s="1"/>
  <c r="AP35" i="90" s="1"/>
  <c r="AN89" i="90"/>
  <c r="AO89" i="90" s="1"/>
  <c r="AP89" i="90" s="1"/>
  <c r="AN143" i="90"/>
  <c r="AN173" i="90"/>
  <c r="AO173" i="90" s="1"/>
  <c r="AP173" i="90" s="1"/>
  <c r="AN245" i="90"/>
  <c r="AN271" i="90"/>
  <c r="AO271" i="90" s="1"/>
  <c r="AP271" i="90" s="1"/>
  <c r="AN18" i="90"/>
  <c r="AO18" i="90" s="1"/>
  <c r="AP18" i="90" s="1"/>
  <c r="AN167" i="90"/>
  <c r="AO167" i="90" s="1"/>
  <c r="AP167" i="90" s="1"/>
  <c r="AN59" i="90"/>
  <c r="AO59" i="90" s="1"/>
  <c r="AP59" i="90" s="1"/>
  <c r="AN214" i="90"/>
  <c r="AN191" i="90"/>
  <c r="AO191" i="90" s="1"/>
  <c r="AP191" i="90" s="1"/>
  <c r="AN155" i="90"/>
  <c r="AO155" i="90" s="1"/>
  <c r="AP155" i="90" s="1"/>
  <c r="AN240" i="90"/>
  <c r="AN138" i="90"/>
  <c r="AN133" i="90"/>
  <c r="AN77" i="90"/>
  <c r="AO77" i="90" s="1"/>
  <c r="AP77" i="90" s="1"/>
  <c r="AG117" i="90"/>
  <c r="AH117" i="90" s="1"/>
  <c r="AH107" i="90" s="1"/>
  <c r="AC8" i="90"/>
  <c r="AD13" i="90"/>
  <c r="AD8" i="90" s="1"/>
  <c r="AH261" i="90"/>
  <c r="AH256" i="90" s="1"/>
  <c r="AG256" i="90"/>
  <c r="AH214" i="90"/>
  <c r="AH209" i="90" s="1"/>
  <c r="AG209" i="90"/>
  <c r="AG8" i="90"/>
  <c r="AH13" i="90"/>
  <c r="AH8" i="90" s="1"/>
  <c r="AC209" i="90"/>
  <c r="AD214" i="90"/>
  <c r="AD209" i="90" s="1"/>
  <c r="AD261" i="90"/>
  <c r="AD256" i="90" s="1"/>
  <c r="AC256" i="90"/>
  <c r="AC107" i="90"/>
  <c r="AD112" i="90"/>
  <c r="AD107" i="90" s="1"/>
  <c r="L167" i="90"/>
  <c r="M167" i="90" s="1"/>
  <c r="N167" i="90" s="1"/>
  <c r="O162" i="101"/>
  <c r="G162" i="101" s="1"/>
  <c r="O52" i="101"/>
  <c r="G52" i="101" s="1"/>
  <c r="O155" i="101"/>
  <c r="G155" i="101" s="1"/>
  <c r="G260" i="101"/>
  <c r="I318" i="101"/>
  <c r="M318" i="101" s="1"/>
  <c r="I310" i="101"/>
  <c r="M310" i="101" s="1"/>
  <c r="G152" i="90"/>
  <c r="F115" i="90"/>
  <c r="F110" i="90" s="1"/>
  <c r="G170" i="90"/>
  <c r="J333" i="101"/>
  <c r="N333" i="101" s="1"/>
  <c r="F158" i="90"/>
  <c r="F152" i="90" s="1"/>
  <c r="J331" i="101"/>
  <c r="N331" i="101" s="1"/>
  <c r="G11" i="90"/>
  <c r="J245" i="101"/>
  <c r="F170" i="90"/>
  <c r="F17" i="90"/>
  <c r="F12" i="90" s="1"/>
  <c r="G12" i="90"/>
  <c r="F81" i="90"/>
  <c r="K312" i="101" s="1"/>
  <c r="O312" i="101" s="1"/>
  <c r="F11" i="90"/>
  <c r="F10" i="90"/>
  <c r="K332" i="101"/>
  <c r="O332" i="101" s="1"/>
  <c r="K311" i="101"/>
  <c r="O311" i="101" s="1"/>
  <c r="K305" i="101"/>
  <c r="O305" i="101" s="1"/>
  <c r="F116" i="90"/>
  <c r="K318" i="101" s="1"/>
  <c r="O318" i="101" s="1"/>
  <c r="F153" i="90"/>
  <c r="K325" i="101" s="1"/>
  <c r="O325" i="101" s="1"/>
  <c r="F171" i="90"/>
  <c r="G153" i="90"/>
  <c r="G171" i="90"/>
  <c r="K314" i="101"/>
  <c r="O314" i="101" s="1"/>
  <c r="H55" i="87"/>
  <c r="K154" i="101"/>
  <c r="AQ301" i="90"/>
  <c r="AQ289" i="90"/>
  <c r="AQ294" i="90"/>
  <c r="AM301" i="90"/>
  <c r="AM289" i="90"/>
  <c r="AQ299" i="90"/>
  <c r="AQ303" i="90"/>
  <c r="AM287" i="90"/>
  <c r="AQ287" i="90"/>
  <c r="AM302" i="90"/>
  <c r="AM294" i="90"/>
  <c r="AM303" i="90"/>
  <c r="AQ302" i="90"/>
  <c r="AM299" i="90"/>
  <c r="O299" i="90"/>
  <c r="L161" i="90"/>
  <c r="M161" i="90" s="1"/>
  <c r="N161" i="90" s="1"/>
  <c r="L133" i="90"/>
  <c r="L224" i="90"/>
  <c r="M224" i="90" s="1"/>
  <c r="N224" i="90" s="1"/>
  <c r="L245" i="90"/>
  <c r="O303" i="90"/>
  <c r="L214" i="90"/>
  <c r="L77" i="90"/>
  <c r="M77" i="90" s="1"/>
  <c r="N77" i="90" s="1"/>
  <c r="L240" i="90"/>
  <c r="L271" i="90"/>
  <c r="M271" i="90" s="1"/>
  <c r="N271" i="90" s="1"/>
  <c r="O289" i="90"/>
  <c r="L71" i="90"/>
  <c r="M71" i="90" s="1"/>
  <c r="N71" i="90" s="1"/>
  <c r="L29" i="90"/>
  <c r="M29" i="90" s="1"/>
  <c r="N29" i="90" s="1"/>
  <c r="L117" i="90"/>
  <c r="M117" i="90" s="1"/>
  <c r="N117" i="90" s="1"/>
  <c r="L155" i="90"/>
  <c r="M155" i="90" s="1"/>
  <c r="N155" i="90" s="1"/>
  <c r="L143" i="90"/>
  <c r="L53" i="90"/>
  <c r="M53" i="90" s="1"/>
  <c r="N53" i="90" s="1"/>
  <c r="L23" i="90"/>
  <c r="M23" i="90" s="1"/>
  <c r="N23" i="90" s="1"/>
  <c r="O294" i="90"/>
  <c r="L83" i="90"/>
  <c r="M83" i="90" s="1"/>
  <c r="N83" i="90" s="1"/>
  <c r="L149" i="90"/>
  <c r="M149" i="90" s="1"/>
  <c r="N149" i="90" s="1"/>
  <c r="L250" i="90"/>
  <c r="L122" i="90"/>
  <c r="M122" i="90" s="1"/>
  <c r="N122" i="90" s="1"/>
  <c r="L101" i="90"/>
  <c r="M101" i="90" s="1"/>
  <c r="N101" i="90" s="1"/>
  <c r="L35" i="90"/>
  <c r="M35" i="90" s="1"/>
  <c r="N35" i="90" s="1"/>
  <c r="O301" i="90"/>
  <c r="L59" i="90"/>
  <c r="M59" i="90" s="1"/>
  <c r="N59" i="90" s="1"/>
  <c r="L112" i="90"/>
  <c r="L47" i="90"/>
  <c r="M47" i="90" s="1"/>
  <c r="N47" i="90" s="1"/>
  <c r="L65" i="90"/>
  <c r="M65" i="90" s="1"/>
  <c r="N65" i="90" s="1"/>
  <c r="L266" i="90"/>
  <c r="M266" i="90" s="1"/>
  <c r="N266" i="90" s="1"/>
  <c r="L219" i="90"/>
  <c r="M219" i="90" s="1"/>
  <c r="N219" i="90" s="1"/>
  <c r="O302" i="90"/>
  <c r="O287" i="90"/>
  <c r="L229" i="90"/>
  <c r="M229" i="90" s="1"/>
  <c r="N229" i="90" s="1"/>
  <c r="L95" i="90"/>
  <c r="M95" i="90" s="1"/>
  <c r="N95" i="90" s="1"/>
  <c r="L13" i="90"/>
  <c r="L197" i="90"/>
  <c r="M197" i="90" s="1"/>
  <c r="N197" i="90" s="1"/>
  <c r="L191" i="90"/>
  <c r="M191" i="90" s="1"/>
  <c r="N191" i="90" s="1"/>
  <c r="L261" i="90"/>
  <c r="L89" i="90"/>
  <c r="M89" i="90" s="1"/>
  <c r="N89" i="90" s="1"/>
  <c r="L18" i="90"/>
  <c r="M18" i="90" s="1"/>
  <c r="N18" i="90" s="1"/>
  <c r="L173" i="90"/>
  <c r="M173" i="90" s="1"/>
  <c r="N173" i="90" s="1"/>
  <c r="L138" i="90"/>
  <c r="L41" i="90"/>
  <c r="M41" i="90" s="1"/>
  <c r="N41" i="90" s="1"/>
  <c r="L185" i="90"/>
  <c r="M185" i="90" s="1"/>
  <c r="N185" i="90" s="1"/>
  <c r="L179" i="90"/>
  <c r="M179" i="90" s="1"/>
  <c r="N179" i="90" s="1"/>
  <c r="I328" i="101"/>
  <c r="M328" i="101" s="1"/>
  <c r="I300" i="101"/>
  <c r="M300" i="101" s="1"/>
  <c r="I317" i="101"/>
  <c r="M317" i="101" s="1"/>
  <c r="I325" i="101"/>
  <c r="M325" i="101" s="1"/>
  <c r="Q256" i="90" l="1"/>
  <c r="R261" i="90"/>
  <c r="R256" i="90" s="1"/>
  <c r="Q107" i="90"/>
  <c r="R112" i="90"/>
  <c r="R107" i="90" s="1"/>
  <c r="R214" i="90"/>
  <c r="R209" i="90" s="1"/>
  <c r="Q209" i="90"/>
  <c r="R13" i="90"/>
  <c r="R8" i="90" s="1"/>
  <c r="Q8" i="90"/>
  <c r="AJ128" i="90"/>
  <c r="AG107" i="90"/>
  <c r="AN107" i="90"/>
  <c r="AO112" i="90"/>
  <c r="AN209" i="90"/>
  <c r="AO214" i="90"/>
  <c r="AJ107" i="90"/>
  <c r="AK112" i="90"/>
  <c r="AJ209" i="90"/>
  <c r="AK214" i="90"/>
  <c r="AJ256" i="90"/>
  <c r="AK261" i="90"/>
  <c r="AJ8" i="90"/>
  <c r="AK13" i="90"/>
  <c r="AJ235" i="90"/>
  <c r="AN256" i="90"/>
  <c r="AO261" i="90"/>
  <c r="AN128" i="90"/>
  <c r="AN8" i="90"/>
  <c r="AO13" i="90"/>
  <c r="AN235" i="90"/>
  <c r="L235" i="90"/>
  <c r="F111" i="90"/>
  <c r="K317" i="101" s="1"/>
  <c r="O317" i="101" s="1"/>
  <c r="O154" i="101"/>
  <c r="G154" i="101" s="1"/>
  <c r="G245" i="101"/>
  <c r="N245" i="101"/>
  <c r="L256" i="90"/>
  <c r="M261" i="90"/>
  <c r="L209" i="90"/>
  <c r="M214" i="90"/>
  <c r="M112" i="90"/>
  <c r="L107" i="90"/>
  <c r="M13" i="90"/>
  <c r="L8" i="90"/>
  <c r="L128" i="90"/>
  <c r="K301" i="101"/>
  <c r="O301" i="101" s="1"/>
  <c r="K300" i="101"/>
  <c r="O300" i="101" s="1"/>
  <c r="K328" i="101"/>
  <c r="O328" i="101" s="1"/>
  <c r="AP261" i="90" l="1"/>
  <c r="AP256" i="90" s="1"/>
  <c r="AO256" i="90"/>
  <c r="AL112" i="90"/>
  <c r="AL107" i="90" s="1"/>
  <c r="AK107" i="90"/>
  <c r="AO209" i="90"/>
  <c r="AP214" i="90"/>
  <c r="AP209" i="90" s="1"/>
  <c r="AK8" i="90"/>
  <c r="AL13" i="90"/>
  <c r="AL8" i="90" s="1"/>
  <c r="AK209" i="90"/>
  <c r="AL214" i="90"/>
  <c r="AL209" i="90" s="1"/>
  <c r="AO8" i="90"/>
  <c r="AP13" i="90"/>
  <c r="AP8" i="90" s="1"/>
  <c r="AO107" i="90"/>
  <c r="AP112" i="90"/>
  <c r="AP107" i="90" s="1"/>
  <c r="AK256" i="90"/>
  <c r="AL261" i="90"/>
  <c r="AL256" i="90" s="1"/>
  <c r="N214" i="90"/>
  <c r="N209" i="90" s="1"/>
  <c r="M209" i="90"/>
  <c r="N261" i="90"/>
  <c r="N256" i="90" s="1"/>
  <c r="M256" i="90"/>
  <c r="N13" i="90"/>
  <c r="N8" i="90" s="1"/>
  <c r="M8" i="90"/>
  <c r="N112" i="90"/>
  <c r="N107" i="90" s="1"/>
  <c r="M107" i="90"/>
  <c r="G15" i="87" l="1"/>
  <c r="G134" i="87"/>
  <c r="H134" i="87"/>
  <c r="F134" i="87"/>
  <c r="H138" i="87"/>
  <c r="H142" i="87"/>
  <c r="H146" i="87"/>
  <c r="G146" i="87"/>
  <c r="G142" i="87"/>
  <c r="G138" i="87"/>
  <c r="G222" i="89"/>
  <c r="F222" i="89"/>
  <c r="G238" i="89"/>
  <c r="F238" i="89"/>
  <c r="G234" i="89"/>
  <c r="F234" i="89"/>
  <c r="G230" i="89"/>
  <c r="F230" i="89"/>
  <c r="H230" i="89"/>
  <c r="G54" i="90" l="1"/>
  <c r="F54" i="90" s="1"/>
  <c r="G60" i="90"/>
  <c r="F60" i="90" s="1"/>
  <c r="G66" i="90"/>
  <c r="F66" i="90" s="1"/>
  <c r="G180" i="90"/>
  <c r="F180" i="90" s="1"/>
  <c r="G186" i="90"/>
  <c r="F186" i="90" s="1"/>
  <c r="G96" i="90"/>
  <c r="F96" i="90" s="1"/>
  <c r="G118" i="90"/>
  <c r="F118" i="90" s="1"/>
  <c r="H319" i="101" s="1"/>
  <c r="G319" i="101" s="1"/>
  <c r="G48" i="90"/>
  <c r="F48" i="90" s="1"/>
  <c r="G90" i="90"/>
  <c r="F90" i="90" s="1"/>
  <c r="F89" i="90" s="1"/>
  <c r="G102" i="90"/>
  <c r="F102" i="90" s="1"/>
  <c r="G24" i="90"/>
  <c r="F24" i="90" s="1"/>
  <c r="G123" i="90"/>
  <c r="F123" i="90" s="1"/>
  <c r="G162" i="90"/>
  <c r="F162" i="90" s="1"/>
  <c r="G72" i="90"/>
  <c r="F72" i="90" s="1"/>
  <c r="G42" i="90"/>
  <c r="F42" i="90" s="1"/>
  <c r="G192" i="90"/>
  <c r="F192" i="90" s="1"/>
  <c r="G14" i="90"/>
  <c r="F14" i="90" s="1"/>
  <c r="G84" i="90"/>
  <c r="F84" i="90" s="1"/>
  <c r="G174" i="90"/>
  <c r="G198" i="90"/>
  <c r="F198" i="90" s="1"/>
  <c r="G36" i="90"/>
  <c r="F36" i="90" s="1"/>
  <c r="G156" i="90"/>
  <c r="G19" i="90"/>
  <c r="F19" i="90" s="1"/>
  <c r="G30" i="90"/>
  <c r="F30" i="90" s="1"/>
  <c r="G78" i="90"/>
  <c r="F78" i="90" s="1"/>
  <c r="G113" i="90"/>
  <c r="G168" i="90" l="1"/>
  <c r="G108" i="90"/>
  <c r="G150" i="90"/>
  <c r="F83" i="90"/>
  <c r="F179" i="90"/>
  <c r="H330" i="101"/>
  <c r="G330" i="101" s="1"/>
  <c r="F41" i="90"/>
  <c r="F156" i="90"/>
  <c r="H326" i="101" s="1"/>
  <c r="G326" i="101" s="1"/>
  <c r="H332" i="101"/>
  <c r="G332" i="101" s="1"/>
  <c r="F191" i="90"/>
  <c r="H302" i="101"/>
  <c r="G302" i="101" s="1"/>
  <c r="F18" i="90"/>
  <c r="H312" i="101"/>
  <c r="G312" i="101" s="1"/>
  <c r="F77" i="90"/>
  <c r="H309" i="101"/>
  <c r="G309" i="101" s="1"/>
  <c r="F59" i="90"/>
  <c r="F197" i="90"/>
  <c r="H333" i="101"/>
  <c r="G333" i="101" s="1"/>
  <c r="H301" i="101"/>
  <c r="G301" i="101" s="1"/>
  <c r="F13" i="90"/>
  <c r="F9" i="90"/>
  <c r="F65" i="90"/>
  <c r="H310" i="101"/>
  <c r="G310" i="101" s="1"/>
  <c r="F122" i="90"/>
  <c r="H320" i="101"/>
  <c r="G320" i="101" s="1"/>
  <c r="F23" i="90"/>
  <c r="H303" i="101"/>
  <c r="G303" i="101" s="1"/>
  <c r="H307" i="101"/>
  <c r="G307" i="101" s="1"/>
  <c r="F47" i="90"/>
  <c r="F161" i="90"/>
  <c r="H327" i="101"/>
  <c r="G327" i="101" s="1"/>
  <c r="F53" i="90"/>
  <c r="H308" i="101"/>
  <c r="G308" i="101" s="1"/>
  <c r="F35" i="90"/>
  <c r="H305" i="101"/>
  <c r="G305" i="101" s="1"/>
  <c r="F71" i="90"/>
  <c r="H311" i="101"/>
  <c r="G311" i="101" s="1"/>
  <c r="F29" i="90"/>
  <c r="H304" i="101"/>
  <c r="G304" i="101" s="1"/>
  <c r="H316" i="101"/>
  <c r="G316" i="101" s="1"/>
  <c r="F101" i="90"/>
  <c r="H315" i="101"/>
  <c r="G315" i="101" s="1"/>
  <c r="F95" i="90"/>
  <c r="F117" i="90"/>
  <c r="F113" i="90"/>
  <c r="F185" i="90"/>
  <c r="H313" i="101"/>
  <c r="G313" i="101" s="1"/>
  <c r="G9" i="90"/>
  <c r="H331" i="101"/>
  <c r="G331" i="101" s="1"/>
  <c r="F174" i="90"/>
  <c r="H306" i="101"/>
  <c r="G306" i="101" s="1"/>
  <c r="H314" i="101"/>
  <c r="G314" i="101" s="1"/>
  <c r="F150" i="90" l="1"/>
  <c r="F149" i="90" s="1"/>
  <c r="F155" i="90"/>
  <c r="H318" i="101"/>
  <c r="G318" i="101" s="1"/>
  <c r="F112" i="90"/>
  <c r="F108" i="90"/>
  <c r="H329" i="101"/>
  <c r="G329" i="101" s="1"/>
  <c r="F168" i="90"/>
  <c r="F173" i="90"/>
  <c r="H300" i="101"/>
  <c r="G300" i="101" s="1"/>
  <c r="F8" i="90"/>
  <c r="H325" i="101" l="1"/>
  <c r="G325" i="101" s="1"/>
  <c r="F107" i="90"/>
  <c r="H317" i="101"/>
  <c r="G317" i="101" s="1"/>
  <c r="F167" i="90"/>
  <c r="H328" i="101"/>
  <c r="G328" i="101" s="1"/>
  <c r="AK250" i="106"/>
  <c r="F334" i="87"/>
  <c r="F173" i="87"/>
  <c r="F228" i="8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62" authorId="0" shapeId="0" xr:uid="{00000000-0006-0000-0D00-000001000000}">
      <text>
        <r>
          <rPr>
            <b/>
            <sz val="9"/>
            <color indexed="81"/>
            <rFont val="Tahoma"/>
            <family val="2"/>
          </rPr>
          <t>Author:</t>
        </r>
        <r>
          <rPr>
            <sz val="9"/>
            <color indexed="81"/>
            <rFont val="Tahoma"/>
            <family val="2"/>
          </rPr>
          <t xml:space="preserve">
Conversion to LW-&gt;CW 0.7
Cederberg: 1.75 kg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Y170" authorId="0" shapeId="0" xr:uid="{00000000-0006-0000-0E00-000001000000}">
      <text>
        <r>
          <rPr>
            <b/>
            <sz val="12"/>
            <color indexed="81"/>
            <rFont val="Tahoma"/>
            <family val="2"/>
          </rPr>
          <t>Author:</t>
        </r>
        <r>
          <rPr>
            <sz val="12"/>
            <color indexed="81"/>
            <rFont val="Tahoma"/>
            <family val="2"/>
          </rPr>
          <t xml:space="preserve">
Table S5: Country aggregated global land occupation characterization factors (mean and 95% confidence interval values) for all five taxa calculated using Countryside SAR model and average approach. Taxa aggregated values are also provided (see ref. 46, main text for aggregation procedure).</t>
        </r>
      </text>
    </comment>
    <comment ref="C239" authorId="0" shapeId="0" xr:uid="{00000000-0006-0000-0E00-000002000000}">
      <text>
        <r>
          <rPr>
            <b/>
            <sz val="12"/>
            <color indexed="81"/>
            <rFont val="Tahoma"/>
            <family val="2"/>
          </rPr>
          <t>Author:</t>
        </r>
        <r>
          <rPr>
            <sz val="12"/>
            <color indexed="81"/>
            <rFont val="Tahoma"/>
            <family val="2"/>
          </rPr>
          <t xml:space="preserve">
Table S5: Country aggregated global land occupation characterization factors (mean and 95% confidence interval values) for all five taxa calculated using Countryside SAR model and average approach. Taxa aggregated values are also provided (see ref. 46, main text for aggregation procedure).</t>
        </r>
      </text>
    </comment>
    <comment ref="Y248" authorId="0" shapeId="0" xr:uid="{00000000-0006-0000-0E00-000003000000}">
      <text>
        <r>
          <rPr>
            <b/>
            <sz val="12"/>
            <color indexed="81"/>
            <rFont val="Tahoma"/>
            <family val="2"/>
          </rPr>
          <t>Author:</t>
        </r>
        <r>
          <rPr>
            <sz val="12"/>
            <color indexed="81"/>
            <rFont val="Tahoma"/>
            <family val="2"/>
          </rPr>
          <t xml:space="preserve">
Table S5: Country aggregated global land occupation characterization factors (mean and 95% confidence interval values) for all five taxa calculated using Countryside SAR model and average approach. Taxa aggregated values are also provided (see ref. 46, main text for aggregation procedure).</t>
        </r>
      </text>
    </comment>
    <comment ref="A252" authorId="0" shapeId="0" xr:uid="{00000000-0006-0000-0E00-000004000000}">
      <text>
        <r>
          <rPr>
            <b/>
            <sz val="9"/>
            <color indexed="81"/>
            <rFont val="Tahoma"/>
            <family val="2"/>
          </rPr>
          <t>Author:</t>
        </r>
        <r>
          <rPr>
            <sz val="9"/>
            <color indexed="81"/>
            <rFont val="Tahoma"/>
            <family val="2"/>
          </rPr>
          <t xml:space="preserve">
Lasaletta</t>
        </r>
      </text>
    </comment>
    <comment ref="B338" authorId="0" shapeId="0" xr:uid="{00000000-0006-0000-0E00-000005000000}">
      <text>
        <r>
          <rPr>
            <b/>
            <sz val="9"/>
            <color indexed="81"/>
            <rFont val="Tahoma"/>
            <family val="2"/>
          </rPr>
          <t>Author:</t>
        </r>
        <r>
          <rPr>
            <sz val="9"/>
            <color indexed="81"/>
            <rFont val="Tahoma"/>
            <family val="2"/>
          </rPr>
          <t xml:space="preserve">
Total land use (including semi-natural grassland) conventional systems = 147 m2/kg CW 
Total use of grasslands = 139 m2/kg CW 
Use of land which is not grassland = 147 – 139 m2/kg CW = 8 m2/kg CW
Considering use of temporary grassland only, we find that conventional production uses less than half as much of this kind of land as organic (25 compared to 67 m2 per kg CW and year)
 temporary grassland = 25 m2/kg CW
Total use of arable land conventional systems: 8 + 25 = 33 m2/kg CW
</t>
        </r>
      </text>
    </comment>
    <comment ref="B339" authorId="0" shapeId="0" xr:uid="{00000000-0006-0000-0E00-000006000000}">
      <text>
        <r>
          <rPr>
            <b/>
            <sz val="9"/>
            <color indexed="81"/>
            <rFont val="Tahoma"/>
            <family val="2"/>
          </rPr>
          <t>Author:</t>
        </r>
        <r>
          <rPr>
            <sz val="9"/>
            <color indexed="81"/>
            <rFont val="Tahoma"/>
            <family val="2"/>
          </rPr>
          <t xml:space="preserve">
Total land use (including semi-natural grassland) conventional systems = 147 m2/kg CW 
Total use of grasslands = 139 m2/kg CW 
Use of land which is not grassland = 147 – 139 m2/kg CW = 8 m2/kg CW
Considering use of temporary grassland only, we find that conventional production uses less than half as much of this kind of land as organic (25 compared to 67 m2 per kg CW and year)
 temporary grassland = 25 m2/kg CW
Total use of arable land conventional systems: 8 + 25 = 33 m2/kg CW
</t>
        </r>
      </text>
    </comment>
    <comment ref="A351" authorId="0" shapeId="0" xr:uid="{00000000-0006-0000-0E00-000007000000}">
      <text>
        <r>
          <rPr>
            <b/>
            <sz val="9"/>
            <color indexed="81"/>
            <rFont val="Tahoma"/>
            <family val="2"/>
          </rPr>
          <t>Author:</t>
        </r>
        <r>
          <rPr>
            <sz val="9"/>
            <color indexed="81"/>
            <rFont val="Tahoma"/>
            <family val="2"/>
          </rPr>
          <t xml:space="preserve">
Wallman et al. 2011.
Table 24. Calculated losses of reactive N in relation to output of meat, average kg N/kg CW.
Housing and storage, kg NH3-N/kg CW</t>
        </r>
      </text>
    </comment>
    <comment ref="A353" authorId="0" shapeId="0" xr:uid="{00000000-0006-0000-0E00-000008000000}">
      <text>
        <r>
          <rPr>
            <b/>
            <sz val="9"/>
            <color indexed="81"/>
            <rFont val="Tahoma"/>
            <family val="2"/>
          </rPr>
          <t>Author:</t>
        </r>
        <r>
          <rPr>
            <sz val="9"/>
            <color indexed="81"/>
            <rFont val="Tahoma"/>
            <family val="2"/>
          </rPr>
          <t xml:space="preserve">
Table 21. Calculated losses of reactive N in relation to farms’ arable land, average kg N/ha.
Grazing, kg NH3-N/ha</t>
        </r>
      </text>
    </comment>
    <comment ref="A354" authorId="0" shapeId="0" xr:uid="{00000000-0006-0000-0E00-000009000000}">
      <text>
        <r>
          <rPr>
            <b/>
            <sz val="9"/>
            <color indexed="81"/>
            <rFont val="Tahoma"/>
            <family val="2"/>
          </rPr>
          <t>Author:</t>
        </r>
        <r>
          <rPr>
            <sz val="9"/>
            <color indexed="81"/>
            <rFont val="Tahoma"/>
            <family val="2"/>
          </rPr>
          <t xml:space="preserve">
Utläst ur tabell.
Table I Wallman
Manure + home-grown feed + purchased feed</t>
        </r>
      </text>
    </comment>
    <comment ref="A355" authorId="0" shapeId="0" xr:uid="{00000000-0006-0000-0E00-00000A000000}">
      <text>
        <r>
          <rPr>
            <b/>
            <sz val="9"/>
            <color indexed="81"/>
            <rFont val="Tahoma"/>
            <family val="2"/>
          </rPr>
          <t>Author:</t>
        </r>
        <r>
          <rPr>
            <sz val="9"/>
            <color indexed="81"/>
            <rFont val="Tahoma"/>
            <family val="2"/>
          </rPr>
          <t xml:space="preserve">
Characterisation factor, kg SO2-eq/kg
Ammonia 1.6 kg SO2-eq/kg</t>
        </r>
      </text>
    </comment>
    <comment ref="A374" authorId="0" shapeId="0" xr:uid="{00000000-0006-0000-0E00-00000B000000}">
      <text>
        <r>
          <rPr>
            <b/>
            <sz val="9"/>
            <color indexed="81"/>
            <rFont val="Tahoma"/>
            <family val="2"/>
          </rPr>
          <t>Author:</t>
        </r>
        <r>
          <rPr>
            <sz val="9"/>
            <color indexed="81"/>
            <rFont val="Tahoma"/>
            <family val="2"/>
          </rPr>
          <t xml:space="preserve">
Korrigering för TS-halt 84% snitt för by-products (se allokeringsfaktorer i Moberg et al., 2019)</t>
        </r>
      </text>
    </comment>
    <comment ref="A391" authorId="0" shapeId="0" xr:uid="{00000000-0006-0000-0E00-00000C000000}">
      <text>
        <r>
          <rPr>
            <b/>
            <sz val="9"/>
            <color indexed="81"/>
            <rFont val="Tahoma"/>
            <family val="2"/>
          </rPr>
          <t>Author:</t>
        </r>
        <r>
          <rPr>
            <sz val="9"/>
            <color indexed="81"/>
            <rFont val="Tahoma"/>
            <family val="2"/>
          </rPr>
          <t xml:space="preserve">
Korrigering för TS-halt 84% snitt för by-products (se allokeringsfaktorer i Moberg et al., 2019)</t>
        </r>
      </text>
    </comment>
    <comment ref="A408" authorId="0" shapeId="0" xr:uid="{00000000-0006-0000-0E00-00000D000000}">
      <text>
        <r>
          <rPr>
            <b/>
            <sz val="9"/>
            <color indexed="81"/>
            <rFont val="Tahoma"/>
            <family val="2"/>
          </rPr>
          <t>Author:</t>
        </r>
        <r>
          <rPr>
            <sz val="9"/>
            <color indexed="81"/>
            <rFont val="Tahoma"/>
            <family val="2"/>
          </rPr>
          <t xml:space="preserve">
Korrigering för TS-halt 84% snitt för by-products (se allokeringsfaktorer i Moberg et al., 2019)</t>
        </r>
      </text>
    </comment>
    <comment ref="A425" authorId="0" shapeId="0" xr:uid="{00000000-0006-0000-0E00-00000E000000}">
      <text>
        <r>
          <rPr>
            <b/>
            <sz val="9"/>
            <color indexed="81"/>
            <rFont val="Tahoma"/>
            <family val="2"/>
          </rPr>
          <t>Author:</t>
        </r>
        <r>
          <rPr>
            <sz val="9"/>
            <color indexed="81"/>
            <rFont val="Tahoma"/>
            <family val="2"/>
          </rPr>
          <t xml:space="preserve">
Korrigering för TS-halt 84% snitt för by-products (se allokeringsfaktorer i Moberg et al., 2019)</t>
        </r>
      </text>
    </comment>
    <comment ref="A442" authorId="0" shapeId="0" xr:uid="{00000000-0006-0000-0E00-00000F000000}">
      <text>
        <r>
          <rPr>
            <b/>
            <sz val="9"/>
            <color indexed="81"/>
            <rFont val="Tahoma"/>
            <family val="2"/>
          </rPr>
          <t>Author:</t>
        </r>
        <r>
          <rPr>
            <sz val="9"/>
            <color indexed="81"/>
            <rFont val="Tahoma"/>
            <family val="2"/>
          </rPr>
          <t xml:space="preserve">
Korrigering för TS-halt 84% snitt för by-products (se allokeringsfaktorer i Moberg et al., 2019)</t>
        </r>
      </text>
    </comment>
    <comment ref="D490" authorId="0" shapeId="0" xr:uid="{00000000-0006-0000-0E00-000010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491" authorId="0" shapeId="0" xr:uid="{00000000-0006-0000-0E00-000011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492" authorId="0" shapeId="0" xr:uid="{00000000-0006-0000-0E00-000012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493" authorId="0" shapeId="0" xr:uid="{00000000-0006-0000-0E00-000013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494" authorId="0" shapeId="0" xr:uid="{00000000-0006-0000-0E00-000014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495" authorId="0" shapeId="0" xr:uid="{00000000-0006-0000-0E00-000015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496" authorId="0" shapeId="0" xr:uid="{00000000-0006-0000-0E00-000016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497" authorId="0" shapeId="0" xr:uid="{00000000-0006-0000-0E00-000017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498" authorId="0" shapeId="0" xr:uid="{00000000-0006-0000-0E00-000018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499" authorId="0" shapeId="0" xr:uid="{00000000-0006-0000-0E00-000019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00" authorId="0" shapeId="0" xr:uid="{00000000-0006-0000-0E00-00001A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02" authorId="0" shapeId="0" xr:uid="{00000000-0006-0000-0E00-00001B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503" authorId="0" shapeId="0" xr:uid="{00000000-0006-0000-0E00-00001C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504" authorId="0" shapeId="0" xr:uid="{00000000-0006-0000-0E00-00001D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05" authorId="0" shapeId="0" xr:uid="{00000000-0006-0000-0E00-00001E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06" authorId="0" shapeId="0" xr:uid="{00000000-0006-0000-0E00-00001F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07" authorId="0" shapeId="0" xr:uid="{00000000-0006-0000-0E00-000020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08" authorId="0" shapeId="0" xr:uid="{00000000-0006-0000-0E00-000021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10" authorId="0" shapeId="0" xr:uid="{00000000-0006-0000-0E00-000022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511" authorId="0" shapeId="0" xr:uid="{00000000-0006-0000-0E00-000023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12" authorId="0" shapeId="0" xr:uid="{00000000-0006-0000-0E00-000024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13" authorId="0" shapeId="0" xr:uid="{00000000-0006-0000-0E00-000025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14" authorId="0" shapeId="0" xr:uid="{00000000-0006-0000-0E00-000026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15" authorId="0" shapeId="0" xr:uid="{00000000-0006-0000-0E00-000027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17" authorId="0" shapeId="0" xr:uid="{00000000-0006-0000-0E00-000028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518" authorId="0" shapeId="0" xr:uid="{00000000-0006-0000-0E00-000029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19" authorId="0" shapeId="0" xr:uid="{00000000-0006-0000-0E00-00002A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20" authorId="0" shapeId="0" xr:uid="{00000000-0006-0000-0E00-00002B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21" authorId="0" shapeId="0" xr:uid="{00000000-0006-0000-0E00-00002C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23" authorId="0" shapeId="0" xr:uid="{00000000-0006-0000-0E00-00002D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524" authorId="0" shapeId="0" xr:uid="{00000000-0006-0000-0E00-00002E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25" authorId="0" shapeId="0" xr:uid="{00000000-0006-0000-0E00-00002F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26" authorId="0" shapeId="0" xr:uid="{00000000-0006-0000-0E00-000030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27" authorId="0" shapeId="0" xr:uid="{00000000-0006-0000-0E00-000031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29" authorId="0" shapeId="0" xr:uid="{00000000-0006-0000-0E00-000032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530" authorId="0" shapeId="0" xr:uid="{00000000-0006-0000-0E00-000033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31" authorId="0" shapeId="0" xr:uid="{00000000-0006-0000-0E00-000034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32" authorId="0" shapeId="0" xr:uid="{00000000-0006-0000-0E00-000035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33" authorId="0" shapeId="0" xr:uid="{00000000-0006-0000-0E00-000036000000}">
      <text>
        <r>
          <rPr>
            <b/>
            <sz val="9"/>
            <color indexed="81"/>
            <rFont val="Tahoma"/>
            <family val="2"/>
          </rPr>
          <t>Author:</t>
        </r>
        <r>
          <rPr>
            <sz val="9"/>
            <color indexed="81"/>
            <rFont val="Tahoma"/>
            <family val="2"/>
          </rPr>
          <t xml:space="preserve">
https://ec.europa.eu/eurostat/documents/3217494/5611788/KS-76-06-669-EN.PDF.pdf/36c156f1-9fa9-4243-9bd3-f4c7c3c8286a?t=1414769021000</t>
        </r>
      </text>
    </comment>
    <comment ref="D540" authorId="0" shapeId="0" xr:uid="{00000000-0006-0000-0E00-000037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https://www.scb.se/contentassets/a345731d590d4ec8bb076e603a0afd57/mi0502_2009i10_sm_mi31sm1101.pdf</t>
        </r>
      </text>
    </comment>
    <comment ref="D542" authorId="0" shapeId="0" xr:uid="{00000000-0006-0000-0E00-000038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76" authorId="0" shapeId="0" xr:uid="{00000000-0006-0000-0E00-000039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77" authorId="0" shapeId="0" xr:uid="{00000000-0006-0000-0E00-00003A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78" authorId="0" shapeId="0" xr:uid="{00000000-0006-0000-0E00-00003B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79" authorId="0" shapeId="0" xr:uid="{00000000-0006-0000-0E00-00003C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80" authorId="0" shapeId="0" xr:uid="{00000000-0006-0000-0E00-00003D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81" authorId="0" shapeId="0" xr:uid="{00000000-0006-0000-0E00-00003E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83" authorId="0" shapeId="0" xr:uid="{00000000-0006-0000-0E00-00003F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85" authorId="0" shapeId="0" xr:uid="{00000000-0006-0000-0E00-000040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86" authorId="0" shapeId="0" xr:uid="{00000000-0006-0000-0E00-000041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88" authorId="0" shapeId="0" xr:uid="{00000000-0006-0000-0E00-000042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90" authorId="0" shapeId="0" xr:uid="{00000000-0006-0000-0E00-000043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92" authorId="0" shapeId="0" xr:uid="{00000000-0006-0000-0E00-000044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93" authorId="0" shapeId="0" xr:uid="{00000000-0006-0000-0E00-000045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95" authorId="0" shapeId="0" xr:uid="{00000000-0006-0000-0E00-000046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97" authorId="0" shapeId="0" xr:uid="{00000000-0006-0000-0E00-000047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599" authorId="0" shapeId="0" xr:uid="{00000000-0006-0000-0E00-000048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01" authorId="0" shapeId="0" xr:uid="{00000000-0006-0000-0E00-000049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03" authorId="0" shapeId="0" xr:uid="{00000000-0006-0000-0E00-00004A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05" authorId="0" shapeId="0" xr:uid="{00000000-0006-0000-0E00-00004B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07" authorId="0" shapeId="0" xr:uid="{00000000-0006-0000-0E00-00004C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09" authorId="0" shapeId="0" xr:uid="{00000000-0006-0000-0E00-00004D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11" authorId="0" shapeId="0" xr:uid="{00000000-0006-0000-0E00-00004E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13" authorId="0" shapeId="0" xr:uid="{00000000-0006-0000-0E00-00004F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15" authorId="0" shapeId="0" xr:uid="{00000000-0006-0000-0E00-000050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17" authorId="0" shapeId="0" xr:uid="{00000000-0006-0000-0E00-000051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19" authorId="0" shapeId="0" xr:uid="{00000000-0006-0000-0E00-000052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S620" authorId="0" shapeId="0" xr:uid="{00000000-0006-0000-0E00-000053000000}">
      <text>
        <r>
          <rPr>
            <b/>
            <sz val="9"/>
            <color indexed="81"/>
            <rFont val="Tahoma"/>
            <family val="2"/>
          </rPr>
          <t>Author:</t>
        </r>
        <r>
          <rPr>
            <sz val="9"/>
            <color indexed="81"/>
            <rFont val="Tahoma"/>
            <family val="2"/>
          </rPr>
          <t xml:space="preserve">
https://www.scb.se/contentassets/5cb7b388b27e487a883a7e079f8cd7b6/mi0502_2016i20_sm_mi31sm1802.pdf</t>
        </r>
      </text>
    </comment>
    <comment ref="S621" authorId="0" shapeId="0" xr:uid="{00000000-0006-0000-0E00-000054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0" authorId="0" shapeId="0" xr:uid="{00000000-0006-0000-0E00-000055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1" authorId="0" shapeId="0" xr:uid="{00000000-0006-0000-0E00-000056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2" authorId="0" shapeId="0" xr:uid="{00000000-0006-0000-0E00-000057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3" authorId="0" shapeId="0" xr:uid="{00000000-0006-0000-0E00-000058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4" authorId="0" shapeId="0" xr:uid="{00000000-0006-0000-0E00-000059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5" authorId="0" shapeId="0" xr:uid="{00000000-0006-0000-0E00-00005A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7" authorId="0" shapeId="0" xr:uid="{00000000-0006-0000-0E00-00005B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39" authorId="0" shapeId="0" xr:uid="{00000000-0006-0000-0E00-00005C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40" authorId="0" shapeId="0" xr:uid="{00000000-0006-0000-0E00-00005D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42" authorId="0" shapeId="0" xr:uid="{00000000-0006-0000-0E00-00005E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44" authorId="0" shapeId="0" xr:uid="{00000000-0006-0000-0E00-00005F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46" authorId="0" shapeId="0" xr:uid="{00000000-0006-0000-0E00-000060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47" authorId="0" shapeId="0" xr:uid="{00000000-0006-0000-0E00-000061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49" authorId="0" shapeId="0" xr:uid="{00000000-0006-0000-0E00-000062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51" authorId="0" shapeId="0" xr:uid="{00000000-0006-0000-0E00-000063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53" authorId="0" shapeId="0" xr:uid="{00000000-0006-0000-0E00-000064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55" authorId="0" shapeId="0" xr:uid="{00000000-0006-0000-0E00-000065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57" authorId="0" shapeId="0" xr:uid="{00000000-0006-0000-0E00-000066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59" authorId="0" shapeId="0" xr:uid="{00000000-0006-0000-0E00-000067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61" authorId="0" shapeId="0" xr:uid="{00000000-0006-0000-0E00-000068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63" authorId="0" shapeId="0" xr:uid="{00000000-0006-0000-0E00-000069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65" authorId="0" shapeId="0" xr:uid="{00000000-0006-0000-0E00-00006A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67" authorId="0" shapeId="0" xr:uid="{00000000-0006-0000-0E00-00006B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69" authorId="0" shapeId="0" xr:uid="{00000000-0006-0000-0E00-00006C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71" authorId="0" shapeId="0" xr:uid="{00000000-0006-0000-0E00-00006D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73" authorId="0" shapeId="0" xr:uid="{00000000-0006-0000-0E00-00006E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74" authorId="0" shapeId="0" xr:uid="{00000000-0006-0000-0E00-00006F000000}">
      <text>
        <r>
          <rPr>
            <b/>
            <sz val="9"/>
            <color indexed="81"/>
            <rFont val="Tahoma"/>
            <family val="2"/>
          </rPr>
          <t>Author:</t>
        </r>
        <r>
          <rPr>
            <sz val="9"/>
            <color indexed="81"/>
            <rFont val="Tahoma"/>
            <family val="2"/>
          </rPr>
          <t xml:space="preserve">
https://www.scb.se/contentassets/5cb7b388b27e487a883a7e079f8cd7b6/mi0502_2016i20_sm_mi31sm1802.pdf</t>
        </r>
      </text>
    </comment>
    <comment ref="H675" authorId="0" shapeId="0" xr:uid="{00000000-0006-0000-0E00-000070000000}">
      <text>
        <r>
          <rPr>
            <b/>
            <sz val="9"/>
            <color indexed="81"/>
            <rFont val="Tahoma"/>
            <family val="2"/>
          </rPr>
          <t>Author:</t>
        </r>
        <r>
          <rPr>
            <sz val="9"/>
            <color indexed="81"/>
            <rFont val="Tahoma"/>
            <family val="2"/>
          </rPr>
          <t xml:space="preserve">
Växtskyddsmedel i jord- och trädgårdsbruket 2017
Användning i grödor
Plant protection products in agriculture and horticulture. Use in crops.
https://www.scb.se/contentassets/5cb7b388b27e487a883a7e079f8cd7b6/mi0502_2016i20_sm_mi31sm1802.pdf
Växtskyddsmedel i jord- och trädgårdsbruket 2010
Användning i grödor
Plant protection products in agriculture and horticulture. Use in crops.
https://www.scb.se/statistik/mi/mi0502/2009i10/mi0502_2009i10_sm_mi31sm1101.pdf</t>
        </r>
      </text>
    </comment>
    <comment ref="H682" authorId="0" shapeId="0" xr:uid="{00000000-0006-0000-0E00-000071000000}">
      <text>
        <r>
          <rPr>
            <b/>
            <sz val="9"/>
            <color indexed="81"/>
            <rFont val="Tahoma"/>
            <family val="2"/>
          </rPr>
          <t>Author:</t>
        </r>
        <r>
          <rPr>
            <sz val="9"/>
            <color indexed="81"/>
            <rFont val="Tahoma"/>
            <family val="2"/>
          </rPr>
          <t xml:space="preserve">
OBS! Per ton alltså</t>
        </r>
      </text>
    </comment>
    <comment ref="D729" authorId="0" shapeId="0" xr:uid="{00000000-0006-0000-0E00-000072000000}">
      <text>
        <r>
          <rPr>
            <b/>
            <sz val="9"/>
            <color indexed="81"/>
            <rFont val="Tahoma"/>
            <family val="2"/>
          </rPr>
          <t>Author:</t>
        </r>
        <r>
          <rPr>
            <sz val="9"/>
            <color indexed="81"/>
            <rFont val="Tahoma"/>
            <family val="2"/>
          </rPr>
          <t xml:space="preserve">
Gurkväxter</t>
        </r>
      </text>
    </comment>
    <comment ref="D730" authorId="0" shapeId="0" xr:uid="{00000000-0006-0000-0E00-000073000000}">
      <text>
        <r>
          <rPr>
            <b/>
            <sz val="9"/>
            <color indexed="81"/>
            <rFont val="Tahoma"/>
            <family val="2"/>
          </rPr>
          <t>Author:</t>
        </r>
        <r>
          <rPr>
            <sz val="9"/>
            <color indexed="81"/>
            <rFont val="Tahoma"/>
            <family val="2"/>
          </rPr>
          <t xml:space="preserve">
Gurkväxter</t>
        </r>
      </text>
    </comment>
    <comment ref="D731" authorId="0" shapeId="0" xr:uid="{00000000-0006-0000-0E00-000074000000}">
      <text>
        <r>
          <rPr>
            <b/>
            <sz val="9"/>
            <color indexed="81"/>
            <rFont val="Tahoma"/>
            <family val="2"/>
          </rPr>
          <t>Author:</t>
        </r>
        <r>
          <rPr>
            <sz val="9"/>
            <color indexed="81"/>
            <rFont val="Tahoma"/>
            <family val="2"/>
          </rPr>
          <t xml:space="preserve">
Gurkväxter</t>
        </r>
      </text>
    </comment>
    <comment ref="D740" authorId="0" shapeId="0" xr:uid="{00000000-0006-0000-0E00-000075000000}">
      <text>
        <r>
          <rPr>
            <b/>
            <sz val="9"/>
            <color indexed="81"/>
            <rFont val="Tahoma"/>
            <family val="2"/>
          </rPr>
          <t>Author:</t>
        </r>
        <r>
          <rPr>
            <sz val="9"/>
            <color indexed="81"/>
            <rFont val="Tahoma"/>
            <family val="2"/>
          </rPr>
          <t xml:space="preserve">
Fruit trees (antas vara mer representativt än "other vegetables")</t>
        </r>
      </text>
    </comment>
    <comment ref="D741" authorId="0" shapeId="0" xr:uid="{00000000-0006-0000-0E00-000076000000}">
      <text>
        <r>
          <rPr>
            <b/>
            <sz val="9"/>
            <color indexed="81"/>
            <rFont val="Tahoma"/>
            <family val="2"/>
          </rPr>
          <t>Author:</t>
        </r>
        <r>
          <rPr>
            <sz val="9"/>
            <color indexed="81"/>
            <rFont val="Tahoma"/>
            <family val="2"/>
          </rPr>
          <t xml:space="preserve">
Fruit trees (antas vara mer representativt än "other vegetables")</t>
        </r>
      </text>
    </comment>
    <comment ref="D742" authorId="0" shapeId="0" xr:uid="{00000000-0006-0000-0E00-000077000000}">
      <text>
        <r>
          <rPr>
            <b/>
            <sz val="9"/>
            <color indexed="81"/>
            <rFont val="Tahoma"/>
            <family val="2"/>
          </rPr>
          <t>Author:</t>
        </r>
        <r>
          <rPr>
            <sz val="9"/>
            <color indexed="81"/>
            <rFont val="Tahoma"/>
            <family val="2"/>
          </rPr>
          <t xml:space="preserve">
Fruit trees (antas vara mer representativt än "other vegetables")</t>
        </r>
      </text>
    </comment>
    <comment ref="D744" authorId="0" shapeId="0" xr:uid="{00000000-0006-0000-0E00-000078000000}">
      <text>
        <r>
          <rPr>
            <b/>
            <sz val="9"/>
            <color indexed="81"/>
            <rFont val="Tahoma"/>
            <family val="2"/>
          </rPr>
          <t>Author:</t>
        </r>
        <r>
          <rPr>
            <sz val="9"/>
            <color indexed="81"/>
            <rFont val="Tahoma"/>
            <family val="2"/>
          </rPr>
          <t xml:space="preserve">
Fruit trees (antas vara mer representativt än "other vegetables")</t>
        </r>
      </text>
    </comment>
    <comment ref="D745" authorId="0" shapeId="0" xr:uid="{00000000-0006-0000-0E00-000079000000}">
      <text>
        <r>
          <rPr>
            <b/>
            <sz val="9"/>
            <color indexed="81"/>
            <rFont val="Tahoma"/>
            <family val="2"/>
          </rPr>
          <t>Author:</t>
        </r>
        <r>
          <rPr>
            <sz val="9"/>
            <color indexed="81"/>
            <rFont val="Tahoma"/>
            <family val="2"/>
          </rPr>
          <t xml:space="preserve">
Fruit trees (antas vara mer representativt än "other vegetables")</t>
        </r>
      </text>
    </comment>
    <comment ref="D746" authorId="0" shapeId="0" xr:uid="{00000000-0006-0000-0E00-00007A000000}">
      <text>
        <r>
          <rPr>
            <b/>
            <sz val="9"/>
            <color indexed="81"/>
            <rFont val="Tahoma"/>
            <family val="2"/>
          </rPr>
          <t>Author:</t>
        </r>
        <r>
          <rPr>
            <sz val="9"/>
            <color indexed="81"/>
            <rFont val="Tahoma"/>
            <family val="2"/>
          </rPr>
          <t xml:space="preserve">
Fruit trees (antas vara mer representativt än "other vegetables")</t>
        </r>
      </text>
    </comment>
    <comment ref="D760" authorId="0" shapeId="0" xr:uid="{00000000-0006-0000-0E00-00007B000000}">
      <text>
        <r>
          <rPr>
            <b/>
            <sz val="9"/>
            <color indexed="81"/>
            <rFont val="Tahoma"/>
            <family val="2"/>
          </rPr>
          <t>Author:</t>
        </r>
        <r>
          <rPr>
            <sz val="9"/>
            <color indexed="81"/>
            <rFont val="Tahoma"/>
            <family val="2"/>
          </rPr>
          <t xml:space="preserve">
Fruit trees (antas vara mer representativt än "other vegetables")</t>
        </r>
      </text>
    </comment>
    <comment ref="D761" authorId="0" shapeId="0" xr:uid="{00000000-0006-0000-0E00-00007C000000}">
      <text>
        <r>
          <rPr>
            <b/>
            <sz val="9"/>
            <color indexed="81"/>
            <rFont val="Tahoma"/>
            <family val="2"/>
          </rPr>
          <t>Author:</t>
        </r>
        <r>
          <rPr>
            <sz val="9"/>
            <color indexed="81"/>
            <rFont val="Tahoma"/>
            <family val="2"/>
          </rPr>
          <t xml:space="preserve">
Fruit trees (antas vara mer representativt än "other vegetables")</t>
        </r>
      </text>
    </comment>
    <comment ref="D762" authorId="0" shapeId="0" xr:uid="{00000000-0006-0000-0E00-00007D000000}">
      <text>
        <r>
          <rPr>
            <b/>
            <sz val="9"/>
            <color indexed="81"/>
            <rFont val="Tahoma"/>
            <family val="2"/>
          </rPr>
          <t>Author:</t>
        </r>
        <r>
          <rPr>
            <sz val="9"/>
            <color indexed="81"/>
            <rFont val="Tahoma"/>
            <family val="2"/>
          </rPr>
          <t xml:space="preserve">
Fruit trees (antas vara mer representativt än "other vegetables")</t>
        </r>
      </text>
    </comment>
    <comment ref="D763" authorId="0" shapeId="0" xr:uid="{00000000-0006-0000-0E00-00007E000000}">
      <text>
        <r>
          <rPr>
            <b/>
            <sz val="9"/>
            <color indexed="81"/>
            <rFont val="Tahoma"/>
            <family val="2"/>
          </rPr>
          <t>Author:</t>
        </r>
        <r>
          <rPr>
            <sz val="9"/>
            <color indexed="81"/>
            <rFont val="Tahoma"/>
            <family val="2"/>
          </rPr>
          <t xml:space="preserve">
Fruit trees (antas vara mer representativt än "other vegetables")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U229" authorId="0" shapeId="0" xr:uid="{00000000-0006-0000-1100-000001000000}">
      <text>
        <r>
          <rPr>
            <b/>
            <sz val="9"/>
            <color indexed="81"/>
            <rFont val="Tahoma"/>
            <family val="2"/>
          </rPr>
          <t>Author:</t>
        </r>
        <r>
          <rPr>
            <sz val="9"/>
            <color indexed="81"/>
            <rFont val="Tahoma"/>
            <family val="2"/>
          </rPr>
          <t xml:space="preserve">
Included in climate impact value</t>
        </r>
      </text>
    </comment>
    <comment ref="CU230" authorId="0" shapeId="0" xr:uid="{00000000-0006-0000-1100-000002000000}">
      <text>
        <r>
          <rPr>
            <b/>
            <sz val="9"/>
            <color indexed="81"/>
            <rFont val="Tahoma"/>
            <family val="2"/>
          </rPr>
          <t>Author:</t>
        </r>
        <r>
          <rPr>
            <sz val="9"/>
            <color indexed="81"/>
            <rFont val="Tahoma"/>
            <family val="2"/>
          </rPr>
          <t xml:space="preserve">
Included in climate impact value</t>
        </r>
      </text>
    </comment>
    <comment ref="CU231" authorId="0" shapeId="0" xr:uid="{00000000-0006-0000-1100-000003000000}">
      <text>
        <r>
          <rPr>
            <b/>
            <sz val="9"/>
            <color indexed="81"/>
            <rFont val="Tahoma"/>
            <family val="2"/>
          </rPr>
          <t>Author:</t>
        </r>
        <r>
          <rPr>
            <sz val="9"/>
            <color indexed="81"/>
            <rFont val="Tahoma"/>
            <family val="2"/>
          </rPr>
          <t xml:space="preserve">
Included in climate impact value</t>
        </r>
      </text>
    </comment>
    <comment ref="CU232" authorId="0" shapeId="0" xr:uid="{00000000-0006-0000-1100-000004000000}">
      <text>
        <r>
          <rPr>
            <b/>
            <sz val="9"/>
            <color indexed="81"/>
            <rFont val="Tahoma"/>
            <family val="2"/>
          </rPr>
          <t>Author:</t>
        </r>
        <r>
          <rPr>
            <sz val="9"/>
            <color indexed="81"/>
            <rFont val="Tahoma"/>
            <family val="2"/>
          </rPr>
          <t xml:space="preserve">
Included in climate impact value</t>
        </r>
      </text>
    </comment>
    <comment ref="CU233" authorId="0" shapeId="0" xr:uid="{00000000-0006-0000-1100-000005000000}">
      <text>
        <r>
          <rPr>
            <b/>
            <sz val="9"/>
            <color indexed="81"/>
            <rFont val="Tahoma"/>
            <family val="2"/>
          </rPr>
          <t>Author:</t>
        </r>
        <r>
          <rPr>
            <sz val="9"/>
            <color indexed="81"/>
            <rFont val="Tahoma"/>
            <family val="2"/>
          </rPr>
          <t xml:space="preserve">
Included in climate impact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1" authorId="0" shapeId="0" xr:uid="{00000000-0006-0000-1400-000001000000}">
      <text>
        <r>
          <rPr>
            <b/>
            <sz val="9"/>
            <color indexed="81"/>
            <rFont val="Tahoma"/>
            <family val="2"/>
          </rPr>
          <t>Author:</t>
        </r>
        <r>
          <rPr>
            <sz val="9"/>
            <color indexed="81"/>
            <rFont val="Tahoma"/>
            <family val="2"/>
          </rPr>
          <t xml:space="preserve">
Change to 2017 (not 2017a) - in all sheets and here in the refernce list</t>
        </r>
      </text>
    </comment>
    <comment ref="A28" authorId="0" shapeId="0" xr:uid="{00000000-0006-0000-1400-000002000000}">
      <text>
        <r>
          <rPr>
            <b/>
            <sz val="9"/>
            <color indexed="81"/>
            <rFont val="Tahoma"/>
            <family val="2"/>
          </rPr>
          <t>Author:</t>
        </r>
        <r>
          <rPr>
            <sz val="9"/>
            <color indexed="81"/>
            <rFont val="Tahoma"/>
            <family val="2"/>
          </rPr>
          <t xml:space="preserve">
Update to 2021 here and in all refernces which previously were SBA 2017b</t>
        </r>
      </text>
    </comment>
  </commentList>
</comments>
</file>

<file path=xl/sharedStrings.xml><?xml version="1.0" encoding="utf-8"?>
<sst xmlns="http://schemas.openxmlformats.org/spreadsheetml/2006/main" count="11480" uniqueCount="2472">
  <si>
    <t>Environmental pressures of Swedish food consumption, version 1.0, April 2022
Contact details for questions on the material:
Emma Moberg, IVL Svenska miljöinstitutet, Stockholm. E-mail: emma.moberg@ivl.se
Elin Röös, Department of Energy and Technology, Swedish University of Agricultural Sciences, Uppsala. E-mail: elin.roos@slu.se</t>
  </si>
  <si>
    <t>This material presents datasets of the environmental pressures of a variety of food available on the Swedish market. The data is based on the work by Moberg et al. (2019), Moberg et al. (2020), Moberg et al. (2021) and Wood et al. (in revision). 
Food products are divided into food groups as follows by the Table of content. For each product, the results of the calculations of the climate impact are given for the production countries representing more than 10% of the Swedish consumption of a certain food product during a five-year period (2011 to 2015). Food imported from countries representing less than 10% of Swedish consumption are accounted for as an average of the larger producing countries if no global or regional input data is available. For all products, an average value of the climate impact is presented based on the market shares. For some cases, import data only show the country of import to Europe. By contacting with the wholesaler business, it was possible to partly trace the origin for some products, e.g. beef. For other products such as rice and avocado, an average of world production systems was accounted for. 
The results are divided into three parts with different system boundaries to show how the choice of system boundary affect the climate impact of foods: 
i) Agricultural emissions: Including only emissions from biological processes giving rise to emissions of CH4 and N2O (emission from enteric fermentation, soils and manure management)
ii) The cradle-to-farm gate boundary: Including emissions from pre-farm processes, e.g. production of input materials such as fertiliser, emissions from agricultural processes and energy use on the farm 
iii) The full cradle-to-retail gate boundary
Further, results are shown as emissions per kg of each individual greenhouse gas (CO2, CH4 and N2O, as well as HCFC-22 for the case of fish and seafood) as well as aggregated into the common unit of kg of CO2e using different climate metrics. Here, it is possible to choose between the following metrics by using the drop-down list to the right of “Choice of climate metric” placed above the “Results” cells in each results worksheet:
i) GWP100  - available both with and without climate-carbon feedbacks (Myhre et al., 2013)
ii) GTP100 - available both with and without climate-carbon feedbacks (Myhre et al., 2013) 
iii) GTP characterisation factors adjusted to limit global warming to 2°C by assuming that it is equally likely that the limit will be reached in 2050, 2075 and 2100 (Persson et al., 2015)
Additionally, it is possible to choose whether or not to include emissions of CO2 from land use change and soil carbon changes in the results by using the drop-down lists to the right of “Include land use change?” and “Include soil carbon changes?” respectively, which are placed above the “Results” cells in each results worksheet. Additionally, factors for assessing soil carbon changes can be chosen in "Common input data" --&gt; "Choose factors for soil carbon changes".
Emissions of greenhouse gases arising from each production step in the production of a food product can be seen to the right of the box showing the results for different system boundaries.</t>
  </si>
  <si>
    <t>Common data</t>
  </si>
  <si>
    <t>Meat and eggs</t>
  </si>
  <si>
    <t>Dairy products</t>
  </si>
  <si>
    <t>Fish and seafood</t>
  </si>
  <si>
    <t>Grains, oil crops and sugar</t>
  </si>
  <si>
    <t>Vegetables, root crops and legumes</t>
  </si>
  <si>
    <t>Fruits, berries, cocoa and coffee</t>
  </si>
  <si>
    <t>Processed products</t>
  </si>
  <si>
    <t>Reference list</t>
  </si>
  <si>
    <t>Results meat and eggs</t>
  </si>
  <si>
    <t>Results dairy products</t>
  </si>
  <si>
    <t>Results fish and seafood</t>
  </si>
  <si>
    <t>Results grains, oil crops and sugar</t>
  </si>
  <si>
    <t>Results vegetables, root crops and legumes</t>
  </si>
  <si>
    <t>Results fruits, berries, cocoa and coffee</t>
  </si>
  <si>
    <t>Results processed products</t>
  </si>
  <si>
    <t>Common input data sheet</t>
  </si>
  <si>
    <t xml:space="preserve">Input data sheet </t>
  </si>
  <si>
    <t xml:space="preserve">Additional motivation to excluded data </t>
  </si>
  <si>
    <t>Products included:</t>
  </si>
  <si>
    <t>Maintenance of data</t>
  </si>
  <si>
    <t>Pork meat</t>
  </si>
  <si>
    <t>Raw milk</t>
  </si>
  <si>
    <t>Average of fish and seafood</t>
  </si>
  <si>
    <t>Average grains</t>
  </si>
  <si>
    <t>Tomato</t>
  </si>
  <si>
    <t>Apple</t>
  </si>
  <si>
    <t>Pasta</t>
  </si>
  <si>
    <t>Chicken meat</t>
  </si>
  <si>
    <t>Pasteurized milk</t>
  </si>
  <si>
    <t>Salmon</t>
  </si>
  <si>
    <t>Wheat</t>
  </si>
  <si>
    <t>Cucumber</t>
  </si>
  <si>
    <t>Pear</t>
  </si>
  <si>
    <t>Buns</t>
  </si>
  <si>
    <t>Eggs</t>
  </si>
  <si>
    <t>Butter</t>
  </si>
  <si>
    <t>Cod</t>
  </si>
  <si>
    <t>Rye</t>
  </si>
  <si>
    <t>Bell pepper</t>
  </si>
  <si>
    <t>Melon</t>
  </si>
  <si>
    <t>Biscuits</t>
  </si>
  <si>
    <t>Beef</t>
  </si>
  <si>
    <t>Yogurt</t>
  </si>
  <si>
    <t>Herring</t>
  </si>
  <si>
    <t>Barley</t>
  </si>
  <si>
    <t>Iceberg lettuce</t>
  </si>
  <si>
    <t>Banana</t>
  </si>
  <si>
    <t>Pastry</t>
  </si>
  <si>
    <t>Cream</t>
  </si>
  <si>
    <t>Mackerel</t>
  </si>
  <si>
    <t>Oats</t>
  </si>
  <si>
    <t>Potato</t>
  </si>
  <si>
    <t>Orange</t>
  </si>
  <si>
    <t>Rusks</t>
  </si>
  <si>
    <t>Hard cheese</t>
  </si>
  <si>
    <t>Saithe</t>
  </si>
  <si>
    <t>Rice</t>
  </si>
  <si>
    <t>Carrot</t>
  </si>
  <si>
    <t>Lemon</t>
  </si>
  <si>
    <t>Wheat bread</t>
  </si>
  <si>
    <t>Dessert cheese</t>
  </si>
  <si>
    <t xml:space="preserve">Northern Prawn </t>
  </si>
  <si>
    <t>Rapeseed/rapeseed oil</t>
  </si>
  <si>
    <t>Onion</t>
  </si>
  <si>
    <t>Avocado</t>
  </si>
  <si>
    <t>Wheat-rye bread</t>
  </si>
  <si>
    <t>Crème fraiche</t>
  </si>
  <si>
    <t xml:space="preserve">Alaska pollock </t>
  </si>
  <si>
    <t>Olives/Olive oil</t>
  </si>
  <si>
    <t>Leek</t>
  </si>
  <si>
    <t>Kiwifruit</t>
  </si>
  <si>
    <t>Crisp bread</t>
  </si>
  <si>
    <t>Milk powder</t>
  </si>
  <si>
    <t xml:space="preserve">Rainbow trout </t>
  </si>
  <si>
    <t>Sugar beet/sugar</t>
  </si>
  <si>
    <t>Broccoli</t>
  </si>
  <si>
    <t>Strawberry</t>
  </si>
  <si>
    <t>Follow-up formula</t>
  </si>
  <si>
    <t>Roe (from cod fish)</t>
  </si>
  <si>
    <t>White cabbage</t>
  </si>
  <si>
    <t>Raspberry</t>
  </si>
  <si>
    <t>Margarine</t>
  </si>
  <si>
    <t xml:space="preserve">Pangasius </t>
  </si>
  <si>
    <t>Cauliflower</t>
  </si>
  <si>
    <t>Cocoa/Cocoa powder/Cocoa butter</t>
  </si>
  <si>
    <t>Low fat margarine</t>
  </si>
  <si>
    <t xml:space="preserve">European plaice </t>
  </si>
  <si>
    <t>Peas</t>
  </si>
  <si>
    <t>Coffee</t>
  </si>
  <si>
    <t>Cocoa drink powder</t>
  </si>
  <si>
    <t>Hoki</t>
  </si>
  <si>
    <t>Beans</t>
  </si>
  <si>
    <t>Soda</t>
  </si>
  <si>
    <t>Cider (non-alcoholic)</t>
  </si>
  <si>
    <t>Beer (regular)</t>
  </si>
  <si>
    <t>Mineral water</t>
  </si>
  <si>
    <t>Juice of orange and apple</t>
  </si>
  <si>
    <t>Squash drink of strawberry and raspberry</t>
  </si>
  <si>
    <t>Milk chocolate</t>
  </si>
  <si>
    <t>Potato crisps</t>
  </si>
  <si>
    <t>Ice cream (dairy-based)</t>
  </si>
  <si>
    <t>Product group</t>
  </si>
  <si>
    <t>Food product</t>
  </si>
  <si>
    <t xml:space="preserve">Production country </t>
  </si>
  <si>
    <t>Production system</t>
  </si>
  <si>
    <t>Share of market</t>
  </si>
  <si>
    <t>Choice of climate metric</t>
  </si>
  <si>
    <t>kg CO2e at retail-gate per kg of product</t>
  </si>
  <si>
    <t>kg CO2 at retail-gate per kg of product</t>
  </si>
  <si>
    <t>kg CH4 fossil at retail-gate per kg of product</t>
  </si>
  <si>
    <t>kg CH4 bio at retail-gate per kg of product</t>
  </si>
  <si>
    <t>kg N2O at retail-gate per kg of product</t>
  </si>
  <si>
    <t>kg HCFC-22 at retail-gate per kg of product</t>
  </si>
  <si>
    <t>Kg CO2e from CH4 fossil</t>
  </si>
  <si>
    <t>Kg CO2e from CH4 bio</t>
  </si>
  <si>
    <t>Kg CO2e from N2O</t>
  </si>
  <si>
    <t>Kg CO2e from HCFC-22</t>
  </si>
  <si>
    <t>Average</t>
  </si>
  <si>
    <t>Open-field</t>
  </si>
  <si>
    <t>Sweden</t>
  </si>
  <si>
    <t>Italy</t>
  </si>
  <si>
    <t>Poland</t>
  </si>
  <si>
    <t>Rest of Europe</t>
  </si>
  <si>
    <t>Belgium</t>
  </si>
  <si>
    <t>The Nederlands</t>
  </si>
  <si>
    <t>/</t>
  </si>
  <si>
    <t>Greenhouse</t>
  </si>
  <si>
    <t>Spain</t>
  </si>
  <si>
    <t>Costa Rica</t>
  </si>
  <si>
    <t>Ecuador</t>
  </si>
  <si>
    <t>Dominican Republic</t>
  </si>
  <si>
    <t>Rest of the world</t>
  </si>
  <si>
    <t>World average</t>
  </si>
  <si>
    <t>Cocoa</t>
  </si>
  <si>
    <t>Ivory Coast</t>
  </si>
  <si>
    <t>Ghana</t>
  </si>
  <si>
    <t>Indonesia</t>
  </si>
  <si>
    <t>Cocoa powder</t>
  </si>
  <si>
    <t>Cocoa butter</t>
  </si>
  <si>
    <t>Brazil</t>
  </si>
  <si>
    <t>Peru</t>
  </si>
  <si>
    <t>Tea</t>
  </si>
  <si>
    <t>China</t>
  </si>
  <si>
    <t>India</t>
  </si>
  <si>
    <t>Grapes</t>
  </si>
  <si>
    <t>The Netherlands</t>
  </si>
  <si>
    <t>United States</t>
  </si>
  <si>
    <t>Plantain</t>
  </si>
  <si>
    <t>Grapefruit and products</t>
  </si>
  <si>
    <t>Israel</t>
  </si>
  <si>
    <t>South Africa</t>
  </si>
  <si>
    <t>Pineapples and products</t>
  </si>
  <si>
    <t>Dates</t>
  </si>
  <si>
    <t>Iran</t>
  </si>
  <si>
    <t>Saudi Arabia</t>
  </si>
  <si>
    <t>Peach</t>
  </si>
  <si>
    <t>Bell Pepper</t>
  </si>
  <si>
    <t>Iceberg Lettuce</t>
  </si>
  <si>
    <t>France</t>
  </si>
  <si>
    <t>Grains average</t>
  </si>
  <si>
    <t>Average of all grains</t>
  </si>
  <si>
    <t>Average of winter wheat and spring wheat</t>
  </si>
  <si>
    <t>Winter wheat</t>
  </si>
  <si>
    <t>Spring wheat</t>
  </si>
  <si>
    <t>Average of winter barley and spring barley</t>
  </si>
  <si>
    <t>Winter barley</t>
  </si>
  <si>
    <t>Spring barley</t>
  </si>
  <si>
    <t>Thailand</t>
  </si>
  <si>
    <t>Rapeseed</t>
  </si>
  <si>
    <t>Winter rapeseed</t>
  </si>
  <si>
    <t>Spring rapeseed</t>
  </si>
  <si>
    <t xml:space="preserve">Rapeseed </t>
  </si>
  <si>
    <t>Rapeseed oil</t>
  </si>
  <si>
    <t>Denmark</t>
  </si>
  <si>
    <t>Olive oil</t>
  </si>
  <si>
    <t>Greece</t>
  </si>
  <si>
    <t>Olives</t>
  </si>
  <si>
    <t>Sugar beet</t>
  </si>
  <si>
    <t>Sesame seed</t>
  </si>
  <si>
    <t>Guatemala</t>
  </si>
  <si>
    <t>Soy bean</t>
  </si>
  <si>
    <t>Argentina</t>
  </si>
  <si>
    <t>Soy bean oil</t>
  </si>
  <si>
    <t>Sunflower oil</t>
  </si>
  <si>
    <t>Oil palm fruit/palm oil</t>
  </si>
  <si>
    <t>Malaysia</t>
  </si>
  <si>
    <t>Coconut</t>
  </si>
  <si>
    <t>Philippines</t>
  </si>
  <si>
    <t>Coconut oil</t>
  </si>
  <si>
    <t>Maize</t>
  </si>
  <si>
    <t>Russia</t>
  </si>
  <si>
    <t>Lithuania</t>
  </si>
  <si>
    <t>Maize germ oil</t>
  </si>
  <si>
    <t>Almonds</t>
  </si>
  <si>
    <t>Peanuts</t>
  </si>
  <si>
    <t>Conventional indoor</t>
  </si>
  <si>
    <t>Germany</t>
  </si>
  <si>
    <t>Chiken meat</t>
  </si>
  <si>
    <t>Ireland</t>
  </si>
  <si>
    <t>Dairy cows</t>
  </si>
  <si>
    <t>Suckler cows and offsprings</t>
  </si>
  <si>
    <t>Germany and Poland</t>
  </si>
  <si>
    <t>Heifers</t>
  </si>
  <si>
    <t>Bulls</t>
  </si>
  <si>
    <t>Calves</t>
  </si>
  <si>
    <t>Beef from dairy production</t>
  </si>
  <si>
    <t>Dairy product</t>
  </si>
  <si>
    <t>Pasteurized milk (3% fat)</t>
  </si>
  <si>
    <t>Butter (82% fat)</t>
  </si>
  <si>
    <t>Yogurt (3% fat)</t>
  </si>
  <si>
    <t>Cream (40% fat)</t>
  </si>
  <si>
    <t>Hard cheese (38% fat)</t>
  </si>
  <si>
    <t>Desert cheese (25% fat)</t>
  </si>
  <si>
    <t>Crème fraiche (34% fat</t>
  </si>
  <si>
    <t>Norway</t>
  </si>
  <si>
    <t>Farmed</t>
  </si>
  <si>
    <t>Norway, Denmark, Sweden</t>
  </si>
  <si>
    <t>Wild-caught with bottom trawl</t>
  </si>
  <si>
    <t>Wild-caught with autoline</t>
  </si>
  <si>
    <t>Roe(from cod fish)</t>
  </si>
  <si>
    <t>Norway and Iceland</t>
  </si>
  <si>
    <t>Sweden, Norway, Latvia</t>
  </si>
  <si>
    <t>Wild-caught with pelagic trawl</t>
  </si>
  <si>
    <t>Wild-caught with purse seine</t>
  </si>
  <si>
    <t>Wild-caught with trolling line</t>
  </si>
  <si>
    <t>Norway, Denmark</t>
  </si>
  <si>
    <t>Northern Prawn</t>
  </si>
  <si>
    <t>Alaska Pollock</t>
  </si>
  <si>
    <t>Rainbow Trout</t>
  </si>
  <si>
    <t>Pangasius</t>
  </si>
  <si>
    <t>Vietnam</t>
  </si>
  <si>
    <t>European plaice</t>
  </si>
  <si>
    <t>The Netherlands, Denmark</t>
  </si>
  <si>
    <t>New Zealand</t>
  </si>
  <si>
    <t>White bread</t>
  </si>
  <si>
    <t>Juice (average)</t>
  </si>
  <si>
    <t>Orange juice</t>
  </si>
  <si>
    <t>Apple juice</t>
  </si>
  <si>
    <t>Squash drink (average)</t>
  </si>
  <si>
    <t>Strawberry squash drink</t>
  </si>
  <si>
    <t>Raspberry squash drink</t>
  </si>
  <si>
    <t>Ice cream (dairy based)</t>
  </si>
  <si>
    <t>Sweets</t>
  </si>
  <si>
    <t>Wine</t>
  </si>
  <si>
    <t>Chile</t>
  </si>
  <si>
    <t>Spirits</t>
  </si>
  <si>
    <t>United Kingdom</t>
  </si>
  <si>
    <t>Potato starch</t>
  </si>
  <si>
    <t>GWP100 with fb AR6</t>
  </si>
  <si>
    <t>GWP/GTP factors used:</t>
  </si>
  <si>
    <t>Carbon dioxide</t>
  </si>
  <si>
    <t>Methane bio</t>
  </si>
  <si>
    <t>Methane fossil</t>
  </si>
  <si>
    <t>Nitrous oxide</t>
  </si>
  <si>
    <t>HCFC-22</t>
  </si>
  <si>
    <t>Sum of Share of market</t>
  </si>
  <si>
    <t>Kg  CO2e at retail-gate per kg of product</t>
  </si>
  <si>
    <t>kg  CO2 at retail-gate per kg of product</t>
  </si>
  <si>
    <t>kg  CH4 fossil at retail-gate per kg of product</t>
  </si>
  <si>
    <t>kg  CH4 bio at retail-gate per kg of product</t>
  </si>
  <si>
    <t xml:space="preserve"> kg  N2O at retail-gate per kg of product</t>
  </si>
  <si>
    <t>kg  HCFC-22 at retail-gate per kg of product</t>
  </si>
  <si>
    <t>kg  CO2e from CH4 fossil</t>
  </si>
  <si>
    <t>kg  CO2e from CH4 bio</t>
  </si>
  <si>
    <t>kg  CO2e from N2O</t>
  </si>
  <si>
    <t>kg  CO2e from HCFC-22</t>
  </si>
  <si>
    <t>Choice of climate metric:</t>
  </si>
  <si>
    <t>GTP100 with fb AR6</t>
  </si>
  <si>
    <t>Include land use change?</t>
  </si>
  <si>
    <t>Yes</t>
  </si>
  <si>
    <t>Include soil carbon changes?
Go to: "Common input data" --&gt; "Choose factors for soil carbon changes"</t>
  </si>
  <si>
    <t>Allocation for years</t>
  </si>
  <si>
    <t>GHG EMISSIONS AND CLIMATE IMPACT</t>
  </si>
  <si>
    <t>CROPLAND USE</t>
  </si>
  <si>
    <t>PASTURE USE</t>
  </si>
  <si>
    <t>NITROGEN APPLICATION</t>
  </si>
  <si>
    <t>PHOSPHORUS APPLICATION</t>
  </si>
  <si>
    <t>FRESHWATER USE</t>
  </si>
  <si>
    <t>EXTINCTION RATE</t>
  </si>
  <si>
    <t>PESTICIDE USE</t>
  </si>
  <si>
    <t>AMMONIA EMISSIONS</t>
  </si>
  <si>
    <t>NOx EMISSIONS</t>
  </si>
  <si>
    <t>Summary of results in different process steps &gt;&gt;</t>
  </si>
  <si>
    <t>Results in different process steps &gt;&gt;</t>
  </si>
  <si>
    <t>RESULTS</t>
  </si>
  <si>
    <t>Feed production</t>
  </si>
  <si>
    <t xml:space="preserve">Manure management </t>
  </si>
  <si>
    <t>To farm-gate</t>
  </si>
  <si>
    <t>To retail-gate, including waste and losses</t>
  </si>
  <si>
    <t>At consumer, including additional waste and losses after retail-gate</t>
  </si>
  <si>
    <t>Feed use</t>
  </si>
  <si>
    <t>Housing and drinking water</t>
  </si>
  <si>
    <t>Agricultural emissions only</t>
  </si>
  <si>
    <t>To retail-gate</t>
  </si>
  <si>
    <t>Energy use and 
mineral fertilizer production</t>
  </si>
  <si>
    <t>Soil emissions</t>
  </si>
  <si>
    <t>Direct emissions</t>
  </si>
  <si>
    <t>Indirect emissions</t>
  </si>
  <si>
    <t>Enteric fermentation</t>
  </si>
  <si>
    <t>Soil carbon emissions</t>
  </si>
  <si>
    <t>LUC emissions</t>
  </si>
  <si>
    <t>Energy use 
in stables</t>
  </si>
  <si>
    <t>Energy use 
at slaughter</t>
  </si>
  <si>
    <t>Total after processing</t>
  </si>
  <si>
    <t>Packaging</t>
  </si>
  <si>
    <t>Transportation</t>
  </si>
  <si>
    <t>Per kg</t>
  </si>
  <si>
    <t>Bio Methane</t>
  </si>
  <si>
    <t>PORK MEAT</t>
  </si>
  <si>
    <t>Per kg carcass weight</t>
  </si>
  <si>
    <t>Per kg bone free weight</t>
  </si>
  <si>
    <t>Fossil methane</t>
  </si>
  <si>
    <t xml:space="preserve">Average </t>
  </si>
  <si>
    <t>kg CO2e</t>
  </si>
  <si>
    <t>kg CO2</t>
  </si>
  <si>
    <t>kg Bio CH4</t>
  </si>
  <si>
    <t>Kg fossil CH4</t>
  </si>
  <si>
    <t>kg N2O</t>
  </si>
  <si>
    <t>kg bio CH4</t>
  </si>
  <si>
    <t>CHICKEN MEAT</t>
  </si>
  <si>
    <t>EGGS</t>
  </si>
  <si>
    <t>Per kg with shell</t>
  </si>
  <si>
    <t>Cropland use</t>
  </si>
  <si>
    <t>Pasture use</t>
  </si>
  <si>
    <t>Nitrogen application</t>
  </si>
  <si>
    <t>Phosphorus application</t>
  </si>
  <si>
    <t>Freshwater use</t>
  </si>
  <si>
    <t>Extinction rate</t>
  </si>
  <si>
    <t>Pesticide use</t>
  </si>
  <si>
    <t>Ammonia emissions</t>
  </si>
  <si>
    <t>NOx emissions</t>
  </si>
  <si>
    <t>BEEF</t>
  </si>
  <si>
    <t>Per head</t>
  </si>
  <si>
    <t>All heads in stables and slaughterered heads</t>
  </si>
  <si>
    <t>To farm-gate, per kg CW</t>
  </si>
  <si>
    <t>Feed use, per head</t>
  </si>
  <si>
    <t>Housing and drinking water, per head</t>
  </si>
  <si>
    <t>Total, per head</t>
  </si>
  <si>
    <t>Suckler cows (total emissions for all heads)</t>
  </si>
  <si>
    <t>Replacement heifers suckler system (total emissions for all heads)</t>
  </si>
  <si>
    <t>Heifers in suckler system (total emissions for all heads)</t>
  </si>
  <si>
    <t>Young bulls in suckler system (total emissions for all heads)</t>
  </si>
  <si>
    <t>Bulls in suckler system (total emissions for all heads)</t>
  </si>
  <si>
    <t>Steers in suckler system (total emissions for all heads)</t>
  </si>
  <si>
    <t>Calves in suckler system (total emissions for all heads)</t>
  </si>
  <si>
    <t>Replacement heifers dairy production</t>
  </si>
  <si>
    <t>Total dairy cows and replacement heifers</t>
  </si>
  <si>
    <t>Allocation to culled dairy cows</t>
  </si>
  <si>
    <t>Heifers in dairy system</t>
  </si>
  <si>
    <t>Young bulls in dairy system</t>
  </si>
  <si>
    <t>Bulls in dairy system</t>
  </si>
  <si>
    <t>Steers in dairy system</t>
  </si>
  <si>
    <t>Calves in dairy system</t>
  </si>
  <si>
    <t>Bullocks in suckler system (total emissions for all heads)</t>
  </si>
  <si>
    <t xml:space="preserve">Total dairy cows and replacement heifers </t>
  </si>
  <si>
    <t xml:space="preserve">Allocation to culled dairy cows </t>
  </si>
  <si>
    <t>Market share</t>
  </si>
  <si>
    <t>Emissions</t>
  </si>
  <si>
    <t>Energy use and mineral 
fertilizer production</t>
  </si>
  <si>
    <t>Energy use 
dairy plant</t>
  </si>
  <si>
    <t>MILK DELIVERED TO DAIRY PLANTS</t>
  </si>
  <si>
    <t>Per kg milk</t>
  </si>
  <si>
    <t>per kg or l</t>
  </si>
  <si>
    <t>Sweden and Nordic countries</t>
  </si>
  <si>
    <t>kg CH4</t>
  </si>
  <si>
    <t>PASTEURIZED MILK (3% FAT)</t>
  </si>
  <si>
    <t>Per kg pasteurized milk</t>
  </si>
  <si>
    <t>BUTTER (82% FAT)</t>
  </si>
  <si>
    <t>Per kg butter</t>
  </si>
  <si>
    <t>YOGURT (3% FAT)</t>
  </si>
  <si>
    <t>Per kg yogurt</t>
  </si>
  <si>
    <t>CREAM (40% FAT)</t>
  </si>
  <si>
    <t>Per kg cream</t>
  </si>
  <si>
    <t>HARD CHEESE (38% FAT)</t>
  </si>
  <si>
    <t>Per kg hard cheese</t>
  </si>
  <si>
    <t>DESSERT CHEESE (25% FAT)</t>
  </si>
  <si>
    <t>Per kg dessert cheese</t>
  </si>
  <si>
    <t>CRÈME FRAICHE (34% FAT)</t>
  </si>
  <si>
    <t>Per kg crème fraiche</t>
  </si>
  <si>
    <t>MILK POWDER</t>
  </si>
  <si>
    <t>Per kg milk powder</t>
  </si>
  <si>
    <t>Production of feed</t>
  </si>
  <si>
    <t>Gear use fraction</t>
  </si>
  <si>
    <t>To farm-gate (before processing of fish)</t>
  </si>
  <si>
    <t>Production of fry and fingerlings</t>
  </si>
  <si>
    <t>Energy use and mineral fertilizer production</t>
  </si>
  <si>
    <t>Production of 
capital goods</t>
  </si>
  <si>
    <t>Energy use for 
aquaculture</t>
  </si>
  <si>
    <t>Diesel use at vessels</t>
  </si>
  <si>
    <t>Storage at vessels</t>
  </si>
  <si>
    <t>Energy use 
for processing</t>
  </si>
  <si>
    <t>AVERAGE OF FISH AND SEAFOOD ON THE SWEDISH MARKET</t>
  </si>
  <si>
    <t xml:space="preserve">Per kg live weight </t>
  </si>
  <si>
    <t>Per kg edible weight</t>
  </si>
  <si>
    <t>Methane</t>
  </si>
  <si>
    <t>kg HCFC-22</t>
  </si>
  <si>
    <t>SALMON</t>
  </si>
  <si>
    <t>COD</t>
  </si>
  <si>
    <t>ROE (FROM COD FISH)</t>
  </si>
  <si>
    <t>Per kg roe</t>
  </si>
  <si>
    <t>HERRING</t>
  </si>
  <si>
    <t>MACKEREL</t>
  </si>
  <si>
    <t>SAITHE</t>
  </si>
  <si>
    <t>NORTHERN PRAWN</t>
  </si>
  <si>
    <t>Norway and Denmark</t>
  </si>
  <si>
    <t>ALASKA POLLOCK</t>
  </si>
  <si>
    <t>RAINBOW TROUT</t>
  </si>
  <si>
    <t>PANGASIUS</t>
  </si>
  <si>
    <t>EUROPEAN PLAICE</t>
  </si>
  <si>
    <t>Wild-caught with beam trawl</t>
  </si>
  <si>
    <t>HOKI</t>
  </si>
  <si>
    <t>New Zeeland</t>
  </si>
  <si>
    <t>Metrics factors used</t>
  </si>
  <si>
    <r>
      <t>m</t>
    </r>
    <r>
      <rPr>
        <vertAlign val="superscript"/>
        <sz val="12"/>
        <color rgb="FF221E1F"/>
        <rFont val="Times New Roman"/>
        <family val="1"/>
      </rPr>
      <t>2</t>
    </r>
  </si>
  <si>
    <t>Production of mineral fertilizer</t>
  </si>
  <si>
    <t>Production of capital goods</t>
  </si>
  <si>
    <t>Climate impact, to farm-gate</t>
  </si>
  <si>
    <t>Diesel use machinery</t>
  </si>
  <si>
    <t>Energy use in greenhouses</t>
  </si>
  <si>
    <t>Energy use for irrigation</t>
  </si>
  <si>
    <t>Energy use for drying</t>
  </si>
  <si>
    <t>Energy use processing</t>
  </si>
  <si>
    <t xml:space="preserve">After harvest 
</t>
  </si>
  <si>
    <t>After drying</t>
  </si>
  <si>
    <t>After processing (e.g. milling, oil pressing or other extraction)</t>
  </si>
  <si>
    <t>Allocation between products in multi-output systems</t>
  </si>
  <si>
    <t>After harvest</t>
  </si>
  <si>
    <t>GRAINS AVERAGE</t>
  </si>
  <si>
    <t>Per kg grains</t>
  </si>
  <si>
    <t>Per kg milled grains</t>
  </si>
  <si>
    <t>WHEAT</t>
  </si>
  <si>
    <t>Per kg wheat</t>
  </si>
  <si>
    <t>Per kg milled wheat</t>
  </si>
  <si>
    <t>RYE</t>
  </si>
  <si>
    <t>Per kg rye</t>
  </si>
  <si>
    <t>Per kg milled rye</t>
  </si>
  <si>
    <t>BARLEY</t>
  </si>
  <si>
    <t>Per kg barley</t>
  </si>
  <si>
    <t>Per kg milled barley</t>
  </si>
  <si>
    <t>OATS</t>
  </si>
  <si>
    <t>Per kg oats</t>
  </si>
  <si>
    <t>Per kg milled oats</t>
  </si>
  <si>
    <t>RICE</t>
  </si>
  <si>
    <t>Per kg rice</t>
  </si>
  <si>
    <t>Per kg milled rice</t>
  </si>
  <si>
    <t>RAPESEED</t>
  </si>
  <si>
    <t>Per kg rapeseed</t>
  </si>
  <si>
    <t>RAPESEED OIL</t>
  </si>
  <si>
    <t>Per kg rapeseed oil</t>
  </si>
  <si>
    <t>OLIVE OIL</t>
  </si>
  <si>
    <t>Per kg olives</t>
  </si>
  <si>
    <t>Per kg olive oil</t>
  </si>
  <si>
    <t>OLIVES</t>
  </si>
  <si>
    <t>SUGAR BEET/SUGAR</t>
  </si>
  <si>
    <t>Per kg sugar beet</t>
  </si>
  <si>
    <t>Per kg sugar</t>
  </si>
  <si>
    <t>SESAME SEED</t>
  </si>
  <si>
    <t>Per kg sesame seed</t>
  </si>
  <si>
    <t xml:space="preserve">SOY BEAN </t>
  </si>
  <si>
    <t>Per kg soy bean</t>
  </si>
  <si>
    <t>SOY BEAN OIL</t>
  </si>
  <si>
    <t>Per kg soy bean oil</t>
  </si>
  <si>
    <t>Sunflowerseed Oil</t>
  </si>
  <si>
    <t>Per kg sunflowerseed Oil</t>
  </si>
  <si>
    <t>Per kg Oil palm fruit/palm oil</t>
  </si>
  <si>
    <t>Per kg Coconut</t>
  </si>
  <si>
    <t>Per kg Coconut oil</t>
  </si>
  <si>
    <t>Per kg maize</t>
  </si>
  <si>
    <t>Per kg maize germ oil</t>
  </si>
  <si>
    <t>Per kg almonds</t>
  </si>
  <si>
    <t>Per kg peanuts</t>
  </si>
  <si>
    <t>TOMATO</t>
  </si>
  <si>
    <t>Per kg tomato</t>
  </si>
  <si>
    <t>CUCUMBER</t>
  </si>
  <si>
    <t>Per kg cucumber</t>
  </si>
  <si>
    <t>BELL PEPPER</t>
  </si>
  <si>
    <t>Per kg bell pepper</t>
  </si>
  <si>
    <t>ICEBERG LETTUCE</t>
  </si>
  <si>
    <t>Per kg iceberg lettuce</t>
  </si>
  <si>
    <t>POTATO</t>
  </si>
  <si>
    <t>Per kg potato</t>
  </si>
  <si>
    <t>CARROT</t>
  </si>
  <si>
    <t>Per kg carrot</t>
  </si>
  <si>
    <t>ONION</t>
  </si>
  <si>
    <t>Per kg onion</t>
  </si>
  <si>
    <t>LEEK</t>
  </si>
  <si>
    <t>Per kg leek</t>
  </si>
  <si>
    <t>BROCCOLI</t>
  </si>
  <si>
    <t>Per kg broccoli</t>
  </si>
  <si>
    <t>WHITE CABBAGE</t>
  </si>
  <si>
    <t>Per kg white cabbage</t>
  </si>
  <si>
    <t>CAULIFLOWER</t>
  </si>
  <si>
    <t>Per kg cauliflower</t>
  </si>
  <si>
    <t>PEAS</t>
  </si>
  <si>
    <t>Per kg peas</t>
  </si>
  <si>
    <t>BEANS</t>
  </si>
  <si>
    <t>Per kg beans</t>
  </si>
  <si>
    <t>Sweet potato</t>
  </si>
  <si>
    <t>Per kg Sweet potato</t>
  </si>
  <si>
    <t>APPLE</t>
  </si>
  <si>
    <t>Per kg apple</t>
  </si>
  <si>
    <t>PEAR</t>
  </si>
  <si>
    <t>Per kg pear</t>
  </si>
  <si>
    <t>MELON</t>
  </si>
  <si>
    <t>Per kg melon</t>
  </si>
  <si>
    <t>BANANA</t>
  </si>
  <si>
    <t>Per kg banana</t>
  </si>
  <si>
    <t>ORANGE</t>
  </si>
  <si>
    <t>Per kg orange</t>
  </si>
  <si>
    <t>LEMON</t>
  </si>
  <si>
    <t>Per kg lemon</t>
  </si>
  <si>
    <t>AVOCADO</t>
  </si>
  <si>
    <t>Per kg avocado</t>
  </si>
  <si>
    <t>KIWIFRUIT</t>
  </si>
  <si>
    <t>Per kg kiwifruit</t>
  </si>
  <si>
    <t>STRAWBERRY</t>
  </si>
  <si>
    <t>Per kg strawberry</t>
  </si>
  <si>
    <t>RASPBERRY</t>
  </si>
  <si>
    <t>Per kg raspberry</t>
  </si>
  <si>
    <t>COCOA</t>
  </si>
  <si>
    <t>Per kg cocoa</t>
  </si>
  <si>
    <t>COCOA POWDER</t>
  </si>
  <si>
    <t>Per kg cocoa powder</t>
  </si>
  <si>
    <t>COCOA BUTTER</t>
  </si>
  <si>
    <t>Per kg cocoa butter</t>
  </si>
  <si>
    <t>COFFEE</t>
  </si>
  <si>
    <t>Per kg coffee bean</t>
  </si>
  <si>
    <t>Per kg milled coffee</t>
  </si>
  <si>
    <t>Per kg tea</t>
  </si>
  <si>
    <t>Per kg grapes</t>
  </si>
  <si>
    <t>Plantains</t>
  </si>
  <si>
    <t>Per kg plantains</t>
  </si>
  <si>
    <t>Per kg pineapples</t>
  </si>
  <si>
    <t>Per kg dates</t>
  </si>
  <si>
    <t>Per kg peach</t>
  </si>
  <si>
    <t xml:space="preserve">REFERENSEN ÄR FEL HÄRIFRÅN OCH FRAMÅT - PEKAR ETT STEG FEL SÅ DENNA ÄR PASTURE USE OCH INTE N OCH SÅ VIDARE. </t>
  </si>
  <si>
    <t>Input products</t>
  </si>
  <si>
    <t>PASTA</t>
  </si>
  <si>
    <t>Per kg pasta</t>
  </si>
  <si>
    <t>BUNS</t>
  </si>
  <si>
    <t>Per kg buns</t>
  </si>
  <si>
    <t>BISCUITS</t>
  </si>
  <si>
    <t>Per kg biscuits</t>
  </si>
  <si>
    <t>PASTRY</t>
  </si>
  <si>
    <t>Per kg pastry</t>
  </si>
  <si>
    <t>RUSKS</t>
  </si>
  <si>
    <t>Per kg rusks</t>
  </si>
  <si>
    <t>WHEAT BREAD</t>
  </si>
  <si>
    <t>Per kg wheat bread</t>
  </si>
  <si>
    <t>WHEAT-RYE BREAD</t>
  </si>
  <si>
    <t>Per kg wheat-rye bread</t>
  </si>
  <si>
    <t>CRISP BREAD</t>
  </si>
  <si>
    <t>Per kg crisp bread</t>
  </si>
  <si>
    <t>FOLLOW-UP FORMULA</t>
  </si>
  <si>
    <t>Per kg follow-up formula (powder)</t>
  </si>
  <si>
    <t>MARGARINE</t>
  </si>
  <si>
    <t>Per kg margarine</t>
  </si>
  <si>
    <t>LOW FAT MARGARINE</t>
  </si>
  <si>
    <t>Per kg low fat margarine</t>
  </si>
  <si>
    <t>COCOA DRINK POWDER</t>
  </si>
  <si>
    <t>Per kg cocoa drink powder</t>
  </si>
  <si>
    <t>SODA</t>
  </si>
  <si>
    <t>Per liter soda</t>
  </si>
  <si>
    <t>CIDER (NON-ALCOHOLIC)</t>
  </si>
  <si>
    <t>Per liter cider</t>
  </si>
  <si>
    <t>BEER (REGULAR)</t>
  </si>
  <si>
    <t>Per liter beer</t>
  </si>
  <si>
    <t>MINERAL WATER</t>
  </si>
  <si>
    <t>Per liter mineral water</t>
  </si>
  <si>
    <t>JUICE (AVERAGE)</t>
  </si>
  <si>
    <t xml:space="preserve">Per liter juice </t>
  </si>
  <si>
    <t>ORANGE JUICE</t>
  </si>
  <si>
    <t>Per liter orange juice</t>
  </si>
  <si>
    <t>APPLE JUICE</t>
  </si>
  <si>
    <t>Per liter apple juice</t>
  </si>
  <si>
    <t>SQUASH DRINK (AVERAGE)</t>
  </si>
  <si>
    <t>Per liter squash drink</t>
  </si>
  <si>
    <t>STRAWBERRY SQUASH DRINK</t>
  </si>
  <si>
    <t>Per liter strawberry squash drink</t>
  </si>
  <si>
    <t>RASPBERRY SQUASH DRINK</t>
  </si>
  <si>
    <t>Per liter raspberry squash drink</t>
  </si>
  <si>
    <t>MILK CHOCOLATE</t>
  </si>
  <si>
    <t>Per kg milk chocolate</t>
  </si>
  <si>
    <t>POTATO CRISPS</t>
  </si>
  <si>
    <t>Per kg potato crisps</t>
  </si>
  <si>
    <t>ICE CREAM (DAIRY-BASED)</t>
  </si>
  <si>
    <t>Per kg ice cream</t>
  </si>
  <si>
    <t>SWEETS</t>
  </si>
  <si>
    <t>Per kg sweets</t>
  </si>
  <si>
    <t>WINE</t>
  </si>
  <si>
    <t>Per liter wine</t>
  </si>
  <si>
    <t>SPIRITS</t>
  </si>
  <si>
    <t>Per liter spirit</t>
  </si>
  <si>
    <t>POTATO STARCH</t>
  </si>
  <si>
    <t>Per kg potato starch</t>
  </si>
  <si>
    <t>Raisins</t>
  </si>
  <si>
    <t>Beer (light)</t>
  </si>
  <si>
    <t>Beer (strong)</t>
  </si>
  <si>
    <t>Common input data</t>
  </si>
  <si>
    <t>Characterization factors of greenhouse gases with or without climate-carbon feedbacks (fb)</t>
  </si>
  <si>
    <t>Carbon dioxide (CO2)</t>
  </si>
  <si>
    <t>Biogenic methane (CH4)</t>
  </si>
  <si>
    <t>Fossil methane (CH4)</t>
  </si>
  <si>
    <t>Nitrous oxide (N2O)</t>
  </si>
  <si>
    <t>Chlorodifluoromethane (HCFC-22)</t>
  </si>
  <si>
    <t>Source</t>
  </si>
  <si>
    <t>GWP100 AR4</t>
  </si>
  <si>
    <t>Forster et al. (2007)</t>
  </si>
  <si>
    <t>GWP100 without fb AR5</t>
  </si>
  <si>
    <t>Myhre et al. (2013)</t>
  </si>
  <si>
    <t>GWP100 with fb AR5</t>
  </si>
  <si>
    <t>GTP100 without fb AR5</t>
  </si>
  <si>
    <t>GTP100 with fb AR5</t>
  </si>
  <si>
    <t>GTP climate goal</t>
  </si>
  <si>
    <t>Persson et al. (2015)</t>
  </si>
  <si>
    <t>*GTP limiting the global warming to 2°C, without fb</t>
  </si>
  <si>
    <t>GWP20 with fb AR6</t>
  </si>
  <si>
    <t>IPCC, 2021</t>
  </si>
  <si>
    <t>GWP500 with fb AR6</t>
  </si>
  <si>
    <t>GTP50 with fb AR6</t>
  </si>
  <si>
    <t>Emission or sequestration due to soil carbon changes</t>
  </si>
  <si>
    <t>Grains</t>
  </si>
  <si>
    <t xml:space="preserve">Legumes </t>
  </si>
  <si>
    <t>Rape seed</t>
  </si>
  <si>
    <t>Root crops and field vegetables</t>
  </si>
  <si>
    <t>Ley and perennial tree crops**</t>
  </si>
  <si>
    <t>Choose factors for soil carbon changes:</t>
  </si>
  <si>
    <t>IPCC Tier 1, 100 years, kg CO2/kg*</t>
  </si>
  <si>
    <t>Calculations with the IPCC Tier 1 approach from the Guidelines for National Greenhouse Gas Inventories (IPCC, 2006)</t>
  </si>
  <si>
    <t>=('Input data plant-based products'!F6/'Input data plant-based products'!E6*'Common input data'!$B$195+'Input data 'Common input data'!B196plant-based products'!G6/'Input data plant-based products'!E6*'Common input data'!$B$196)/'Common input data'!$B$198</t>
  </si>
  <si>
    <t>ICBM, 100 years, kg CO2/kg*</t>
  </si>
  <si>
    <t>Calculations with the ICBM-model (Andrén &amp; Kätterer, 1997)</t>
  </si>
  <si>
    <t>*Values &lt; 0 indicates a sequestration of CO2</t>
  </si>
  <si>
    <t>**Includes fruits, olives, coffee and cocoa as these as for ley have great potential to store carbon in soils depending on management practices (Vicente-Vicente et al., 2016). For both methods, we used the same potential as for ley based on the Tier 1 approach in the IPCC Guidelines, which considers the soil sequestration potential of perennial crops to be similar to that of ley or fallow (IPCC, 2006)</t>
  </si>
  <si>
    <t>Emission due to land use change including peat drainage</t>
  </si>
  <si>
    <t>kg CO2/kg product</t>
  </si>
  <si>
    <t>Coconuts</t>
  </si>
  <si>
    <t>Palm oil</t>
  </si>
  <si>
    <t>Soya beens</t>
  </si>
  <si>
    <t>Soy*</t>
  </si>
  <si>
    <t>Oil palm fruit*</t>
  </si>
  <si>
    <t>Turkey</t>
  </si>
  <si>
    <t>Egypt</t>
  </si>
  <si>
    <t>Cameroon</t>
  </si>
  <si>
    <t>Pendrill et al. (2020)</t>
  </si>
  <si>
    <t>Pakistan</t>
  </si>
  <si>
    <t>Myanmar</t>
  </si>
  <si>
    <t>Sri Lanka</t>
  </si>
  <si>
    <t>Colombia</t>
  </si>
  <si>
    <t>Uganda</t>
  </si>
  <si>
    <t>Algeria</t>
  </si>
  <si>
    <t>Democratic Republic of the Congo</t>
  </si>
  <si>
    <t xml:space="preserve">*LUC factors are accounted for as an average of the country specific factors available in Henders et al. (2015) due to the limited traceability of the specific origin of soy and palm oil imported to Europe. In Henders et al. (2015), LUC factors are available for countries representing 50 and 82% of world production of soy and palm oil respectively between 2011 and 2015. LUC for soy cultivation do however also take place in other countries than those available in Henders et al. (2015), e.g. the United States (Lark et al., 2015) causing emissions of CO2 (Spawn et al., 2017). Hence, to account for this, the share of world production for the countries available in Henders et al. (2015) were scaled up to represent the whole world market. The same assumption was made for palm oil. </t>
  </si>
  <si>
    <t>Allocation factors</t>
  </si>
  <si>
    <t>Product 1</t>
  </si>
  <si>
    <t>Product fraction obtained from 
1 kg input</t>
  </si>
  <si>
    <t>Economic allocation factor</t>
  </si>
  <si>
    <t xml:space="preserve">Product 2 </t>
  </si>
  <si>
    <t>Product 3</t>
  </si>
  <si>
    <t>Rapeseed meal</t>
  </si>
  <si>
    <t>Malmros, H., pers. comm. (2017)</t>
  </si>
  <si>
    <t>Milled rice</t>
  </si>
  <si>
    <t>Rice husk, flour and other by-products from milling</t>
  </si>
  <si>
    <t>Blengini &amp; Busto (2009)</t>
  </si>
  <si>
    <t>Grains*</t>
  </si>
  <si>
    <t>Milled grains</t>
  </si>
  <si>
    <t>Brans and middlings</t>
  </si>
  <si>
    <t>Poulsen, J.H., pers. comm. (2019)</t>
  </si>
  <si>
    <t>Sugar</t>
  </si>
  <si>
    <t>Processed sugar</t>
  </si>
  <si>
    <t>Beet pulp and molasses</t>
  </si>
  <si>
    <t>Flysjö et al. (2008)</t>
  </si>
  <si>
    <t>Soy beans</t>
  </si>
  <si>
    <t>Soy oil</t>
  </si>
  <si>
    <t>Soy meal</t>
  </si>
  <si>
    <t>Sunflower</t>
  </si>
  <si>
    <t>Sunflower meal</t>
  </si>
  <si>
    <t>Nilsson et al. (2010)</t>
  </si>
  <si>
    <t>Oil palm fruit</t>
  </si>
  <si>
    <t>Palm kernal oil</t>
  </si>
  <si>
    <t>Palm kernal meal</t>
  </si>
  <si>
    <t>Cocoa beans</t>
  </si>
  <si>
    <t>Liquor and shells</t>
  </si>
  <si>
    <t>Recanati et al., 2018</t>
  </si>
  <si>
    <t>Tomato**</t>
  </si>
  <si>
    <t>Electricity</t>
  </si>
  <si>
    <t>European Commission (2017), European Commission (2016), average 2011-2015</t>
  </si>
  <si>
    <t>Cucumber**</t>
  </si>
  <si>
    <t>Bell pepper**</t>
  </si>
  <si>
    <t>Strawberry**</t>
  </si>
  <si>
    <t>Average of allocation of other products grown in Dutch greenhouses, average 2011-2015</t>
  </si>
  <si>
    <t>Milk</t>
  </si>
  <si>
    <t>Beef from milk production</t>
  </si>
  <si>
    <t>LRF Mjölk (2016), SBA (2014a), SBA (2017a), average 2011-2015</t>
  </si>
  <si>
    <t>Butter***</t>
  </si>
  <si>
    <t>Skimmed milk</t>
  </si>
  <si>
    <t>Buttermilk</t>
  </si>
  <si>
    <t>National Food Agency (2017), Löfgren, R., pers. comm. (2017)</t>
  </si>
  <si>
    <t>Cream***</t>
  </si>
  <si>
    <t>Cheese***</t>
  </si>
  <si>
    <t>Cheese</t>
  </si>
  <si>
    <t>Whey</t>
  </si>
  <si>
    <t>Crème fraiche***</t>
  </si>
  <si>
    <t>Cod fish and salted roe</t>
  </si>
  <si>
    <t>Cod fish</t>
  </si>
  <si>
    <t>Roe</t>
  </si>
  <si>
    <t>Orkla Foods Sverige Konsumentkontakt, pers. comm. (2019); Ziegler &amp; Bergman (2017)</t>
  </si>
  <si>
    <t>Edible offal from bovine meat</t>
  </si>
  <si>
    <t>Bovine meat</t>
  </si>
  <si>
    <t>Edible offal</t>
  </si>
  <si>
    <t>Alsterberg (2012) and SBA (2021)</t>
  </si>
  <si>
    <t>Edible offal from slaughter pigs</t>
  </si>
  <si>
    <t>*Data for wheat is used as approximation for other cereals.</t>
  </si>
  <si>
    <t xml:space="preserve">**Only for Dutch greenhouses which produce surplus electricity in combined heat and power installations. The electricity is sold to the national electricity grid (van der Velden and Smit, 2016). </t>
  </si>
  <si>
    <t>***Allocation of dairy products is made based on the economic value according to the protein and fat in the dairy products according to price data from Skånemejerier. For whey, skimmed milk and buttermilk, the economic value is based on price data from Skånemejerier (Löfgren, R., pers. comm., 2017). Protein and fat content in dairy products are derived from the food database of the Swedish National Food Agency (2017).</t>
  </si>
  <si>
    <t>Emissions from fuels*</t>
  </si>
  <si>
    <t>Heating oil</t>
  </si>
  <si>
    <t>Natural gas</t>
  </si>
  <si>
    <t>Other fossil energy sources**</t>
  </si>
  <si>
    <t>Bark and chips</t>
  </si>
  <si>
    <t>Pellets and briquettes</t>
  </si>
  <si>
    <t xml:space="preserve">Other renewable energy sources*** </t>
  </si>
  <si>
    <t>Diesel fuel</t>
  </si>
  <si>
    <t>District heating****</t>
  </si>
  <si>
    <t>kg CO2/MJ</t>
  </si>
  <si>
    <t>Gode et al. (2011)</t>
  </si>
  <si>
    <t>kg CH4/MJ</t>
  </si>
  <si>
    <t>kg N2O/MJ</t>
  </si>
  <si>
    <t>*Emissions from production and use of fuels</t>
  </si>
  <si>
    <t>**Average of heating oil and natural gas</t>
  </si>
  <si>
    <t>***Average of bark and chips; pellets and briquettes</t>
  </si>
  <si>
    <t>****Representative for Sweden</t>
  </si>
  <si>
    <t>Heating values of fuels</t>
  </si>
  <si>
    <t>MJ/liter</t>
  </si>
  <si>
    <t>Emission factors of electricity</t>
  </si>
  <si>
    <t>Nordic electricity mix</t>
  </si>
  <si>
    <t>European electricity mix*</t>
  </si>
  <si>
    <t>New Zeeland**</t>
  </si>
  <si>
    <t>kg CO2e/kWh</t>
  </si>
  <si>
    <t>Nordic: Sandgren &amp; Nilsson (2021), Rest of the world: Average of other countries</t>
  </si>
  <si>
    <t>*Without Russia and Turkey, average 2011-2014</t>
  </si>
  <si>
    <t>All other countries: Ecoinvent Centre (2021). Activity name: “Market for electricity, medium voltage” for each country</t>
  </si>
  <si>
    <t>**Average 2011-2015</t>
  </si>
  <si>
    <t xml:space="preserve">Emissions from the production of N mineral fertilizer </t>
  </si>
  <si>
    <t>Best Available Technology (BAT)</t>
  </si>
  <si>
    <t>Ammonium nitrate*</t>
  </si>
  <si>
    <t>kg CO2/kg fertilizer produced</t>
  </si>
  <si>
    <t>BAT: Yara International (2010)</t>
  </si>
  <si>
    <t>kg CH4/kg fertilizer produced</t>
  </si>
  <si>
    <t>Ammonium nitrate: Ecoinvent Centre (2021). Activity name: “Ammonium nitrate production", Rest of the world, adjusted to N content in fertilizer (33.5%)</t>
  </si>
  <si>
    <t>kg N2O/kg fertilizer produced</t>
  </si>
  <si>
    <t>*Ammonium nitrate is commonly used as nitrogen mineral fertilizer (Berglund et al., 2009)</t>
  </si>
  <si>
    <t>Use of N mineral fertilizer, fractions</t>
  </si>
  <si>
    <t>Sweden and the Nordic countries</t>
  </si>
  <si>
    <t>Europe</t>
  </si>
  <si>
    <t>Other countries</t>
  </si>
  <si>
    <t>Swedish Agency for Public Management (2010)</t>
  </si>
  <si>
    <t>Ammonium nitrate</t>
  </si>
  <si>
    <t>Emissions from the production of capital goods</t>
  </si>
  <si>
    <t>Plant-based foods, feed for cattle, 
pigs, fowls and fish in aquaculture systems</t>
  </si>
  <si>
    <t>Fixed value based on Frischknecht et al. (2007)</t>
  </si>
  <si>
    <t>For wild-caught seafood, impact from capital goods (e.g. boats and fishing gear) is assumed to be negligible based on Winther et al. (2009).</t>
  </si>
  <si>
    <t>Set values for emissions from the production of packaging materials</t>
  </si>
  <si>
    <t>kg CO2e/kg product</t>
  </si>
  <si>
    <t>Berries</t>
  </si>
  <si>
    <t>Based on Wallman and Nilsson (2011), Nilsson et al. (2009) and Stripple et al. (2014)</t>
  </si>
  <si>
    <t>Vegetable oil</t>
  </si>
  <si>
    <t>All other plant-based foods</t>
  </si>
  <si>
    <t>Soda, cider, beer, mineral water, juice and squash drink</t>
  </si>
  <si>
    <t>All other processed foods</t>
  </si>
  <si>
    <t>Eggs, beef, pork and poultry meat</t>
  </si>
  <si>
    <t>Herring, mackerel and salted roe</t>
  </si>
  <si>
    <t>Other fish and seafood</t>
  </si>
  <si>
    <t>Set values for emissions from transportation of food</t>
  </si>
  <si>
    <t>Emission, kg CO2e/kg transported to Sweden (sea and/or road)</t>
  </si>
  <si>
    <t>Emission factor, kg CO2e/kg transported by road in Sweden</t>
  </si>
  <si>
    <t>Nordic and Baltic countries</t>
  </si>
  <si>
    <t>Transportation to Sweden: NTM (n.d.)</t>
  </si>
  <si>
    <r>
      <t>West Europe</t>
    </r>
    <r>
      <rPr>
        <b/>
        <vertAlign val="superscript"/>
        <sz val="10"/>
        <color theme="1"/>
        <rFont val="Calibri"/>
        <family val="2"/>
        <scheme val="minor"/>
      </rPr>
      <t>b</t>
    </r>
  </si>
  <si>
    <t>Transportation in Sweden: Swedish Climate Certification for Food (2010)</t>
  </si>
  <si>
    <r>
      <t>South Europe</t>
    </r>
    <r>
      <rPr>
        <b/>
        <vertAlign val="superscript"/>
        <sz val="10"/>
        <color theme="1"/>
        <rFont val="Calibri"/>
        <family val="2"/>
        <scheme val="minor"/>
      </rPr>
      <t>c</t>
    </r>
  </si>
  <si>
    <r>
      <t>East Europe</t>
    </r>
    <r>
      <rPr>
        <b/>
        <vertAlign val="superscript"/>
        <sz val="10"/>
        <color theme="1"/>
        <rFont val="Calibri"/>
        <family val="2"/>
        <scheme val="minor"/>
      </rPr>
      <t>d</t>
    </r>
  </si>
  <si>
    <t>Middle East</t>
  </si>
  <si>
    <r>
      <t>West Africa</t>
    </r>
    <r>
      <rPr>
        <b/>
        <vertAlign val="superscript"/>
        <sz val="10"/>
        <color theme="1"/>
        <rFont val="Calibri"/>
        <family val="2"/>
        <scheme val="minor"/>
      </rPr>
      <t>e</t>
    </r>
  </si>
  <si>
    <r>
      <t>North, Central and South America</t>
    </r>
    <r>
      <rPr>
        <b/>
        <vertAlign val="superscript"/>
        <sz val="10"/>
        <color theme="1"/>
        <rFont val="Calibri"/>
        <family val="2"/>
        <scheme val="minor"/>
      </rPr>
      <t>f</t>
    </r>
  </si>
  <si>
    <t>North part of North America and south part of South America</t>
  </si>
  <si>
    <r>
      <t>Southeast Asia</t>
    </r>
    <r>
      <rPr>
        <b/>
        <vertAlign val="superscript"/>
        <sz val="10"/>
        <color theme="1"/>
        <rFont val="Calibri"/>
        <family val="2"/>
        <scheme val="minor"/>
      </rPr>
      <t>g</t>
    </r>
  </si>
  <si>
    <t>China, Russia</t>
  </si>
  <si>
    <r>
      <t>Oceania</t>
    </r>
    <r>
      <rPr>
        <b/>
        <vertAlign val="superscript"/>
        <sz val="10"/>
        <color theme="1"/>
        <rFont val="Calibri"/>
        <family val="2"/>
        <scheme val="minor"/>
      </rPr>
      <t>h</t>
    </r>
  </si>
  <si>
    <t xml:space="preserve">Rest of the world </t>
  </si>
  <si>
    <r>
      <t>b</t>
    </r>
    <r>
      <rPr>
        <sz val="10"/>
        <color theme="1"/>
        <rFont val="Calibri"/>
        <family val="2"/>
        <scheme val="minor"/>
      </rPr>
      <t>Includes Germany, Belgium, the Netherlands, France and Poland</t>
    </r>
  </si>
  <si>
    <r>
      <t>c</t>
    </r>
    <r>
      <rPr>
        <sz val="10"/>
        <color theme="1"/>
        <rFont val="Calibri"/>
        <family val="2"/>
        <scheme val="minor"/>
      </rPr>
      <t>Includes Italy, Spain, United Kingdom, Ireland</t>
    </r>
  </si>
  <si>
    <r>
      <t>d</t>
    </r>
    <r>
      <rPr>
        <sz val="10"/>
        <color theme="1"/>
        <rFont val="Calibri"/>
        <family val="2"/>
        <scheme val="minor"/>
      </rPr>
      <t>Includes Greece and Turkey</t>
    </r>
  </si>
  <si>
    <r>
      <t>e</t>
    </r>
    <r>
      <rPr>
        <sz val="10"/>
        <color theme="1"/>
        <rFont val="Calibri"/>
        <family val="2"/>
        <scheme val="minor"/>
      </rPr>
      <t xml:space="preserve">Includes </t>
    </r>
    <r>
      <rPr>
        <sz val="10"/>
        <color rgb="FF222222"/>
        <rFont val="Calibri"/>
        <family val="2"/>
        <scheme val="minor"/>
      </rPr>
      <t>Ivory Coast, Ghana</t>
    </r>
  </si>
  <si>
    <r>
      <t>f</t>
    </r>
    <r>
      <rPr>
        <sz val="10"/>
        <color theme="1"/>
        <rFont val="Calibri"/>
        <family val="2"/>
        <scheme val="minor"/>
      </rPr>
      <t>Includes United States, Panamá, Costa Rica, Brazil, Peru, Ecuador, Dominican Republic, Guatemala</t>
    </r>
  </si>
  <si>
    <r>
      <t>g</t>
    </r>
    <r>
      <rPr>
        <sz val="10"/>
        <color theme="1"/>
        <rFont val="Calibri"/>
        <family val="2"/>
        <scheme val="minor"/>
      </rPr>
      <t>Includes Thailand, Vietnam, India, Indonesia, Malaysia, the Philippines</t>
    </r>
  </si>
  <si>
    <r>
      <t>h</t>
    </r>
    <r>
      <rPr>
        <sz val="10"/>
        <color theme="1"/>
        <rFont val="Calibri"/>
        <family val="2"/>
        <scheme val="minor"/>
      </rPr>
      <t>Includes New Zeeland</t>
    </r>
  </si>
  <si>
    <r>
      <t xml:space="preserve">ADDITIONAL INFORMATION ABOUT TRANSPORTATION CALCULATIONS: </t>
    </r>
    <r>
      <rPr>
        <sz val="10"/>
        <color theme="1"/>
        <rFont val="Calibri"/>
        <family val="2"/>
        <scheme val="minor"/>
      </rPr>
      <t xml:space="preserve">Default load factors that NTM provides are used which represent a typical transport as carried out today (70% for both ships and large trucks). Sea transports are assumed to be carried out with large ocean container ships whereas road transports are assumed to take place with large trucks with trailers loading up to 60 tons. It is assumed that products transported by sea from South America and Asia are reloaded to trucks in Rotterdam, the Netherlands and further transported to Sweden (Knudsen, 2011) 
Transports within Sweden are calculated based on a simplified calculation model by the 
Swedish Climate Certification for Food (2010) where the average distances to central warehouses and retailers are estimated with weighting according to the demographic distribution of Sweden. The Mälaren Valley is used as starting point from which the average distances to a central warehouse and further to a retailer are estimated to be 362 km and 64 km respectively. The emissions from the transportation are then calculated with NTMCalc Basic 4.0 (NTM, n.d.) and the transportation is assumed to be carried out with large trucks with trailers loading up to 60 tons. </t>
    </r>
  </si>
  <si>
    <t>Waste fractions for different product groups in different regions, from postharvest until retailer in Sweden*</t>
  </si>
  <si>
    <t>North America and Oceania</t>
  </si>
  <si>
    <t>Southeast Asia**</t>
  </si>
  <si>
    <t>Industrialized Asia***</t>
  </si>
  <si>
    <t>Latin America</t>
  </si>
  <si>
    <t>Sub-Saharan Africa</t>
  </si>
  <si>
    <t>North Africa, West
and Central Asia</t>
  </si>
  <si>
    <t>Rest of the world average</t>
  </si>
  <si>
    <t>Fruits and vegetables</t>
  </si>
  <si>
    <t>Gustavsson et al. (2011)</t>
  </si>
  <si>
    <t>Grains and rice</t>
  </si>
  <si>
    <t>Roots and tubers</t>
  </si>
  <si>
    <t>Oilcrops and legumes</t>
  </si>
  <si>
    <t>Meat****</t>
  </si>
  <si>
    <t>Dairy products and eggs*****</t>
  </si>
  <si>
    <t>Waste fractions for ingredients for processed products in different regions, from postharvest until retailer (excluding waste at retailer)</t>
  </si>
  <si>
    <t xml:space="preserve">*The same fraction for retail waste is used for all products and regions. </t>
  </si>
  <si>
    <t>**Includes Thailand, Vietnam and Malaysia</t>
  </si>
  <si>
    <t>***Includes China</t>
  </si>
  <si>
    <t>****Waste fractions for "post harvest handling and storage" (mortality rate during transportation to slaughter and rejection rate at slaughterhouse) for meat are included directly in the calculations to account for the animals needed in production.</t>
  </si>
  <si>
    <t>*****The same waste fraction as milk is assumed for other dairy products and eggs</t>
  </si>
  <si>
    <t xml:space="preserve">No consideration is taken of how the waste is handled after leaving the system, e.g. whether the waste is composted or used for energy production. </t>
  </si>
  <si>
    <t>Waste fractions for processed product groups, at Swedish retail*</t>
  </si>
  <si>
    <t>Products based on fruits and vegetables</t>
  </si>
  <si>
    <t>Products based on grains and rice</t>
  </si>
  <si>
    <t>Products based on roots and tubers</t>
  </si>
  <si>
    <t>Products based on oilcrops</t>
  </si>
  <si>
    <t>*Assumed to have the same waste fraction as the raw material</t>
  </si>
  <si>
    <t>Waste, fraction, all countries</t>
  </si>
  <si>
    <t>Consumer</t>
  </si>
  <si>
    <t>Cereals</t>
  </si>
  <si>
    <t>Gustavsson et al., 2011</t>
  </si>
  <si>
    <t>Oilseeds and pulses</t>
  </si>
  <si>
    <t>Meat*</t>
  </si>
  <si>
    <t>Milk**</t>
  </si>
  <si>
    <t>*Including eggs</t>
  </si>
  <si>
    <t>**Including dairy products</t>
  </si>
  <si>
    <t>Number of recognized species</t>
  </si>
  <si>
    <t>Mammals</t>
  </si>
  <si>
    <t>Burgin et al. (2018)</t>
  </si>
  <si>
    <t>Birds</t>
  </si>
  <si>
    <t>Dickinson et al. (2014)</t>
  </si>
  <si>
    <t>Reptiles</t>
  </si>
  <si>
    <t>Pincheira-Donoso et al. (2013)</t>
  </si>
  <si>
    <t>Amphibians</t>
  </si>
  <si>
    <t>Frost et al. (2006)</t>
  </si>
  <si>
    <t xml:space="preserve">Plants </t>
  </si>
  <si>
    <t>Christenhusz et al. (2016)</t>
  </si>
  <si>
    <t>Total number of recognized species</t>
  </si>
  <si>
    <t>Nitrogen in inorganic fertilizer that volatiles</t>
  </si>
  <si>
    <t>SEPA (2019)</t>
  </si>
  <si>
    <t>Nitrogen in organic fertilizer that volatiles</t>
  </si>
  <si>
    <t>Nitrogen excreted on pasture by grazing animals</t>
  </si>
  <si>
    <t>Conversion from N to NH3</t>
  </si>
  <si>
    <t>Emissions, kg NOx/kg transported to Sweden (sea and/or road)</t>
  </si>
  <si>
    <t>Emissions, kg NOx/kg transported by road in Sweden</t>
  </si>
  <si>
    <t>NTM (n.d.)</t>
  </si>
  <si>
    <t>Panama</t>
  </si>
  <si>
    <r>
      <t xml:space="preserve">ADDITIONAL INFORMATION ABOUT TRANSPORTATION CALCULATIONS: </t>
    </r>
    <r>
      <rPr>
        <sz val="10"/>
        <color theme="1"/>
        <rFont val="Calibri"/>
        <family val="2"/>
        <scheme val="minor"/>
      </rPr>
      <t xml:space="preserve">Default load factors that NTM provides are used which represent a typical transport as carried out today (70% for both ships and large trucks). Sea transports are assumed to be carried out with large ocean container ships whereas road transports are assumed to take place with large trucks with trailers loading up to 60 tons. It is assumed that products transported by sea from South America and Asia are reloaded to trucks in Rotterdam, the Netherlands and further transported to Sweden (Knudsen, 2011) 
Transports within Sweden are calculated based on a simplified calculation model by the Swedish Climate Certification for Food (2010) where the average distances to central warehouses and retailers are estimated with weighting according to the demographic distribution of Sweden. The Mälaren Valley is used as starting point from which the average distances to a central warehouse and further to a retailer are estimated to be 362 km and 64 km respectively. The emissions from the transportation are then calculated with NTMCalc Basic 4.0 (NTM, n.d.) and the transportation is assumed to be carried out with large trucks with trailers loading up to 60 tons. </t>
    </r>
  </si>
  <si>
    <t>Density factors (kg/liter)</t>
  </si>
  <si>
    <t>Charrondiere, Haytowitz and Stadlmayr (2012)</t>
  </si>
  <si>
    <t>Soybean oil</t>
  </si>
  <si>
    <t>Soft drinks (coca cola etc.)</t>
  </si>
  <si>
    <t>Cider</t>
  </si>
  <si>
    <t>Squash drinks and juice</t>
  </si>
  <si>
    <t>Ice-cream, dairy-based</t>
  </si>
  <si>
    <t>Cream, 38% fat</t>
  </si>
  <si>
    <t>Créme fraiche 38% fat</t>
  </si>
  <si>
    <t>Input data processed products</t>
  </si>
  <si>
    <t>Product</t>
  </si>
  <si>
    <t>Production country</t>
  </si>
  <si>
    <t>Share of Swedish market (fraction)</t>
  </si>
  <si>
    <t>Ingredients, kg per kg of prepared product</t>
  </si>
  <si>
    <t>Mixed grains</t>
  </si>
  <si>
    <t>Wheat flour</t>
  </si>
  <si>
    <t>Rye flour</t>
  </si>
  <si>
    <t>Barley grain</t>
  </si>
  <si>
    <t>Fruit mix</t>
  </si>
  <si>
    <t>Oranges</t>
  </si>
  <si>
    <t>Apples</t>
  </si>
  <si>
    <t>Strawberries</t>
  </si>
  <si>
    <t>Raspberries</t>
  </si>
  <si>
    <t>Lactose</t>
  </si>
  <si>
    <t>Soy lecithin</t>
  </si>
  <si>
    <t>Whey protein concentrate</t>
  </si>
  <si>
    <t>Glucose syrup</t>
  </si>
  <si>
    <t>Water (added)</t>
  </si>
  <si>
    <t>Production country and share of Swedish market</t>
  </si>
  <si>
    <t>SS (2017a), Lantmännen Cerealia AB (2018). Assumed to be the same share of market for ingredients as for direct consumption.</t>
  </si>
  <si>
    <t>RAC-table, Röös et al. (2013)</t>
  </si>
  <si>
    <t>SS (2017a). Assumed to be the same share of market for ingredients as for direct consumption.</t>
  </si>
  <si>
    <t>RAC-table</t>
  </si>
  <si>
    <t>Pastries</t>
  </si>
  <si>
    <t xml:space="preserve">SS (2017a). Assumed to be the same share of market for ingredients as for direct consumption. </t>
  </si>
  <si>
    <t>Follow-up formula, powder</t>
  </si>
  <si>
    <t>SS (2017a), Semper, pers. comm. (2018), Nestlé (n.d.). Assumed to be the same share of market for ingredients as for direct consumption.</t>
  </si>
  <si>
    <t>Dadhich et al. (2015)</t>
  </si>
  <si>
    <t>All production assumed to take place in Sweden with ingredients assumed to have the same share of market as for direct consumption.</t>
  </si>
  <si>
    <t>Kung Markatta (2018), O’boy (2018)</t>
  </si>
  <si>
    <t>Coca cola (n.d.)</t>
  </si>
  <si>
    <t>National Food Agency (2009)</t>
  </si>
  <si>
    <t>SS (2017a), Systembolaget (2016)</t>
  </si>
  <si>
    <t>SS (2017a)</t>
  </si>
  <si>
    <t>Juice</t>
  </si>
  <si>
    <t>Nilsson, A., pers. comm. (2017) for amount of fruits. Assumption of sugar content based on standard recipes. Amount of fruit adjusted from kg to liter juice based on Charrondiere, Haytowitz and Stadlmayr (2012).</t>
  </si>
  <si>
    <t>Squash drink</t>
  </si>
  <si>
    <t>Nilsson, A., pers. comm. (2017) for amount of berries. Assumption of sugar content based on standard recipes. Amount of fruit adjusted from kg to liter juice based on Charrondiere, Haytowitz and Stadlmayr (2012).</t>
  </si>
  <si>
    <t>Angervall and Sonesson (2011)</t>
  </si>
  <si>
    <t>All production assumed to take place in Sweden with ingredients assumed to have the same share of market as for direct consumption (SBA, 2015a)</t>
  </si>
  <si>
    <t>Nilsson et al. (2011a)</t>
  </si>
  <si>
    <t>Berlin and Sund (2009)</t>
  </si>
  <si>
    <t>Systembolaget (2016)</t>
  </si>
  <si>
    <t>Garnett (2007)</t>
  </si>
  <si>
    <t xml:space="preserve"> </t>
  </si>
  <si>
    <t>Notarnicola, B &amp; Tassielli, G. (2003)</t>
  </si>
  <si>
    <t>RAC table</t>
  </si>
  <si>
    <t>SBA (2015a)</t>
  </si>
  <si>
    <t>Emissions and resource use for ingredients before entering factory gate</t>
  </si>
  <si>
    <t>Sunflower oil**</t>
  </si>
  <si>
    <t>Cocoa 
butter</t>
  </si>
  <si>
    <t>Fruit mix***</t>
  </si>
  <si>
    <t>Lactose****</t>
  </si>
  <si>
    <t>Soy lecithin*****</t>
  </si>
  <si>
    <t>Whey protein 
concentrate******</t>
  </si>
  <si>
    <t>kg CO2/kg*</t>
  </si>
  <si>
    <r>
      <rPr>
        <b/>
        <sz val="10"/>
        <rFont val="Calibri"/>
        <family val="2"/>
        <scheme val="minor"/>
      </rPr>
      <t>Palm oil and soy bean oil:</t>
    </r>
    <r>
      <rPr>
        <sz val="10"/>
        <rFont val="Calibri"/>
        <family val="2"/>
        <scheme val="minor"/>
      </rPr>
      <t xml:space="preserve"> Angervall and Sonesson (2011)</t>
    </r>
    <r>
      <rPr>
        <b/>
        <sz val="10"/>
        <rFont val="Calibri"/>
        <family val="2"/>
        <scheme val="minor"/>
      </rPr>
      <t/>
    </r>
  </si>
  <si>
    <t>kg CH4/kg*</t>
  </si>
  <si>
    <r>
      <rPr>
        <b/>
        <sz val="10"/>
        <color theme="1"/>
        <rFont val="Calibri"/>
        <family val="2"/>
        <scheme val="minor"/>
      </rPr>
      <t>All others</t>
    </r>
    <r>
      <rPr>
        <sz val="10"/>
        <color theme="1"/>
        <rFont val="Calibri"/>
        <family val="2"/>
        <scheme val="minor"/>
      </rPr>
      <t>: Based on own calculations with this model.</t>
    </r>
  </si>
  <si>
    <t>kg N2O/kg*</t>
  </si>
  <si>
    <t>Cropland use, m2/kg</t>
  </si>
  <si>
    <t>Pasture use, m2/kg</t>
  </si>
  <si>
    <t>Nitrogen application, kg N/kg</t>
  </si>
  <si>
    <t>Phosphorus application, kg P/kg</t>
  </si>
  <si>
    <t>Freshwater use, m3/kg</t>
  </si>
  <si>
    <t>Extinction rate, E/MSY/kg</t>
  </si>
  <si>
    <t>Pesticide use, kg AI/kg</t>
  </si>
  <si>
    <t>Ammonia emissions, kg NH3/kg</t>
  </si>
  <si>
    <t>NOx emissions, kg NOx/kg</t>
  </si>
  <si>
    <t>*Excluding packaging. Including waste with the same waste fraction used for the raw material before retailer.</t>
  </si>
  <si>
    <t>**Approximated with rapeseed oil</t>
  </si>
  <si>
    <t xml:space="preserve">***Average of apple, orange, strawberry and raspberry </t>
  </si>
  <si>
    <t>****Approximated with milk</t>
  </si>
  <si>
    <t>*****Approximated with soy bean oil</t>
  </si>
  <si>
    <t>******Approximated with mik powder</t>
  </si>
  <si>
    <t>Set values for the energy requirement of industrial processing</t>
  </si>
  <si>
    <t>Pasta baking</t>
  </si>
  <si>
    <t>Bread and pastry baking</t>
  </si>
  <si>
    <t>Processing of margarine</t>
  </si>
  <si>
    <t>Production of soda, cider, beer and mineral water</t>
  </si>
  <si>
    <t>Pressing and mixing of fruit and berries to juice and squash drinks</t>
  </si>
  <si>
    <t>Processing of potato chips</t>
  </si>
  <si>
    <t>Production of ice cream (dairy based)</t>
  </si>
  <si>
    <t>kg CO2e/kg 
prepared product</t>
  </si>
  <si>
    <r>
      <rPr>
        <b/>
        <sz val="10"/>
        <color theme="1"/>
        <rFont val="Calibri"/>
        <family val="2"/>
        <scheme val="minor"/>
      </rPr>
      <t>Pasta:</t>
    </r>
    <r>
      <rPr>
        <sz val="10"/>
        <color theme="1"/>
        <rFont val="Calibri"/>
        <family val="2"/>
        <scheme val="minor"/>
      </rPr>
      <t xml:space="preserve"> Carlsson-Kanyama (2001). </t>
    </r>
    <r>
      <rPr>
        <b/>
        <sz val="10"/>
        <color theme="1"/>
        <rFont val="Calibri"/>
        <family val="2"/>
        <scheme val="minor"/>
      </rPr>
      <t>Bread and pastry</t>
    </r>
    <r>
      <rPr>
        <sz val="10"/>
        <color theme="1"/>
        <rFont val="Calibri"/>
        <family val="2"/>
        <scheme val="minor"/>
      </rPr>
      <t xml:space="preserve">: SIK (2011). </t>
    </r>
    <r>
      <rPr>
        <b/>
        <sz val="10"/>
        <color theme="1"/>
        <rFont val="Calibri"/>
        <family val="2"/>
        <scheme val="minor"/>
      </rPr>
      <t>Margarine:</t>
    </r>
    <r>
      <rPr>
        <sz val="10"/>
        <color theme="1"/>
        <rFont val="Calibri"/>
        <family val="2"/>
        <scheme val="minor"/>
      </rPr>
      <t xml:space="preserve"> Nilsson et al. (2010). </t>
    </r>
    <r>
      <rPr>
        <b/>
        <sz val="10"/>
        <color theme="1"/>
        <rFont val="Calibri"/>
        <family val="2"/>
        <scheme val="minor"/>
      </rPr>
      <t>Soda, cider, beer and mineral water</t>
    </r>
    <r>
      <rPr>
        <sz val="10"/>
        <color theme="1"/>
        <rFont val="Calibri"/>
        <family val="2"/>
        <scheme val="minor"/>
      </rPr>
      <t>: Dugges, pers. comm. (2018), Spendrups (2017).</t>
    </r>
  </si>
  <si>
    <r>
      <rPr>
        <b/>
        <sz val="10"/>
        <color theme="1"/>
        <rFont val="Calibri"/>
        <family val="2"/>
        <scheme val="minor"/>
      </rPr>
      <t>Juice, squash drinks, chocolate:</t>
    </r>
    <r>
      <rPr>
        <sz val="10"/>
        <color theme="1"/>
        <rFont val="Calibri"/>
        <family val="2"/>
        <scheme val="minor"/>
      </rPr>
      <t xml:space="preserve"> Angervall and Sonesson (2011). </t>
    </r>
    <r>
      <rPr>
        <b/>
        <sz val="10"/>
        <color theme="1"/>
        <rFont val="Calibri"/>
        <family val="2"/>
        <scheme val="minor"/>
      </rPr>
      <t>Potato crisps</t>
    </r>
    <r>
      <rPr>
        <sz val="10"/>
        <color theme="1"/>
        <rFont val="Calibri"/>
        <family val="2"/>
        <scheme val="minor"/>
      </rPr>
      <t>: Nilsson et al. (2011a). Ice cream: Berlin and Sund (2009).</t>
    </r>
  </si>
  <si>
    <t>References to data on greenhouse gas emissions (if not calculated in this file)</t>
  </si>
  <si>
    <t>Spirits: Eriksson et al. (2016), Garnett (2007), Saxe (2010), Vázquez-Rowe et al. (2017)</t>
  </si>
  <si>
    <t>Input data meat and eggs</t>
  </si>
  <si>
    <t>Share of Swedish market*</t>
  </si>
  <si>
    <t>Gårds- och djurhälsan (2012; 2013; 2014; 2015; 2016)</t>
  </si>
  <si>
    <t>Beef from culled dairy cows</t>
  </si>
  <si>
    <t>Heifer dairy</t>
  </si>
  <si>
    <t>Young bulls dairy</t>
  </si>
  <si>
    <t>Bulls dairy</t>
  </si>
  <si>
    <t>Steers dairy</t>
  </si>
  <si>
    <t>Calves dairy</t>
  </si>
  <si>
    <t>Deblitz et al. (2005), European Commission (2017)</t>
  </si>
  <si>
    <t>Beef from intensive dairy production</t>
  </si>
  <si>
    <t>Deblitz et al. (2005; 2008)</t>
  </si>
  <si>
    <t>Beef from extensive dairy production**</t>
  </si>
  <si>
    <t>SS (2017a) and assumption based on Ramvall, C., pers. comm. (2017)</t>
  </si>
  <si>
    <t>Hallström et al. (2014)</t>
  </si>
  <si>
    <t>Extensive suckler cows and offsprings***</t>
  </si>
  <si>
    <t>SEPA (2014; 2017)</t>
  </si>
  <si>
    <t>Danish EPA (2014, 2017)</t>
  </si>
  <si>
    <t>UBA (2017)</t>
  </si>
  <si>
    <t>Leip et al. (2010)</t>
  </si>
  <si>
    <t>*Average 2011-2015</t>
  </si>
  <si>
    <t>**Approximated with Swedish production of dairy steers</t>
  </si>
  <si>
    <t>***Approximated with suckler production in Sweden and Ireland</t>
  </si>
  <si>
    <t>Conversion factors from carcass weight to bone free meat</t>
  </si>
  <si>
    <t xml:space="preserve">Beef </t>
  </si>
  <si>
    <t>Pork</t>
  </si>
  <si>
    <t>Clune et al. (2017)</t>
  </si>
  <si>
    <t>Chicken</t>
  </si>
  <si>
    <t>Environmental pressures feed production*</t>
  </si>
  <si>
    <t>kg CO2/kg</t>
  </si>
  <si>
    <t>kg CH4/kg</t>
  </si>
  <si>
    <t>kg N2O/kg</t>
  </si>
  <si>
    <t>Pesticide use, kg A.I./kg</t>
  </si>
  <si>
    <t>All countries</t>
  </si>
  <si>
    <t>Average of Germany and Poland</t>
  </si>
  <si>
    <t>Rest of Europé</t>
  </si>
  <si>
    <t>Grains (86% DM)</t>
  </si>
  <si>
    <t>Based on own calculations with this model</t>
  </si>
  <si>
    <t>Maize (92% DM)</t>
  </si>
  <si>
    <t>By-products cereal industry (86% DM)</t>
  </si>
  <si>
    <t>Fats and fatty acids</t>
  </si>
  <si>
    <t>Palmkernal expels (91% DM)</t>
  </si>
  <si>
    <t>Rapeseed, whole (91% DM)</t>
  </si>
  <si>
    <t>Rapeseed, meal (91% DM)</t>
  </si>
  <si>
    <t>Minerals and salt (100% DM)</t>
  </si>
  <si>
    <t>Soymeal and soy-based products (87% DM)</t>
  </si>
  <si>
    <t>Peas and horsebeans (86% DM)</t>
  </si>
  <si>
    <t>By-products sugar industry (84% DM)</t>
  </si>
  <si>
    <t>Other protein feed**</t>
  </si>
  <si>
    <t>Based on own calculations with this model, Flysjö et al. (2008)</t>
  </si>
  <si>
    <t>Pasture (100% DM)</t>
  </si>
  <si>
    <t>Forage (100% DM)</t>
  </si>
  <si>
    <t>*Emissions from transportation included with 0.05 kg CO2e/kg for all products except for soymeal and soy-based products where 0.3 kg CO2e/kg is added.</t>
  </si>
  <si>
    <t>**Average of protein sources</t>
  </si>
  <si>
    <t>Freshwater consumption for housing and drinking water, m3/kg CW</t>
  </si>
  <si>
    <t>Pig production</t>
  </si>
  <si>
    <t>Slaughter chicken production</t>
  </si>
  <si>
    <t>Egg production</t>
  </si>
  <si>
    <t>Mekonnen and Hoekstra (2012)</t>
  </si>
  <si>
    <t>Freshwater consumption for housing and drinking water, m3/head and year</t>
  </si>
  <si>
    <t>Beef production</t>
  </si>
  <si>
    <t>Dairy production</t>
  </si>
  <si>
    <t xml:space="preserve">Stable period </t>
  </si>
  <si>
    <t>Grazing period</t>
  </si>
  <si>
    <t>Sources for emissions feed production (to be used for estimations of emissions using different system boundaries)</t>
  </si>
  <si>
    <t>Energy use and mineral fertilizer production, fraction</t>
  </si>
  <si>
    <t>Soil emissions, fraction</t>
  </si>
  <si>
    <t xml:space="preserve">Total </t>
  </si>
  <si>
    <t>Based on the share for grains with calculations with this model.</t>
  </si>
  <si>
    <t>Feed ingredients, fractions</t>
  </si>
  <si>
    <t>Soruce</t>
  </si>
  <si>
    <t>Share of grains: Eriksson, I., pers. comm. (2017), Cederberg et al. (2009a)</t>
  </si>
  <si>
    <t>Share of grains: Svensk Fågel (n.d.)</t>
  </si>
  <si>
    <t>Share of grains: Cederberg et al. (2009a)</t>
  </si>
  <si>
    <t>Share of grains shown in input data of beef and dairy production systems further down.</t>
  </si>
  <si>
    <t>Maize and protein concentrate: SBA (2012; 2013; 2014c; 2015d; 2016d), average 2011-2015</t>
  </si>
  <si>
    <t>Protein concentrate</t>
  </si>
  <si>
    <t>Energy use in stables*</t>
  </si>
  <si>
    <t>Electricity use all countries except Ireland</t>
  </si>
  <si>
    <t>Electricity use Ireland**</t>
  </si>
  <si>
    <t>Heating oil Sweden</t>
  </si>
  <si>
    <t>Heating oil rest of the world</t>
  </si>
  <si>
    <t>Biofuels Sweden</t>
  </si>
  <si>
    <t>Fattening pigs, kWh/kg CW</t>
  </si>
  <si>
    <t xml:space="preserve">Elmquist et al. (2015) for dairy cows, fattening pigs and piglets; SBA (2010a) for eggs and other cattle than dairy cows; Svensk Fågel (undated-a) for slaughter chicken </t>
  </si>
  <si>
    <t>Piglets, kWh/head</t>
  </si>
  <si>
    <t>Slaughter chickens, kWh/kg CW</t>
  </si>
  <si>
    <t>80% of energy use for heating (Svensk Fågel, undated-a) and 10% oil (the rest biofuels) in Sweden (Svensk Fågel, undated-b)</t>
  </si>
  <si>
    <t xml:space="preserve">Eggs, kWh/kg </t>
  </si>
  <si>
    <t>Dairy cows, kWh/head and year***</t>
  </si>
  <si>
    <t>Other cattle than dairy cows, kWh/kg CW</t>
  </si>
  <si>
    <t>*Assuming the same energy use in all production countries</t>
  </si>
  <si>
    <t>**Numbers for Ireland are calculated based on data for Swedish energy use but adjusted according to milk yield.</t>
  </si>
  <si>
    <t>***Adjusted from per kg milk to per head and year based on average milk yield</t>
  </si>
  <si>
    <t>Energy use at slaughter*</t>
  </si>
  <si>
    <t>Electricity use</t>
  </si>
  <si>
    <t>Swine, kWh/kg CW</t>
  </si>
  <si>
    <t>Edström et al. (2005)</t>
  </si>
  <si>
    <t>Beef and dairy cattle, kWh/kg CW</t>
  </si>
  <si>
    <t>Time birth to weaning for piglets, days</t>
  </si>
  <si>
    <t>LRF (2017), average 2011-2015</t>
  </si>
  <si>
    <t>Time of fattening phase, days</t>
  </si>
  <si>
    <t>Slaughter age fattening pigs, days</t>
  </si>
  <si>
    <t>Slaughtered meat, kg CW</t>
  </si>
  <si>
    <t>SBA (2017b), average 2011-2015</t>
  </si>
  <si>
    <t>FAO (2017), average 2011-2015</t>
  </si>
  <si>
    <t>Slaughtered heads</t>
  </si>
  <si>
    <t>Mortality rate breeding, fraction</t>
  </si>
  <si>
    <t>Interpig (2012; 2013; 2014; 2015; 2016)</t>
  </si>
  <si>
    <t>Mortality rate transportation to slaughter 
and rejection rate at slaughterhouse</t>
  </si>
  <si>
    <t>Animals in production</t>
  </si>
  <si>
    <t>Sows</t>
  </si>
  <si>
    <t>Danish EPA (2014, 2017), average 2011-2015</t>
  </si>
  <si>
    <t>UBA (2017), average 2011-2015</t>
  </si>
  <si>
    <t>Boars*</t>
  </si>
  <si>
    <t>Fattening pigs</t>
  </si>
  <si>
    <t>Piglets</t>
  </si>
  <si>
    <t>*Numbers for Denmark and Germany are adjusted according to the ratio of sows and boars in Sweden</t>
  </si>
  <si>
    <t>Emission factors enteric fermentation, kg CH4/head and year</t>
  </si>
  <si>
    <t>Sows and boars</t>
  </si>
  <si>
    <t>SEPA (2014; 2017), average 2011-2015</t>
  </si>
  <si>
    <t>Feed consumption</t>
  </si>
  <si>
    <t>Sweden, kg/head</t>
  </si>
  <si>
    <t>Denmark, kg/head and year</t>
  </si>
  <si>
    <t>Germany, kg/head and year</t>
  </si>
  <si>
    <t>Cederberg et al. (2009a), adjusted to slaughter weight</t>
  </si>
  <si>
    <t>Boars</t>
  </si>
  <si>
    <t>Total feed consumed/kg CW</t>
  </si>
  <si>
    <t>Manure production</t>
  </si>
  <si>
    <t>Sweden, kg DM/day</t>
  </si>
  <si>
    <t>Denmark, kg VS/day</t>
  </si>
  <si>
    <t>Germany, kg VS/day</t>
  </si>
  <si>
    <t>Total amount of manure produced</t>
  </si>
  <si>
    <t>Of which solid manure</t>
  </si>
  <si>
    <t>Of which liquid manure</t>
  </si>
  <si>
    <t>Of which deep litter</t>
  </si>
  <si>
    <t>Manure management systems</t>
  </si>
  <si>
    <t>Solid</t>
  </si>
  <si>
    <t>Liquid</t>
  </si>
  <si>
    <t>Deep litter</t>
  </si>
  <si>
    <t>Nitrogen excretion, kg/head and year</t>
  </si>
  <si>
    <t xml:space="preserve">Total amount of nitrogen excreted </t>
  </si>
  <si>
    <t>Emission factors manure management</t>
  </si>
  <si>
    <t>MCF solid manure</t>
  </si>
  <si>
    <t>MCF liquid manure</t>
  </si>
  <si>
    <t>MCF deep litter sows and boars</t>
  </si>
  <si>
    <t>MCF deep litter fattening pigs</t>
  </si>
  <si>
    <t>MCF deep litter piglets</t>
  </si>
  <si>
    <t>EF N2O solid manure</t>
  </si>
  <si>
    <t>EF N2O liquid manure</t>
  </si>
  <si>
    <t>EF N2O deep litter</t>
  </si>
  <si>
    <t>EF N2O volatilization</t>
  </si>
  <si>
    <t>Volatile solids (VS), fraction of manure</t>
  </si>
  <si>
    <t>Factor, kg/m3</t>
  </si>
  <si>
    <t>IPCC (2006)</t>
  </si>
  <si>
    <t>Bo, m3 CH4/kg VS</t>
  </si>
  <si>
    <t>Fraction NH3 loss, ventilation in stables and in storage</t>
  </si>
  <si>
    <t>Solid manure</t>
  </si>
  <si>
    <t>SEPA (2014)</t>
  </si>
  <si>
    <t>Danish EPA (2017)</t>
  </si>
  <si>
    <t>Liquid manure</t>
  </si>
  <si>
    <t>NH3 loss, ventilation in stables and in storage, kg</t>
  </si>
  <si>
    <t>Slaughter age, fractions slaughtered after days</t>
  </si>
  <si>
    <t>Cederberg et al. (2009a)</t>
  </si>
  <si>
    <t>Meat yield, kg CW/head</t>
  </si>
  <si>
    <t>Slaughter chickens</t>
  </si>
  <si>
    <t>Parents and grandparents</t>
  </si>
  <si>
    <t>Recounted from Cederberg et al. (2009a) to match fowl population</t>
  </si>
  <si>
    <t>Slaughter chickens, kg/kg CW</t>
  </si>
  <si>
    <t>Parents and grandparents, kg/head</t>
  </si>
  <si>
    <t>Slaughter chickens, kg VS/head and day</t>
  </si>
  <si>
    <t>Parents and grandparents, kg VS/head and day</t>
  </si>
  <si>
    <t>Total amount of manure produced, kg</t>
  </si>
  <si>
    <t>Slaughter chickens, kg/head and year</t>
  </si>
  <si>
    <t>Parents and grandparents, kg/head and year</t>
  </si>
  <si>
    <t>Amount of excreted nitrogen</t>
  </si>
  <si>
    <t>Emission factors for manure management</t>
  </si>
  <si>
    <t>MCF deep litter</t>
  </si>
  <si>
    <t>CH4 emissions manure management</t>
  </si>
  <si>
    <t>Total CH4 emissions manure</t>
  </si>
  <si>
    <t>EF N2O Deep litter</t>
  </si>
  <si>
    <t>Bo, m3 CH4/kg VS - slaughter chickens</t>
  </si>
  <si>
    <t>Bo, m3 CH4/kg VS - parents and grandparents</t>
  </si>
  <si>
    <t>Number of days from hatching until delivery to egg farm</t>
  </si>
  <si>
    <t>Number of days in production</t>
  </si>
  <si>
    <t>Lifetime, days</t>
  </si>
  <si>
    <t>Production of eggs, kg</t>
  </si>
  <si>
    <t>SBA (2017b), average 2011-2015. Including sales outside of the largest storehouses in Sweden.</t>
  </si>
  <si>
    <t xml:space="preserve">SBA (2017b), average 2011-2015. </t>
  </si>
  <si>
    <t>Laying hens, number</t>
  </si>
  <si>
    <t>Laying hens, including mortality during breeding</t>
  </si>
  <si>
    <t>Total feed consumed/kg egg</t>
  </si>
  <si>
    <t>Laying hens</t>
  </si>
  <si>
    <t>Emission factor N2O</t>
  </si>
  <si>
    <t>Fraction NH3 loss, ventilation in stables</t>
  </si>
  <si>
    <t>Beef and dairy production</t>
  </si>
  <si>
    <t>Manure management system</t>
  </si>
  <si>
    <t>Number of animals</t>
  </si>
  <si>
    <t>Number of animals including mortality</t>
  </si>
  <si>
    <t>Slaughtered heads including mortality</t>
  </si>
  <si>
    <t>Slaughter weight, kg</t>
  </si>
  <si>
    <t>Slaughter age, months*</t>
  </si>
  <si>
    <t>Meat from animal, kg</t>
  </si>
  <si>
    <t>Meat from mother animal</t>
  </si>
  <si>
    <t>Total meat system, kg</t>
  </si>
  <si>
    <t>Nitrogen excretion, 
kg N/head and year</t>
  </si>
  <si>
    <t>Enteric fermentation, 
kg CH4/head and year</t>
  </si>
  <si>
    <t>Manure production, 
kg DM/year</t>
  </si>
  <si>
    <t>CH4 emissions from manure, kg/year</t>
  </si>
  <si>
    <t>Pasture</t>
  </si>
  <si>
    <t>Forage, kg TS</t>
  </si>
  <si>
    <t>Pasture, kg TS</t>
  </si>
  <si>
    <t xml:space="preserve">Grains, kg </t>
  </si>
  <si>
    <t>Protein concentrate, kg</t>
  </si>
  <si>
    <t>Number of animals, slaughtered heads, slaughter weight</t>
  </si>
  <si>
    <t>Slaughter age</t>
  </si>
  <si>
    <t>Nitrogen excretion, enteric fermentation, manure production, manure management systems</t>
  </si>
  <si>
    <t>Beef production with suckler herds</t>
  </si>
  <si>
    <t>Sweden: SBA (2017b), Gårds- och djurhälsan (2012; 2013; 2014; 2015; 2016), average 2011-2015</t>
  </si>
  <si>
    <r>
      <t xml:space="preserve">Sweden: </t>
    </r>
    <r>
      <rPr>
        <sz val="10"/>
        <color theme="1"/>
        <rFont val="Calibri"/>
        <family val="2"/>
        <scheme val="minor"/>
      </rPr>
      <t>Gårds- och djurhälsan (2012; 2013; 2014; 2015; 2016), average 2011-2015</t>
    </r>
  </si>
  <si>
    <r>
      <t xml:space="preserve">Sweden: </t>
    </r>
    <r>
      <rPr>
        <sz val="10"/>
        <color theme="1"/>
        <rFont val="Calibri"/>
        <family val="2"/>
        <scheme val="minor"/>
      </rPr>
      <t>SEPA (2014; 2017), average 2011-2015 with grazing period for bulls and calves adjusted according to SS (2017)</t>
    </r>
  </si>
  <si>
    <t>Sweden: Based on Cederberg et al. (2009a) and updated and adjusted to slaughter age, slaughter weight and grazing period of animals with input from Danielsson, R., pers. comm. (2018), Hessle, A., pers. comm. (2018) and Lindberg, H., pers. comm. (2018)</t>
  </si>
  <si>
    <t>Suckler cows</t>
  </si>
  <si>
    <t>Ireland: European Commission (2017), average 2011-2015</t>
  </si>
  <si>
    <r>
      <t xml:space="preserve">Ireland: </t>
    </r>
    <r>
      <rPr>
        <sz val="10"/>
        <color theme="1"/>
        <rFont val="Calibri"/>
        <family val="2"/>
        <scheme val="minor"/>
      </rPr>
      <t>Casey &amp; Holden (2006) and Teagasc (2015) for bulls, bullocks and heifers, European Commission (2017) for calves</t>
    </r>
  </si>
  <si>
    <r>
      <t xml:space="preserve">Ireland: </t>
    </r>
    <r>
      <rPr>
        <sz val="10"/>
        <color theme="1"/>
        <rFont val="Calibri"/>
        <family val="2"/>
        <scheme val="minor"/>
      </rPr>
      <t>EPA, IRELAND (2017), average 2011-2015</t>
    </r>
  </si>
  <si>
    <r>
      <t xml:space="preserve">Ireland: </t>
    </r>
    <r>
      <rPr>
        <sz val="10"/>
        <color theme="1"/>
        <rFont val="Calibri"/>
        <family val="2"/>
        <scheme val="minor"/>
      </rPr>
      <t>Kavanagh (n.d.) and Goulding (n.d.) for dairy cows, Cederberg &amp; Nilsson (2004) for suckler cows, Teagasc (2015) for bulls, bullocks and heifers, calves assumed same as Sweden but adjusted according to slaughter age, slaughter weight and grazing period of animals</t>
    </r>
  </si>
  <si>
    <t>Replacement heifers</t>
  </si>
  <si>
    <t>Germany and Poland: European Commission (2017), average 2011-2015</t>
  </si>
  <si>
    <r>
      <t xml:space="preserve">Germany and Poland: </t>
    </r>
    <r>
      <rPr>
        <sz val="10"/>
        <color theme="1"/>
        <rFont val="Calibri"/>
        <family val="2"/>
        <scheme val="minor"/>
      </rPr>
      <t>Deblitz et al. (2008) for bulls and calves, heifers assumed same as Sweden</t>
    </r>
  </si>
  <si>
    <r>
      <t>Germany and Poland:</t>
    </r>
    <r>
      <rPr>
        <sz val="10"/>
        <color theme="1"/>
        <rFont val="Calibri"/>
        <family val="2"/>
        <scheme val="minor"/>
      </rPr>
      <t xml:space="preserve"> UBA (2017), average 2011-2015</t>
    </r>
  </si>
  <si>
    <r>
      <t>Germany and Poland:</t>
    </r>
    <r>
      <rPr>
        <sz val="10"/>
        <color theme="1"/>
        <rFont val="Calibri"/>
        <family val="2"/>
        <scheme val="minor"/>
      </rPr>
      <t xml:space="preserve"> Assumed same as Sweden but adjusted according to slaughter age, slaughter weight and grazing period of animals</t>
    </r>
  </si>
  <si>
    <t>Young bulls</t>
  </si>
  <si>
    <t>Steers</t>
  </si>
  <si>
    <t>Total in suckler system</t>
  </si>
  <si>
    <t>Beef and dairy production with cows and breeds from dairy</t>
  </si>
  <si>
    <t>Beef production with dairy cows and breeds</t>
  </si>
  <si>
    <t>Dairy replacement heifers</t>
  </si>
  <si>
    <t>Beef replacement heifers</t>
  </si>
  <si>
    <t>Bulls and steers</t>
  </si>
  <si>
    <t xml:space="preserve">Bullocks </t>
  </si>
  <si>
    <t>Total suckler system</t>
  </si>
  <si>
    <t>Cows</t>
  </si>
  <si>
    <t xml:space="preserve">*Cows are assessed per year, others per head for whole lifetime. </t>
  </si>
  <si>
    <t>Mortality rate beef and dairy cattle (breeding, transportation to slaughter and rejection at slaughterhouse)</t>
  </si>
  <si>
    <t>Age at first calving</t>
  </si>
  <si>
    <t>Gårds- och djurhälsan (2012; 2013; 2014; 2015; 2016), average 2011-2015</t>
  </si>
  <si>
    <t>Beef cows</t>
  </si>
  <si>
    <t>Total kg of energy corrected milk (ECM) per year</t>
  </si>
  <si>
    <t>SBA (2017b)</t>
  </si>
  <si>
    <t>Kg ECM/cow and year sold to retailer*</t>
  </si>
  <si>
    <t>*On farm consumption of 5.6% results in total of 9129 kg ECM/cow and year (Bertilsson, 2016).</t>
  </si>
  <si>
    <t>MCF CH4 Sweden</t>
  </si>
  <si>
    <t>SEPA (2014; 2017), average 2011-2015, UBA (2017), average 2011-2015</t>
  </si>
  <si>
    <t>MCF CH4 Germany and Poland*</t>
  </si>
  <si>
    <t>EF N2O manure</t>
  </si>
  <si>
    <t xml:space="preserve">EF N2O volitilization all manure, kg N2O indirect per kg emitted NH3 </t>
  </si>
  <si>
    <t>Germany and Poland*</t>
  </si>
  <si>
    <t>Bo dairy cattle, m3 CH4/kg VS</t>
  </si>
  <si>
    <t>Bo beef cattle, m3 CH4/kg VS</t>
  </si>
  <si>
    <t>VS dairy and beef cattle, fraction of manure</t>
  </si>
  <si>
    <t>SEPA (2014), IPCC (2006)</t>
  </si>
  <si>
    <t>IPCC default</t>
  </si>
  <si>
    <t>*Approximated with Germany</t>
  </si>
  <si>
    <t>Sheep meat production</t>
  </si>
  <si>
    <t>Climate impact</t>
  </si>
  <si>
    <t>Inventory data &gt;&gt;</t>
  </si>
  <si>
    <t>Results &gt;&gt;</t>
  </si>
  <si>
    <t>Yield, kg/ha</t>
  </si>
  <si>
    <t>Nitrogen application, kg N/ha</t>
  </si>
  <si>
    <t>Nitrogen organic fertilizer application rate (kg N/ha)</t>
  </si>
  <si>
    <t>Nitrogen fixation, kg N/ha</t>
  </si>
  <si>
    <t>Phosphorus application, kg P/ha</t>
  </si>
  <si>
    <t>Organic fertilizer, kg N/ha</t>
  </si>
  <si>
    <t>Pesticide use, kg A.I./ha</t>
  </si>
  <si>
    <t>CF mammals, cropland</t>
  </si>
  <si>
    <t>CF birds, cropland</t>
  </si>
  <si>
    <t>CF amphibians, cropland</t>
  </si>
  <si>
    <t>CF reptiles, cropland</t>
  </si>
  <si>
    <t>CF plants, cropland</t>
  </si>
  <si>
    <t>CF mammals, pasture</t>
  </si>
  <si>
    <t>CF birds, pasture</t>
  </si>
  <si>
    <t>CF amphibians, pasture</t>
  </si>
  <si>
    <t>CF reptiles, pasture</t>
  </si>
  <si>
    <t>CF plants, pasture</t>
  </si>
  <si>
    <t>Conversion factor after drying (if yield levels are reported as product before drying)</t>
  </si>
  <si>
    <t>Conversion factor after processing (e.g. milling, oil pressing or other extraction)</t>
  </si>
  <si>
    <t>Conversion factor for allocation between products in multi-output systems</t>
  </si>
  <si>
    <t>Conversion factor for waste and losses to retail-gate</t>
  </si>
  <si>
    <t>Maize silage</t>
  </si>
  <si>
    <t>By-products cereal industry</t>
  </si>
  <si>
    <t>Palmkernal expels</t>
  </si>
  <si>
    <t>Rapeseed, whole</t>
  </si>
  <si>
    <t>Rapeseed, meal</t>
  </si>
  <si>
    <t>Minerals and salt</t>
  </si>
  <si>
    <t>Soymeal and soy-based products</t>
  </si>
  <si>
    <t>Rest of the World</t>
  </si>
  <si>
    <t>Peas and horsebeans</t>
  </si>
  <si>
    <t>By-products sugar industry</t>
  </si>
  <si>
    <t>Other protein feed</t>
  </si>
  <si>
    <t>Forage</t>
  </si>
  <si>
    <t>Marine oils</t>
  </si>
  <si>
    <t>Marine protein</t>
  </si>
  <si>
    <t>Vitamins and minerals</t>
  </si>
  <si>
    <t>By-products rice</t>
  </si>
  <si>
    <t>Oil seeds</t>
  </si>
  <si>
    <t>Cassava meal</t>
  </si>
  <si>
    <t>Other ingredients</t>
  </si>
  <si>
    <t>Land use, m2/kg</t>
  </si>
  <si>
    <t>Tillförd mängd kväve från handelsgödsel, kg per hektar</t>
  </si>
  <si>
    <t>Tillförd mängd totalkväve från stallgödsel, kg per hektar</t>
  </si>
  <si>
    <t>Medel, kg N/ha</t>
  </si>
  <si>
    <t>Average 2011-2015</t>
  </si>
  <si>
    <t>Share of production</t>
  </si>
  <si>
    <t>2010/2011</t>
  </si>
  <si>
    <t>2012/2013</t>
  </si>
  <si>
    <t>2015/2016</t>
  </si>
  <si>
    <t>Kok- och foderärter, vicker och åkerbönor</t>
  </si>
  <si>
    <t>Horsebeans</t>
  </si>
  <si>
    <t>Handels- och/eller stallgödsel</t>
  </si>
  <si>
    <t>..</t>
  </si>
  <si>
    <t>Nitrogen fixation rates, kg N/ha</t>
  </si>
  <si>
    <t>Lassaletta</t>
  </si>
  <si>
    <t>(faba beans)</t>
  </si>
  <si>
    <t>Other arable crops</t>
  </si>
  <si>
    <t>Phosphorus fertilizer application, kg P/ha</t>
  </si>
  <si>
    <t>Average of arable crops</t>
  </si>
  <si>
    <t>SCB statistikdatabasen</t>
  </si>
  <si>
    <t>(No data from earlier years available)</t>
  </si>
  <si>
    <t>Moisture content before drying</t>
  </si>
  <si>
    <t>Moisture content after drying</t>
  </si>
  <si>
    <t xml:space="preserve">Amount needed to obtain 1 kg after drying </t>
  </si>
  <si>
    <t>Pesticide use, kg AI/ha</t>
  </si>
  <si>
    <t>2010 (SCB 2011)</t>
  </si>
  <si>
    <t>2017 (SCB 2018)</t>
  </si>
  <si>
    <t>Peas (ärter)</t>
  </si>
  <si>
    <t>Horsebeans (åkerbönor)</t>
  </si>
  <si>
    <t>Saknas</t>
  </si>
  <si>
    <t>Maize silage (SIK:s foderdatabas)</t>
  </si>
  <si>
    <t>var den som var i SIK</t>
  </si>
  <si>
    <t>Totalskörd och hektarskörd efter län/riket, gröda och år 1965-2018</t>
  </si>
  <si>
    <t xml:space="preserve">Average land use, m2/kg </t>
  </si>
  <si>
    <t>Nitrogen fertilizer application, kg N/ha</t>
  </si>
  <si>
    <t>00 Riket</t>
  </si>
  <si>
    <t>Phosphorus fertilizer, kg P/kg</t>
  </si>
  <si>
    <t>Hektarskörd, kg per hektar</t>
  </si>
  <si>
    <t>Majs</t>
  </si>
  <si>
    <t>Conversion factor from yield to ready land use (att dela resultatet med)</t>
  </si>
  <si>
    <t>Nilsson - LCA margarine</t>
  </si>
  <si>
    <t>CFs extinction rate for intense cropland</t>
  </si>
  <si>
    <t>Potential species loss</t>
  </si>
  <si>
    <t>Ny brb för sunflower meal med största produktionsländerna över 10%, 2019-12-15</t>
  </si>
  <si>
    <t>var den som Nilsson et al. (2010) hade - justerar enligt skördesiffror från FAOstat</t>
  </si>
  <si>
    <t>Världsproducenter</t>
  </si>
  <si>
    <t>CF mammals</t>
  </si>
  <si>
    <t>CF birds</t>
  </si>
  <si>
    <t>CF amphibians</t>
  </si>
  <si>
    <t>CF reptiles</t>
  </si>
  <si>
    <t>CF plants</t>
  </si>
  <si>
    <t>Land use, m2/liter solrosolja</t>
  </si>
  <si>
    <t>Land use, m2/kg sunflower meal</t>
  </si>
  <si>
    <t>Potential species loss mammals</t>
  </si>
  <si>
    <t>Potential species loss birds</t>
  </si>
  <si>
    <t>Potential species loss amphibians</t>
  </si>
  <si>
    <t>Potential species loss reptiles</t>
  </si>
  <si>
    <t>Potential species loss plants</t>
  </si>
  <si>
    <t>Overall potential species loss</t>
  </si>
  <si>
    <t>E/MSY</t>
  </si>
  <si>
    <t>2019-12-15: Ny brb för produktionsländer större än 10% av världsmarknaden</t>
  </si>
  <si>
    <t>Skörd</t>
  </si>
  <si>
    <t>Skörd, hg/ha</t>
  </si>
  <si>
    <t>Skörd totalt</t>
  </si>
  <si>
    <t>Andel av totalen</t>
  </si>
  <si>
    <t>per liter solrosolja</t>
  </si>
  <si>
    <t>Ryssland</t>
  </si>
  <si>
    <t>Sammanfattat för största produktionsländerna över 10%</t>
  </si>
  <si>
    <t>Pestcide use, kg AI/ha</t>
  </si>
  <si>
    <t>Frankrike</t>
  </si>
  <si>
    <t>Ukraina</t>
  </si>
  <si>
    <t>Medel</t>
  </si>
  <si>
    <t>Mass allocation</t>
  </si>
  <si>
    <t>Economical allocation</t>
  </si>
  <si>
    <t>RoW</t>
  </si>
  <si>
    <t>Turkiet</t>
  </si>
  <si>
    <t>Bulgarien</t>
  </si>
  <si>
    <t>Kina</t>
  </si>
  <si>
    <t>Specific gravity</t>
  </si>
  <si>
    <t>2019-12-16: Är egentligen 0.9249 men jag räknar på per kg olja istället för per liter</t>
  </si>
  <si>
    <t>Rumänien</t>
  </si>
  <si>
    <t xml:space="preserve">Land use, m2/kg </t>
  </si>
  <si>
    <t>Tanzania</t>
  </si>
  <si>
    <t>Land use, m2/liter</t>
  </si>
  <si>
    <t>Världen medel</t>
  </si>
  <si>
    <t>Nitrogen fertilizer application, kg N/kg</t>
  </si>
  <si>
    <t>Skörd största produktionsländerna</t>
  </si>
  <si>
    <t>Nitrogen fertilizer application, kg N/liter</t>
  </si>
  <si>
    <t>Phosphorus fertilizer application, kg P/kg</t>
  </si>
  <si>
    <t>Phosphorus fertilizer application, kg P/liter</t>
  </si>
  <si>
    <t>Freshwater use, m3/liter</t>
  </si>
  <si>
    <t>Pesticide use, kg AI/liter</t>
  </si>
  <si>
    <t>Ammonia emissions, kg NH3/liter</t>
  </si>
  <si>
    <t>Palm oil and by-products (Flysjö et al., 2008)</t>
  </si>
  <si>
    <t>Yield of fresh fruit bunches, kg/ha</t>
  </si>
  <si>
    <t>18870 från Flysjö. 17329 från välrdsskörden medel</t>
  </si>
  <si>
    <t>Marknadsandel</t>
  </si>
  <si>
    <t>Skörd , kg/ha</t>
  </si>
  <si>
    <t>Phosphorus fertilizer, kg P/ha</t>
  </si>
  <si>
    <t>Indonesien</t>
  </si>
  <si>
    <t>Pestcide use, kg AI/kg</t>
  </si>
  <si>
    <t>Av klasarna fås följande (Flysjö et al., 2008)</t>
  </si>
  <si>
    <t>palmolja</t>
  </si>
  <si>
    <t>kärnor</t>
  </si>
  <si>
    <t>Resten är tomma fruktklasar, fibrer o skal utan eller med ett mycket lågt värde</t>
  </si>
  <si>
    <t>Av kärnorna fås</t>
  </si>
  <si>
    <t>palmkärnolja</t>
  </si>
  <si>
    <t>palmkärnexpeller</t>
  </si>
  <si>
    <t>Yield, kg/hectare</t>
  </si>
  <si>
    <t>Palm kernal expel</t>
  </si>
  <si>
    <t>Palmkernal expel</t>
  </si>
  <si>
    <t>Specific gravity, liter/kg</t>
  </si>
  <si>
    <t>Ändring 2019-12-16: Är egentligen 0.9225, men jag ska räkna ut per kg</t>
  </si>
  <si>
    <t>New reactive nitrogen</t>
  </si>
  <si>
    <t>New reactive nitrogen, kg N/kg</t>
  </si>
  <si>
    <t>New reactive nitrogen, kg N/liter</t>
  </si>
  <si>
    <t>Phosphorus application, kg P/liter</t>
  </si>
  <si>
    <t>Biodiversity</t>
  </si>
  <si>
    <t>Share of world production</t>
  </si>
  <si>
    <t>Soybean (Flysjö et al., 2008 and SIK:s foderdatabas)</t>
  </si>
  <si>
    <t>Andel världsproduktionen</t>
  </si>
  <si>
    <t>Medel 2011-2015, kg/ha</t>
  </si>
  <si>
    <t>Referens</t>
  </si>
  <si>
    <t>SIKs markavnändning--&gt;</t>
  </si>
  <si>
    <t>Land use, m2/liter soy bean oil</t>
  </si>
  <si>
    <t>FAOSTAT</t>
  </si>
  <si>
    <t>Nitrogen fertilizer</t>
  </si>
  <si>
    <t>Phosphorus fertilizer</t>
  </si>
  <si>
    <t>Freshwater consumption</t>
  </si>
  <si>
    <t>Brasilien</t>
  </si>
  <si>
    <t>Soybeans från Ecoinvent</t>
  </si>
  <si>
    <t>Bolivia</t>
  </si>
  <si>
    <t>Soybean production, BR-GO</t>
  </si>
  <si>
    <t>Soybean meal</t>
  </si>
  <si>
    <t>Soybean production, BR-MS</t>
  </si>
  <si>
    <t>Soybean production, BR-MT</t>
  </si>
  <si>
    <t>Indien</t>
  </si>
  <si>
    <t>Soybean production, BR-PR,</t>
  </si>
  <si>
    <t>Paraguay</t>
  </si>
  <si>
    <t>Egentligen inte 1 men här använder jag 1 pga det ska vara per kg, ej per liter</t>
  </si>
  <si>
    <t>Soybean production, BR-RS</t>
  </si>
  <si>
    <t>Uruguay</t>
  </si>
  <si>
    <t>Land use</t>
  </si>
  <si>
    <t>Nitrogen fixation, kg N/kg</t>
  </si>
  <si>
    <t>Phosphorus fertilizer application</t>
  </si>
  <si>
    <t>Medelsnitt 2011-2015</t>
  </si>
  <si>
    <t>Skördeutfall, kg/ha</t>
  </si>
  <si>
    <t>Slåttervall, totalt</t>
  </si>
  <si>
    <t>Första skörd</t>
  </si>
  <si>
    <t>Jordbruksverkets statistikdatabas</t>
  </si>
  <si>
    <t>Slåttervall, återväxt</t>
  </si>
  <si>
    <t>SCB statistikdatabas</t>
  </si>
  <si>
    <t>Lasaletta, medel klöver och alfalfa</t>
  </si>
  <si>
    <t>Nitrogen manure fertilizer application, kg N/ha</t>
  </si>
  <si>
    <t>Assumed to be 0, same as other Swedish feed crops</t>
  </si>
  <si>
    <t>Använder data för slåtter- och betesvall</t>
  </si>
  <si>
    <t xml:space="preserve">Pasture </t>
  </si>
  <si>
    <t>Handels, medel, kg N/ha</t>
  </si>
  <si>
    <t>Stall, medel, kg N/ha</t>
  </si>
  <si>
    <t>Pasture at cropland (åkerbete/betesvall)</t>
  </si>
  <si>
    <t>Pasture (betesmark)</t>
  </si>
  <si>
    <t>Nitrogen fixation</t>
  </si>
  <si>
    <t>Cederberg &amp; Nilsson (2004) (Åkermark nr 3 versus snitt för betesmark, ingen data anges spec. för fixering i naturbetesmarkerna, jmf med Nordic diets med 16 kg N/ton TS)</t>
  </si>
  <si>
    <t>Slåttervall som utnyttjas</t>
  </si>
  <si>
    <t>Nitrogen manure application, kg N/ha</t>
  </si>
  <si>
    <t>SIKs foderdatabas</t>
  </si>
  <si>
    <r>
      <t>•</t>
    </r>
    <r>
      <rPr>
        <sz val="11"/>
        <color rgb="FF000000"/>
        <rFont val="Calibri"/>
        <family val="2"/>
        <scheme val="minor"/>
      </rPr>
      <t xml:space="preserve"> Åkerbete, hög, Skåne: Gödslad vall som betas av mjölkkor, modellerad för Skåne, med bruttoavkastningen 7,1 ton ts per ha.  </t>
    </r>
  </si>
  <si>
    <t>Betesvall som utnyttjas</t>
  </si>
  <si>
    <r>
      <t>•</t>
    </r>
    <r>
      <rPr>
        <sz val="11"/>
        <color rgb="FF000000"/>
        <rFont val="Calibri"/>
        <family val="2"/>
        <scheme val="minor"/>
      </rPr>
      <t xml:space="preserve"> Åkerbete, hög, Västerbotten: Gödslad vall som betas av mjölkkor, modellerad för Västerbotten, med bruttoavkastningen 4,3 ton ts per ha.</t>
    </r>
  </si>
  <si>
    <t>Assumed to be 0</t>
  </si>
  <si>
    <r>
      <t>•</t>
    </r>
    <r>
      <rPr>
        <sz val="11"/>
        <color rgb="FF000000"/>
        <rFont val="Calibri"/>
        <family val="2"/>
        <scheme val="minor"/>
      </rPr>
      <t xml:space="preserve"> Åkerbete, låg, Skåne: Ogödslad vall som betas av dikor, modellerad för Skåne, med bruttoavkastningen 4,3 ton ts per ha.</t>
    </r>
  </si>
  <si>
    <t>Betesmark</t>
  </si>
  <si>
    <r>
      <t>•</t>
    </r>
    <r>
      <rPr>
        <sz val="11"/>
        <color rgb="FF000000"/>
        <rFont val="Calibri"/>
        <family val="2"/>
        <scheme val="minor"/>
      </rPr>
      <t xml:space="preserve"> Åkerbete, låg, Västerbotten: : Ogödslad vall som betas av dikor, modellerad för Västerbotten, med bruttoavkastningen 2,9 ton ts per ha.</t>
    </r>
  </si>
  <si>
    <t>Cederberg 2009</t>
  </si>
  <si>
    <t>2005 (Cederberg)</t>
  </si>
  <si>
    <t>Andel</t>
  </si>
  <si>
    <r>
      <t>•</t>
    </r>
    <r>
      <rPr>
        <sz val="11"/>
        <color rgb="FF000000"/>
        <rFont val="Calibri"/>
        <family val="2"/>
        <scheme val="minor"/>
      </rPr>
      <t xml:space="preserve"> Naturbete, hög: Ogödslad naturbetesmark som betas av dikor, med bruttoavkastningen 4 ton ts per ha.</t>
    </r>
  </si>
  <si>
    <t>Betesmark på åkerareal, ha</t>
  </si>
  <si>
    <r>
      <t>•</t>
    </r>
    <r>
      <rPr>
        <sz val="11"/>
        <color rgb="FF000000"/>
        <rFont val="Calibri"/>
        <family val="2"/>
        <scheme val="minor"/>
      </rPr>
      <t xml:space="preserve"> Naturbete, låg: Ogödslad naturbetesmark som betas av dikor, med bruttoavkastningen 1,5 ton ts per ha.</t>
    </r>
  </si>
  <si>
    <t>Betesmark, ha</t>
  </si>
  <si>
    <t>Total betesmark</t>
  </si>
  <si>
    <t>Använder data för slåtter- och betesvall för åkerbete, naturbete antas vara 0</t>
  </si>
  <si>
    <t>Naturbete</t>
  </si>
  <si>
    <t>Lamb/sheep production</t>
  </si>
  <si>
    <t>Biodiversity impacts</t>
  </si>
  <si>
    <t>PASTURE</t>
  </si>
  <si>
    <r>
      <rPr>
        <b/>
        <sz val="11"/>
        <color theme="1"/>
        <rFont val="Calibri"/>
        <family val="2"/>
        <scheme val="minor"/>
      </rPr>
      <t>Land Use</t>
    </r>
    <r>
      <rPr>
        <sz val="11"/>
        <color theme="1"/>
        <rFont val="Calibri"/>
        <family val="2"/>
        <scheme val="minor"/>
      </rPr>
      <t xml:space="preserve"> (m</t>
    </r>
    <r>
      <rPr>
        <vertAlign val="superscript"/>
        <sz val="11"/>
        <color theme="1"/>
        <rFont val="Calibri"/>
        <family val="2"/>
        <scheme val="minor"/>
      </rPr>
      <t>2</t>
    </r>
    <r>
      <rPr>
        <sz val="11"/>
        <color theme="1"/>
        <rFont val="Calibri"/>
        <family val="2"/>
        <scheme val="minor"/>
      </rPr>
      <t>*yr)</t>
    </r>
  </si>
  <si>
    <t>Seed</t>
  </si>
  <si>
    <t>Arable</t>
  </si>
  <si>
    <t>Temp Past</t>
  </si>
  <si>
    <t>Fallow</t>
  </si>
  <si>
    <t>Perm Past</t>
  </si>
  <si>
    <t>Per kg BF</t>
  </si>
  <si>
    <t>Enteric CH4, kg CH4 i CO2eq</t>
  </si>
  <si>
    <t>N2O from manure</t>
  </si>
  <si>
    <t>N2O from fertilizer spreading</t>
  </si>
  <si>
    <t>Other, assuming CO2?</t>
  </si>
  <si>
    <t>Summa CO2</t>
  </si>
  <si>
    <t>Summa CH4</t>
  </si>
  <si>
    <t>Summa N2O</t>
  </si>
  <si>
    <t>Totalt</t>
  </si>
  <si>
    <t>Climate impact, kg CO2e/kg carcass weight*</t>
  </si>
  <si>
    <t>Freshwater consumption, m3/ton live weight</t>
  </si>
  <si>
    <t>Freshwater consumption, m3/kg bonefree meat (conversion live weight to bonefree meat from Clune et al., 2017)</t>
  </si>
  <si>
    <t>Freshwater consumption, with waste</t>
  </si>
  <si>
    <t xml:space="preserve">Cropland use, m2/kg </t>
  </si>
  <si>
    <t>Overall land use</t>
  </si>
  <si>
    <t>Overall land use with waste</t>
  </si>
  <si>
    <t>O'Brien et al. (2016a)</t>
  </si>
  <si>
    <t>Lamb and mutton</t>
  </si>
  <si>
    <r>
      <rPr>
        <i/>
        <sz val="11"/>
        <color theme="1"/>
        <rFont val="Calibri"/>
        <family val="2"/>
        <scheme val="minor"/>
      </rPr>
      <t xml:space="preserve">Ovis aries </t>
    </r>
    <r>
      <rPr>
        <sz val="11"/>
        <color theme="1"/>
        <rFont val="Calibri"/>
        <family val="2"/>
        <scheme val="minor"/>
      </rPr>
      <t>L. (Suffolk, Texel, Belclare, Charollais)</t>
    </r>
  </si>
  <si>
    <t>C</t>
  </si>
  <si>
    <t>Average lowland farm</t>
  </si>
  <si>
    <t>S</t>
  </si>
  <si>
    <t>National farm survey (NFS) dataset</t>
  </si>
  <si>
    <t>1kg</t>
  </si>
  <si>
    <t>liveweight</t>
  </si>
  <si>
    <t>Share lowland farms on Ireland (Obrien et al. 2016)</t>
  </si>
  <si>
    <t>Obrien</t>
  </si>
  <si>
    <t>Lowland</t>
  </si>
  <si>
    <t>Per kg LW</t>
  </si>
  <si>
    <t>för CH4</t>
  </si>
  <si>
    <t>SBA 2016, Marknadsrapport lammkött och SCB statistikdatabasen</t>
  </si>
  <si>
    <r>
      <rPr>
        <i/>
        <sz val="11"/>
        <color theme="1"/>
        <rFont val="Calibri"/>
        <family val="2"/>
        <scheme val="minor"/>
      </rPr>
      <t xml:space="preserve">Ovis aries </t>
    </r>
    <r>
      <rPr>
        <sz val="11"/>
        <color theme="1"/>
        <rFont val="Calibri"/>
        <family val="2"/>
        <scheme val="minor"/>
      </rPr>
      <t>L. (Blackface Mountain, Cheviot)</t>
    </r>
  </si>
  <si>
    <t>Average hill farm</t>
  </si>
  <si>
    <t>Share hill farms on Ireland (Obrien et al. 2016)</t>
  </si>
  <si>
    <t>Hill farm</t>
  </si>
  <si>
    <t>för N2O</t>
  </si>
  <si>
    <t>Hill</t>
  </si>
  <si>
    <r>
      <rPr>
        <i/>
        <sz val="11"/>
        <color theme="1"/>
        <rFont val="Calibri"/>
        <family val="2"/>
        <scheme val="minor"/>
      </rPr>
      <t xml:space="preserve">Ovis aries </t>
    </r>
    <r>
      <rPr>
        <sz val="11"/>
        <color theme="1"/>
        <rFont val="Calibri"/>
        <family val="2"/>
        <scheme val="minor"/>
      </rPr>
      <t>L.</t>
    </r>
  </si>
  <si>
    <t>Intensive mid-season "IMS"</t>
  </si>
  <si>
    <t>M</t>
  </si>
  <si>
    <t>-</t>
  </si>
  <si>
    <t>Intensive early-season "IES"</t>
  </si>
  <si>
    <t>Wallnman</t>
  </si>
  <si>
    <t>m2/kg CW</t>
  </si>
  <si>
    <t>Wiedemann et al. (2015a)</t>
  </si>
  <si>
    <r>
      <rPr>
        <i/>
        <sz val="11"/>
        <color theme="1"/>
        <rFont val="Calibri"/>
        <family val="2"/>
        <scheme val="minor"/>
      </rPr>
      <t xml:space="preserve">Ovis aries </t>
    </r>
    <r>
      <rPr>
        <sz val="11"/>
        <color theme="1"/>
        <rFont val="Calibri"/>
        <family val="2"/>
        <scheme val="minor"/>
      </rPr>
      <t>L. (Romney dominant)</t>
    </r>
  </si>
  <si>
    <t>Hill farm ( Beef+ LambNZ Class 4 farms) ("CS2")</t>
  </si>
  <si>
    <t>Tier 3 CH4 enteric fermentation emissions model; Tier 1-2 N2O and CH4 manure management</t>
  </si>
  <si>
    <t>North Island</t>
  </si>
  <si>
    <t>Williams et al. (2008)</t>
  </si>
  <si>
    <t>Lamb</t>
  </si>
  <si>
    <t>Nitrogen fertilizer application</t>
  </si>
  <si>
    <t>kg N/ha</t>
  </si>
  <si>
    <t>Table 23</t>
  </si>
  <si>
    <t>Wallman et al. (2011) - Life Cycle Assessment of Swedish Lamb Production</t>
  </si>
  <si>
    <t>kg N/kg CW</t>
  </si>
  <si>
    <t>Arable land, m2/kg CW</t>
  </si>
  <si>
    <t>Arable land, m2/kg BF</t>
  </si>
  <si>
    <t>Pasture land, m2/kg CW</t>
  </si>
  <si>
    <t>Pasture land, m2/kg BF</t>
  </si>
  <si>
    <t>Total nitrogen application</t>
  </si>
  <si>
    <t>kg P/kg CW</t>
  </si>
  <si>
    <t>Table 27</t>
  </si>
  <si>
    <t>kg AI/kg CW</t>
  </si>
  <si>
    <t>Wallman, Table I</t>
  </si>
  <si>
    <t>Conversion factor from carcass weight to bone free meat</t>
  </si>
  <si>
    <t>Conversion factor from live weight to bone free meat</t>
  </si>
  <si>
    <t>Average of lamb of the Swedish market</t>
  </si>
  <si>
    <t>*Recalculated with characterisation factors for GWP100 with climate-carbon feedbacks (Myhre et al., 2013)</t>
  </si>
  <si>
    <t>Total ammonia emissions, kg NH3/kg CW</t>
  </si>
  <si>
    <t>Ammonia emissions, kg NH3/kg CW</t>
  </si>
  <si>
    <t>Min:</t>
  </si>
  <si>
    <t xml:space="preserve">Max: </t>
  </si>
  <si>
    <t>Grazing, kg NH3-N/kg CW</t>
  </si>
  <si>
    <t>Grazing, kg NH3-N/ha</t>
  </si>
  <si>
    <t>Total contribution to acidification from ammonia, kg SO2e/kg CW</t>
  </si>
  <si>
    <t>Total ammonia emissions based on contribution to acidification, kg NH3/kg CW</t>
  </si>
  <si>
    <t>kg NH3/kg CW</t>
  </si>
  <si>
    <t>Clune et al., processing meat, table 2</t>
  </si>
  <si>
    <t>QC</t>
  </si>
  <si>
    <t>Crops</t>
  </si>
  <si>
    <t>Yield</t>
  </si>
  <si>
    <t>hg/ha</t>
  </si>
  <si>
    <t>Fc</t>
  </si>
  <si>
    <t>Calculated data</t>
  </si>
  <si>
    <t>Klimatavtryck, till gårdsgrind</t>
  </si>
  <si>
    <t>Markemissioner</t>
  </si>
  <si>
    <t>Förädling</t>
  </si>
  <si>
    <t>Förpackning</t>
  </si>
  <si>
    <t>Transport</t>
  </si>
  <si>
    <t>Med svinn och förluster</t>
  </si>
  <si>
    <t>Faktor för svinn och förluster</t>
  </si>
  <si>
    <t>CO2</t>
  </si>
  <si>
    <t>CH4</t>
  </si>
  <si>
    <t>N2O</t>
  </si>
  <si>
    <t>Kommentar</t>
  </si>
  <si>
    <t>Enbart transporten med svinn inräknat, per kg benfritt kött</t>
  </si>
  <si>
    <t>NOx emissions, g NOx/kg including waste</t>
  </si>
  <si>
    <t>Skördar för andra länders data</t>
  </si>
  <si>
    <t>DENMARK</t>
  </si>
  <si>
    <t xml:space="preserve">Palmkernal expels </t>
  </si>
  <si>
    <t xml:space="preserve">Rapeseed, whole </t>
  </si>
  <si>
    <t xml:space="preserve">Rapeseed, meal </t>
  </si>
  <si>
    <t xml:space="preserve">Minerals and salt </t>
  </si>
  <si>
    <t>IRELNAD</t>
  </si>
  <si>
    <t>GERMANY</t>
  </si>
  <si>
    <t>POLAND</t>
  </si>
  <si>
    <t>REST OF EUROPÉ</t>
  </si>
  <si>
    <t>Snitt grains</t>
  </si>
  <si>
    <t>Andelar produce</t>
  </si>
  <si>
    <t>Weighted yield, kg/ha</t>
  </si>
  <si>
    <t>IRELAND</t>
  </si>
  <si>
    <t>Produce, tons</t>
  </si>
  <si>
    <t>Pesticide use feed ingredients</t>
  </si>
  <si>
    <t>SS (2018), (2010)</t>
  </si>
  <si>
    <t>Eurostat (2007), average 1999-2003</t>
  </si>
  <si>
    <t>Ecoinvent version 3.6 (Ecoinvent centre, 2019). "Palm fruit bunch production, ID"</t>
  </si>
  <si>
    <t xml:space="preserve">SS (2018), (2010), Bete på åkermark. Naturbetesmark ingen användning. </t>
  </si>
  <si>
    <t>Pesticide use plant-based foods</t>
  </si>
  <si>
    <t>Production country*</t>
  </si>
  <si>
    <t>kg A.I./ha</t>
  </si>
  <si>
    <t>Rapeseed and rapeseed oil</t>
  </si>
  <si>
    <t>Vegetables (2018), Trädgårdsväxter (2010)</t>
  </si>
  <si>
    <t>Value for legumes</t>
  </si>
  <si>
    <t>Fruits (2018), Trädgårdsväxter (2010)</t>
  </si>
  <si>
    <t>Pears</t>
  </si>
  <si>
    <t>SS (2018)</t>
  </si>
  <si>
    <t>Mer b-medelsdata</t>
  </si>
  <si>
    <t>Data för Sverige</t>
  </si>
  <si>
    <t>Data för andra länder än Sverige</t>
  </si>
  <si>
    <t>Country profile data, från Eurostat (2007), kg AI/ha</t>
  </si>
  <si>
    <t>Schablon från Eurostat (2007), kg AI/ha</t>
  </si>
  <si>
    <t>Data från annan källa</t>
  </si>
  <si>
    <t>Skörd för data från annan källa om ej nationell statistik, kg/ha</t>
  </si>
  <si>
    <t>Data från Ecoinvent 2016, version 3.3 för jmf</t>
  </si>
  <si>
    <t>Data från Ecoinvent 2018, version 3.5, för utanför EU, kg AI/ha</t>
  </si>
  <si>
    <t>Data från Ecoinvent 2019, version 3.5, för utanför EU, kg AI/kg</t>
  </si>
  <si>
    <t>Referens till landsspecifik data</t>
  </si>
  <si>
    <t>Ecoinvent v. 3.6 "Rice production, non-basmati, RoW"</t>
  </si>
  <si>
    <t>Fusi et al. (2014)</t>
  </si>
  <si>
    <t>Ministry of Environment and Food of Denmark (2017)</t>
  </si>
  <si>
    <t>Ecoinvent (2018), "Tomato production in heated greenhouse, the Netherlands"</t>
  </si>
  <si>
    <t>Ecoinvent (2018), "Tomato production in unheated greenhouse, Spain"</t>
  </si>
  <si>
    <t>Eurostat</t>
  </si>
  <si>
    <t>2007'!P9</t>
  </si>
  <si>
    <t>Spruijt &amp; van der Voort (2015)</t>
  </si>
  <si>
    <t>Ecoinvent (2018), "Apple production, Italy"</t>
  </si>
  <si>
    <t>Ecoinvent (2019), "Banana production, Costa Rica"</t>
  </si>
  <si>
    <t>Ecoinvent (2019), "Banana production, Ecuador"</t>
  </si>
  <si>
    <t>Ecoinvent (2019), "Banana production, RoW"</t>
  </si>
  <si>
    <t>Ecoinvent (2018), "Pear production, Belgium"</t>
  </si>
  <si>
    <t>Ecoinvent (2018), "Lemon production, Spain"</t>
  </si>
  <si>
    <t>Ecoinvent (2019), "Avocado production, Global"</t>
  </si>
  <si>
    <t>Ecoinvent (2018), "Kiwi production, Global"</t>
  </si>
  <si>
    <t>Ecoinvent (2018), "Orange production, fresh grade, Spain"</t>
  </si>
  <si>
    <t>Ecoinvent (2019), "Orange production, fresh grade, RoW"</t>
  </si>
  <si>
    <t>Ivory Coast (Of the cocoa used in Swedish industry)</t>
  </si>
  <si>
    <t>Ecoinvent (2019), "Cocoa bean production, sun-dried, Ivory Coast"</t>
  </si>
  <si>
    <t>Ecoinvent (2019), "Cocoa bean production, sun-dried, Ghana"</t>
  </si>
  <si>
    <t>Ecoinvent (2019), "Cocoa bean production, sun-dried, Indonesia"</t>
  </si>
  <si>
    <t>Ecoinvent (2019), "Cocoa bean production, sun-dried, RoW"</t>
  </si>
  <si>
    <t>Ecoinvent (2018), "Coffee green bean production, arabica, Brazil"</t>
  </si>
  <si>
    <t>Ecoinvent (2018), "Coffee green bean production, arabica, RoW"</t>
  </si>
  <si>
    <t>Olives and olive oil</t>
  </si>
  <si>
    <t>Ecoinvent (2018), "Olive production, Italy"</t>
  </si>
  <si>
    <t>Ecoinvent (2018), "Olive production, Spain"</t>
  </si>
  <si>
    <t>Ecoinvent (2019), "Peach production, RoW"</t>
  </si>
  <si>
    <t>Ecoinvent (2019), "Peanut production, Argentina"</t>
  </si>
  <si>
    <t>Ecoinvent (2019), "Peanut production, China"</t>
  </si>
  <si>
    <t>Ecoinvent (2019), "Peanut production, RoW"</t>
  </si>
  <si>
    <t>Ecoinvent (2019), "Almond production, United States"</t>
  </si>
  <si>
    <t>Ecoinvent (2019), "Almond production, RoW"</t>
  </si>
  <si>
    <t>Ecoinvent (2019), "Tea production, dried China"</t>
  </si>
  <si>
    <t>Ecoinvent (2019), "Tea production, dried India"</t>
  </si>
  <si>
    <t>Ecoinvent (2019), "Tea production, dried RoW"</t>
  </si>
  <si>
    <t>Table</t>
  </si>
  <si>
    <t>2.3.1:</t>
  </si>
  <si>
    <t>Dosage</t>
  </si>
  <si>
    <t>of</t>
  </si>
  <si>
    <t>PPP</t>
  </si>
  <si>
    <t>used</t>
  </si>
  <si>
    <t>by</t>
  </si>
  <si>
    <t>crop</t>
  </si>
  <si>
    <t>in</t>
  </si>
  <si>
    <t>the</t>
  </si>
  <si>
    <t>EU</t>
  </si>
  <si>
    <t>–</t>
  </si>
  <si>
    <t>total</t>
  </si>
  <si>
    <t>(kg</t>
  </si>
  <si>
    <t>AS/ha)</t>
  </si>
  <si>
    <t>Snitt 1999-2003</t>
  </si>
  <si>
    <t>Snitt 1992-2003</t>
  </si>
  <si>
    <t>CEREALS</t>
  </si>
  <si>
    <t>MAIZE</t>
  </si>
  <si>
    <t>OIL SEEDS</t>
  </si>
  <si>
    <t>POTATOES</t>
  </si>
  <si>
    <t>SUGAR BEET</t>
  </si>
  <si>
    <t>ARABLE CROPS Total</t>
  </si>
  <si>
    <t>CITRUS</t>
  </si>
  <si>
    <t>GRAPES</t>
  </si>
  <si>
    <t>FRUIT TREES</t>
  </si>
  <si>
    <t>BRASSICAS</t>
  </si>
  <si>
    <t>CUCURBITS</t>
  </si>
  <si>
    <t>TOMATOES</t>
  </si>
  <si>
    <t>OTHER VEGETABLES</t>
  </si>
  <si>
    <t>FRUIT &amp; VEGETABLES total</t>
  </si>
  <si>
    <t>Grand Total</t>
  </si>
  <si>
    <t>COUNTRY PROFILES</t>
  </si>
  <si>
    <t>Medel 1992-2003</t>
  </si>
  <si>
    <t>Medel 1999-2003</t>
  </si>
  <si>
    <t>VEGETABLES</t>
  </si>
  <si>
    <t>GRAPES/VINES</t>
  </si>
  <si>
    <t>Netherlands</t>
  </si>
  <si>
    <t>Average 1999-2003</t>
  </si>
  <si>
    <t>Input data dairy products</t>
  </si>
  <si>
    <t>Input of milk in the production, kg</t>
  </si>
  <si>
    <t>Input of milk in the production</t>
  </si>
  <si>
    <t>SS (2017a), SBA (2016a)</t>
  </si>
  <si>
    <t>Löfgren, R., pers. comm. (2017)</t>
  </si>
  <si>
    <t>Yougurt (3% fat)</t>
  </si>
  <si>
    <t>Dessert cheese (25% fat)</t>
  </si>
  <si>
    <t>Arla Forum Konsumentkontakt, pers. comm. (2017)</t>
  </si>
  <si>
    <t>Crème fraiche (34% fat)</t>
  </si>
  <si>
    <t>Karlsson et al. (2019), SBA (2016b)</t>
  </si>
  <si>
    <t>Climate impact of the production of dairy products including energy use and the production of other ingredients than milk</t>
  </si>
  <si>
    <t>Dessert cheese (25% fat)*</t>
  </si>
  <si>
    <t>Crème fraiche (34% fat)**</t>
  </si>
  <si>
    <t>kg CO2e/kg  prepared product</t>
  </si>
  <si>
    <r>
      <rPr>
        <b/>
        <sz val="10"/>
        <color theme="1"/>
        <rFont val="Calibri"/>
        <family val="2"/>
        <scheme val="minor"/>
      </rPr>
      <t>Pasteurized milk, butter, yogurt, cream</t>
    </r>
    <r>
      <rPr>
        <sz val="10"/>
        <color theme="1"/>
        <rFont val="Calibri"/>
        <family val="2"/>
        <scheme val="minor"/>
      </rPr>
      <t xml:space="preserve">: Djekic et al. (2014), Ecoinvent (2018) using activity data for Calcium chloride: “Market for calcium chloride” data for Europe. For saltpeter: “Calcium nitrate production” data for Europe. For salt: “Sodium chloride production, powder”, global data. For nitric acid: “Nitric acid production, product in 50% solution state”, data for Europe. For sodium hydroxide: “Sodium hydroxide to generic market for neutralising agent”, global data. 
</t>
    </r>
    <r>
      <rPr>
        <b/>
        <sz val="10"/>
        <color theme="1"/>
        <rFont val="Calibri"/>
        <family val="2"/>
        <scheme val="minor"/>
      </rPr>
      <t>Hard cheese</t>
    </r>
    <r>
      <rPr>
        <sz val="10"/>
        <color theme="1"/>
        <rFont val="Calibri"/>
        <family val="2"/>
        <scheme val="minor"/>
      </rPr>
      <t xml:space="preserve">: Djekic et al. (2014), Ecoinvent (2018) using activity data for Calcium chloride: “Market for calcium chloride” global data. For saltpeter: “Calcium nitrate production” data for Europe. For salt: “Sodium chloride production, powder”, data for Europe. For nitric acid: “Nitric acid production, product in 50% solution state”, data for Europe. For sodium hydroxide: “Sodium hydroxide to generic market for neutralising agent”, global data., Berlin (2002)
</t>
    </r>
    <r>
      <rPr>
        <b/>
        <sz val="10"/>
        <color theme="1"/>
        <rFont val="Calibri"/>
        <family val="2"/>
        <scheme val="minor"/>
      </rPr>
      <t>Milk powder</t>
    </r>
    <r>
      <rPr>
        <sz val="10"/>
        <color theme="1"/>
        <rFont val="Calibri"/>
        <family val="2"/>
        <scheme val="minor"/>
      </rPr>
      <t>: Flysjö et al. (2014)</t>
    </r>
  </si>
  <si>
    <t>*Dessert cheese assumed the same as hard cheese</t>
  </si>
  <si>
    <t>**Crème fraiche assumed the same as yougurt</t>
  </si>
  <si>
    <t>Input data fish and seafood</t>
  </si>
  <si>
    <t xml:space="preserve">Input data for wild-caught and farmed seafood </t>
  </si>
  <si>
    <t>Fish species, share of Swedish market (fraction)</t>
  </si>
  <si>
    <t>Gear type</t>
  </si>
  <si>
    <t>Gear use (fractions)</t>
  </si>
  <si>
    <t>Fishing countries</t>
  </si>
  <si>
    <t>Diesel use, liter/kg landed catch</t>
  </si>
  <si>
    <t>Edible yield (fraction of whole weight)</t>
  </si>
  <si>
    <t>Feed consumption/kg farmed fish</t>
  </si>
  <si>
    <t>Aquaculture</t>
  </si>
  <si>
    <r>
      <rPr>
        <b/>
        <sz val="10"/>
        <color theme="1"/>
        <rFont val="Calibri"/>
        <family val="2"/>
        <scheme val="minor"/>
      </rPr>
      <t>Share of Swedish market, production system and fishing countries</t>
    </r>
    <r>
      <rPr>
        <sz val="10"/>
        <color theme="1"/>
        <rFont val="Calibri"/>
        <family val="2"/>
        <scheme val="minor"/>
      </rPr>
      <t>: Ziegler &amp; Bergman (2017)</t>
    </r>
  </si>
  <si>
    <r>
      <rPr>
        <b/>
        <sz val="10"/>
        <color theme="1"/>
        <rFont val="Calibri"/>
        <family val="2"/>
        <scheme val="minor"/>
      </rPr>
      <t>Gear type for wild-caught fish</t>
    </r>
    <r>
      <rPr>
        <sz val="10"/>
        <color theme="1"/>
        <rFont val="Calibri"/>
        <family val="2"/>
        <scheme val="minor"/>
      </rPr>
      <t>: Cod, herring, saithe, European plaice and hoki: Ziegler, F., pers. comm. (2017). Mackerel: Winther et al. (2009). Northern Prawn and Alaska pollock: WWF (n.d.)</t>
    </r>
  </si>
  <si>
    <t>Wild-caught</t>
  </si>
  <si>
    <t>Bottom trawl</t>
  </si>
  <si>
    <r>
      <rPr>
        <b/>
        <sz val="10"/>
        <color theme="1"/>
        <rFont val="Calibri"/>
        <family val="2"/>
        <scheme val="minor"/>
      </rPr>
      <t xml:space="preserve">Diesel use: </t>
    </r>
    <r>
      <rPr>
        <sz val="10"/>
        <color theme="1"/>
        <rFont val="Calibri"/>
        <family val="2"/>
        <scheme val="minor"/>
      </rPr>
      <t>Pelagic trawl for saithe: Parker &amp; Tyedmers (2015). All others: Parker et al. (2018)</t>
    </r>
  </si>
  <si>
    <t>Autoline</t>
  </si>
  <si>
    <r>
      <rPr>
        <b/>
        <sz val="10"/>
        <color theme="1"/>
        <rFont val="Calibri"/>
        <family val="2"/>
        <scheme val="minor"/>
      </rPr>
      <t>Edible yield:</t>
    </r>
    <r>
      <rPr>
        <sz val="10"/>
        <color theme="1"/>
        <rFont val="Calibri"/>
        <family val="2"/>
        <scheme val="minor"/>
      </rPr>
      <t xml:space="preserve"> Cod: Ziegler &amp; Bergman (2017). Pangasius: Ziegler F., pers. comm. (2017). All others: FAO (1989)</t>
    </r>
  </si>
  <si>
    <t>Pelagic trawl</t>
  </si>
  <si>
    <r>
      <rPr>
        <b/>
        <sz val="10"/>
        <color theme="1"/>
        <rFont val="Calibri"/>
        <family val="2"/>
        <scheme val="minor"/>
      </rPr>
      <t>Feed consumption</t>
    </r>
    <r>
      <rPr>
        <sz val="10"/>
        <color theme="1"/>
        <rFont val="Calibri"/>
        <family val="2"/>
        <scheme val="minor"/>
      </rPr>
      <t>: Salmon: Hognes et al. (2014). Pangasius: Henriksson et al. (2014)</t>
    </r>
  </si>
  <si>
    <t>Purse seine</t>
  </si>
  <si>
    <t>Trolling line</t>
  </si>
  <si>
    <t xml:space="preserve">United States </t>
  </si>
  <si>
    <t>Norway, Iceland</t>
  </si>
  <si>
    <t>Beam trawl</t>
  </si>
  <si>
    <t xml:space="preserve">Hoki </t>
  </si>
  <si>
    <t>Other fish species</t>
  </si>
  <si>
    <t>Average of other wild-caught</t>
  </si>
  <si>
    <t>Average of other farmed</t>
  </si>
  <si>
    <t>Diesel use for pelagic trawl for saithe is an average of records of Oceania and North America due to few records of Europe from Parker and Tyedmers (2015)</t>
  </si>
  <si>
    <t>Diesel use for beam trawl for European plaice is assumed the same as bottom trawl based on Parker et al. (2018)</t>
  </si>
  <si>
    <t>Edible yield of hoki is approximated with European hake based on FAO (1989)</t>
  </si>
  <si>
    <t>Feed consumption for rainbow trout is approximated with salmon based on Hognes et al. (2014)</t>
  </si>
  <si>
    <t xml:space="preserve">The majority of the roe is derived from cod fish (Ziegler, F., pers. comm. 2017) and cod roe is therefore used for the calculations of the climate impact. </t>
  </si>
  <si>
    <t>Emissions diesel fuel for vessels*</t>
  </si>
  <si>
    <t>kg CO2/liter diesel</t>
  </si>
  <si>
    <t>kg CH4/liter diesel</t>
  </si>
  <si>
    <t>Parker et al. (2018)</t>
  </si>
  <si>
    <t>kg N2O/liter diesel</t>
  </si>
  <si>
    <t>*Includes a life-cycle perspective of the diesel, e.g. mining, processing and burning</t>
  </si>
  <si>
    <t>Emission factors from storage of fish at vessels using R-22</t>
  </si>
  <si>
    <t>Pelagic vessels*</t>
  </si>
  <si>
    <t>Demersal vessels**</t>
  </si>
  <si>
    <t xml:space="preserve"> kg HCFC-22/kg landed fish</t>
  </si>
  <si>
    <t>Winther et al. (2009)</t>
  </si>
  <si>
    <t>*Includes herring and mackerel</t>
  </si>
  <si>
    <t>**Includes cod, saithe, Northern prawn and European plaice</t>
  </si>
  <si>
    <t xml:space="preserve">Alaska pollock and hoki and are assumed to be semi-pelagic and are calculated as an average of the pelagic and demersal fleets </t>
  </si>
  <si>
    <t>Emission factors aquaculture systems</t>
  </si>
  <si>
    <t>Rainbow trout</t>
  </si>
  <si>
    <t>Fry and fingerling production</t>
  </si>
  <si>
    <t>kg CO2e/kg fish produced</t>
  </si>
  <si>
    <r>
      <rPr>
        <b/>
        <sz val="10"/>
        <color theme="1"/>
        <rFont val="Calibri"/>
        <family val="2"/>
        <scheme val="minor"/>
      </rPr>
      <t xml:space="preserve">Salmon: </t>
    </r>
    <r>
      <rPr>
        <sz val="10"/>
        <color theme="1"/>
        <rFont val="Calibri"/>
        <family val="2"/>
        <scheme val="minor"/>
      </rPr>
      <t xml:space="preserve">Hognes et al. (2014). </t>
    </r>
    <r>
      <rPr>
        <b/>
        <sz val="10"/>
        <color theme="1"/>
        <rFont val="Calibri"/>
        <family val="2"/>
        <scheme val="minor"/>
      </rPr>
      <t>Pangasius:</t>
    </r>
    <r>
      <rPr>
        <sz val="10"/>
        <color theme="1"/>
        <rFont val="Calibri"/>
        <family val="2"/>
        <scheme val="minor"/>
      </rPr>
      <t xml:space="preserve"> Henriksson et al. (2014)</t>
    </r>
  </si>
  <si>
    <t>Electricty use fish farming</t>
  </si>
  <si>
    <t>Values for rainbow trout are approximated with salmon based on Hognes et al. (2014)</t>
  </si>
  <si>
    <t>Emissions and resource use from feed production</t>
  </si>
  <si>
    <t>Greenhouse gas emissions</t>
  </si>
  <si>
    <t>Emissions from energy use and mineral fertilizer production</t>
  </si>
  <si>
    <r>
      <rPr>
        <b/>
        <sz val="10"/>
        <color theme="1"/>
        <rFont val="Calibri"/>
        <family val="2"/>
        <scheme val="minor"/>
      </rPr>
      <t>Salmon</t>
    </r>
    <r>
      <rPr>
        <sz val="10"/>
        <color theme="1"/>
        <rFont val="Calibri"/>
        <family val="2"/>
        <scheme val="minor"/>
      </rPr>
      <t xml:space="preserve">: Hognes et al. (2014). </t>
    </r>
    <r>
      <rPr>
        <b/>
        <sz val="10"/>
        <color theme="1"/>
        <rFont val="Calibri"/>
        <family val="2"/>
        <scheme val="minor"/>
      </rPr>
      <t>Pangasius</t>
    </r>
    <r>
      <rPr>
        <sz val="10"/>
        <color theme="1"/>
        <rFont val="Calibri"/>
        <family val="2"/>
        <scheme val="minor"/>
      </rPr>
      <t>: Henriksson et al. (2014)</t>
    </r>
  </si>
  <si>
    <t>kg CO2/kg feed</t>
  </si>
  <si>
    <t>Fractions between emission sources based on the share for grains with calculations with this model.</t>
  </si>
  <si>
    <t>kg CH4/kg feed</t>
  </si>
  <si>
    <t>kg N2O/kg feed</t>
  </si>
  <si>
    <t>Other environmental pressures</t>
  </si>
  <si>
    <t>Soy protein</t>
  </si>
  <si>
    <t>Feed composition of farmed fish (fractions)</t>
  </si>
  <si>
    <r>
      <rPr>
        <b/>
        <sz val="10"/>
        <color theme="1"/>
        <rFont val="Calibri"/>
        <family val="2"/>
        <scheme val="minor"/>
      </rPr>
      <t>Salmon:</t>
    </r>
    <r>
      <rPr>
        <sz val="10"/>
        <color theme="1"/>
        <rFont val="Calibri"/>
        <family val="2"/>
        <scheme val="minor"/>
      </rPr>
      <t xml:space="preserve"> Hognes et al. (2014). </t>
    </r>
    <r>
      <rPr>
        <b/>
        <sz val="10"/>
        <color theme="1"/>
        <rFont val="Calibri"/>
        <family val="2"/>
        <scheme val="minor"/>
      </rPr>
      <t>Pangasius:</t>
    </r>
    <r>
      <rPr>
        <sz val="10"/>
        <color theme="1"/>
        <rFont val="Calibri"/>
        <family val="2"/>
        <scheme val="minor"/>
      </rPr>
      <t xml:space="preserve"> Henriksson et al. (2014)</t>
    </r>
  </si>
  <si>
    <t>Sunflower meal is approximated with rapeseed meal for estimations of soil carbon changes</t>
  </si>
  <si>
    <t>Electricity use in processing of fish</t>
  </si>
  <si>
    <t xml:space="preserve"> kWh/kg fish</t>
  </si>
  <si>
    <t>Electricity mix for processing of fish (fractions of each mix used)</t>
  </si>
  <si>
    <t>European electricity mix</t>
  </si>
  <si>
    <t>SS (2017a), Ziegler &amp; Bergman (2017)</t>
  </si>
  <si>
    <t>Country/region of origin for transportation to Sweden, fractions</t>
  </si>
  <si>
    <t>Nordic countries</t>
  </si>
  <si>
    <t xml:space="preserve">Parts of the fish caught by Norwegian fishing fleets is transported to Asia to be filleted and is later sent to Sweden. The process is more efficient as regards the yield output as the filleting is carried out manually but requires transportation and storage with refrigeration onboard the ocean ships (Winther et al., 2009, KRAV, 2010). Here, it is assumed that the increase in yield output equals the climate impact from the transportation. </t>
  </si>
  <si>
    <t>Input data plant-based products</t>
  </si>
  <si>
    <t>Climate impact, additional products</t>
  </si>
  <si>
    <t>Characterization factors for calculations of potential species loss for intensive cropland use (Chaudhary and Brooks, 2018). Factors for Rest of Europé or Rest of the world are calculated as an average of other production countries.</t>
  </si>
  <si>
    <t>FARM-GATE</t>
  </si>
  <si>
    <t>RETAIL-GATE</t>
  </si>
  <si>
    <t>CONSUMER</t>
  </si>
  <si>
    <t>Yield (kg/ha)</t>
  </si>
  <si>
    <t>Nitrogen mineral fertilizer application rate (kg N/ha)****</t>
  </si>
  <si>
    <t>Nitrogen organic fertilizer application rate (kg N/ha)****</t>
  </si>
  <si>
    <t>Nitrogen in crop residues (kg nitrogen/ha)*****</t>
  </si>
  <si>
    <t>Ratioabovegroundtoyield</t>
  </si>
  <si>
    <t>Fracremoved</t>
  </si>
  <si>
    <t>Naboveground</t>
  </si>
  <si>
    <t>Ratiobelowgroundaboveground</t>
  </si>
  <si>
    <t>Nitrogenbelowground</t>
  </si>
  <si>
    <t>Dry matter fraction of harvested product</t>
  </si>
  <si>
    <t>Fracrenew</t>
  </si>
  <si>
    <t>Diesel use machinery (l/ha)******</t>
  </si>
  <si>
    <t>Phosphorus application rate, kg P/ha</t>
  </si>
  <si>
    <t>Blue freshwater use, m3/kg</t>
  </si>
  <si>
    <t>Pesticide use, kg active ingredient/ha</t>
  </si>
  <si>
    <t>Conversion factor for additional waste and losses after retail-gate</t>
  </si>
  <si>
    <t>Production country, production system and share of Swedish market</t>
  </si>
  <si>
    <t>Mineral and organic fertilizer application rate</t>
  </si>
  <si>
    <t>Nitrogen in crop residues</t>
  </si>
  <si>
    <t>Blue freshwater use</t>
  </si>
  <si>
    <t>Characterization factors for calculations of extinction rate</t>
  </si>
  <si>
    <t>Data on greenhouse gas emissions (if not calculated in this file)</t>
  </si>
  <si>
    <t>Total, kg CO2e/kg</t>
  </si>
  <si>
    <t>FAO (2021), average 2013-2017, SBA (2021), average 2013-2017</t>
  </si>
  <si>
    <t>SBA (2021), average 2013-2017</t>
  </si>
  <si>
    <t>SS (2014; 2017; 2020)</t>
  </si>
  <si>
    <t>IPCC (2019), Fraction removed in harvest from NIR (2020)</t>
  </si>
  <si>
    <t>Baky et al. (2010)</t>
  </si>
  <si>
    <t>Mekonnen &amp; Hoekstra (2011)</t>
  </si>
  <si>
    <t>SS (2011; 2018)</t>
  </si>
  <si>
    <t>Chaudhary and Brooks (2018)</t>
  </si>
  <si>
    <t>SS (2021), average 2013-2017</t>
  </si>
  <si>
    <t>FAO (2021), average 2013-2017</t>
  </si>
  <si>
    <t>International Fertilizer Industry Association et al. (2002)</t>
  </si>
  <si>
    <t>IPCC (2019), Fraction removed in harvest assumed to be 0</t>
  </si>
  <si>
    <t>Lassaletta et al. (2014)</t>
  </si>
  <si>
    <t>Ecoinvent version 3.6 (2019), "Rice production, non-basmati, RoW"</t>
  </si>
  <si>
    <t>Eurostat (2007)</t>
  </si>
  <si>
    <t>Ecoinvent version 3.6 (2019), "Rice production, RoW"</t>
  </si>
  <si>
    <t>Miljø- og Fødevareministeriet (2012; 2013; 2014; 2015)</t>
  </si>
  <si>
    <t>IPCC (2019). Fraction removed in harvest assumed the same as Sweden</t>
  </si>
  <si>
    <t>Ecoinvent version 3.6 (2019), "Potato production, RoW"</t>
  </si>
  <si>
    <t>IPCC (2019)</t>
  </si>
  <si>
    <t>FAO (2021), SBA (2021), average 2013-2017</t>
  </si>
  <si>
    <t>IPCC (2019). Fraction removed in harvest from NIR (2020)</t>
  </si>
  <si>
    <t>Ecoinvent version 3.6 (2019), "Rape seed production, RoW"</t>
  </si>
  <si>
    <t>Landbrugsstyrelsen (2014; 2015; 2016; 2017; 2018), average 2013-2017</t>
  </si>
  <si>
    <t>Röös &amp; Karlsson (2013)</t>
  </si>
  <si>
    <t>FAO (2021), average 2013-2017, Eurostat (2021), average 2013-2017</t>
  </si>
  <si>
    <t>Ecoinvent version 3.6 (2019), "Tomato production in heated greenhouse, the Netherlands"</t>
  </si>
  <si>
    <t>Greenhouse**</t>
  </si>
  <si>
    <t>Mapama (n.d.)</t>
  </si>
  <si>
    <t>Ecoinvent version 3.6 (2019), "Tomato production in unheated greenhouse, RoW"</t>
  </si>
  <si>
    <t>Ecoinvent version 3.6 (2019), "Tomato production, fresh grade, open field, RoW"</t>
  </si>
  <si>
    <t>Average of other countries with open-field production</t>
  </si>
  <si>
    <t>SBA (2016c), SBA (2021), average 2011-2015</t>
  </si>
  <si>
    <t>SBA (2021), average 2011-2015</t>
  </si>
  <si>
    <t>Davis et al. (2011)</t>
  </si>
  <si>
    <t>Marmolin &amp; Björkholm (n.d.), Björkholm, A-M., pers. comm. (2019)</t>
  </si>
  <si>
    <t>SS (2021), average 2011-2015</t>
  </si>
  <si>
    <t>FAO (2021), average 2011-2015</t>
  </si>
  <si>
    <t>Ecoinvent version 3.5 (2018), "Cucumber production, global" (Greenhouse production)</t>
  </si>
  <si>
    <t>SS (2021), average 2011-2015, Mapama (2012-2016), average 2011-2015</t>
  </si>
  <si>
    <t>FAO (2021), average 2011-2015, Eurostat (2021), average 2011-2015</t>
  </si>
  <si>
    <t>Marmolin &amp; Björkholm (n.d.)</t>
  </si>
  <si>
    <t>Ecoinvent version 3.5 (2018), "Iceberg lettuce production, Global"</t>
  </si>
  <si>
    <t>Andersson, P., pers. comm. (2018)</t>
  </si>
  <si>
    <t>Andersson, P., pers. comm. (2018), average 2013-2017</t>
  </si>
  <si>
    <t>Average of other countries</t>
  </si>
  <si>
    <t>SBA (2016c), average 2011-2015</t>
  </si>
  <si>
    <t>Båth (2015)</t>
  </si>
  <si>
    <t>Ecoinvent version 3.5 (2018), "Carrot production, RoW"</t>
  </si>
  <si>
    <t>Ecoinvent version 3.6 (2019), "Onion production, RoW"</t>
  </si>
  <si>
    <t>Ecoinvent version 3.5 (2018), "White cabbage production, Global"</t>
  </si>
  <si>
    <t>Ecoinvent version 3.5 (2018), "Cauliflower production, Global"</t>
  </si>
  <si>
    <t>Magnusson (1995)</t>
  </si>
  <si>
    <t>Ecoinvent version 3.5 (2018), "Broccoli production, Global"</t>
  </si>
  <si>
    <t>SS (2021), average 2011-2015, CBS (2017), average 2011-2015</t>
  </si>
  <si>
    <t>Ecoinvent version 3.5 (2018), "Green bell pepper production, Global"</t>
  </si>
  <si>
    <t>SBA (2004)</t>
  </si>
  <si>
    <t>SBA (2011)</t>
  </si>
  <si>
    <t>Ecoinvent version 3.6 (2019), "Apple production, Italy"</t>
  </si>
  <si>
    <t>Ecoinvent version 3.6 (2019), "Apple production, RoW"</t>
  </si>
  <si>
    <t>Ecoinvent version 3.5 (2018)</t>
  </si>
  <si>
    <t>Ecoinvent version 3.6 (2019), "Banana production, Costa Rica"</t>
  </si>
  <si>
    <t>Ecoinvent version 3.6 (2019), "Banana production, Ecuador"</t>
  </si>
  <si>
    <t>Ecoinvent version 3.6 (2019), "Banana production, RoW"</t>
  </si>
  <si>
    <t>Ecoinvent version 3.6 (2019), "Banana production, Global"</t>
  </si>
  <si>
    <t>Ecoinvent version 3.5 (2018), "Melon production, Global"</t>
  </si>
  <si>
    <t>Aguilera et al. (2015a)</t>
  </si>
  <si>
    <t>Ecoinvent version 3.5 (2018), "Pear production, Belgium"</t>
  </si>
  <si>
    <t>Ecoinvent version 3.5 (2018), "Pear production, RoW"</t>
  </si>
  <si>
    <t>Aguilera et al. (2015b)</t>
  </si>
  <si>
    <t>Ecoinvent version 3.6 (2019), "Lemon production, RoW"</t>
  </si>
  <si>
    <t>Ecoinvent version 3.5 (2018), "Strawberry production, open field, macro tunnel, RoW"</t>
  </si>
  <si>
    <t>Ecoinvent version 3.5 (2018), "Strawberry production, in heated greenhouse, RoW"</t>
  </si>
  <si>
    <t>Nilsson (2011)</t>
  </si>
  <si>
    <t>Ecoinvent version 3.5 (2018), "Avocado production, Global"</t>
  </si>
  <si>
    <t>Ecoinvent version 3.6 (2019), "Avocado production, Global"</t>
  </si>
  <si>
    <t>Chaudhary and Brooks (2018), for Mexico as largest production country based on FAO (2021)</t>
  </si>
  <si>
    <t>Stoessel et al. (2012)</t>
  </si>
  <si>
    <t>Mithraratne et al. (2008)</t>
  </si>
  <si>
    <t>Ecoinvent version 3.5 (2018), "Kiwi production, Global"</t>
  </si>
  <si>
    <t>Ecoinvent version 3.6 (2019), "Kiwi production, Global"</t>
  </si>
  <si>
    <t>Ecoinvent version 3.6 (2019), "Orange production, fresh grade, RoW"</t>
  </si>
  <si>
    <t>FAO (2021), based on largest world producers 2013-2017</t>
  </si>
  <si>
    <t>Ecoinvent version 3.6 (2019), "Cocoa bean production, sun-dried, Ivory Coast"</t>
  </si>
  <si>
    <t>National Food Agency, Sweden (n.d.), Recanati et al. (2018)</t>
  </si>
  <si>
    <t>Ecoinvent version 3.6 (2019), "Cocoa bean production, sun-dried, Ghana"</t>
  </si>
  <si>
    <t>Ecoinvent version 3.6 (2019), "Cocoa bean production, sun-dried, Indonesia"</t>
  </si>
  <si>
    <t>Coltro et al. (2006), Rodrigues et al. (2010)</t>
  </si>
  <si>
    <t>Ecoinvent version 3.6 (2019), "Coffee green bean production, arabica, Brazil"</t>
  </si>
  <si>
    <t>Ecoinvent version 3.6 (2019), "Coffee green bean production, arabica, RoW"</t>
  </si>
  <si>
    <t>Ecoinvent version 3.6 (2019), "Olive production, Spain"</t>
  </si>
  <si>
    <t xml:space="preserve"> SS (2021), average 2013-2017</t>
  </si>
  <si>
    <t>Ecoinvent version 3.6 (2019), "Olive production, Italy"</t>
  </si>
  <si>
    <t>Ecoinvent version 3.6 (2019), "Olive production, RoW"</t>
  </si>
  <si>
    <t>Ecoinvent version 3.6 (2019), "Grape production, GLO"</t>
  </si>
  <si>
    <t>Ecoinvent version 3.6 (2019), "Peanut production, RoW"</t>
  </si>
  <si>
    <t>Ecoinvent version 3.6 (2019), "Tea production, dried, China"</t>
  </si>
  <si>
    <t>Ecoinvent version 3.6 (2019), "Tea production, dried, India"</t>
  </si>
  <si>
    <t>Ecoinvent version 3.6 (2019), "Tea production, dried, RoW"</t>
  </si>
  <si>
    <t>Ecoinvent version 3.6 (2019), "Almond production, US"</t>
  </si>
  <si>
    <t>Ecoinvent version 3.6 (2019), "Almond production, RoW"</t>
  </si>
  <si>
    <t>No data, average of other production countries</t>
  </si>
  <si>
    <t>Ecoinvent version 3.6 (2019), "Soybean production, United States"</t>
  </si>
  <si>
    <t>Ecoinvent version 3.6 (2019), average of "Soybean production, BR-GO", "Soybean production, BR-MS", "Soybean production, BR-MT", "Soybean production, BR-PR", "Soybean production, BR-RS"</t>
  </si>
  <si>
    <t>Ecoinvent version 3.6 (2019), "Soybean production, Argentina"</t>
  </si>
  <si>
    <t>Ecoinvent version 3.6 (2019), "Soybean production, RoW"</t>
  </si>
  <si>
    <t>Ecoinvent version 3.6 (2019), "Maize grain production, RoW"</t>
  </si>
  <si>
    <t>Philipines</t>
  </si>
  <si>
    <t>Ecoinvent version 3.6 (2019), "Coconut production, dehusked, Philipines"</t>
  </si>
  <si>
    <t>Ecoinvent version 3.6 (2019), "Coconut production, dehusked, Indonesia"</t>
  </si>
  <si>
    <t>Ecoinvent version 3.6 (2019), "Coconut production, dehusked, Rest of the world"</t>
  </si>
  <si>
    <t>Ecoinvent version 3.6 (2019), "Sesame seed production, India"</t>
  </si>
  <si>
    <t>Ecoinvent version 3.6 (2019), "Sesame seed production, Rest of the world"</t>
  </si>
  <si>
    <t>Ecoinvent version 3.6 (Ecoinvent centre, 2019). "Palm fruit bunch production, RoW"</t>
  </si>
  <si>
    <t>Ecoinvent version 3.6 (Ecoinvent centre, 2019). "Palm fruit bunch production, Indonesia"</t>
  </si>
  <si>
    <t>Ecoinvent version 3.6 (2019), "Palm fruit bunch production, Rest of the world"</t>
  </si>
  <si>
    <t>Ecoinvent version 3.6 (2019), "Coconut production, dehusked, India"</t>
  </si>
  <si>
    <t>Ecoinvent 3.6, "Maize grain production, Rest of the world"</t>
  </si>
  <si>
    <t>Ecoinvent version 3.6 (2019), "Pineapple production, Global"</t>
  </si>
  <si>
    <t>Ecoinvent version 3.6 (2019), "Palm date production, RoW"</t>
  </si>
  <si>
    <t>Ecoinvent version 3.5 (2018), "Peach production, Spain"</t>
  </si>
  <si>
    <t xml:space="preserve">Italy </t>
  </si>
  <si>
    <t>Ecoinvent version 3.5 (2018), "Peach production, Italy"</t>
  </si>
  <si>
    <t>Ecoinvent version 3.5 (2018), "Peach production, RoW"</t>
  </si>
  <si>
    <t>Honey</t>
  </si>
  <si>
    <t>In hives</t>
  </si>
  <si>
    <t>Alfsdotter, A-S., pers. comm. (2019), average 2013-2017</t>
  </si>
  <si>
    <t>Kendall et al. (2013)</t>
  </si>
  <si>
    <t>European Commission (n.d.), average 2013-2017</t>
  </si>
  <si>
    <t>Spices and herbs</t>
  </si>
  <si>
    <t>Dill</t>
  </si>
  <si>
    <t>Landqvist and Woodhouse (2015)</t>
  </si>
  <si>
    <t>Parsley</t>
  </si>
  <si>
    <t>Dry chillies and peppers, ginger and spices</t>
  </si>
  <si>
    <t>Salt</t>
  </si>
  <si>
    <t>Ecoinvent version 3.5 (2018) "Sodium chloride production, powder, RoW"</t>
  </si>
  <si>
    <t xml:space="preserve">*Strawberry production Rest of Europe, greenhouses is calculated based on the production in the Netherlands as the Netherlands is a major exporter to Sweden and due to lack of other input data. </t>
  </si>
  <si>
    <t>**In Spain, greenhouses are simple plastic roof greenhouses which are unheated (Mapama, 2012; 2013; 2014; 2015; 2016, Montero et al., 2016).</t>
  </si>
  <si>
    <t>****When input data of fertilizer application rates have been collected from other sources than national statistics, the rates are adjusted to yield.</t>
  </si>
  <si>
    <t xml:space="preserve">*****Crop residues for crops grown in greenhouses are not accounted for. Crop residues from fruits left in orchards are assumed to be negligible as fruits generally have a low content of nitrogen (National Food Agency, n.d.). </t>
  </si>
  <si>
    <t xml:space="preserve">******Diesel fuel is used as default fuel in machinery based on Swedish Energy Agency (2014). </t>
  </si>
  <si>
    <t>Input data is calculated as an average 2011-2015 for the share of Swedish market, yield and fertilizer application rate when data is derived from national or official statistics</t>
  </si>
  <si>
    <t>Emission factor field application of nitrogen</t>
  </si>
  <si>
    <t>Direct emissions*</t>
  </si>
  <si>
    <t>kg N2O-N per kg N applied to crops</t>
  </si>
  <si>
    <t>Direct emissions from N additions from mineral fertilizer in wet climates</t>
  </si>
  <si>
    <t>Direct emissions from N additions from organic fertilizer and crop residues in wet climates</t>
  </si>
  <si>
    <t>Direct emissions from N additions in dry climates</t>
  </si>
  <si>
    <t>Indirect emissions**</t>
  </si>
  <si>
    <t>kg N2O per kg direct N2O emissions</t>
  </si>
  <si>
    <t>*Default emission factor from IPCC (2019) used for mixed climate types.</t>
  </si>
  <si>
    <t>**Assumption due to data limitations regarding nitrogen leaching from soils in different regions.</t>
  </si>
  <si>
    <t>Energy requirement and conversion factors for processing</t>
  </si>
  <si>
    <t>Drying, demand of oil, liter/kg of dried product</t>
  </si>
  <si>
    <t>Drying, demand of electricity, kWh/kg of dried product</t>
  </si>
  <si>
    <t>Drying, demand of wood, kWh/kg of dried product</t>
  </si>
  <si>
    <t>Milling, demand of oil, liter/kg of milled product</t>
  </si>
  <si>
    <t>Milling, demand of electricity, kWh/kg of milled product</t>
  </si>
  <si>
    <t>Pressing, demand of natural gas, kWh/kg pressed product</t>
  </si>
  <si>
    <t>Pressing, demand of biofuel, kWh/kg pressed product</t>
  </si>
  <si>
    <t>Refining sugar beet to sugar and other products, demand of oil, kWh/kg sugar beet</t>
  </si>
  <si>
    <t>Refining sugar beet to sugar and other products, demand of natural gas, kWh/kg sugar beet</t>
  </si>
  <si>
    <t>Refining sugar beet to sugar and other products, demand of electricity, kWh/kg sugar beet</t>
  </si>
  <si>
    <t>Refining sugar beet to sugar and other products, demand of biofuel, kWh/kg sugar beet</t>
  </si>
  <si>
    <t>Amount needed to obtain 1 kg after drying</t>
  </si>
  <si>
    <t>Amount needed to obtain 1 kg after milling/peeling</t>
  </si>
  <si>
    <t>Energy demand</t>
  </si>
  <si>
    <t>Moisture content before and after drying</t>
  </si>
  <si>
    <t>Amount needed to obtain 1 kg after milling</t>
  </si>
  <si>
    <t>SBA (2010a), Edström et al. (2005), Flysjö et al. (2008)</t>
  </si>
  <si>
    <r>
      <t>Beans (</t>
    </r>
    <r>
      <rPr>
        <sz val="11"/>
        <color theme="1"/>
        <rFont val="Calibri"/>
        <family val="2"/>
        <scheme val="minor"/>
      </rPr>
      <t>for human consumption)</t>
    </r>
  </si>
  <si>
    <t>SBA (2010a), Edström et al. (2005)</t>
  </si>
  <si>
    <t>Fusi et al. (2014), Pachanawan et al. (2017)</t>
  </si>
  <si>
    <t>Oil crops</t>
  </si>
  <si>
    <t>SBA (2010a), Edström et al. (2005), Lindh &amp; Neuman (2010)</t>
  </si>
  <si>
    <t>Coltro et al. (2006)</t>
  </si>
  <si>
    <t>Mutua (2000)</t>
  </si>
  <si>
    <t>Chapagain &amp; Hoekstra (2007)</t>
  </si>
  <si>
    <t>Lindh &amp; Neuman (2010)</t>
  </si>
  <si>
    <t>Flysjö et al. (2008), Dansukker Kundforum, pers. comm. (2018)</t>
  </si>
  <si>
    <t>Kongor et al. (2016)</t>
  </si>
  <si>
    <t>FAO (1994a)</t>
  </si>
  <si>
    <t>FAO (1994b)</t>
  </si>
  <si>
    <t>Impact of proccessing of different oil (CO2eq)</t>
  </si>
  <si>
    <t>Soybean Oil</t>
  </si>
  <si>
    <t>Palm Oil</t>
  </si>
  <si>
    <t>Poore &amp; Nemecek (2018)</t>
  </si>
  <si>
    <t>Sunflower Oil</t>
  </si>
  <si>
    <t>Rapeseed Oil</t>
  </si>
  <si>
    <t>Olive Oil</t>
  </si>
  <si>
    <t>Kg needed for oil production, consideration taken for number of liter/kg oil*</t>
  </si>
  <si>
    <t>Rapeseed for rapeseed oil</t>
  </si>
  <si>
    <t>Olives for olive oil</t>
  </si>
  <si>
    <t>Coconuts for coconut oil</t>
  </si>
  <si>
    <t>Maize to maize germ oil</t>
  </si>
  <si>
    <t>Peanuts to peanut oil</t>
  </si>
  <si>
    <t xml:space="preserve">Sesame seed to sesame seed oil </t>
  </si>
  <si>
    <t>Sunflower seed to sunflower seed oil</t>
  </si>
  <si>
    <t>kg/kg*</t>
  </si>
  <si>
    <t>Svensk Raps, pers. comm. (2017), SBA (2010b), Flysjö et al. (2008), RAC tables</t>
  </si>
  <si>
    <t>Set values for industrial processing of crops</t>
  </si>
  <si>
    <t xml:space="preserve">kg CO2/kg product </t>
  </si>
  <si>
    <t>Recanati et al. (2018), Angervall &amp; Sonesson (2011)</t>
  </si>
  <si>
    <t>Input data for crops grown in greenhouses*</t>
  </si>
  <si>
    <t>Production country**</t>
  </si>
  <si>
    <t>Energy requirement in greenhouse (MJ/ha)</t>
  </si>
  <si>
    <t xml:space="preserve">Energy requirement in greenhouse - Wood Chips </t>
  </si>
  <si>
    <t xml:space="preserve">Energy requirement in greenhouse - Pellets &amp; briquettes </t>
  </si>
  <si>
    <t xml:space="preserve">Energy requirement in greenhouse - Other renewable sources </t>
  </si>
  <si>
    <t xml:space="preserve">Energy requirement in greenhouse - District heating </t>
  </si>
  <si>
    <t xml:space="preserve">Energy requirement in greenhouse - Electrical energy </t>
  </si>
  <si>
    <t>Energy requirement in greenhouse - Natural gas</t>
  </si>
  <si>
    <t xml:space="preserve">Energy requirement in greenhouse - Heating oil </t>
  </si>
  <si>
    <t>Energy requirement in greenhouse - Other fossil sources</t>
  </si>
  <si>
    <t>Share of heated greenhouses***</t>
  </si>
  <si>
    <t>Greenhouses - Recirculation of drainage water</t>
  </si>
  <si>
    <t>Resulting emissions, kg CO2/ha</t>
  </si>
  <si>
    <t>Resulting emissions, kg CH4/ha</t>
  </si>
  <si>
    <t>Resulting emissions, kg N2O/ha</t>
  </si>
  <si>
    <t>Energy requirement in greenhouse and energy source</t>
  </si>
  <si>
    <t>SBA (2018)</t>
  </si>
  <si>
    <t>SBA (2015b)</t>
  </si>
  <si>
    <t>Velden &amp; Smit (2012; 2013; 2014; 2015; 2016; 2017; 2018)</t>
  </si>
  <si>
    <t>Stanghellini et al. (2005)</t>
  </si>
  <si>
    <t>Melon****</t>
  </si>
  <si>
    <t>Ecoinvent version 3.5 (2018), "Strawberry production, in heated greenhouse, Rest of the World"</t>
  </si>
  <si>
    <t>*Input data is calculated as an average 2011-2017 for the energy requirement in greenhouses and energy source</t>
  </si>
  <si>
    <t>**Energy consumption for the import countries stated as "Rest of Europe" are calculated as an average of the energy use in  other countries. The only exception is strawberry production where none of the larger export countries produce strawberries in greenhouses. Here, energy consumption is calculated based on data from Ecoinvent version 3.5 (2018) together with the same share of energy sources as in the Netherlands as this country represents the majority of the export of the countries in the group "Rest of Europe".</t>
  </si>
  <si>
    <t>***For Swedish greenhouses. For other countries, data of average energy use is applied.</t>
  </si>
  <si>
    <t>****Input data of energy use calculated with average energy use for the years 2011, 2014 and 2017 for Swedish greenhouses (SBA, 2018)</t>
  </si>
  <si>
    <t>Set values for the climate impact of  electricity use for irrigation of crops grown in open-field and unheated greenhouses*</t>
  </si>
  <si>
    <t>Fruits</t>
  </si>
  <si>
    <t>Other vegetables, root crops, grains and oil crops</t>
  </si>
  <si>
    <t xml:space="preserve">Set values based Ecoinvent version 3.5 (2018): irrigation volumes for crops in "Rest of the world" together with data of electricity use for “Irrigation, Rest of the World". </t>
  </si>
  <si>
    <t xml:space="preserve">*Included for crops grown in open-field. Assumed to be included in the overall energy consumption in greenhouses. For crops grown in unheated greenhouses, electricity use for irrigation is accounted for separately. </t>
  </si>
  <si>
    <t>Input data for rice cultivation</t>
  </si>
  <si>
    <t>Seasonal emission factor kg CH4/kg rice</t>
  </si>
  <si>
    <t>Seasonal emission factor kg CH4/ha</t>
  </si>
  <si>
    <t>Cultivation type - rain fed and deep water, fraction</t>
  </si>
  <si>
    <t>Cultivation type - irrigated, fraction</t>
  </si>
  <si>
    <t>Cultivation type - upland, fraction*</t>
  </si>
  <si>
    <t>Daily emission factor (kg CH4/ha)</t>
  </si>
  <si>
    <t>Scaling factor - rainfed and deep water</t>
  </si>
  <si>
    <t>Scaling factor - irrigated</t>
  </si>
  <si>
    <t>Scaling factor - upland</t>
  </si>
  <si>
    <t>Days of cultivation - rain fed and deep water</t>
  </si>
  <si>
    <t>Days of cultivation - irrigated</t>
  </si>
  <si>
    <t>Emission factors and days of cultivation</t>
  </si>
  <si>
    <t>Cultivation type</t>
  </si>
  <si>
    <t>Ministry of Natural Resources and Environment, Kingdom of Thailand (2021)</t>
  </si>
  <si>
    <t>ISPRA (2017)</t>
  </si>
  <si>
    <t>IPCC (2006), IPCC (2000)</t>
  </si>
  <si>
    <t>Bouman et al. (2007), Maclean (2002)</t>
  </si>
  <si>
    <t>*Rice grown in cultivations upland are assumed to not cause emissions of CH4 as the soils are aerated and do not become flooded for a significant time period (IPCC, 2000).</t>
  </si>
  <si>
    <t>Emissions are calculated as an average 2011-2015 for Italy where national statistics have been used.</t>
  </si>
  <si>
    <t>Additional motivation to processes which have been excluded in the assessment</t>
  </si>
  <si>
    <t>Mineral fertilizer of phosphate and potassium</t>
  </si>
  <si>
    <t xml:space="preserve">Fertilizer is applied mainly as nitrogen in the cultivation of plant-based products whereas smaller amounts of phosphate and potassium is used (SS, 2017) which cause negligible emissions (Berglund et al., 2009). </t>
  </si>
  <si>
    <t>Production of seeds and baby plants</t>
  </si>
  <si>
    <t xml:space="preserve">It is assumed that 200 kg/ha of seeds are required for the production of grains and oil crops (Andersson, 1992) as well as for rice (Blengini and Busto, 2009, Fusi et al., 2014). This has a negligible effect on the overall climate impact of the products and is therefore excluded from the accounting. </t>
  </si>
  <si>
    <t xml:space="preserve">Baby plants are commonly produced in greenhouses for further cultivation of tomato, cucumber, cauliflower, white cabbage, broccoli, iceberg lettuce and leek (Ögren, E., pers. comm., 2017). The production generates emission for e.g. growing substrate and energy for heating. Emissions from the production of baby plants for tomato cultivation has been derived from the World Food LCA database (Ecoinvent, 2016), see table 1. Calculations are based on the climate impact per seedling unit multiplied by amount of seedlings needed for the production of 1 kg. Based on the assumption that the energy requirement for tomato baby plant production is more pronounced than for other field-crops (Hansson, T., pers. comm. 2017) and that these emissions are negligible to the overall climate impact of the tomatoes, the emissions from the production of baby plants has been excluded from the accounting of the climate impact of tomato and the other crops. </t>
  </si>
  <si>
    <t>Table 1. Emissions from the production of baby plants.</t>
  </si>
  <si>
    <t>kg CO2e/kg</t>
  </si>
  <si>
    <t>Ecoinvent (2016). Based on activity “Tomato seedling production in unheated greenhouse, for planting” for each production country or region.</t>
  </si>
  <si>
    <t>Climate impact of pesticide production and application</t>
  </si>
  <si>
    <t>The climate impact from pesticide production and use has a negligible effect on the overall climate impact of the plant-based products and is therefore excluded for the accounting (Table 2 and 3).</t>
  </si>
  <si>
    <t>Emission data of pesticide production is taken from the Ecoinvent database and is accounted for as an aggregated value, see table 2 for emission factor of pesticide production (Ecoinvent, 2016).</t>
  </si>
  <si>
    <t>Application rates of pesticides are shown in Table 3.</t>
  </si>
  <si>
    <t xml:space="preserve">Table 2. Emission factor of pesticide production. </t>
  </si>
  <si>
    <t>kg CO2e/kg pesticide</t>
  </si>
  <si>
    <t>Ecoinvent (2016). Based on activity “Pesticide, unspecified production” global average.</t>
  </si>
  <si>
    <t>Table 3. Application rates of pesticides for the plant-based products included in the study.</t>
  </si>
  <si>
    <t>Pesticide use (kg active ingredient/ha)</t>
  </si>
  <si>
    <t>SS (2011)</t>
  </si>
  <si>
    <t>Ecoinvent (2016)</t>
  </si>
  <si>
    <t>Sweden (greenhouse)</t>
  </si>
  <si>
    <t>The Netherlands (greenhouse)</t>
  </si>
  <si>
    <t>Spain (greenhouse/field grown)</t>
  </si>
  <si>
    <t>Rest of Europe (greenhouse)</t>
  </si>
  <si>
    <t>Sweden (greenhouse/field grown)</t>
  </si>
  <si>
    <t>Abeliotis et al. (2013)</t>
  </si>
  <si>
    <t>SS (2011), Abeliotis et al. (2013)</t>
  </si>
  <si>
    <t>SS (2011), Spruijt &amp; van der Voort (2015)</t>
  </si>
  <si>
    <t>Ecoinvent (2016)*</t>
  </si>
  <si>
    <t>Rest of Europe (Greenhouse/field grown)</t>
  </si>
  <si>
    <t>Belgium (greenhouse)</t>
  </si>
  <si>
    <t>Kiwi</t>
  </si>
  <si>
    <t>*Approximated with tomatoes</t>
  </si>
  <si>
    <t>Storage of food products before and at retailer</t>
  </si>
  <si>
    <t>Longer storage of food products before retail which require refrigeration includes root crops, vegetables and some fruits (Olsson, H., pers. comm, 2017; Swedish Climate Certification for Food, 2009)</t>
  </si>
  <si>
    <t>Furthermore, parts of the seafood consumed in Sweden is transported and sold frozen (Ziegler and Bergman, 2017). Many other foods such as a variety of fruits and vegetables are transported in a cool environment and are later repacked at wholesaler before they are transported to retailer (Swedish Climate Certification for Food, 2009). Based on the Swedish Climate Certification for Food (2009) and Nilsson and Lindberg (2011), set values are developed for the food products which usually are stored during a longer time period and for the share of fish which is transported and stored frozen, see Table 4. The values are based on the use of a Nordic electricity mix. 
Based on the calculations, it is found that emissions resulting from storage of food products before and at retailer are negligible to the overall climate impact and these are therefore excluded from the accounting of the climate impact.</t>
  </si>
  <si>
    <t>Table 4. Set values for the climate impact of food products for storage before retail.</t>
  </si>
  <si>
    <r>
      <t>Fish</t>
    </r>
    <r>
      <rPr>
        <vertAlign val="superscript"/>
        <sz val="10"/>
        <color theme="1"/>
        <rFont val="Calibri"/>
        <family val="2"/>
        <scheme val="minor"/>
      </rPr>
      <t>a</t>
    </r>
    <r>
      <rPr>
        <sz val="10"/>
        <color theme="1"/>
        <rFont val="Calibri"/>
        <family val="2"/>
        <scheme val="minor"/>
      </rPr>
      <t>, root crops</t>
    </r>
    <r>
      <rPr>
        <vertAlign val="superscript"/>
        <sz val="10"/>
        <color theme="1"/>
        <rFont val="Calibri"/>
        <family val="2"/>
        <scheme val="minor"/>
      </rPr>
      <t>b</t>
    </r>
    <r>
      <rPr>
        <sz val="10"/>
        <color theme="1"/>
        <rFont val="Calibri"/>
        <family val="2"/>
        <scheme val="minor"/>
      </rPr>
      <t>, vegetables</t>
    </r>
    <r>
      <rPr>
        <vertAlign val="superscript"/>
        <sz val="10"/>
        <color theme="1"/>
        <rFont val="Calibri"/>
        <family val="2"/>
        <scheme val="minor"/>
      </rPr>
      <t>c</t>
    </r>
    <r>
      <rPr>
        <sz val="10"/>
        <color theme="1"/>
        <rFont val="Calibri"/>
        <family val="2"/>
        <scheme val="minor"/>
      </rPr>
      <t>, legumes, fruits</t>
    </r>
    <r>
      <rPr>
        <vertAlign val="superscript"/>
        <sz val="10"/>
        <color theme="1"/>
        <rFont val="Calibri"/>
        <family val="2"/>
        <scheme val="minor"/>
      </rPr>
      <t>d</t>
    </r>
  </si>
  <si>
    <t>Swedish Climate Certification for Food (2009), Nilsson &amp; Lindberg (2011)</t>
  </si>
  <si>
    <r>
      <t>a</t>
    </r>
    <r>
      <rPr>
        <sz val="10"/>
        <color theme="1"/>
        <rFont val="Calibri"/>
        <family val="2"/>
        <scheme val="minor"/>
      </rPr>
      <t>Cod (60%), mackerel (66%), saithe (60%), Northern prawn (60%), Alaska Pollock (100%), Pangasius (100%), European plaice (80%), hoki (100%) (Ziegler and Bergman, 2017).</t>
    </r>
  </si>
  <si>
    <r>
      <t>b</t>
    </r>
    <r>
      <rPr>
        <sz val="10"/>
        <color theme="1"/>
        <rFont val="Calibri"/>
        <family val="2"/>
        <scheme val="minor"/>
      </rPr>
      <t>Potato, onion, carrot (Olsson, 2017, Swedish Climate Certification for Food, 2009).</t>
    </r>
  </si>
  <si>
    <r>
      <t>c</t>
    </r>
    <r>
      <rPr>
        <sz val="10"/>
        <color theme="1"/>
        <rFont val="Calibri"/>
        <family val="2"/>
        <scheme val="minor"/>
      </rPr>
      <t>Leek, cauliflower, white cabbage, broccoli (Olsson, 2017, Swedish Climate Certification for Food, 2009).</t>
    </r>
  </si>
  <si>
    <r>
      <t>d</t>
    </r>
    <r>
      <rPr>
        <sz val="10"/>
        <color theme="1"/>
        <rFont val="Calibri"/>
        <family val="2"/>
        <scheme val="minor"/>
      </rPr>
      <t>Apples, pears, kiwi, citrus fruits (Olsson, 2017, Swedish Climate Certification for Food, 2009).</t>
    </r>
  </si>
  <si>
    <t>In the following, suggestions are provided on how data for calculations of the climate impact of food on the Swedish market could be updated. The suggestions are based on a report on the climate impact of air travel by the Swedish population (Kamb and Larsson, 2018).</t>
  </si>
  <si>
    <t xml:space="preserve">Ideally, a simplified update of primary data should be made every year. A more comprehensive update should made every five years and it should include all parameters listed below. For each product group, input parameters to the model, main source of data and suggested frequency of update are presented. Suggested initiatives for improvement of each data source are also presented. </t>
  </si>
  <si>
    <t>Main sources of data</t>
  </si>
  <si>
    <t>Suggested update frequency</t>
  </si>
  <si>
    <t xml:space="preserve">Suggested initiative for improvement </t>
  </si>
  <si>
    <t>COMMON TO ALL FOOD CATEGORIES</t>
  </si>
  <si>
    <t>Contact with the industry, European Commission, National Food Agency, LCA papers and reports</t>
  </si>
  <si>
    <t>Every 5 years</t>
  </si>
  <si>
    <t>Create incentives for the industry to share data</t>
  </si>
  <si>
    <t>GWP factors</t>
  </si>
  <si>
    <t>IPCC Assessment Reports</t>
  </si>
  <si>
    <t>When new report is launched</t>
  </si>
  <si>
    <t>Soil carbon factors</t>
  </si>
  <si>
    <t>Calculations with the ICBM (Andrén and Kätterer, 1997)</t>
  </si>
  <si>
    <t>Assess soil carbon changes for several production countries</t>
  </si>
  <si>
    <t>LUC factors</t>
  </si>
  <si>
    <t>Factors retrieved from Henders et al. (2015)</t>
  </si>
  <si>
    <t>Include factors for more products. Create incentives for yearly update of values by e.g. Swedish Environmental Protection Agency.</t>
  </si>
  <si>
    <t xml:space="preserve">Emissions factors for fuels and electricity </t>
  </si>
  <si>
    <t>Report by Swedish research company Värmeforsk (now Energiforsk)</t>
  </si>
  <si>
    <t>Include emissions factors for whole life cycle of fuels in statistics from Swedish Energy Agency (now only available for combustion of fuels)</t>
  </si>
  <si>
    <t>Emissions factors for production of nitrogen fertiliser</t>
  </si>
  <si>
    <t>The industry, Ecoinvent database</t>
  </si>
  <si>
    <t>Type of nitrogen fertiliser applied</t>
  </si>
  <si>
    <t>Swedish Agency for Public Management</t>
  </si>
  <si>
    <t>Yearly</t>
  </si>
  <si>
    <t>Include in statistics on nitrogen application rates</t>
  </si>
  <si>
    <t>Emissions factors for production of capital goods</t>
  </si>
  <si>
    <t>Based on LCA paper</t>
  </si>
  <si>
    <t xml:space="preserve">Emissions factors for packaging </t>
  </si>
  <si>
    <t>Based on LCA reports</t>
  </si>
  <si>
    <t>Emissions factors for transportation</t>
  </si>
  <si>
    <t>Calculations with NTM (n.d.) and report by Swedish Climate Certification for Food (2010)</t>
  </si>
  <si>
    <t>Food waste</t>
  </si>
  <si>
    <t xml:space="preserve">FAO report </t>
  </si>
  <si>
    <t>Establish more detailed statistics. Include better statistics for processed products.</t>
  </si>
  <si>
    <t>Exporting countries and market shares</t>
  </si>
  <si>
    <t>Statistics Sweden</t>
  </si>
  <si>
    <t xml:space="preserve">Yearly </t>
  </si>
  <si>
    <t>Enable better tracing of origin of imported goods</t>
  </si>
  <si>
    <t>MEAT AND EGGS</t>
  </si>
  <si>
    <t>Amount of meat, milk and egg produced</t>
  </si>
  <si>
    <t>Swedish Board of Agriculture, Eurostat, FAOstat</t>
  </si>
  <si>
    <t>Production systems</t>
  </si>
  <si>
    <t>Swedish advisory service (Gårds- och djurhälsan), NIR, LCA papers and reports, other reports</t>
  </si>
  <si>
    <t xml:space="preserve">Establish more detailed statistics </t>
  </si>
  <si>
    <t xml:space="preserve">Emissions factors for feed </t>
  </si>
  <si>
    <t>Calculations with this method, SIK feed database (Flysjö et al., 2008)</t>
  </si>
  <si>
    <t xml:space="preserve">Create initiative to maintain feed database, e.g. by the Swedish Board of Agriculture. </t>
  </si>
  <si>
    <t xml:space="preserve">Enable better tracing of origin of feed ingredients. </t>
  </si>
  <si>
    <t>NIR, LCA reports</t>
  </si>
  <si>
    <t xml:space="preserve">Include statistics in databases run by Swedish Board of Agriculture, Eurostat and FAOstat </t>
  </si>
  <si>
    <t>Feed rations and ingredients</t>
  </si>
  <si>
    <t>Swedish advisory service (Gårds- och djurhälsan), Swedish Board of Agriculture, LCA reports</t>
  </si>
  <si>
    <t>Energy use in animal houses and slaughterhouses</t>
  </si>
  <si>
    <t>Swedish Board of Agriculture, other Swedish advisory service</t>
  </si>
  <si>
    <t xml:space="preserve">Slaughter age </t>
  </si>
  <si>
    <t>Swedish advisory service (Gårds- och djurhälsan), Federation of Swedish Farmers (LRF), NIR, Eurostat, LCA papers and reports</t>
  </si>
  <si>
    <t>Include more detailed statistics in databases run by Swedish Board of Agriculture, Eurostat and FAOstat</t>
  </si>
  <si>
    <t>NIR</t>
  </si>
  <si>
    <t>Yearly (with NIR update)</t>
  </si>
  <si>
    <t>Nitrogen excretion</t>
  </si>
  <si>
    <t>Emissions factors for enteric fermentation</t>
  </si>
  <si>
    <t xml:space="preserve">Emissions factors for manure </t>
  </si>
  <si>
    <t>DAIRY PRODUCTS AND OTHER PROCESSED PRODUCTS</t>
  </si>
  <si>
    <t>Share of ingredients/recipes</t>
  </si>
  <si>
    <t>RAC tables, contact with the industry, LCA papers and reports</t>
  </si>
  <si>
    <t xml:space="preserve">Establish database of recipes or create initiatives for the industry to share data  </t>
  </si>
  <si>
    <t xml:space="preserve">Electricity use for processing </t>
  </si>
  <si>
    <t>Ecoinvent database, LCA papers and reports, contact with the industry</t>
  </si>
  <si>
    <t>Include statistics in databases run by e.g. Swedish Board of Agriculture and Eurostat</t>
  </si>
  <si>
    <t>FISH AND SEAFOOD</t>
  </si>
  <si>
    <t>Landed catch</t>
  </si>
  <si>
    <t>LCA paper</t>
  </si>
  <si>
    <t xml:space="preserve">Develop database, e.g. by the Swedish Agency for Marine and Water Management </t>
  </si>
  <si>
    <t>Fuel use in vessels</t>
  </si>
  <si>
    <t xml:space="preserve">Develop database, e.g. by Swedish Agency for Marine and Water Management </t>
  </si>
  <si>
    <t>Production systems and gear type</t>
  </si>
  <si>
    <t xml:space="preserve">Reports, WWF Fiskguiden </t>
  </si>
  <si>
    <t>Edible yield of fish</t>
  </si>
  <si>
    <t>FAO, reports</t>
  </si>
  <si>
    <t>Feed consumption, feed rations and ingredients</t>
  </si>
  <si>
    <t>LCA papers and reports</t>
  </si>
  <si>
    <t>Emissions factors for storage of fish at vessels using cooling media</t>
  </si>
  <si>
    <t>LCA report</t>
  </si>
  <si>
    <t>Emissions factors and electricity use in aquaculture systems</t>
  </si>
  <si>
    <t>PLANT-BASED PRODUCTS</t>
  </si>
  <si>
    <t>Swedish Board of Agriculture, FAOstat</t>
  </si>
  <si>
    <t>Fertiliser application rates</t>
  </si>
  <si>
    <t>Statistics Sweden, Ecoinvent database, National advisory services</t>
  </si>
  <si>
    <t>Include more detailed statistics in databases run by Swedish Board of Agriculture, Eurostat, FAOstat</t>
  </si>
  <si>
    <t>IPCC, National advisory services</t>
  </si>
  <si>
    <t>Include amount of crop residues left in field in databases run by Swedish Board of Agriculture, Eurostat and FAOstat</t>
  </si>
  <si>
    <t>Diesel use in machinery</t>
  </si>
  <si>
    <t>Swedish Board of Agriculture, National advisory services, Ecoinvent database, LCA papers and reports</t>
  </si>
  <si>
    <t>Include in databases run by Swedish Board of Agriculture, Eurostat and FAOstat</t>
  </si>
  <si>
    <t>Emissions factors for field application of nitrogen</t>
  </si>
  <si>
    <t>IPCC</t>
  </si>
  <si>
    <t>Energy use for heating of greenhouses</t>
  </si>
  <si>
    <t>Swedish Board of Agriculture, National advisory service, Ecoinvent</t>
  </si>
  <si>
    <t>Other energy use on farm</t>
  </si>
  <si>
    <t>Swedish Board of Agriculture, National advisory services, LCA papers</t>
  </si>
  <si>
    <t>Recirculation of drainage water in greenhouses</t>
  </si>
  <si>
    <t>Swedish Board of Agriculture, LCA paper</t>
  </si>
  <si>
    <t>Emissions factors for methane and other data for rice cultivation</t>
  </si>
  <si>
    <t>IPCC, NIR, reports and books</t>
  </si>
  <si>
    <t>Include data on production systems in databases run by Eurostat and FAOstat</t>
  </si>
  <si>
    <t>Eriksson et al. (2016)</t>
  </si>
  <si>
    <t>Saxe (2010)</t>
  </si>
  <si>
    <t>Vázquez-Rowe et al. (2017)</t>
  </si>
  <si>
    <r>
      <t xml:space="preserve">Landqvist, B. and A. Woodhouse, </t>
    </r>
    <r>
      <rPr>
        <i/>
        <sz val="12"/>
        <rFont val="Calibri"/>
        <family val="2"/>
        <scheme val="minor"/>
      </rPr>
      <t>Klimatavtryck av rotfrukter, grönsaker och kryddor: analys av 10 produkter odlade i Sverige</t>
    </r>
    <r>
      <rPr>
        <sz val="12"/>
        <rFont val="Calibri"/>
        <family val="2"/>
        <scheme val="minor"/>
      </rPr>
      <t>. 2015, SIK Institutet för livsmedel och bioteknik.</t>
    </r>
  </si>
  <si>
    <t>Garnett, T., The alcohol we drink and its contribution to the UK’s greenhouse gas emissions: a discussion paper. Centre for Environmental Strategy, University of Surrey, UK, 2007.</t>
  </si>
  <si>
    <r>
      <t xml:space="preserve">Kendall, A., J. Yuan, and S.B. Brodt, </t>
    </r>
    <r>
      <rPr>
        <i/>
        <sz val="12"/>
        <rFont val="Calibri"/>
        <family val="2"/>
        <scheme val="minor"/>
      </rPr>
      <t>Carbon footprint and air emissions inventories for US honey production: case studies.</t>
    </r>
    <r>
      <rPr>
        <sz val="12"/>
        <rFont val="Calibri"/>
        <family val="2"/>
        <scheme val="minor"/>
      </rPr>
      <t xml:space="preserve"> The International Journal of Life Cycle Assessment, 2013. 18(2): p. 392-400.</t>
    </r>
  </si>
  <si>
    <t>FAO, Definition and classification of commodities, 6. OIL-BEARING CROPS AND DERIVED PRODUCTS. 1994a, Food and Agricultural Organization of the United Nations.</t>
  </si>
  <si>
    <t>FAO, Definition and classification of commodities, 5. NUTS AND DERIVED PRODUCTS. 1994b, Food and Agricultural Organization of the United Nations.</t>
  </si>
  <si>
    <t xml:space="preserve">SBA, 2017a. Price Indices and Prices in the Food Sector – Annual and Monthly Statistics – 2017:03. Swedish Board of Agriculture. </t>
  </si>
  <si>
    <t>Moberg, E., Andersson, M.W., Säll, S., Hansson, P.-A. &amp; Röös, E. 2019. Determining the climate impact of food for use in a climate tax—design of a consistent and transparent model. The International Journal of Life Cycle Assessment 24, 1715-1728.</t>
  </si>
  <si>
    <t>Moberg, E., Karlsson Potter, H., Wood, A., Hansson, P.-A. &amp; Röös, E. 2020. Benchmarking the Swedish diet relative to global and national environmental targets—identification of indicator limitations and data gaps. Sustainability 12, 1407.</t>
  </si>
  <si>
    <t>Moberg, E., Säll, S. Hansson, P.-A. &amp; Röös, E. 2021. Environmental effects on a climate tax of food—identification of synergies and goal conflicts. Food Policy 101, 102090.</t>
  </si>
  <si>
    <t xml:space="preserve">Wood, A., Moberg, E., Curi- Quinto, K.,  Van Rysselberge, P. &amp; Röös, E. From “good for people” to “good for people and planet” - a framework to develop environmentally sustainable food based dietary guidelines. In revision.
</t>
  </si>
  <si>
    <t>SS (2018). Växtskyddsmedel i jord- och trädgårdsbruket 2010. Användning i grödor. Plant protection products in agriculture and horticulture. Use in crops. Statistics Sweden.</t>
  </si>
  <si>
    <t>SS (2011). Växtskyddsmedel i jord- och trädgårdsbruket 2010. Användning i grödor. Plant protection products in agriculture and horticulture. Use in crops. Statistics Sweden.</t>
  </si>
  <si>
    <t>Eurostat (2007). The use of plant protection products in the European Union. Data 1992-2003.</t>
  </si>
  <si>
    <t>Landbrugsstyrelsen (2014). Vejledning om gødsknings- og harmoniregler, 2013.</t>
  </si>
  <si>
    <t>Landbrugsstyrelsen (2015). Vejledning om gødsknings- og harmoniregler, 2014.</t>
  </si>
  <si>
    <t>Landbrugsstyrelsen (2016). Vejledning om gødsknings- og harmoniregler, 2015.</t>
  </si>
  <si>
    <t>Landbrugsstyrelsen (2017). Vejledning om gødsknings- og harmoniregler, 2016.</t>
  </si>
  <si>
    <t>Landbrugsstyrelsen (2018). Vejledning om gødsknings- og harmoniregler, 2017.</t>
  </si>
  <si>
    <t xml:space="preserve">INTERNATIONAL FERTILIZER INDUSTRY ASSOCIATION, I., INTERNATIONAL FERTILIZER DEVELOPMENT CENTER, I., INTERNATIONAL POTASH INSTITUTE, I., PHOSPHATE AND POTASH INSTITUTE, P. &amp; FOOD AND AGRICULTURE ORGANIZATION OF THE UNITED NATIONS, F. 2002. Fertilizer use by crop.
</t>
  </si>
  <si>
    <t>SS (2020). Gödselmedel i jordbruket 2018/19. Mineral- och stallgödsel till olika grödor samt hantering och lagring av stallgödsel. Statistics Sweden.</t>
  </si>
  <si>
    <t>SS (2017). Gödselmedel i jordbruket 2015/16. Mineral- och stallgödsel till olika grödor samt hantering och lagring av stallgödsel. Statistics Sweden.</t>
  </si>
  <si>
    <t>SS (2014). Gödselmedel i jordbruket 2012/13. Mineral- och stallgödsel till olika grödor samt hantering och lagring av stallgödsel. Statistics Sweden.</t>
  </si>
  <si>
    <t>SBA, 2017b. Statistical Database. Swedish Board of Agriculture.</t>
  </si>
  <si>
    <t>European Commission. EU Beekeeping Sector. National Apiculture Programmes 2020–2022; European Commission: Brussels, Belgium; Available online: https://ec.europa.eu/info/sites/info/files/food-farming-fisheries/animals_and_animal_products/presentations/national-apiculture-programmes_en.pdf (accessed on 4 November 2019).</t>
  </si>
  <si>
    <t>Garnett, T. The Alcohol We Drink and Its Contribution to the UK’s Greenhouse Gas Emissions: A Discussion Paper; Centre for Environmental Strategy, University of Surrey: London, UK, 2007.</t>
  </si>
  <si>
    <t>Chaudhary, A.; Brooks, T.M. Land use intensity-specific global characterization factors to assess product biodiversity footprints. Environ. Sci. Technol. 2018, 52, 5094–5104.</t>
  </si>
  <si>
    <t>Lassaletta, L.; Billen, G.; Grizzetti, B.; Anglade, J.; Garnier, J. 50 year trends in nitrogen use efficiency of world cropping systems: The relationship between yield and nitrogen input to cropland. Environ. Res. Lett. 2014, 9, 105011</t>
  </si>
  <si>
    <t>Life cycle assessment (LCA) of wine production. Notarnicola, B &amp; Tassielli, G. (2003)</t>
  </si>
  <si>
    <t xml:space="preserve">Alsterberg, E. (2012). Animaliska restprodukter vid köttproduktion. Effektiv användning och livsmedelspotential. Examensarbete 30 p. Uppsala universitet. </t>
  </si>
  <si>
    <t>Charrondiere, U., D. Haytowitz, and B. Stadlmayr. FAO/INFOODS density database, version 2.0. in Food and agriculture organization of the United Nations technical workshop report. 2012.</t>
  </si>
  <si>
    <r>
      <t xml:space="preserve">ABELIOTIS, K., DETSIS, V. &amp; PAPPIA, C. 2013. Life cycle assessment of bean production in the Prespa National Park, Greece. </t>
    </r>
    <r>
      <rPr>
        <i/>
        <sz val="11"/>
        <rFont val="Calibri"/>
        <family val="2"/>
        <scheme val="minor"/>
      </rPr>
      <t>Journal of Cleaner Production,</t>
    </r>
    <r>
      <rPr>
        <sz val="11"/>
        <rFont val="Calibri"/>
        <family val="2"/>
        <scheme val="minor"/>
      </rPr>
      <t> 41, 89-96.</t>
    </r>
  </si>
  <si>
    <r>
      <t xml:space="preserve">AGUILERA, E., GUZMÁN, A. &amp; ALONSO, A. 2015a. Greenhouse gas emissions from conventional and organic cropping systems in Spain. I. Herbaceous crops. </t>
    </r>
    <r>
      <rPr>
        <i/>
        <sz val="11"/>
        <rFont val="Calibri"/>
        <family val="2"/>
        <scheme val="minor"/>
      </rPr>
      <t>Agron. Sustain. Dev.,</t>
    </r>
    <r>
      <rPr>
        <sz val="11"/>
        <rFont val="Calibri"/>
        <family val="2"/>
        <scheme val="minor"/>
      </rPr>
      <t> 35, 713-724.</t>
    </r>
  </si>
  <si>
    <r>
      <t xml:space="preserve">AGUILERA, E., GUZMÁN, A. &amp; ALONSO, A. 2015b. Greenhouse gas emissions from conventional and organic cropping systems in Spain: II. Fruit tree orchards. </t>
    </r>
    <r>
      <rPr>
        <i/>
        <sz val="11"/>
        <rFont val="Calibri"/>
        <family val="2"/>
        <scheme val="minor"/>
      </rPr>
      <t>Agron. Sustain. Dev</t>
    </r>
    <r>
      <rPr>
        <sz val="11"/>
        <rFont val="Calibri"/>
        <family val="2"/>
        <scheme val="minor"/>
      </rPr>
      <t>., 35, 725-737.</t>
    </r>
  </si>
  <si>
    <t>ANDERSSON, B. 1992. Utsädesmängder i stråsäd och oljeväxter. Swedish University of Agricultural Sciences.</t>
  </si>
  <si>
    <r>
      <t xml:space="preserve">ANDRÉN, O. &amp; KÄTTERER, T. 1997. ICBM: the introductory carbon balance model for exploration of soil carbon balances. </t>
    </r>
    <r>
      <rPr>
        <i/>
        <sz val="11"/>
        <rFont val="Calibri"/>
        <family val="2"/>
        <scheme val="minor"/>
      </rPr>
      <t>Ecological Applications,</t>
    </r>
    <r>
      <rPr>
        <sz val="11"/>
        <rFont val="Calibri"/>
        <family val="2"/>
        <scheme val="minor"/>
      </rPr>
      <t xml:space="preserve"> 7</t>
    </r>
    <r>
      <rPr>
        <b/>
        <sz val="11"/>
        <rFont val="Calibri"/>
        <family val="2"/>
        <scheme val="minor"/>
      </rPr>
      <t>,</t>
    </r>
    <r>
      <rPr>
        <sz val="11"/>
        <rFont val="Calibri"/>
        <family val="2"/>
        <scheme val="minor"/>
      </rPr>
      <t xml:space="preserve"> 1226-1236.</t>
    </r>
  </si>
  <si>
    <r>
      <t xml:space="preserve">ANGERVALL, T. &amp; SONESSON, U. 2011. </t>
    </r>
    <r>
      <rPr>
        <i/>
        <sz val="11"/>
        <rFont val="Calibri"/>
        <family val="2"/>
        <scheme val="minor"/>
      </rPr>
      <t>Förenklad metod för klimat-/GWP-beräkningar av livsmedel: slutrapport, ver 1</t>
    </r>
    <r>
      <rPr>
        <sz val="11"/>
        <rFont val="Calibri"/>
        <family val="2"/>
        <scheme val="minor"/>
      </rPr>
      <t>, SIK Institutet för livsmedel och bioteknik.</t>
    </r>
  </si>
  <si>
    <r>
      <t xml:space="preserve">ASTIER, M., MERLÍN-URIBE, Y., VILLAMIL-ECHEVERRI, L., GARCIARREAL, A., GAVITO, M.E., &amp; MASERA, O.R. 2014. Energy balance and greenhouse gas emissions in organic and conventional avocado orchards in Mexico. </t>
    </r>
    <r>
      <rPr>
        <i/>
        <sz val="11"/>
        <rFont val="Calibri"/>
        <family val="2"/>
        <scheme val="minor"/>
      </rPr>
      <t>Ecol Indic</t>
    </r>
    <r>
      <rPr>
        <sz val="11"/>
        <rFont val="Calibri"/>
        <family val="2"/>
        <scheme val="minor"/>
      </rPr>
      <t xml:space="preserve">, 43, 281-287. </t>
    </r>
  </si>
  <si>
    <r>
      <t xml:space="preserve">BACENETTI, J., FUSI, A., NEGRI, M., BOCCHI, S. &amp; FIALA, M. 2016. Organic production systems: Sustainability assessment of rice in Italy. </t>
    </r>
    <r>
      <rPr>
        <i/>
        <sz val="11"/>
        <rFont val="Calibri"/>
        <family val="2"/>
        <scheme val="minor"/>
      </rPr>
      <t>Agriculture, Ecosystems &amp; Environment,</t>
    </r>
    <r>
      <rPr>
        <sz val="11"/>
        <rFont val="Calibri"/>
        <family val="2"/>
        <scheme val="minor"/>
      </rPr>
      <t xml:space="preserve"> 225</t>
    </r>
    <r>
      <rPr>
        <b/>
        <sz val="11"/>
        <rFont val="Calibri"/>
        <family val="2"/>
        <scheme val="minor"/>
      </rPr>
      <t>,</t>
    </r>
    <r>
      <rPr>
        <sz val="11"/>
        <rFont val="Calibri"/>
        <family val="2"/>
        <scheme val="minor"/>
      </rPr>
      <t xml:space="preserve"> 33-44.</t>
    </r>
  </si>
  <si>
    <t xml:space="preserve">BAKY, A., SUNDBERG, M. &amp; BROWN, N. 2010. Kartläggning av jordbrukets energianvändning Ett projekt utfört på uppdrag av Jordbruksverket. JTI – Institutet för jordbruks- och miljöteknik. </t>
  </si>
  <si>
    <t>BÅTH, B. 2015. Växtnäringsförsörjning. EKOLOGISK GRÖNSAKSODLING PÅ FRILAND. Swedish Board of Agriculture.</t>
  </si>
  <si>
    <t>BERGLUND, M., CEDERBERG, C., CLASON, C., HENRIKSSON, M. &amp; TÖRNER, L. 2009. Jordbrukets klimatpåverkan – underlag för att beräkna växthusgasutsläpp på gårdsnivå och nulägesanalyser av exempelgårdar. Delrapport i JoKer-proJeKtet, Hushållningssällskapet Halland.</t>
  </si>
  <si>
    <r>
      <t xml:space="preserve">BERLIN, J. &amp; SUND, V. 2009. </t>
    </r>
    <r>
      <rPr>
        <i/>
        <sz val="11"/>
        <rFont val="Calibri"/>
        <family val="2"/>
        <scheme val="minor"/>
      </rPr>
      <t>Klimatpåverkan från glassprodukter</t>
    </r>
    <r>
      <rPr>
        <sz val="11"/>
        <rFont val="Calibri"/>
        <family val="2"/>
        <scheme val="minor"/>
      </rPr>
      <t>, SIK Institutet för livsmedel och bioteknik.</t>
    </r>
  </si>
  <si>
    <r>
      <t xml:space="preserve">BERLIN, J. 2002. Environmental life cycle assessment (LCA) of Swedish semi-hard cheese. </t>
    </r>
    <r>
      <rPr>
        <i/>
        <sz val="11"/>
        <rFont val="Calibri"/>
        <family val="2"/>
        <scheme val="minor"/>
      </rPr>
      <t>International Dairy Journal</t>
    </r>
    <r>
      <rPr>
        <sz val="11"/>
        <rFont val="Calibri"/>
        <family val="2"/>
        <scheme val="minor"/>
      </rPr>
      <t>, 12(11): 939–953.</t>
    </r>
  </si>
  <si>
    <r>
      <t xml:space="preserve">BERTILSSON, J. 2016. </t>
    </r>
    <r>
      <rPr>
        <sz val="11"/>
        <color rgb="FF32322F"/>
        <rFont val="Calibri"/>
        <family val="2"/>
        <scheme val="minor"/>
      </rPr>
      <t xml:space="preserve">Updating Swedish emission factors for cattle to be used for calculations of greenhouse gases. Department of Animal Nutrition and Management, Swedish University of Agricultural Sciences. </t>
    </r>
  </si>
  <si>
    <r>
      <t xml:space="preserve">BLENGINI, G. A. &amp; BUSTO, M. 2009. The life cycle of rice: LCA of alternative agri-food chain management systems in Vercelli (Italy). </t>
    </r>
    <r>
      <rPr>
        <i/>
        <sz val="11"/>
        <rFont val="Calibri"/>
        <family val="2"/>
        <scheme val="minor"/>
      </rPr>
      <t>Journal of environmental management,</t>
    </r>
    <r>
      <rPr>
        <sz val="11"/>
        <rFont val="Calibri"/>
        <family val="2"/>
        <scheme val="minor"/>
      </rPr>
      <t xml:space="preserve"> 90</t>
    </r>
    <r>
      <rPr>
        <b/>
        <sz val="11"/>
        <rFont val="Calibri"/>
        <family val="2"/>
        <scheme val="minor"/>
      </rPr>
      <t>,</t>
    </r>
    <r>
      <rPr>
        <sz val="11"/>
        <rFont val="Calibri"/>
        <family val="2"/>
        <scheme val="minor"/>
      </rPr>
      <t xml:space="preserve"> 1512-1522.</t>
    </r>
  </si>
  <si>
    <r>
      <t xml:space="preserve">BOUMAN, B., LAMPAYAN, R.M. &amp; TUONG, T.P. 2007. </t>
    </r>
    <r>
      <rPr>
        <i/>
        <sz val="11"/>
        <rFont val="Calibri"/>
        <family val="2"/>
        <scheme val="minor"/>
      </rPr>
      <t>Water management in irrigated rice: coping with water scarcity</t>
    </r>
    <r>
      <rPr>
        <sz val="11"/>
        <rFont val="Calibri"/>
        <family val="2"/>
        <scheme val="minor"/>
      </rPr>
      <t>, Int. Rice Res. Inst.</t>
    </r>
  </si>
  <si>
    <r>
      <t xml:space="preserve">BRANDER, M., SOOD, A., WYLIE, C., HAUGHTON, A. &amp; LOVELL, J. 2011. Technical Paper| Electricity-specific emission factors for grid electricity. </t>
    </r>
    <r>
      <rPr>
        <i/>
        <sz val="11"/>
        <rFont val="Calibri"/>
        <family val="2"/>
        <scheme val="minor"/>
      </rPr>
      <t>Ecometrica, Emissionfactors. com</t>
    </r>
    <r>
      <rPr>
        <sz val="11"/>
        <rFont val="Calibri"/>
        <family val="2"/>
        <scheme val="minor"/>
      </rPr>
      <t>.</t>
    </r>
  </si>
  <si>
    <t>Burgin, Connor J., et al. "How many species of mammals are there?." Journal of Mammalogy 99(1), 2018: 1-14.</t>
  </si>
  <si>
    <r>
      <t xml:space="preserve">CARLSSON-KANYAMA, A. &amp; BOSTRÖM-CARLSSON, K. 2001. Energy use for cooking and other stages in the life cycle of food. </t>
    </r>
    <r>
      <rPr>
        <i/>
        <sz val="11"/>
        <rFont val="Calibri"/>
        <family val="2"/>
        <scheme val="minor"/>
      </rPr>
      <t>Stockholm, Sweden: Stockhoms universitet</t>
    </r>
    <r>
      <rPr>
        <sz val="11"/>
        <rFont val="Calibri"/>
        <family val="2"/>
        <scheme val="minor"/>
      </rPr>
      <t>.</t>
    </r>
  </si>
  <si>
    <t>CBS 2017. Statistical database. Centraal Bureau voor de Statistiek of Netherlands.</t>
  </si>
  <si>
    <t>CEDERBERG, C. &amp; NILSSON, B. 2004. Livscykelanalys (LCA) av ekologisk nötköttsproduktion i ranchdrift. SIK-rapport Nr 718 2004. Institutet för Livsmedel och Bioteknik.</t>
  </si>
  <si>
    <t>CEDERBERG, C., MEYER, D. &amp; FLYSJÖ, A. 2009b. Life cycle inventory of greenhouse gas emissions and use of land and energy in Brazilian beef production, SIK Institutet för livsmedel och bioteknik.</t>
  </si>
  <si>
    <r>
      <t xml:space="preserve">CEDERBERG, C., SONESSON, U., HENRIKSSON, M., SUND, V. &amp; DAVIS, J. 2009a. </t>
    </r>
    <r>
      <rPr>
        <i/>
        <sz val="11"/>
        <rFont val="Calibri"/>
        <family val="2"/>
        <scheme val="minor"/>
      </rPr>
      <t>Greenhouse gas emissions from Swedish production of meat, milk and eggs 1990 and 2005</t>
    </r>
    <r>
      <rPr>
        <sz val="11"/>
        <rFont val="Calibri"/>
        <family val="2"/>
        <scheme val="minor"/>
      </rPr>
      <t>, SIK Institutet för livsmedel och bioteknik.</t>
    </r>
  </si>
  <si>
    <t xml:space="preserve">CHAPAGAIN, A. K. &amp; HOEKSTRA, A. Y. 2007. The water footprint of coffee and tea consumption in the Netherlands. Ecological economics, 64, 109-118.
</t>
  </si>
  <si>
    <t>Christenhusz, M. J., &amp; Byng, J. W. (2016). The number of known plants species in the world and its annual increase. Phytotaxa, 261(3), 201-217.</t>
  </si>
  <si>
    <t>CLUNE, S., CROSSIN, E. &amp; VERGHESE, K. 2017. Systematic review of greenhouse gas emissions for different fresh food categories. J. Clean. Prod. 140, 766-783.</t>
  </si>
  <si>
    <r>
      <t xml:space="preserve">COCA COLA n.d. </t>
    </r>
    <r>
      <rPr>
        <i/>
        <sz val="11"/>
        <rFont val="Calibri"/>
        <family val="2"/>
        <scheme val="minor"/>
      </rPr>
      <t xml:space="preserve">Socker </t>
    </r>
    <r>
      <rPr>
        <sz val="11"/>
        <rFont val="Calibri"/>
        <family val="2"/>
        <scheme val="minor"/>
      </rPr>
      <t>[Online]. Available: https://www.coca-cola.se/stories/Socker# [Accessed January 2018].</t>
    </r>
  </si>
  <si>
    <t xml:space="preserve">COLTRO, L. MOURAD, A. OLIVEIRA, P., BADDINI, J. &amp; KLETECKE, R. 2006. 
Environmental profile of Brazilian green coffee. Int J Life Cycle Assess 11(1):16–21.
</t>
  </si>
  <si>
    <t>DADHICH, J., SMITH, J., IELLAMO, A. &amp; SULEIMAN, A. 2015. Carbon footprint due to milk formula. A study from selected countries of the Asia-Pacific region.</t>
  </si>
  <si>
    <t>DANISH EPA 2014. DENMARK’S NATIONAL INVENTORY REPORT 2014. Emission Inventories 1990-2012 – Submitted under the United Nations Framework Convention on Climate Change and the Kyoto Protocol.</t>
  </si>
  <si>
    <t>DANISH EPA 2017. DENMARK’S NATIONAL INVENTORY REPORT 2017. Emission Inventories 1990-2015 – Submitted under the United Nations Framework Convention on Climate Change and the Kyoto Protocol.</t>
  </si>
  <si>
    <r>
      <t xml:space="preserve">DAVIS, J. WALLMAN, M., SUND, V., EMANUELSSON, A., CEDERBERG, C. &amp; SONESSON, U. 2011. </t>
    </r>
    <r>
      <rPr>
        <i/>
        <sz val="11"/>
        <color theme="1"/>
        <rFont val="Calibri"/>
        <family val="2"/>
        <scheme val="minor"/>
      </rPr>
      <t>Emissions of greenhouse gases from production of horticultural products: analysis of 17 products cultivated in Sweden</t>
    </r>
    <r>
      <rPr>
        <sz val="11"/>
        <color theme="1"/>
        <rFont val="Calibri"/>
        <family val="2"/>
        <scheme val="minor"/>
      </rPr>
      <t>, SIK Institutet för livsmedel och bioteknik.</t>
    </r>
  </si>
  <si>
    <r>
      <t xml:space="preserve">DEBLITZ, C., BROMMER, J. &amp; BRUGGEMANN, D. 2008. Beef production in Germany-production systems and their spatial distribution. </t>
    </r>
    <r>
      <rPr>
        <i/>
        <sz val="11"/>
        <rFont val="Calibri"/>
        <family val="2"/>
        <scheme val="minor"/>
      </rPr>
      <t>LANDBAUFORSCHUNG VOLKENRODE,</t>
    </r>
    <r>
      <rPr>
        <sz val="11"/>
        <rFont val="Calibri"/>
        <family val="2"/>
        <scheme val="minor"/>
      </rPr>
      <t xml:space="preserve"> 58</t>
    </r>
    <r>
      <rPr>
        <b/>
        <sz val="11"/>
        <rFont val="Calibri"/>
        <family val="2"/>
        <scheme val="minor"/>
      </rPr>
      <t>,</t>
    </r>
    <r>
      <rPr>
        <sz val="11"/>
        <rFont val="Calibri"/>
        <family val="2"/>
        <scheme val="minor"/>
      </rPr>
      <t xml:space="preserve"> 29.</t>
    </r>
  </si>
  <si>
    <r>
      <t xml:space="preserve">DEBLITZ, C., CHARRY, A. &amp; PARTON, K. 2005. Beef farming systems across the world: an expert assessment from an international co-operative research project (IFCN). </t>
    </r>
    <r>
      <rPr>
        <i/>
        <sz val="11"/>
        <rFont val="Calibri"/>
        <family val="2"/>
        <scheme val="minor"/>
      </rPr>
      <t>Extension Farming Systems Journal,</t>
    </r>
    <r>
      <rPr>
        <sz val="11"/>
        <rFont val="Calibri"/>
        <family val="2"/>
        <scheme val="minor"/>
      </rPr>
      <t xml:space="preserve"> 1</t>
    </r>
    <r>
      <rPr>
        <b/>
        <sz val="11"/>
        <rFont val="Calibri"/>
        <family val="2"/>
        <scheme val="minor"/>
      </rPr>
      <t>,</t>
    </r>
    <r>
      <rPr>
        <sz val="11"/>
        <rFont val="Calibri"/>
        <family val="2"/>
        <scheme val="minor"/>
      </rPr>
      <t xml:space="preserve"> 1.</t>
    </r>
  </si>
  <si>
    <t xml:space="preserve">Dickinson, E.C. and Remsen J.V. Jr (Eds.) 2013. The Howard and Moore Complete Checklist of the Birds of the World. 4th Edition, Vol.1 Non-Passerines, Aves Press, Eastbourne, U.K; Dickinson, E.C. and Christidis, L. (Eds.) 2014. The Howard and Moore Complete Checklist of the Birds of the World. 4th Edition, Vol. 2 Passerines, Aves Press, Eastbourne, U.K. </t>
  </si>
  <si>
    <r>
      <t xml:space="preserve">DJEKIC, I., MIOCINOVIC, J., TOMASEVIC, I., SMIGIC, N. &amp; TOMIC, N. 2014. Environmental life-cycle assessment of various dairy products. </t>
    </r>
    <r>
      <rPr>
        <i/>
        <sz val="11"/>
        <rFont val="Calibri"/>
        <family val="2"/>
        <scheme val="minor"/>
      </rPr>
      <t>Journal of Cleaner Production</t>
    </r>
    <r>
      <rPr>
        <sz val="11"/>
        <rFont val="Calibri"/>
        <family val="2"/>
        <scheme val="minor"/>
      </rPr>
      <t xml:space="preserve">, 68, 64-72. </t>
    </r>
  </si>
  <si>
    <t>ECOINVENT CENTRE 2016. Ecoinvent Database Version 3.3. Dübendorf, Switzerland: Swiss Centre for Life Cycle Inventories.</t>
  </si>
  <si>
    <t>ECOINVENT CENTRE 2018. Ecoinvent Database Version 3.5. Dübendorf, Switzerland: Swiss Centre for Life Cycle Inventories.</t>
  </si>
  <si>
    <t>ECOINVENT CENTRE 2021. Ecoinvent Database Version 3.7.1. Dübendorf, Switzerland: Swiss Centre for Life Cycle Inventories.</t>
  </si>
  <si>
    <t>EDSTRÖM, M., PETTERSSON, O., NILSSON, L. &amp; HÖRNDAHL, T. 2005. Jordbrukssektorns energianvändning. JTI-rapport Lantbruk &amp; Industri 342. JTI – Institutet för jordbruks- och miljöteknik.</t>
  </si>
  <si>
    <r>
      <t xml:space="preserve">EEA 2017. Overview of electricity production and use in Europe. </t>
    </r>
    <r>
      <rPr>
        <i/>
        <sz val="11"/>
        <rFont val="Calibri"/>
        <family val="2"/>
        <scheme val="minor"/>
      </rPr>
      <t>In:</t>
    </r>
    <r>
      <rPr>
        <sz val="11"/>
        <rFont val="Calibri"/>
        <family val="2"/>
        <scheme val="minor"/>
      </rPr>
      <t xml:space="preserve"> AGENCY, E. E. (ed.).</t>
    </r>
  </si>
  <si>
    <r>
      <t xml:space="preserve">ELMQUIST, H., NEUMAN, L., HÅRSMAR, D. &amp; HELMERSSON, N. (2015). </t>
    </r>
    <r>
      <rPr>
        <sz val="11"/>
        <color theme="1"/>
        <rFont val="Calibri"/>
        <family val="2"/>
        <scheme val="minor"/>
      </rPr>
      <t>Energinyckeltal inom lantbruket och potentialen att spara energi utifrån energikartläggningar.</t>
    </r>
  </si>
  <si>
    <t xml:space="preserve">EPA, IRELAND 2017. Ireland’s National Inventory Report 2017. Greenhouse Gas Emissions 1990-2015. Environmental Protection Agency, Ireland. </t>
  </si>
  <si>
    <t>EUROPEAN COMMISSION 2016. REPORT FROM THE COMMISSION TO THE EUROPEAN PARLIAMENT, THE COUNCIL, THE EUROPEAN ECONOMIC AND SOCIAL COMMITTEE AND THE COMMITTEE OF THE REGIONS. Energy prices and costs in Europe. Brussels, Belgium.</t>
  </si>
  <si>
    <t>EUROPEAN COMMISSION 2017. Statistical Database.</t>
  </si>
  <si>
    <r>
      <t xml:space="preserve">FAO 1989. Yield and Nutritional Value of the Commercially More Important Fish Species. </t>
    </r>
    <r>
      <rPr>
        <i/>
        <sz val="11"/>
        <rFont val="Calibri"/>
        <family val="2"/>
        <scheme val="minor"/>
      </rPr>
      <t>FAO Fisheries Technical Paper No. 309.</t>
    </r>
    <r>
      <rPr>
        <sz val="11"/>
        <rFont val="Calibri"/>
        <family val="2"/>
        <scheme val="minor"/>
      </rPr>
      <t xml:space="preserve"> Rome, Italy: Food and Agriculture Organization of the United Nations.</t>
    </r>
  </si>
  <si>
    <t>FAO 2017. FAOSTAT Statistical Database. Food and Agricultural Organization of the United Nations.</t>
  </si>
  <si>
    <r>
      <t xml:space="preserve">FLYSJÖ, A., CEDERBERG, C. &amp; STRID, I. 2008. </t>
    </r>
    <r>
      <rPr>
        <i/>
        <sz val="11"/>
        <rFont val="Calibri"/>
        <family val="2"/>
        <scheme val="minor"/>
      </rPr>
      <t>LCA-databas för konventionella fodermedel: miljöpåverkan i samband med produktion</t>
    </r>
    <r>
      <rPr>
        <sz val="11"/>
        <rFont val="Calibri"/>
        <family val="2"/>
        <scheme val="minor"/>
      </rPr>
      <t>, SIK Institutet för livsmedel och bioteknik.</t>
    </r>
  </si>
  <si>
    <r>
      <t xml:space="preserve">FLYSJÖ, A., THRANE, M. &amp; HERMANSEN, J. E. 2014. Method to assess the carbon footprint at product level in the dairy industry. </t>
    </r>
    <r>
      <rPr>
        <i/>
        <sz val="11"/>
        <rFont val="Calibri"/>
        <family val="2"/>
        <scheme val="minor"/>
      </rPr>
      <t>International Dairy Journal,</t>
    </r>
    <r>
      <rPr>
        <sz val="11"/>
        <rFont val="Calibri"/>
        <family val="2"/>
        <scheme val="minor"/>
      </rPr>
      <t xml:space="preserve"> 34</t>
    </r>
    <r>
      <rPr>
        <b/>
        <sz val="11"/>
        <rFont val="Calibri"/>
        <family val="2"/>
        <scheme val="minor"/>
      </rPr>
      <t>,</t>
    </r>
    <r>
      <rPr>
        <sz val="11"/>
        <rFont val="Calibri"/>
        <family val="2"/>
        <scheme val="minor"/>
      </rPr>
      <t xml:space="preserve"> 86-92.</t>
    </r>
  </si>
  <si>
    <t>FORSTER, P., V. RAMASWAMY, P. ARTAXO, T. BERNTSEN, R. BETTS, D.W. FAHEY, J. HAYWOOD, J. LEAN, D.C. LOWE, G. MYHRE, J. NGANGA, R. PRINN, G. RAGA, M. SCHULZ and R. VAN DORLAND, 2007: Changes in Atmospheric Constituents and in Radiative Forcing. In: Climate Change 2007: The Physical Science Basis. Contribution of Working Group I to the Fourth Assessment Report of the Intergovernmental Panel on Climate Change [Solomon, S., D. Qin, M. Manning, Z. Chen, M. Marquis, K.B. Averyt, M.Tignor and H.L. Miller (eds.)]. Cambridge University Press, Cambridge, United Kingdom and New York, NY, USA.</t>
  </si>
  <si>
    <r>
      <t xml:space="preserve">FRISCHKNECHT, R., ALTHAUS, H.-J., BAUER, C., DOKA, G., HECK, T., JUNGBLUTH, N., KELLENBERGER, D. &amp; NEMECEK, T. 2007. The environmental relevance of capital goods in life cycle assessments of products and services. </t>
    </r>
    <r>
      <rPr>
        <i/>
        <sz val="11"/>
        <rFont val="Calibri"/>
        <family val="2"/>
        <scheme val="minor"/>
      </rPr>
      <t>International Journal of Life Cycle Assessment,</t>
    </r>
    <r>
      <rPr>
        <sz val="11"/>
        <rFont val="Calibri"/>
        <family val="2"/>
        <scheme val="minor"/>
      </rPr>
      <t xml:space="preserve"> 12</t>
    </r>
    <r>
      <rPr>
        <b/>
        <sz val="11"/>
        <rFont val="Calibri"/>
        <family val="2"/>
        <scheme val="minor"/>
      </rPr>
      <t>,</t>
    </r>
    <r>
      <rPr>
        <sz val="11"/>
        <rFont val="Calibri"/>
        <family val="2"/>
        <scheme val="minor"/>
      </rPr>
      <t xml:space="preserve"> 7-17.</t>
    </r>
  </si>
  <si>
    <t>Frost, D. R., Grant, T., Faivovich, J., Bain, R. H., Haas, A., Haddad, C. F., ... &amp; Raxworthy, C. J. (2006). The amphibian tree of life. Bulletin of the American Museum of natural History, 2006(297), 1-291.</t>
  </si>
  <si>
    <r>
      <t xml:space="preserve">FUSI, A., BACENETTI, J., GONZÁLEZ-GARCÍA, S., VERCESI, A., BOCCHI, S. &amp; FIALA, M. 2014. Environmental profile of paddy rice cultivation with different straw management. </t>
    </r>
    <r>
      <rPr>
        <i/>
        <sz val="11"/>
        <rFont val="Calibri"/>
        <family val="2"/>
        <scheme val="minor"/>
      </rPr>
      <t>Science of the Total Environment,</t>
    </r>
    <r>
      <rPr>
        <sz val="11"/>
        <rFont val="Calibri"/>
        <family val="2"/>
        <scheme val="minor"/>
      </rPr>
      <t xml:space="preserve"> 494</t>
    </r>
    <r>
      <rPr>
        <b/>
        <sz val="11"/>
        <rFont val="Calibri"/>
        <family val="2"/>
        <scheme val="minor"/>
      </rPr>
      <t>,</t>
    </r>
    <r>
      <rPr>
        <sz val="11"/>
        <rFont val="Calibri"/>
        <family val="2"/>
        <scheme val="minor"/>
      </rPr>
      <t xml:space="preserve"> 119-128.</t>
    </r>
  </si>
  <si>
    <t xml:space="preserve">GÅRDS- OCH DJURHÄLSAN. 2012. Genomsnittligt kvalitetsutfall för nötkreatur slaktade under 2011. </t>
  </si>
  <si>
    <t xml:space="preserve">GÅRDS- OCH DJURHÄLSAN. 2013. Genomsnittligt kvalitetsutfall för nötkreatur slaktade under 2012. </t>
  </si>
  <si>
    <t xml:space="preserve">GÅRDS- OCH DJURHÄLSAN. 2014. Genomsnittligt kvalitetsutfall för nötkreatur slaktade under 2013. </t>
  </si>
  <si>
    <t xml:space="preserve">GÅRDS- OCH DJURHÄLSAN. 2015. Genomsnittligt kvalitetsutfall för nötkreatur slaktade under 2014. </t>
  </si>
  <si>
    <t xml:space="preserve">GÅRDS- OCH DJURHÄLSAN. 2016. Genomsnittligt kvalitetsutfall för nötkreatur slaktade under 2015. </t>
  </si>
  <si>
    <r>
      <t xml:space="preserve">GODE, J., MARTINSSON, F., HAGBERG, L., ÖMAN, A., HÖGLUND, J. &amp; PALM, D. 2011. Miljöfaktaboken 2011—estimated emission factors for fuels, electricity, heat and transport in Sweden. </t>
    </r>
    <r>
      <rPr>
        <i/>
        <sz val="11"/>
        <rFont val="Calibri"/>
        <family val="2"/>
        <scheme val="minor"/>
      </rPr>
      <t>Värmeforsk, Stockholm</t>
    </r>
    <r>
      <rPr>
        <sz val="11"/>
        <rFont val="Calibri"/>
        <family val="2"/>
        <scheme val="minor"/>
      </rPr>
      <t>.</t>
    </r>
  </si>
  <si>
    <t>GOULDING (n.d.). Grass Intake of Dairy Cows. [Online] Available: http://www.gouldings.ie/ni/grass-growth/research-on-grazing/grass-intake-of-dairy-cows/ [Accessed April 2018].</t>
  </si>
  <si>
    <r>
      <t xml:space="preserve">GUSTAVSSON, J., CEDERBERG, C., SONESSON, U., VAN OTTERDIJK, R. &amp; MEYBECK, A. 2011. </t>
    </r>
    <r>
      <rPr>
        <i/>
        <sz val="11"/>
        <rFont val="Calibri"/>
        <family val="2"/>
        <scheme val="minor"/>
      </rPr>
      <t>Global food losses and food waste</t>
    </r>
    <r>
      <rPr>
        <sz val="11"/>
        <rFont val="Calibri"/>
        <family val="2"/>
        <scheme val="minor"/>
      </rPr>
      <t>, FAO, Rome.</t>
    </r>
  </si>
  <si>
    <r>
      <t xml:space="preserve">HALLSTRÖM, E., RÖÖS, E. &amp; BÖRJESSON, P. 2014. Sustainable meat consumption: A quantitative analysis of nutritional intake, greenhouse gas emissions and land use from a Swedish perspective. </t>
    </r>
    <r>
      <rPr>
        <i/>
        <sz val="11"/>
        <rFont val="Calibri"/>
        <family val="2"/>
        <scheme val="minor"/>
      </rPr>
      <t>Food Policy,</t>
    </r>
    <r>
      <rPr>
        <sz val="11"/>
        <rFont val="Calibri"/>
        <family val="2"/>
        <scheme val="minor"/>
      </rPr>
      <t xml:space="preserve"> 47</t>
    </r>
    <r>
      <rPr>
        <b/>
        <sz val="11"/>
        <rFont val="Calibri"/>
        <family val="2"/>
        <scheme val="minor"/>
      </rPr>
      <t>,</t>
    </r>
    <r>
      <rPr>
        <sz val="11"/>
        <rFont val="Calibri"/>
        <family val="2"/>
        <scheme val="minor"/>
      </rPr>
      <t xml:space="preserve"> 81-90.</t>
    </r>
  </si>
  <si>
    <r>
      <t xml:space="preserve">HENDERS, S., PERSSON, U. M. &amp; KASTNER, T. 2015. Trading forests: land-use change and carbon emissions embodied in production and exports of forest-risk commodities. </t>
    </r>
    <r>
      <rPr>
        <i/>
        <sz val="11"/>
        <rFont val="Calibri"/>
        <family val="2"/>
        <scheme val="minor"/>
      </rPr>
      <t>Environmental Research Letters,</t>
    </r>
    <r>
      <rPr>
        <sz val="11"/>
        <rFont val="Calibri"/>
        <family val="2"/>
        <scheme val="minor"/>
      </rPr>
      <t xml:space="preserve"> 10</t>
    </r>
    <r>
      <rPr>
        <b/>
        <sz val="11"/>
        <rFont val="Calibri"/>
        <family val="2"/>
        <scheme val="minor"/>
      </rPr>
      <t>,</t>
    </r>
    <r>
      <rPr>
        <sz val="11"/>
        <rFont val="Calibri"/>
        <family val="2"/>
        <scheme val="minor"/>
      </rPr>
      <t xml:space="preserve"> 125012.</t>
    </r>
  </si>
  <si>
    <r>
      <t xml:space="preserve">HENRIKSSON, P., ZHANG, W., NAHID, S., NEWTON, R., PHAN, L., DAO, H., ZHANG, Z., JAITHIANG, J., ANDONG, R. &amp; CHAIMANUSKUL, K. 2014. Final LCA case study report—results of LCA studies of Asian aquaculture systems for tilapia, catfish, shrimp, and freshwater prawn. </t>
    </r>
    <r>
      <rPr>
        <i/>
        <sz val="11"/>
        <rFont val="Calibri"/>
        <family val="2"/>
        <scheme val="minor"/>
      </rPr>
      <t>SEAT Deliverable D,</t>
    </r>
    <r>
      <rPr>
        <sz val="11"/>
        <rFont val="Calibri"/>
        <family val="2"/>
        <scheme val="minor"/>
      </rPr>
      <t xml:space="preserve"> 3.</t>
    </r>
  </si>
  <si>
    <t xml:space="preserve">HOGNES, E. S., NILSSON, K., SUND, V. &amp; ZIEGLER, F. 2014. LCA of Norwegian salmon production 2012. SINTEF Fiskeri og havbruk.
</t>
  </si>
  <si>
    <t xml:space="preserve">INTERPIG 2012. Internationella rapporten 2011. Gårds- och djurhälsan. </t>
  </si>
  <si>
    <t xml:space="preserve">INTERPIG 2013. Internationella rapporten 2012. Gårds- och djurhälsan. </t>
  </si>
  <si>
    <t xml:space="preserve">INTERPIG 2014. Internationella rapporten 2013. Gårds- och djurhälsan. </t>
  </si>
  <si>
    <t xml:space="preserve">INTERPIG 2015. Internationella rapporten 2014. Gårds- och djurhälsan. </t>
  </si>
  <si>
    <t xml:space="preserve">INTERPIG 2016. Internationella rapporten 2015. Gårds- och djurhälsan. </t>
  </si>
  <si>
    <r>
      <t xml:space="preserve">IPCC 2000. CH4 EMISSIONS FROM RICE AGRICULTURE. </t>
    </r>
    <r>
      <rPr>
        <i/>
        <sz val="11"/>
        <rFont val="Calibri"/>
        <family val="2"/>
        <scheme val="minor"/>
      </rPr>
      <t>Good Practice Guidance and Uncertainty Management in National Greenhouse Gas Inventories.</t>
    </r>
  </si>
  <si>
    <t>IPCC 2006. IPCC Guidelines for National Greenhouse Gas Inventories. Volume 4. Agriculture, Forestry and Other Land Use. Geneva, Switzerland.</t>
  </si>
  <si>
    <t>ISPRA 2017. Italian Greenhouse Gas Inventory 1990 - 2015. National Inventory Report 2017. .</t>
  </si>
  <si>
    <t>JONSSON, I. 1987. Gödsling av frilandsodlade grönsaker. Trädgårdsrådgivningen informerar. Nr 21. Lantbruksstyrelsen (LBS) (now Swedish Board of Agriculture).</t>
  </si>
  <si>
    <t xml:space="preserve">KAILIS, S. &amp; HARRIS, J.H. 2007. Producing Table Olives. Landlinks Press, Melbourne, Australia. </t>
  </si>
  <si>
    <r>
      <t xml:space="preserve">KALTSAS, A. M., MAMOLOS, A. P., TSATSARELIS, C. A., NANOS, G. D. &amp; KALBURTJI, K. L. 2007. Energy budget in organic and conventional olive groves. </t>
    </r>
    <r>
      <rPr>
        <i/>
        <sz val="11"/>
        <color theme="1"/>
        <rFont val="Calibri"/>
        <family val="2"/>
        <scheme val="minor"/>
      </rPr>
      <t>Agriculture, ecosystems &amp; environment,</t>
    </r>
    <r>
      <rPr>
        <sz val="11"/>
        <color theme="1"/>
        <rFont val="Calibri"/>
        <family val="2"/>
        <scheme val="minor"/>
      </rPr>
      <t xml:space="preserve"> 122</t>
    </r>
    <r>
      <rPr>
        <b/>
        <sz val="11"/>
        <color theme="1"/>
        <rFont val="Calibri"/>
        <family val="2"/>
        <scheme val="minor"/>
      </rPr>
      <t>,</t>
    </r>
    <r>
      <rPr>
        <sz val="11"/>
        <color theme="1"/>
        <rFont val="Calibri"/>
        <family val="2"/>
        <scheme val="minor"/>
      </rPr>
      <t xml:space="preserve"> 243-251.</t>
    </r>
  </si>
  <si>
    <t xml:space="preserve">KAMB, A. &amp; LARSSON, J. 2018. Klimatpåverkan från svenska befolkningens flygresor 1990 – 2017.  Institutionen för Rymd-, geo- och miljövetenskap, Avdelningen för fysisk resursteori, Chalmers tekniska högskola. </t>
  </si>
  <si>
    <t>KARLSSON, J. O., GARNETT, T., ROLLINS, N. C. &amp; RÖÖS, E. 2019. The carbon footprint of breastmilk substitutes in comparison with breastfeeding. Journal of cleaner production, 222, 436-445</t>
  </si>
  <si>
    <t>KAVANAGH, S. n.d. Feeding the Dairy Cow. Animal &amp; Grassland Research &amp; Innovation Programme. TEAGASC, The Agriculture and Food Development Authority, Ireland.</t>
  </si>
  <si>
    <r>
      <t xml:space="preserve">KNUDSEN, M. T. 2011. </t>
    </r>
    <r>
      <rPr>
        <i/>
        <sz val="11"/>
        <rFont val="Calibri"/>
        <family val="2"/>
        <scheme val="minor"/>
      </rPr>
      <t>Environmental assessment of imported organic products-focusing on orange juice from Brazil and soybeans from China</t>
    </r>
    <r>
      <rPr>
        <sz val="11"/>
        <rFont val="Calibri"/>
        <family val="2"/>
        <scheme val="minor"/>
      </rPr>
      <t>, Faculty of Life Sciences, University of Copenhagen.</t>
    </r>
  </si>
  <si>
    <r>
      <t>KONGOR, J.E, HINNEH, M., VAN DE WALLE, D, AFOAKWA, E.O, BOECKX, P. &amp; DEWETTINCK, K. 2016. Factors influencing quality variation in cocoa (Theobroma cacao) bean flavour profile—A review. Food Research International, </t>
    </r>
    <r>
      <rPr>
        <i/>
        <sz val="11"/>
        <color rgb="FF222222"/>
        <rFont val="Calibri"/>
        <family val="2"/>
        <scheme val="minor"/>
      </rPr>
      <t>82</t>
    </r>
    <r>
      <rPr>
        <sz val="11"/>
        <color rgb="FF222222"/>
        <rFont val="Calibri"/>
        <family val="2"/>
        <scheme val="minor"/>
      </rPr>
      <t>, 44-52.</t>
    </r>
  </si>
  <si>
    <t>KRAV 2010. Klimatsmart KRAV-fisk. Utsläpp av växthusgaser från 400 gr torskblock. En jämförelse mellan KRAV-godkända torskblock och genomsnittliga block. Uppsala, Sweden.</t>
  </si>
  <si>
    <r>
      <t xml:space="preserve">KUNG MARKATTA 2018. </t>
    </r>
    <r>
      <rPr>
        <i/>
        <sz val="11"/>
        <rFont val="Calibri"/>
        <family val="2"/>
        <scheme val="minor"/>
      </rPr>
      <t xml:space="preserve">Ingredients list "Chokladdryck 310 g" </t>
    </r>
    <r>
      <rPr>
        <sz val="11"/>
        <rFont val="Calibri"/>
        <family val="2"/>
        <scheme val="minor"/>
      </rPr>
      <t>[Online]. Available: https://www.kungmarkatta.se/produkter/visa-produkt/chokladdryck-310g-500407/ [Accessed January 2018]</t>
    </r>
  </si>
  <si>
    <r>
      <t xml:space="preserve">LANTMÄNNEN CEREALIA AB 2018. </t>
    </r>
    <r>
      <rPr>
        <i/>
        <sz val="11"/>
        <rFont val="Calibri"/>
        <family val="2"/>
        <scheme val="minor"/>
      </rPr>
      <t>Produktionsanläggningen</t>
    </r>
    <r>
      <rPr>
        <sz val="11"/>
        <rFont val="Calibri"/>
        <family val="2"/>
        <scheme val="minor"/>
      </rPr>
      <t>[Online]. Available: http://nordmills.se/om-oss/produktionen/produktionsanläggningen/ [Accessed January 2018]</t>
    </r>
  </si>
  <si>
    <r>
      <t xml:space="preserve">LARK, T. J., SALMON, J. M. &amp; GIBBS, H. K. 2015. Cropland expansion outpaces agricultural and biofuel policies in the United States. </t>
    </r>
    <r>
      <rPr>
        <i/>
        <sz val="11"/>
        <color theme="1"/>
        <rFont val="Calibri"/>
        <family val="2"/>
        <scheme val="minor"/>
      </rPr>
      <t>Environmental Research Letters,</t>
    </r>
    <r>
      <rPr>
        <sz val="11"/>
        <color theme="1"/>
        <rFont val="Calibri"/>
        <family val="2"/>
        <scheme val="minor"/>
      </rPr>
      <t xml:space="preserve"> 10</t>
    </r>
    <r>
      <rPr>
        <b/>
        <sz val="11"/>
        <color theme="1"/>
        <rFont val="Calibri"/>
        <family val="2"/>
        <scheme val="minor"/>
      </rPr>
      <t>,</t>
    </r>
    <r>
      <rPr>
        <sz val="11"/>
        <color theme="1"/>
        <rFont val="Calibri"/>
        <family val="2"/>
        <scheme val="minor"/>
      </rPr>
      <t xml:space="preserve"> 044003.</t>
    </r>
  </si>
  <si>
    <t>LEIP, A., WEISS, F., WASSENAAR, T., PEREZ, I., FELLMANN, T., LOUDJANI, P., TUBIELLO, F., GRANDGIRARD, D., MONNI, S. &amp; BIALA, K. 2010. Evaluation of the livestock sector's contribution to the EU greenhouse gas emissions (GGELS).</t>
  </si>
  <si>
    <t>LINDH, C. &amp; NEUMAN, L. 2010. Tillverkning av gårdsbaserad RME. Ekonomisk rapport med känslighetsanalys. LRF KONSULT AB.</t>
  </si>
  <si>
    <t xml:space="preserve">LRF 2017. Statistikplattform kött. The Federation of Swedish Farmers. </t>
  </si>
  <si>
    <t xml:space="preserve">LRF MJÖLK 2016. Mjölk i siffror 2016. The Federation of Swedish Farmers. </t>
  </si>
  <si>
    <r>
      <t xml:space="preserve">MACLEAN, J. L. 2002. </t>
    </r>
    <r>
      <rPr>
        <i/>
        <sz val="11"/>
        <rFont val="Calibri"/>
        <family val="2"/>
        <scheme val="minor"/>
      </rPr>
      <t>Rice almanac: Source book for the most important economic activity on earth</t>
    </r>
    <r>
      <rPr>
        <sz val="11"/>
        <rFont val="Calibri"/>
        <family val="2"/>
        <scheme val="minor"/>
      </rPr>
      <t>, Int. Rice Res. Inst.</t>
    </r>
  </si>
  <si>
    <r>
      <t xml:space="preserve">MAGNUSSON, M. 1995. Frilandsodlade grönsaker. Växtnäringsstudier. </t>
    </r>
    <r>
      <rPr>
        <i/>
        <sz val="11"/>
        <rFont val="Calibri"/>
        <family val="2"/>
        <scheme val="minor"/>
      </rPr>
      <t>Fakta Trädgård. Swedish University of Agricultural Sciences.</t>
    </r>
  </si>
  <si>
    <t>MAPAMA 2012. Esyrce. Encuesta sobre Superficies y Rendimientos. Ministerio de Agricultura y Pesca, Alimentación y Medio Ambiente, España.</t>
  </si>
  <si>
    <t>MAPAMA 2013. Esyrce. Encuesta sobre Superficies y Rendimientos. Ministerio de Agricultura y Pesca, Alimentación y Medio Ambiente, España.</t>
  </si>
  <si>
    <t>MAPAMA 2014. Esyrce. Encuesta sobre Superficies y Rendimientos. Ministerio de Agricultura y Pesca, Alimentación y Medio Ambiente, España.</t>
  </si>
  <si>
    <t>MAPAMA 2015. Esyrce. Encuesta sobre Superficies y Rendimientos. Ministerio de Agricultura y Pesca, Alimentación y Medio Ambiente, España.</t>
  </si>
  <si>
    <t>MAPAMA 2016. Esyrce. Encuesta sobre Superficies y Rendimientos. Ministerio de Agricultura y Pesca, Alimentación y Medio Ambiente, España.</t>
  </si>
  <si>
    <t>MAPAMA n.d. GUÍA PRÁCTICA DE LA FERTILIZACIÓN RACIONAL DE LOS CULTIVOS EN ESPAÑA. Abonado de los principales cultivos en España. Ministerio de Agricultura y Pesca, Alimentación y Medio Ambiente, España.</t>
  </si>
  <si>
    <r>
      <t xml:space="preserve">MARABOU, n.d. </t>
    </r>
    <r>
      <rPr>
        <i/>
        <sz val="11"/>
        <rFont val="Calibri"/>
        <family val="2"/>
        <scheme val="minor"/>
      </rPr>
      <t>FAQ</t>
    </r>
    <r>
      <rPr>
        <sz val="11"/>
        <rFont val="Calibri"/>
        <family val="2"/>
        <scheme val="minor"/>
      </rPr>
      <t xml:space="preserve"> [Online] Available: http://www.marabou.se/faq [Accessed January 2018].</t>
    </r>
  </si>
  <si>
    <t xml:space="preserve">MARMOLIN, C. &amp; BJÖRKHOLM, A-M. n.d. Växtnäringsrekommendationer till frilandsgrönsaker En sammanställning av rekommendationer som ges i Sverige, Norge, Finland, Tyskland, Holland och UK. Hushållningssällskapet. </t>
  </si>
  <si>
    <r>
      <t xml:space="preserve">MBIE 2017. Annual emission factors data table. </t>
    </r>
    <r>
      <rPr>
        <i/>
        <sz val="11"/>
        <rFont val="Calibri"/>
        <family val="2"/>
        <scheme val="minor"/>
      </rPr>
      <t>In:</t>
    </r>
    <r>
      <rPr>
        <sz val="11"/>
        <rFont val="Calibri"/>
        <family val="2"/>
        <scheme val="minor"/>
      </rPr>
      <t xml:space="preserve"> MINISTRY OF BUSINESS, I. E., NEW ZEELAND (ed.).</t>
    </r>
  </si>
  <si>
    <t xml:space="preserve">MILJØ- OG FØDEVAREMINISTERIET 2012. Bekendtgørelse om jordbrugets anvendelse af gødning i planperioden 2012/2013 og om plantedække. BEKENDTGØRELSE nr 804 af 18/07/2012. </t>
  </si>
  <si>
    <t xml:space="preserve">MILJØ- OG FØDEVAREMINISTERIET 2013. Bekendtgørelse om jordbrugets anvendelse af gødning i planperioden 2013/2014 og om plantedække. BEKENDTGØRELSE nr 1092 af 06/09/2013. </t>
  </si>
  <si>
    <t>MILJØ- OG FØDEVAREMINISTERIET 2014. Bekendtgørelse om jordbrugets anvendelse af gødning i planperioden 2014/2015 og om plantedække. BEKENDTGØRELSE nr 903 af 29/07/2014.</t>
  </si>
  <si>
    <t>MILJØ- OG FØDEVAREMINISTERIET 2015. Bekendtgørelse om jordbrugets anvendelse af gødning i planperioden 2015/2016 og om plantedække. BEKENDTGØRELSE nr 929 af 29/07/2015.</t>
  </si>
  <si>
    <t xml:space="preserve">MINISTRY OF ENVIRONMENT AND FOOD OF DENMARK 2017. Bekæmpelsesmiddelstatistik 2015. Behandlingshyppighed og pesticidbelastning, baseret på salgsstatistik og sprøjtejournaldata. Orientering fra Miljøstyrelsen nr. 17 Januar 2017. </t>
  </si>
  <si>
    <t>Ministry of Natural Resources and Environment, Kingdom of Thailand, 2021. Thailand’s Third National Communication (TNC) to the United Nations Framework Convention on Climate Change.</t>
  </si>
  <si>
    <t xml:space="preserve">MITHRARATNE, N., MCLAREN, S. &amp; BARBER, A. 2008. Carbon footprinting for the Kiwifruit supply chain—report on methodology and scoping study. Landcare research Contract Report LC0708/156, prepared for New Zealand Ministry of Agriculture and Forestry. </t>
  </si>
  <si>
    <t>MONTERO, J., BAPTISTA, F., GIUFFRIDA, F., MUNOZ, P., KEMPKES, F., GILLI, C., STEPOWSKA, A. &amp; STANGHELLINI, C. 2016. Energy use for greenhouse heating in organic production in southern European countries.  III International Symposium on Organic Greenhouse Horticulture 1164, 2016. 439-444.</t>
  </si>
  <si>
    <t xml:space="preserve">MUTUA, J. 2000. POST HARVEST HANDLING AND PROCESSING OF COFFEE IN AFRICAN COUNTRIES. FOOD AND AGRICULTURE ORGANIZATION OF THE UNITED NATIONS, FAO. </t>
  </si>
  <si>
    <r>
      <t xml:space="preserve">MYHRE, G., SHINDELL, D., BRÉON, F.-M., COLLINS, W., FUGLESTVEDT, J., HUANG, J., KOCH, D., LAMARQUE, J.-F., LEE, D., MENDOZA, B., NAKAJIMA, T., ROBOCK, A., STEPHENS, G., TAKEMURA, T. &amp; ZHANG, H. 2013. Anthropogenic and Natural Radiative Forcing. In: Climate Change 2013: The Physical Science Basis. Contribution of Working Group I to the Fifth Assessment Report of the Intergovernmental Panel on Climate Change. </t>
    </r>
    <r>
      <rPr>
        <i/>
        <sz val="11"/>
        <rFont val="Calibri"/>
        <family val="2"/>
        <scheme val="minor"/>
      </rPr>
      <t>In:</t>
    </r>
    <r>
      <rPr>
        <sz val="11"/>
        <rFont val="Calibri"/>
        <family val="2"/>
        <scheme val="minor"/>
      </rPr>
      <t xml:space="preserve"> STOCKER, T. F., QIN, D., PLATTNER, G.-K., TIGNOR, M., ALLEN, S. K., BOSCHUNG, J., NAUELS, A., XIA, Y., BEX, V. &amp; MIDGLEY, P. M. (eds.).</t>
    </r>
  </si>
  <si>
    <r>
      <t xml:space="preserve">NATIONAL FOOD AGENCY, SWEDEN. 2009. </t>
    </r>
    <r>
      <rPr>
        <i/>
        <sz val="11"/>
        <rFont val="Calibri"/>
        <family val="2"/>
        <scheme val="minor"/>
      </rPr>
      <t>Livsmedelsverkets författningssamling, Livsmedelsverkets föreskrifter om cider, LIVSFS 2005: 11.</t>
    </r>
  </si>
  <si>
    <t>NATIONAL FOOD AGENCY, SWEDEN. 2017. The food database. 2017 ed. Uppsala, Sweden: National Food Agency, Sweden.</t>
  </si>
  <si>
    <t>NATIONAL FOOD AGENCY, SWEDEN. n.d. Aminosyror i livsmedel, mg per 100 g ätlig del.</t>
  </si>
  <si>
    <t>NESTLÉ n.d. [Online]. Available: https://www.nestlebarnmat.se [Accessed March 2018].</t>
  </si>
  <si>
    <r>
      <t xml:space="preserve">NILSSON, K. &amp; LINDBERG, U. 2011b. Klimatpåverkan i kylkedjan–från livsmedelsindustri till konsument. </t>
    </r>
    <r>
      <rPr>
        <i/>
        <sz val="11"/>
        <rFont val="Calibri"/>
        <family val="2"/>
        <scheme val="minor"/>
      </rPr>
      <t>Sweden: Livsmedelsverket</t>
    </r>
    <r>
      <rPr>
        <sz val="11"/>
        <rFont val="Calibri"/>
        <family val="2"/>
        <scheme val="minor"/>
      </rPr>
      <t>.</t>
    </r>
  </si>
  <si>
    <t>NILSSON, K., FLORÉN, B. &amp; SONESSON, U. 2009. KLIMATPÅVERKAN FRÅN PRIMÄRFÖRPACKNINGAR FÖR OLIKA LIVSMEDELSGRUPPER. UNDERLAG TILL KLIMATCERTIFIERING.</t>
  </si>
  <si>
    <r>
      <t xml:space="preserve">NILSSON, K., FLYSJÖ, A., DAVIS, J., SIM, S., UNGER, N. &amp; BELL, S. 2010. Comparative life cycle assessment of margarine and butter consumed in the UK, Germany and France. </t>
    </r>
    <r>
      <rPr>
        <i/>
        <sz val="11"/>
        <rFont val="Calibri"/>
        <family val="2"/>
        <scheme val="minor"/>
      </rPr>
      <t>The International Journal of Life Cycle Assessment,</t>
    </r>
    <r>
      <rPr>
        <sz val="11"/>
        <rFont val="Calibri"/>
        <family val="2"/>
        <scheme val="minor"/>
      </rPr>
      <t xml:space="preserve"> 15</t>
    </r>
    <r>
      <rPr>
        <b/>
        <sz val="11"/>
        <rFont val="Calibri"/>
        <family val="2"/>
        <scheme val="minor"/>
      </rPr>
      <t>,</t>
    </r>
    <r>
      <rPr>
        <sz val="11"/>
        <rFont val="Calibri"/>
        <family val="2"/>
        <scheme val="minor"/>
      </rPr>
      <t xml:space="preserve"> 916-926.</t>
    </r>
  </si>
  <si>
    <r>
      <t xml:space="preserve">NILSSON, K., SUND, V. &amp; FLORÉN, B. 2011a. </t>
    </r>
    <r>
      <rPr>
        <i/>
        <sz val="11"/>
        <rFont val="Calibri"/>
        <family val="2"/>
        <scheme val="minor"/>
      </rPr>
      <t>The environmental impact of the consumption of sweets, crisps and soft drinks</t>
    </r>
    <r>
      <rPr>
        <sz val="11"/>
        <rFont val="Calibri"/>
        <family val="2"/>
        <scheme val="minor"/>
      </rPr>
      <t>, Nordic Council of Ministers.</t>
    </r>
  </si>
  <si>
    <r>
      <t>NILSSON, T. 2011. Gödsling av hallon. LTJ-fakultetens faktablad. Fakta från Tillväxt Trädgård, nr 8.</t>
    </r>
    <r>
      <rPr>
        <i/>
        <sz val="11"/>
        <rFont val="Calibri"/>
        <family val="2"/>
        <scheme val="minor"/>
      </rPr>
      <t xml:space="preserve"> </t>
    </r>
    <r>
      <rPr>
        <sz val="11"/>
        <rFont val="Calibri"/>
        <family val="2"/>
        <scheme val="minor"/>
      </rPr>
      <t>Fakulteten för landskapsplanering, trädgårds- och jordbruksvetenskap 2011. Swedish University of Agricultural Sciences.</t>
    </r>
  </si>
  <si>
    <t>NTM n.d. NTMCalc Basic 4.0. Environmental Performance Calculator. Network for Transport and Environment, NTM Road transport.</t>
  </si>
  <si>
    <r>
      <t xml:space="preserve">O'BOY 2018. </t>
    </r>
    <r>
      <rPr>
        <i/>
        <sz val="11"/>
        <rFont val="Calibri"/>
        <family val="2"/>
        <scheme val="minor"/>
      </rPr>
      <t xml:space="preserve">Ingredients list "O'boy original" </t>
    </r>
    <r>
      <rPr>
        <sz val="11"/>
        <rFont val="Calibri"/>
        <family val="2"/>
        <scheme val="minor"/>
      </rPr>
      <t>[Online]. Available: http://www.oboy.se/produkter/oboy-original [Accessed January 2018].</t>
    </r>
  </si>
  <si>
    <r>
      <t xml:space="preserve">PACHANAWAN, A. CHUAN-UDOM, S., SAENGPRACHATANARUG, K. &amp; WONGPICHET, S. 2017. Electrical Energy Consumption and Energy Conservation of Rice Mills in the Northeastern of Thailand. </t>
    </r>
    <r>
      <rPr>
        <i/>
        <sz val="11"/>
        <rFont val="Calibri"/>
        <family val="2"/>
        <scheme val="minor"/>
      </rPr>
      <t xml:space="preserve">Engineering Journal, </t>
    </r>
    <r>
      <rPr>
        <sz val="11"/>
        <rFont val="Calibri"/>
        <family val="2"/>
        <scheme val="minor"/>
      </rPr>
      <t xml:space="preserve">21(4), 73-82. </t>
    </r>
  </si>
  <si>
    <r>
      <t xml:space="preserve">PARKER, R. W. &amp; TYEDMERS, P. H. 2015. Fuel consumption of global fishing fleets: current understanding and knowledge gaps. </t>
    </r>
    <r>
      <rPr>
        <i/>
        <sz val="11"/>
        <rFont val="Calibri"/>
        <family val="2"/>
        <scheme val="minor"/>
      </rPr>
      <t>Fish and Fisheries,</t>
    </r>
    <r>
      <rPr>
        <sz val="11"/>
        <rFont val="Calibri"/>
        <family val="2"/>
        <scheme val="minor"/>
      </rPr>
      <t xml:space="preserve"> 16</t>
    </r>
    <r>
      <rPr>
        <b/>
        <sz val="11"/>
        <rFont val="Calibri"/>
        <family val="2"/>
        <scheme val="minor"/>
      </rPr>
      <t>,</t>
    </r>
    <r>
      <rPr>
        <sz val="11"/>
        <rFont val="Calibri"/>
        <family val="2"/>
        <scheme val="minor"/>
      </rPr>
      <t xml:space="preserve"> 684-696.</t>
    </r>
  </si>
  <si>
    <r>
      <t xml:space="preserve">PARKER, R. W., BLANCHARD, J. L., GARDNER, C., GREEN, B. S., HARTMANN, K., TYEDMERS, P. H. &amp; WATSON, R. A. 2018. Fuel use and greenhouse gas emissions of world fisheries. </t>
    </r>
    <r>
      <rPr>
        <i/>
        <sz val="11"/>
        <rFont val="Calibri"/>
        <family val="2"/>
        <scheme val="minor"/>
      </rPr>
      <t>Nature Climate Change,</t>
    </r>
    <r>
      <rPr>
        <sz val="11"/>
        <rFont val="Calibri"/>
        <family val="2"/>
        <scheme val="minor"/>
      </rPr>
      <t xml:space="preserve"> 8</t>
    </r>
    <r>
      <rPr>
        <b/>
        <sz val="11"/>
        <rFont val="Calibri"/>
        <family val="2"/>
        <scheme val="minor"/>
      </rPr>
      <t>,</t>
    </r>
    <r>
      <rPr>
        <sz val="11"/>
        <rFont val="Calibri"/>
        <family val="2"/>
        <scheme val="minor"/>
      </rPr>
      <t xml:space="preserve"> 333.</t>
    </r>
  </si>
  <si>
    <t>Pendrill, F.  Persson, U. M., Kastner, T., 2020. Deforestation risk embodied in production and consumption of agricultural and forestry commodities 2005-2017. [Online]. https://zenodo.org/record/4250532#.YUMY_bgzY2x. [Accessed May 2021].</t>
  </si>
  <si>
    <r>
      <t xml:space="preserve">PERSSON, U. M., JOHANSSON, D. J., CEDERBERG, C., HEDENUS, F. &amp; BRYNGELSSON, D. 2015. Climate metrics and the carbon footprint of livestock products: where’s the beef? </t>
    </r>
    <r>
      <rPr>
        <i/>
        <sz val="11"/>
        <rFont val="Calibri"/>
        <family val="2"/>
        <scheme val="minor"/>
      </rPr>
      <t>Environmental Research Letters,</t>
    </r>
    <r>
      <rPr>
        <sz val="11"/>
        <rFont val="Calibri"/>
        <family val="2"/>
        <scheme val="minor"/>
      </rPr>
      <t xml:space="preserve"> 10</t>
    </r>
    <r>
      <rPr>
        <b/>
        <sz val="11"/>
        <rFont val="Calibri"/>
        <family val="2"/>
        <scheme val="minor"/>
      </rPr>
      <t>,</t>
    </r>
    <r>
      <rPr>
        <sz val="11"/>
        <rFont val="Calibri"/>
        <family val="2"/>
        <scheme val="minor"/>
      </rPr>
      <t xml:space="preserve"> 034005.</t>
    </r>
  </si>
  <si>
    <r>
      <t>Pincheira-Donoso, D., Bauer, A. M., Meiri, S., &amp; Uetz, P. (2013). Global taxonomic diversity of living reptiles. </t>
    </r>
    <r>
      <rPr>
        <i/>
        <sz val="11"/>
        <color rgb="FF222222"/>
        <rFont val="Calibri"/>
        <family val="2"/>
        <scheme val="minor"/>
      </rPr>
      <t>PLoS One</t>
    </r>
    <r>
      <rPr>
        <sz val="11"/>
        <color rgb="FF222222"/>
        <rFont val="Calibri"/>
        <family val="2"/>
        <scheme val="minor"/>
      </rPr>
      <t>, </t>
    </r>
    <r>
      <rPr>
        <i/>
        <sz val="11"/>
        <color rgb="FF222222"/>
        <rFont val="Calibri"/>
        <family val="2"/>
        <scheme val="minor"/>
      </rPr>
      <t>8</t>
    </r>
    <r>
      <rPr>
        <sz val="11"/>
        <color rgb="FF222222"/>
        <rFont val="Calibri"/>
        <family val="2"/>
        <scheme val="minor"/>
      </rPr>
      <t>(3), e59741.</t>
    </r>
  </si>
  <si>
    <r>
      <t xml:space="preserve">RECANATI, F., MARVEGGIO, D. &amp; DOTELLI, G. 2018. From beans to bar: A life cycle assessment towards sustainable chocolate supply chain. </t>
    </r>
    <r>
      <rPr>
        <i/>
        <sz val="11"/>
        <rFont val="Calibri"/>
        <family val="2"/>
        <scheme val="minor"/>
      </rPr>
      <t>Science of The Total Environment,</t>
    </r>
    <r>
      <rPr>
        <sz val="11"/>
        <rFont val="Calibri"/>
        <family val="2"/>
        <scheme val="minor"/>
      </rPr>
      <t xml:space="preserve"> 613</t>
    </r>
    <r>
      <rPr>
        <b/>
        <sz val="11"/>
        <rFont val="Calibri"/>
        <family val="2"/>
        <scheme val="minor"/>
      </rPr>
      <t>,</t>
    </r>
    <r>
      <rPr>
        <sz val="11"/>
        <rFont val="Calibri"/>
        <family val="2"/>
        <scheme val="minor"/>
      </rPr>
      <t xml:space="preserve"> 1013-1023.</t>
    </r>
  </si>
  <si>
    <r>
      <t>RODRIGUES, CI., MAIA, R. &amp; MÁGUAS, C. 2010. Comparing total nitrogen and crude protein content of green coffee beans (</t>
    </r>
    <r>
      <rPr>
        <i/>
        <sz val="11"/>
        <rFont val="Calibri"/>
        <family val="2"/>
        <scheme val="minor"/>
      </rPr>
      <t>coffea</t>
    </r>
    <r>
      <rPr>
        <sz val="11"/>
        <rFont val="Calibri"/>
        <family val="2"/>
        <scheme val="minor"/>
      </rPr>
      <t xml:space="preserve"> spp.) from different geographical origins. </t>
    </r>
    <r>
      <rPr>
        <i/>
        <sz val="11"/>
        <rFont val="Calibri"/>
        <family val="2"/>
        <scheme val="minor"/>
      </rPr>
      <t>Coffee Science</t>
    </r>
    <r>
      <rPr>
        <sz val="11"/>
        <rFont val="Calibri"/>
        <family val="2"/>
        <scheme val="minor"/>
      </rPr>
      <t>, 5:197–205.</t>
    </r>
  </si>
  <si>
    <r>
      <t xml:space="preserve">RÖÖS, E. &amp; KARLSSON, H. 2013. Effect of eating seasonal on the carbon footprint of Swedish vegetable consumption. </t>
    </r>
    <r>
      <rPr>
        <i/>
        <sz val="11"/>
        <color theme="1"/>
        <rFont val="Calibri"/>
        <family val="2"/>
        <scheme val="minor"/>
      </rPr>
      <t>Journal of Cleaner Production,</t>
    </r>
    <r>
      <rPr>
        <sz val="11"/>
        <color theme="1"/>
        <rFont val="Calibri"/>
        <family val="2"/>
        <scheme val="minor"/>
      </rPr>
      <t xml:space="preserve"> 59</t>
    </r>
    <r>
      <rPr>
        <b/>
        <sz val="11"/>
        <color theme="1"/>
        <rFont val="Calibri"/>
        <family val="2"/>
        <scheme val="minor"/>
      </rPr>
      <t>,</t>
    </r>
    <r>
      <rPr>
        <sz val="11"/>
        <color theme="1"/>
        <rFont val="Calibri"/>
        <family val="2"/>
        <scheme val="minor"/>
      </rPr>
      <t xml:space="preserve"> 63-72.</t>
    </r>
  </si>
  <si>
    <r>
      <t xml:space="preserve">RÖÖS, E., SUNDBERG, C. &amp; HANSSON, P.-A. 2011. Uncertainties in the carbon footprint of refined wheat products: a case study on Swedish pasta. </t>
    </r>
    <r>
      <rPr>
        <i/>
        <sz val="11"/>
        <rFont val="Calibri"/>
        <family val="2"/>
        <scheme val="minor"/>
      </rPr>
      <t>The International Journal of Life Cycle Assessment,</t>
    </r>
    <r>
      <rPr>
        <sz val="11"/>
        <rFont val="Calibri"/>
        <family val="2"/>
        <scheme val="minor"/>
      </rPr>
      <t xml:space="preserve"> 16</t>
    </r>
    <r>
      <rPr>
        <b/>
        <sz val="11"/>
        <rFont val="Calibri"/>
        <family val="2"/>
        <scheme val="minor"/>
      </rPr>
      <t>,</t>
    </r>
    <r>
      <rPr>
        <sz val="11"/>
        <rFont val="Calibri"/>
        <family val="2"/>
        <scheme val="minor"/>
      </rPr>
      <t xml:space="preserve"> 338.</t>
    </r>
  </si>
  <si>
    <t xml:space="preserve">SANDGREN, A. &amp; NILSSON, J. 2021. Emissionsfaktor för nordisk elmix med hänsyn till import och export. 
</t>
  </si>
  <si>
    <t xml:space="preserve">SBA 2004. Gödslings- och kalkningsråd för fruktodling 2004. Jordbruksinformation 5 – 2004. Swedish Board of Agriculture. </t>
  </si>
  <si>
    <t xml:space="preserve">SBA 2010a. Energikartläggning av de areella näringarna. Regeringsuppdrag Jo 2009/1596. Rapport 2010:16. Swedish Board of Agriculture. </t>
  </si>
  <si>
    <t xml:space="preserve">SBA 2010b. Olivolja och bordsoliver. Rapport 2010:34. Swedish Board of Agriculture.  </t>
  </si>
  <si>
    <t>SBA 2011. Ekonomi i bärodling Kalkyler för jordgubbar och hallon. Jordbruksinformation 13 – 2011. Swedish Board of Agriculture.</t>
  </si>
  <si>
    <t xml:space="preserve">SBA 2015b. Trädgårdsproduktion 2014. The 2014 Horticultural Census. JO 33 SM 1501. Swedish Board of Agriculture.
</t>
  </si>
  <si>
    <t xml:space="preserve">SBA 2018. Energianvändning i växthus 2017. Tomat, gurka och prydnadsväxter. Greenhouse energy use in 2017. Statistikrapport 2018:05. Swedish Board of Agriculture.
</t>
  </si>
  <si>
    <t>SBA n.d. Miljöersättning för bruna bönor på Öland programperiod 2007-2013. [Online]. Available: https://www.jordbruksverket.se/amnesomraden/stod/jordbrukarstod/stodochersattningar2018/miljoersattningar/miljoersattningar20072013/brunabonorpaoland20072013.4.7850716f11cd786b52d8000802.html [Accessed January 2019].</t>
  </si>
  <si>
    <t>SBA, 2012. Foderstatistik 2011. Råvaror ingående i foderblandningar för samtliga djurslag. Swedish Board of Agriculture.</t>
  </si>
  <si>
    <t>SBA, 2013. Foderstatistik 2012. Råvaror ingående i foderblandningar för samtliga djurslag. Swedish Board of Agriculture.</t>
  </si>
  <si>
    <t xml:space="preserve">SBA, 2014a. Price Indices and Prices in the Food Sector – Annual and Monthly Statistics – 2014:03. Swedish Board of Agriculture. </t>
  </si>
  <si>
    <t xml:space="preserve">SBA, 2014b. Marknadsöversikt – Spannmål. Rapport 2014:08. Swedish Board of Agriculture. </t>
  </si>
  <si>
    <t>SBA, 2014c. Foderstatistik 2013. Råvaror ingående i foderblandningar för samtliga djurslag. Swedish Board of Agriculture.</t>
  </si>
  <si>
    <r>
      <t>SBA, 2015a. Marknadsöversikt potatis till mat och stärkelseproduktion 2015 Fredagsmys och husmanskost</t>
    </r>
    <r>
      <rPr>
        <i/>
        <sz val="11"/>
        <rFont val="Calibri"/>
        <family val="2"/>
        <scheme val="minor"/>
      </rPr>
      <t xml:space="preserve">. </t>
    </r>
    <r>
      <rPr>
        <sz val="11"/>
        <rFont val="Calibri"/>
        <family val="2"/>
        <scheme val="minor"/>
      </rPr>
      <t xml:space="preserve">Rapport 2015:9. Swedish Board of Agriculture. </t>
    </r>
  </si>
  <si>
    <t>SBA, 2015d. Foderstatistik 2014. Råvaror ingående i foderblandningar för samtliga djurslag. Swedish Board of Agriculture.</t>
  </si>
  <si>
    <r>
      <t>SBA, 2016a.</t>
    </r>
    <r>
      <rPr>
        <b/>
        <sz val="11"/>
        <rFont val="Calibri"/>
        <family val="2"/>
        <scheme val="minor"/>
      </rPr>
      <t xml:space="preserve"> </t>
    </r>
    <r>
      <rPr>
        <sz val="11"/>
        <rFont val="Calibri"/>
        <family val="2"/>
        <scheme val="minor"/>
      </rPr>
      <t xml:space="preserve">Hur stor andel av livsmedlen som säljs på marknaden är producerade i Sverige? På tal om jordbruk och fiske – fördjupning om aktuella frågor. Swedish Board of Agriculture. </t>
    </r>
  </si>
  <si>
    <t>SBA, 2016b. Marknadsöversikt – mjölk och mejeriprodukter. Rapport 2016:11. Swedish Board of Agriculture.</t>
  </si>
  <si>
    <r>
      <t>SBA, 2016c. Marknadsöversikt 2016 Frukt och grönsaker</t>
    </r>
    <r>
      <rPr>
        <i/>
        <sz val="11"/>
        <rFont val="Calibri"/>
        <family val="2"/>
        <scheme val="minor"/>
      </rPr>
      <t xml:space="preserve">. </t>
    </r>
    <r>
      <rPr>
        <sz val="11"/>
        <rFont val="Calibri"/>
        <family val="2"/>
        <scheme val="minor"/>
      </rPr>
      <t xml:space="preserve">Rapport 2016:22. Swedish Board of Agriculture. </t>
    </r>
  </si>
  <si>
    <t>SBA, 2016d. Foderstatistik 2015. Råvaror ingående i foderblandningar för samtliga djurslag. Swedish Board of Agriculture.</t>
  </si>
  <si>
    <t xml:space="preserve">SEPA 2014. National Inventory Report Sweden 2014. Greenhouse Gas Emission Inventories 1990-2012. Submitted under the United Nations Framework Convention on Climate Change and the Kyoto Protocol. Swedish Environmental Protection Agency. 
</t>
  </si>
  <si>
    <t>SEPA 2017. National Inventory Report Sweden 2017. Greenhouse Gas Emission Inventories 1990-2015. Submitted under the United Nations Framework Convention on Climate Change and the Kyoto Protocol. Stockholm, Sweden.</t>
  </si>
  <si>
    <t>SIK 2011. Klimatpåverkan från bröd – kommunikationsunderlag. P80427. Utdrag ur rapport till Brödinstitutet januari 2009. SIK Institutet för livsmedel och bioteknik.</t>
  </si>
  <si>
    <t>SPAWN, S., LARK, T. &amp; GIBBS, H. High carbon losses due to recent cropland expansion in the United States.  AGU Fall Meeting Abstracts, 2017.</t>
  </si>
  <si>
    <t>SPENDRUPS 2017. Spendrups hållbarhetsredovisning 2016.</t>
  </si>
  <si>
    <t>SPRUIJT, J. &amp; VAN DER VOORT, M. 2015. Kwantitatieve Informatie Akkerbouw en Vollegrondsgroenteteelt 2015. Wageningen, the Netherlands: Wageningen University &amp; Research.</t>
  </si>
  <si>
    <t xml:space="preserve">SS, 2011. Växtskyddsmedel i jord- och trädgårdsbruket 2010 Användning i grödor. Plant protection products in agriculture and horticulture. Use in crops. MI 31 SM 1101. Statistics Sweden. </t>
  </si>
  <si>
    <t xml:space="preserve">SS, 2017. Gödselmedel i jordbruket 2015/16. Mineral- och stallgödsel till olika grödor samt hantering och lagring av stallgödsel. Use of fertilisers and animal manure in agriculture in 2015/16. MI 30 SM 1702. Statistics Sweden. </t>
  </si>
  <si>
    <t>SS, 2019. Statistical Database. Statistics Sweden.</t>
  </si>
  <si>
    <r>
      <t xml:space="preserve">STANGHELLINI, C., KEMPKES, F., PARDOSSI, A. &amp; INCROCCI, L. 2005. Closed water loop in greenhouses: effect of water quality and value of produce. </t>
    </r>
    <r>
      <rPr>
        <i/>
        <sz val="11"/>
        <rFont val="Calibri"/>
        <family val="2"/>
        <scheme val="minor"/>
      </rPr>
      <t>Acta Horticulturae,</t>
    </r>
    <r>
      <rPr>
        <sz val="11"/>
        <rFont val="Calibri"/>
        <family val="2"/>
        <scheme val="minor"/>
      </rPr>
      <t xml:space="preserve"> 691</t>
    </r>
    <r>
      <rPr>
        <b/>
        <sz val="11"/>
        <rFont val="Calibri"/>
        <family val="2"/>
        <scheme val="minor"/>
      </rPr>
      <t>,</t>
    </r>
    <r>
      <rPr>
        <sz val="11"/>
        <rFont val="Calibri"/>
        <family val="2"/>
        <scheme val="minor"/>
      </rPr>
      <t xml:space="preserve"> 233-242.</t>
    </r>
  </si>
  <si>
    <r>
      <t xml:space="preserve">STOESSEL, F., JURASKE, R., PFISTER, S. &amp; HELLWEG, S. 2012. Life cycle inventory and carbon and water FoodPrint of fruits and vegetables: Application to a Swiss retailer. </t>
    </r>
    <r>
      <rPr>
        <i/>
        <sz val="11"/>
        <color theme="1"/>
        <rFont val="Calibri"/>
        <family val="2"/>
        <scheme val="minor"/>
      </rPr>
      <t>Environmental science &amp; technology,</t>
    </r>
    <r>
      <rPr>
        <sz val="11"/>
        <color theme="1"/>
        <rFont val="Calibri"/>
        <family val="2"/>
        <scheme val="minor"/>
      </rPr>
      <t xml:space="preserve"> 46</t>
    </r>
    <r>
      <rPr>
        <b/>
        <sz val="11"/>
        <color theme="1"/>
        <rFont val="Calibri"/>
        <family val="2"/>
        <scheme val="minor"/>
      </rPr>
      <t>,</t>
    </r>
    <r>
      <rPr>
        <sz val="11"/>
        <color theme="1"/>
        <rFont val="Calibri"/>
        <family val="2"/>
        <scheme val="minor"/>
      </rPr>
      <t xml:space="preserve"> 3253-3262.</t>
    </r>
  </si>
  <si>
    <t>STRIPPLE, H., ALMEMARK, M., WRANNE, J. &amp; ERIKSSON, E. 2014. Livscykelanalys av glasflaskor, PET-flaskor och aluminiumburkar i det svenska distributionssystemet för drycker. En uppföljning av studierna från år 2008. För Sveriges Bryggerier. Stockholm, Sweden: IVL Svenska Miljöinstitutet.</t>
  </si>
  <si>
    <r>
      <t xml:space="preserve">SVENSK FÅGEL n.d. </t>
    </r>
    <r>
      <rPr>
        <i/>
        <sz val="11"/>
        <rFont val="Calibri"/>
        <family val="2"/>
        <scheme val="minor"/>
      </rPr>
      <t xml:space="preserve">Produktionskedjan </t>
    </r>
    <r>
      <rPr>
        <sz val="11"/>
        <rFont val="Calibri"/>
        <family val="2"/>
        <scheme val="minor"/>
      </rPr>
      <t>[Online]. Available: https://svenskfagel.se/produktionskedjan/ [Accessed November 2017].</t>
    </r>
  </si>
  <si>
    <t>SVENSK FÅGEL undated-a. Energikartläggning Kyckling [Online]. Available: https://svenskfagel.se/wp-content/uploads/2017/09/energikartlaggning_kyckling.pdf [Accessed Sept 2021]</t>
  </si>
  <si>
    <t>SVENSK FÅGEL undated-b. Kyckling är klimatsmartare [Online]. Available: https://svenskfagel.se/wp-content/uploads/2018/10/Klimat-150306-MO1-1.pdf [Accessed Sept 2021]</t>
  </si>
  <si>
    <t>SWEDISH AGENCY FOR PUBLIC MANAGEMENT 2010. Effekter på priset för handelsgödsel när skatten på kväve i handelsgödsel avskaffas.</t>
  </si>
  <si>
    <t>SWEDISH CLIMATE CERTIFICATION FOR FOOD 2009. LAGRING av färska frukter och grönsaker samt spannmålsprodukter. Underlag till regler för minskad klimatpåverkan inom livsmedelsproduktionen.</t>
  </si>
  <si>
    <t>SWEDISH CLIMATE CERTIFICATION FOR FOOD 2010. KLIMATPÅVERKAN FRÅN LIVSMEDELSTRANSPORTER UNDERLAG TILL KLIMATCERTIFIERING.</t>
  </si>
  <si>
    <t xml:space="preserve">SWEDISH ENERGY AGENCY 2014. Energianvändning inom jordbruket 2013 Energy use in the agricultural sector 2013. ES 2014:07. Eskilstuna, Sweden. </t>
  </si>
  <si>
    <t>SYSTEMBOLAGET 2016. Lanseringsplan 2017.</t>
  </si>
  <si>
    <t xml:space="preserve">TEAGASC 2015. Beef Production System guidelines. Animal &amp; Grassland Research &amp; Innovation Programme.  The Agriculture and Food Development Authority, Ireland. </t>
  </si>
  <si>
    <r>
      <t xml:space="preserve">TSIROPOULOS, I., COK, B. &amp; PATEL, M. K. 2013. Energy and greenhouse gas assessment of European glucose production from corn–a multiple allocation approach for a key ingredient of the bio-based economy. </t>
    </r>
    <r>
      <rPr>
        <i/>
        <sz val="11"/>
        <rFont val="Calibri"/>
        <family val="2"/>
        <scheme val="minor"/>
      </rPr>
      <t>Journal of cleaner production,</t>
    </r>
    <r>
      <rPr>
        <sz val="11"/>
        <rFont val="Calibri"/>
        <family val="2"/>
        <scheme val="minor"/>
      </rPr>
      <t xml:space="preserve"> 43</t>
    </r>
    <r>
      <rPr>
        <b/>
        <sz val="11"/>
        <rFont val="Calibri"/>
        <family val="2"/>
        <scheme val="minor"/>
      </rPr>
      <t>,</t>
    </r>
    <r>
      <rPr>
        <sz val="11"/>
        <rFont val="Calibri"/>
        <family val="2"/>
        <scheme val="minor"/>
      </rPr>
      <t xml:space="preserve"> 182-190.</t>
    </r>
  </si>
  <si>
    <t>UBA 2017. National Inventory Report for the German Greenhouse Gas Inventory 1990 – 2015. Federal Environment Agency Submission under the United Nations Framework Convention on Climate Change and the Kyoto Protocol 2017.</t>
  </si>
  <si>
    <t>VELDEN, N. &amp; SMIT, P. 2012. Energiemonitor van de Nederlandse glastuinbouw 2011. Wageningen University &amp; Research. Wageningen, the Netherlands.</t>
  </si>
  <si>
    <t>VELDEN, N. &amp; SMIT, P. 2013. Energiemonitor van de Nederlandse glastuinbouw 2012. Wageningen University &amp; Research. Wageningen, the Netherlands.</t>
  </si>
  <si>
    <t>VELDEN, N. &amp; SMIT, P. 2014. Energiemonitor van de Nederlandse glastuinbouw 2013. Wageningen University &amp; Research. Wageningen, the Netherlands.</t>
  </si>
  <si>
    <t>VELDEN, N. &amp; SMIT, P. 2015. Energiemonitor van de Nederlandse glastuinbouw 2014. Wageningen University &amp; Research. Wageningen, the Netherlands.</t>
  </si>
  <si>
    <t>VELDEN, N. &amp; SMIT, P. 2016. Energiemonitor van de Nederlandse glastuinbouw 2015. Wageningen University &amp; Research. Wageningen, the Netherlands.</t>
  </si>
  <si>
    <t>VELDEN, N. &amp; SMIT, P. 2017. Energiemonitor van de Nederlandse glastuinbouw 2016. Wageningen University &amp; Research. Wageningen, the Netherlands.</t>
  </si>
  <si>
    <t>VELDEN, N. &amp; SMIT, P. 2018. Energiemonitor van de Nederlandse glastuinbouw 2017. Wageningen University &amp; Research. Wageningen, the Netherlands.</t>
  </si>
  <si>
    <t>WALLMAN, M. &amp; NILSSON, K. 2011. Klimatpåverkan och energianvändning från livsmedelsförpackningar.</t>
  </si>
  <si>
    <r>
      <t xml:space="preserve">   VICENTE-VICENTE, J.L., GARCÍA-RUIZ, R., FRANCAVIGLIA, R., AGUILERA, E. &amp; SMITH, P. 2016. Soil carbon sequestration rates under Mediterranean woody crops using recommended management practices: A meta-analysis. </t>
    </r>
    <r>
      <rPr>
        <i/>
        <sz val="11"/>
        <rFont val="Calibri"/>
        <family val="2"/>
        <scheme val="minor"/>
      </rPr>
      <t>Agriculture, Ecosystems and Environment.</t>
    </r>
    <r>
      <rPr>
        <sz val="11"/>
        <rFont val="Calibri"/>
        <family val="2"/>
        <scheme val="minor"/>
      </rPr>
      <t xml:space="preserve"> 235, 204-214.</t>
    </r>
  </si>
  <si>
    <r>
      <t xml:space="preserve">WINTHER, U., ZIEGLER, F., HOGNES, E. S., EMANUELSSON, A., SUND, V. &amp; ELLINGSEN, H. 2009. Carbon footprint and energy use of Norwegian seafood products. </t>
    </r>
    <r>
      <rPr>
        <i/>
        <sz val="11"/>
        <rFont val="Calibri"/>
        <family val="2"/>
        <scheme val="minor"/>
      </rPr>
      <t>SINTEF Fisheries and aquaculture,</t>
    </r>
    <r>
      <rPr>
        <sz val="11"/>
        <rFont val="Calibri"/>
        <family val="2"/>
        <scheme val="minor"/>
      </rPr>
      <t xml:space="preserve"> 32.</t>
    </r>
  </si>
  <si>
    <r>
      <t xml:space="preserve">WWF n.d. </t>
    </r>
    <r>
      <rPr>
        <i/>
        <sz val="11"/>
        <rFont val="Calibri"/>
        <family val="2"/>
        <scheme val="minor"/>
      </rPr>
      <t xml:space="preserve">Fiskguiden. </t>
    </r>
    <r>
      <rPr>
        <sz val="11"/>
        <rFont val="Calibri"/>
        <family val="2"/>
        <scheme val="minor"/>
      </rPr>
      <t>World Wildlife Fund.</t>
    </r>
  </si>
  <si>
    <t>YARA INTERNATIONAL 2010. Klimatavtryck. Gödslingens klimatpåverkan och möjliga förbättringar.</t>
  </si>
  <si>
    <t>ZIEGLER, F. &amp; BERGMAN, K. 2017. Svensk konsumtion av sjömat - en växande mångfald. Gothenburg, Sweden: RISE Research Institutes of Sweden.</t>
  </si>
  <si>
    <t>Personal communication</t>
  </si>
  <si>
    <t>Alfsdotter, A.-S.; (Swedish Beekeepers Association, Skänninge, Sweden). Personal communication, 2019.</t>
  </si>
  <si>
    <r>
      <t xml:space="preserve">               ANDERSSON, P. 2018. </t>
    </r>
    <r>
      <rPr>
        <i/>
        <sz val="10"/>
        <rFont val="Calibri"/>
        <family val="2"/>
        <scheme val="minor"/>
      </rPr>
      <t>Kalmar-Ölands Trädgårdsprodukter.</t>
    </r>
  </si>
  <si>
    <t xml:space="preserve">               ARLA FORUM KONSUMENTKONTAKT. 2018</t>
  </si>
  <si>
    <t xml:space="preserve">              BJÖRKHOLM, A-M. 2019. Rådgivning grönsaker, bär och frukt, växtodling/Advisor vegetables, berries and fruits, plant production. Hushållningssällskapet.</t>
  </si>
  <si>
    <r>
      <t xml:space="preserve">               DANIELSSON, R. 2018. </t>
    </r>
    <r>
      <rPr>
        <i/>
        <sz val="10"/>
        <rFont val="Calibri"/>
        <family val="2"/>
        <scheme val="minor"/>
      </rPr>
      <t>Researcher, Institutionen för husdjurens utfodring och vård, Swedish University of Agricultural Sciences.</t>
    </r>
  </si>
  <si>
    <t xml:space="preserve">                DANSUKKER Kundforum, 2018</t>
  </si>
  <si>
    <r>
      <t xml:space="preserve">DUGGE ENGSTRÖM, M. 2018. </t>
    </r>
    <r>
      <rPr>
        <i/>
        <sz val="10"/>
        <rFont val="Calibri"/>
        <family val="2"/>
        <scheme val="minor"/>
      </rPr>
      <t>CEO, Dugges Bryggeri AB.</t>
    </r>
  </si>
  <si>
    <r>
      <t xml:space="preserve">ERIKSSON, I. 2017. </t>
    </r>
    <r>
      <rPr>
        <i/>
        <sz val="10"/>
        <rFont val="Calibri"/>
        <family val="2"/>
        <scheme val="minor"/>
      </rPr>
      <t xml:space="preserve">Husdjursagronom/Pet agronomist. Affärsområdeschef - gris. Produktionsrådgivare - gris/Production advisor - pigs. Gårds- och djurhälsan. </t>
    </r>
  </si>
  <si>
    <r>
      <t xml:space="preserve">              HANSSON, T. 2017.</t>
    </r>
    <r>
      <rPr>
        <i/>
        <sz val="10"/>
        <rFont val="Calibri"/>
        <family val="2"/>
        <scheme val="minor"/>
      </rPr>
      <t xml:space="preserve"> Grön Kompetens AB. </t>
    </r>
  </si>
  <si>
    <r>
      <t xml:space="preserve">              HESSLE, A. 2018. </t>
    </r>
    <r>
      <rPr>
        <i/>
        <sz val="10"/>
        <rFont val="Calibri"/>
        <family val="2"/>
        <scheme val="minor"/>
      </rPr>
      <t>Researcher, FLK vid Institutionen för husdjurens miljö och hälsa, Swedish University of Agricultural Sciences.</t>
    </r>
  </si>
  <si>
    <r>
      <t xml:space="preserve">              LARSSON, G. 2017. </t>
    </r>
    <r>
      <rPr>
        <i/>
        <sz val="10"/>
        <rFont val="Calibri"/>
        <family val="2"/>
        <scheme val="minor"/>
      </rPr>
      <t xml:space="preserve">Svensk Raps AB. </t>
    </r>
  </si>
  <si>
    <r>
      <t xml:space="preserve">              LINDBERG, H. 2018. </t>
    </r>
    <r>
      <rPr>
        <i/>
        <sz val="10"/>
        <rFont val="Calibri"/>
        <family val="2"/>
        <scheme val="minor"/>
      </rPr>
      <t>Produktionsrådgivare/Production advisor, Växa Sverige.</t>
    </r>
  </si>
  <si>
    <r>
      <t>LÖFGREN, R. 2017.</t>
    </r>
    <r>
      <rPr>
        <i/>
        <sz val="10"/>
        <rFont val="Calibri"/>
        <family val="2"/>
        <scheme val="minor"/>
      </rPr>
      <t xml:space="preserve"> R&amp;D, Skånemejerier.</t>
    </r>
  </si>
  <si>
    <r>
      <t xml:space="preserve">MALMROS, H. 2017. </t>
    </r>
    <r>
      <rPr>
        <i/>
        <sz val="10"/>
        <rFont val="Calibri"/>
        <family val="2"/>
        <scheme val="minor"/>
      </rPr>
      <t xml:space="preserve">Technical Product Manager, Aarhus Karlshamn (AAK) </t>
    </r>
  </si>
  <si>
    <r>
      <t xml:space="preserve">NILSSON, A. 2017. </t>
    </r>
    <r>
      <rPr>
        <i/>
        <sz val="10"/>
        <rFont val="Calibri"/>
        <family val="2"/>
        <scheme val="minor"/>
      </rPr>
      <t>Utvecklingschef/Manager R&amp;D, KIVIKS MUSTERI AB.</t>
    </r>
  </si>
  <si>
    <r>
      <t xml:space="preserve">OLSSON, H. 2017. </t>
    </r>
    <r>
      <rPr>
        <i/>
        <sz val="10"/>
        <rFont val="Calibri"/>
        <family val="2"/>
        <scheme val="minor"/>
      </rPr>
      <t>Quality and Environment, Everfresh.</t>
    </r>
  </si>
  <si>
    <t xml:space="preserve">   ORKLA FOODS SVERIGE Konsumentkontakt. 2019</t>
  </si>
  <si>
    <r>
      <t xml:space="preserve">              POULSEN, J.H. 2019.</t>
    </r>
    <r>
      <rPr>
        <i/>
        <sz val="10"/>
        <rFont val="Calibri"/>
        <family val="2"/>
        <scheme val="minor"/>
      </rPr>
      <t xml:space="preserve"> Nordic Development Director Professional Baking &amp; B2B, Sales &amp; Marketing Director B2B Denmark, Lantmännen Cerealia.</t>
    </r>
    <r>
      <rPr>
        <sz val="10"/>
        <rFont val="Calibri"/>
        <family val="2"/>
        <scheme val="minor"/>
      </rPr>
      <t xml:space="preserve"> </t>
    </r>
  </si>
  <si>
    <r>
      <t xml:space="preserve">              RAMVALL, C. 2017.</t>
    </r>
    <r>
      <rPr>
        <i/>
        <sz val="10"/>
        <rFont val="Calibri"/>
        <family val="2"/>
        <scheme val="minor"/>
      </rPr>
      <t xml:space="preserve"> Quality and Environment, Norvida. </t>
    </r>
  </si>
  <si>
    <r>
      <t>SEMPER. 2018. Kons</t>
    </r>
    <r>
      <rPr>
        <i/>
        <sz val="10"/>
        <rFont val="Calibri"/>
        <family val="2"/>
        <scheme val="minor"/>
      </rPr>
      <t>umentrådgivare/Consumer advisor, Semper Konsumentkontakt.</t>
    </r>
  </si>
  <si>
    <r>
      <t xml:space="preserve">ZIEGLER, F. 2017. </t>
    </r>
    <r>
      <rPr>
        <i/>
        <sz val="10"/>
        <rFont val="Calibri"/>
        <family val="2"/>
        <scheme val="minor"/>
      </rPr>
      <t>Senior scientist, Agrifood and Bioscience, Research Institutes of Sweden (RISE).</t>
    </r>
  </si>
  <si>
    <r>
      <t xml:space="preserve">              ÖGREN, E. 2017. </t>
    </r>
    <r>
      <rPr>
        <i/>
        <sz val="10"/>
        <rFont val="Calibri"/>
        <family val="2"/>
        <scheme val="minor"/>
      </rPr>
      <t xml:space="preserve">Advisor, organic production, Rådgivningsenheten Norr, Swedish Board of Agriculture. </t>
    </r>
  </si>
  <si>
    <t>Changes made to the material</t>
  </si>
  <si>
    <t>Version 1.1</t>
  </si>
  <si>
    <t>Update of fertiliser data from Statistical database of Statistics Sweden for grains, rapeseed, potato and sugar beets (SS, 2019).</t>
  </si>
  <si>
    <t>Version 1.2</t>
  </si>
  <si>
    <t>Update of energy use in Swedish greenhouses and consideration of share of heated versus unheated greenhouses (SBA, 2018). Additional data for irrigation is considered for unheated greenhouses.</t>
  </si>
  <si>
    <t>Update of energy use in Dutch greenhouses (Velden &amp; Smit, 2017; 2018).</t>
  </si>
  <si>
    <t>Version 1.3</t>
  </si>
  <si>
    <t>Update of suggested update frequency for data maintenance</t>
  </si>
  <si>
    <t>Version 1.4</t>
  </si>
  <si>
    <t xml:space="preserve">Update of density of apple juice, orange juice and squash drink (Charrondiere, Haytowitz and Stadlmayr, 2012). </t>
  </si>
  <si>
    <t>Update to per kg oil instead of per liter as food supply data is given per kg</t>
  </si>
  <si>
    <t>Updated so that it is wet weight extraction, not dry weight, for rape seed and olive oil</t>
  </si>
  <si>
    <t>Version 1.5</t>
  </si>
  <si>
    <t>Reference for drying of cocoa beans changed</t>
  </si>
  <si>
    <t>Version 1.6</t>
  </si>
  <si>
    <t>Electricity use in stables for beef from rest of the world excluded based on year-round grazing (Cederberg et al., 2009b).</t>
  </si>
  <si>
    <t>Version 1.7</t>
  </si>
  <si>
    <t>Update for assumption of milk needed for milk powder production, based on Karlsson et al. (2019)</t>
  </si>
  <si>
    <t>Fruit mix as ingredient in processed products is changed to average of apple, orange, strawberry and raspberry.</t>
  </si>
  <si>
    <t>Version 1.8</t>
  </si>
  <si>
    <t xml:space="preserve">Update in calculations of beef: meat from animal is calculated as slaughtered heads * slaughter weight, instead of slaughtered heads including mortality. </t>
  </si>
  <si>
    <t>Version 1.9</t>
  </si>
  <si>
    <t>Update on emission factors for electricity</t>
  </si>
  <si>
    <t>Update on emissions from LUC for soybeans and palm oil</t>
  </si>
  <si>
    <t xml:space="preserve">Update on the emissions from the production of N mineral fertilizer </t>
  </si>
  <si>
    <t>Version 1.10</t>
  </si>
  <si>
    <t>Added new GWP / GTP factors from IPCC AR6 and the old IPCC AR4 factors for comparisons</t>
  </si>
  <si>
    <t>Update on methane emissions from rice cultivation for Thailand</t>
  </si>
  <si>
    <t>Updated emissions factors for nitrous oxide from soils</t>
  </si>
  <si>
    <t>Version 1.11</t>
  </si>
  <si>
    <t>Updated heating for poultry</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</si>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</sst>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0.000"/>
    <numFmt numFmtId="167" formatCode="0.0000"/>
    <numFmt numFmtId="168" formatCode="0.00000"/>
    <numFmt numFmtId="169" formatCode="0.0E+00"/>
    <numFmt numFmtId="170" formatCode="0.000000"/>
    <numFmt numFmtId="171" formatCode="0.00000000000"/>
    <numFmt numFmtId="172" formatCode="[=0]0;[&lt;9.5]0.0;#,##0"/>
    <numFmt numFmtId="173" formatCode="0.0000000"/>
    <numFmt numFmtId="174" formatCode="0.000000000"/>
    <numFmt numFmtId="175" formatCode="0.00000000"/>
    <numFmt numFmtId="176" formatCode="0.000E+00"/>
    <numFmt numFmtId="177" formatCode="0.00000E+00"/>
  </numFmts>
  <fonts count="92">
    <font>
      <sz val="11"/>
      <color theme="1"/>
      <name val="Calibri"/>
      <family val="2"/>
      <scheme val="minor"/>
    </font>
    <font>
      <sz val="11"/>
      <color rgb="FF000000"/>
      <name val="Calibri"/>
      <family val="2"/>
    </font>
    <font>
      <i/>
      <sz val="11"/>
      <color theme="1"/>
      <name val="Calibri"/>
      <family val="2"/>
      <scheme val="minor"/>
    </font>
    <font>
      <sz val="11"/>
      <name val="Calibri"/>
      <family val="2"/>
      <scheme val="minor"/>
    </font>
    <font>
      <b/>
      <sz val="11"/>
      <color theme="1"/>
      <name val="Calibri"/>
      <family val="2"/>
      <scheme val="minor"/>
    </font>
    <font>
      <sz val="11"/>
      <color rgb="FF000000"/>
      <name val="Calibri"/>
      <family val="2"/>
      <scheme val="minor"/>
    </font>
    <font>
      <sz val="9"/>
      <color indexed="81"/>
      <name val="Tahoma"/>
      <family val="2"/>
    </font>
    <font>
      <b/>
      <sz val="9"/>
      <color indexed="81"/>
      <name val="Tahoma"/>
      <family val="2"/>
    </font>
    <font>
      <b/>
      <sz val="11"/>
      <color rgb="FF222222"/>
      <name val="Calibri"/>
      <family val="2"/>
      <scheme val="minor"/>
    </font>
    <font>
      <b/>
      <sz val="11"/>
      <color rgb="FF000000"/>
      <name val="Calibri"/>
      <family val="2"/>
      <scheme val="minor"/>
    </font>
    <font>
      <sz val="11"/>
      <color rgb="FF222222"/>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0"/>
      <color rgb="FF000000"/>
      <name val="Calibri"/>
      <family val="2"/>
      <scheme val="minor"/>
    </font>
    <font>
      <b/>
      <sz val="10"/>
      <color rgb="FF222222"/>
      <name val="Calibri"/>
      <family val="2"/>
      <scheme val="minor"/>
    </font>
    <font>
      <sz val="10"/>
      <name val="Arial"/>
      <family val="2"/>
    </font>
    <font>
      <b/>
      <i/>
      <sz val="11"/>
      <color theme="1"/>
      <name val="Calibri"/>
      <family val="2"/>
      <scheme val="minor"/>
    </font>
    <font>
      <sz val="11"/>
      <color theme="1"/>
      <name val="Calibri"/>
      <family val="2"/>
      <scheme val="minor"/>
    </font>
    <font>
      <sz val="11"/>
      <color rgb="FFFF0000"/>
      <name val="Calibri"/>
      <family val="2"/>
      <scheme val="minor"/>
    </font>
    <font>
      <b/>
      <u/>
      <sz val="10"/>
      <color theme="1"/>
      <name val="Calibri"/>
      <family val="2"/>
      <scheme val="minor"/>
    </font>
    <font>
      <b/>
      <u/>
      <sz val="11"/>
      <color theme="1"/>
      <name val="Calibri"/>
      <family val="2"/>
      <scheme val="minor"/>
    </font>
    <font>
      <b/>
      <sz val="10"/>
      <name val="Calibri"/>
      <family val="2"/>
      <scheme val="minor"/>
    </font>
    <font>
      <i/>
      <sz val="10"/>
      <name val="Calibri"/>
      <family val="2"/>
      <scheme val="minor"/>
    </font>
    <font>
      <i/>
      <sz val="10"/>
      <color theme="1"/>
      <name val="Calibri"/>
      <family val="2"/>
      <scheme val="minor"/>
    </font>
    <font>
      <u/>
      <sz val="11"/>
      <color theme="10"/>
      <name val="Calibri"/>
      <family val="2"/>
      <scheme val="minor"/>
    </font>
    <font>
      <b/>
      <sz val="10"/>
      <color rgb="FF000000"/>
      <name val="Calibri"/>
      <family val="2"/>
      <scheme val="minor"/>
    </font>
    <font>
      <sz val="11"/>
      <color theme="1"/>
      <name val="Arial"/>
      <family val="2"/>
    </font>
    <font>
      <b/>
      <sz val="18"/>
      <color theme="1"/>
      <name val="Calibri"/>
      <family val="2"/>
      <scheme val="minor"/>
    </font>
    <font>
      <b/>
      <sz val="12.1"/>
      <color rgb="FF000000"/>
      <name val="Inherit"/>
    </font>
    <font>
      <sz val="12.1"/>
      <color rgb="FF000000"/>
      <name val="Inherit"/>
    </font>
    <font>
      <sz val="10"/>
      <name val="Calibri"/>
      <family val="2"/>
      <scheme val="minor"/>
    </font>
    <font>
      <b/>
      <u/>
      <sz val="11"/>
      <name val="Calibri"/>
      <family val="2"/>
      <scheme val="minor"/>
    </font>
    <font>
      <sz val="12"/>
      <color indexed="81"/>
      <name val="Tahoma"/>
      <family val="2"/>
    </font>
    <font>
      <sz val="7"/>
      <color rgb="FF666666"/>
      <name val="Lucida Console"/>
      <family val="3"/>
    </font>
    <font>
      <sz val="12"/>
      <name val="Calibri"/>
      <family val="2"/>
      <scheme val="minor"/>
    </font>
    <font>
      <sz val="7"/>
      <color rgb="FF000000"/>
      <name val="Trebuchet MS"/>
      <family val="2"/>
    </font>
    <font>
      <b/>
      <sz val="11"/>
      <color rgb="FFFF0000"/>
      <name val="Calibri"/>
      <family val="2"/>
      <scheme val="minor"/>
    </font>
    <font>
      <b/>
      <u/>
      <sz val="10"/>
      <color rgb="FFFF0000"/>
      <name val="Calibri"/>
      <family val="2"/>
      <scheme val="minor"/>
    </font>
    <font>
      <b/>
      <sz val="10"/>
      <color rgb="FFFF0000"/>
      <name val="Calibri"/>
      <family val="2"/>
      <scheme val="minor"/>
    </font>
    <font>
      <b/>
      <sz val="14.3"/>
      <color rgb="FF222222"/>
      <name val="Inherit"/>
    </font>
    <font>
      <b/>
      <sz val="5"/>
      <color rgb="FF222222"/>
      <name val="Inherit"/>
    </font>
    <font>
      <sz val="5"/>
      <color rgb="FF222222"/>
      <name val="Inherit"/>
    </font>
    <font>
      <b/>
      <sz val="5"/>
      <color rgb="FF000000"/>
      <name val="Inherit"/>
    </font>
    <font>
      <sz val="6"/>
      <color rgb="FF666666"/>
      <name val="Lucida Console"/>
      <family val="3"/>
    </font>
    <font>
      <sz val="11"/>
      <color theme="1"/>
      <name val="Times New Roman"/>
      <family val="1"/>
    </font>
    <font>
      <vertAlign val="superscript"/>
      <sz val="11"/>
      <color theme="1"/>
      <name val="Calibri"/>
      <family val="2"/>
      <scheme val="minor"/>
    </font>
    <font>
      <i/>
      <sz val="11"/>
      <name val="Calibri"/>
      <family val="2"/>
      <scheme val="minor"/>
    </font>
    <font>
      <sz val="10"/>
      <color rgb="FF000000"/>
      <name val="Arial"/>
      <family val="2"/>
    </font>
    <font>
      <sz val="10"/>
      <color theme="1"/>
      <name val="Arial"/>
      <family val="2"/>
    </font>
    <font>
      <sz val="10"/>
      <color rgb="FF000000"/>
      <name val="Arial"/>
      <family val="2"/>
    </font>
    <font>
      <sz val="12"/>
      <color theme="1"/>
      <name val="Times New Roman"/>
      <family val="1"/>
    </font>
    <font>
      <b/>
      <sz val="12"/>
      <color theme="1"/>
      <name val="Times New Roman"/>
      <family val="1"/>
    </font>
    <font>
      <b/>
      <sz val="14"/>
      <color theme="1"/>
      <name val="Calibri"/>
      <family val="2"/>
      <scheme val="minor"/>
    </font>
    <font>
      <sz val="14"/>
      <color theme="1"/>
      <name val="Calibri"/>
      <family val="2"/>
      <scheme val="minor"/>
    </font>
    <font>
      <sz val="14"/>
      <name val="Calibri"/>
      <family val="2"/>
      <scheme val="minor"/>
    </font>
    <font>
      <sz val="12"/>
      <color rgb="FF000000"/>
      <name val="Times New Roman"/>
      <family val="1"/>
    </font>
    <font>
      <u/>
      <sz val="11"/>
      <color theme="4" tint="-0.249977111117893"/>
      <name val="Calibri"/>
      <family val="2"/>
      <scheme val="minor"/>
    </font>
    <font>
      <b/>
      <sz val="24"/>
      <color theme="1"/>
      <name val="Calibri"/>
      <family val="2"/>
      <scheme val="minor"/>
    </font>
    <font>
      <b/>
      <sz val="13"/>
      <color theme="1"/>
      <name val="Calibri"/>
      <family val="2"/>
      <scheme val="minor"/>
    </font>
    <font>
      <sz val="13"/>
      <color theme="1"/>
      <name val="Calibri"/>
      <family val="2"/>
      <scheme val="minor"/>
    </font>
    <font>
      <sz val="24"/>
      <color theme="1"/>
      <name val="Calibri"/>
      <family val="2"/>
      <scheme val="minor"/>
    </font>
    <font>
      <sz val="10"/>
      <name val="Calibri"/>
      <family val="2"/>
    </font>
    <font>
      <sz val="11"/>
      <name val="Calibri"/>
      <family val="2"/>
    </font>
    <font>
      <b/>
      <sz val="13"/>
      <name val="Calibri"/>
      <family val="2"/>
      <scheme val="minor"/>
    </font>
    <font>
      <sz val="8"/>
      <color rgb="FF000000"/>
      <name val="Trebuchet MS"/>
      <family val="2"/>
    </font>
    <font>
      <sz val="10"/>
      <color rgb="FFFF0000"/>
      <name val="Calibri"/>
      <family val="2"/>
      <scheme val="minor"/>
    </font>
    <font>
      <vertAlign val="superscript"/>
      <sz val="10"/>
      <color theme="1"/>
      <name val="Calibri"/>
      <family val="2"/>
      <scheme val="minor"/>
    </font>
    <font>
      <sz val="8"/>
      <color rgb="FFFF0000"/>
      <name val="Trebuchet MS"/>
      <family val="2"/>
    </font>
    <font>
      <b/>
      <vertAlign val="superscript"/>
      <sz val="10"/>
      <color theme="1"/>
      <name val="Calibri"/>
      <family val="2"/>
      <scheme val="minor"/>
    </font>
    <font>
      <sz val="10"/>
      <color rgb="FF222222"/>
      <name val="Calibri"/>
      <family val="2"/>
      <scheme val="minor"/>
    </font>
    <font>
      <u/>
      <sz val="10"/>
      <color theme="10"/>
      <name val="Calibri"/>
      <family val="2"/>
      <scheme val="minor"/>
    </font>
    <font>
      <b/>
      <sz val="10"/>
      <color theme="4"/>
      <name val="Calibri"/>
      <family val="2"/>
      <scheme val="minor"/>
    </font>
    <font>
      <b/>
      <i/>
      <sz val="10"/>
      <color theme="1"/>
      <name val="Calibri"/>
      <family val="2"/>
      <scheme val="minor"/>
    </font>
    <font>
      <sz val="10"/>
      <color rgb="FF333333"/>
      <name val="Calibri"/>
      <family val="2"/>
      <scheme val="minor"/>
    </font>
    <font>
      <b/>
      <sz val="16"/>
      <color theme="1"/>
      <name val="Calibri"/>
      <family val="2"/>
      <scheme val="minor"/>
    </font>
    <font>
      <b/>
      <sz val="18"/>
      <name val="Calibri"/>
      <family val="2"/>
      <scheme val="minor"/>
    </font>
    <font>
      <sz val="12"/>
      <color rgb="FF221E1F"/>
      <name val="Times New Roman"/>
      <family val="1"/>
    </font>
    <font>
      <vertAlign val="superscript"/>
      <sz val="12"/>
      <color rgb="FF221E1F"/>
      <name val="Times New Roman"/>
      <family val="1"/>
    </font>
    <font>
      <i/>
      <sz val="11"/>
      <color rgb="FF222222"/>
      <name val="Calibri"/>
      <family val="2"/>
      <scheme val="minor"/>
    </font>
    <font>
      <sz val="11"/>
      <color rgb="FF32322F"/>
      <name val="Calibri"/>
      <family val="2"/>
      <scheme val="minor"/>
    </font>
    <font>
      <sz val="18"/>
      <name val="Calibri"/>
      <family val="2"/>
      <scheme val="minor"/>
    </font>
    <font>
      <b/>
      <u/>
      <sz val="18"/>
      <color theme="1"/>
      <name val="Calibri"/>
      <family val="2"/>
      <scheme val="minor"/>
    </font>
    <font>
      <sz val="12"/>
      <color rgb="FF000000"/>
      <name val="Calibri"/>
      <family val="2"/>
      <scheme val="minor"/>
    </font>
    <font>
      <sz val="12"/>
      <color rgb="FF222222"/>
      <name val="Calibri"/>
      <family val="2"/>
      <scheme val="minor"/>
    </font>
    <font>
      <i/>
      <sz val="12"/>
      <name val="Calibri"/>
      <family val="2"/>
      <scheme val="minor"/>
    </font>
    <font>
      <b/>
      <sz val="12"/>
      <color theme="1"/>
      <name val="Calibri"/>
      <family val="2"/>
      <scheme val="minor"/>
    </font>
    <font>
      <b/>
      <sz val="16"/>
      <color rgb="FF000000"/>
      <name val="Calibri"/>
      <family val="2"/>
      <scheme val="minor"/>
    </font>
    <font>
      <sz val="16"/>
      <color theme="1"/>
      <name val="Calibri"/>
      <family val="2"/>
      <scheme val="minor"/>
    </font>
    <font>
      <u/>
      <sz val="11"/>
      <color theme="1"/>
      <name val="Calibri"/>
      <family val="2"/>
      <scheme val="minor"/>
    </font>
    <font>
      <b/>
      <sz val="12"/>
      <color indexed="81"/>
      <name val="Tahoma"/>
      <family val="2"/>
    </font>
    <font>
      <b/>
      <sz val="18"/>
      <color rgb="FFFF0000"/>
      <name val="Calibri"/>
      <family val="2"/>
    </font>
  </fonts>
  <fills count="17">
    <fill>
      <patternFill patternType="none"/>
    </fill>
    <fill>
      <patternFill patternType="gray125"/>
    </fill>
    <fill>
      <patternFill patternType="solid">
        <fgColor rgb="FFFFFF00"/>
        <bgColor indexed="64"/>
      </patternFill>
    </fill>
    <fill>
      <patternFill patternType="solid">
        <fgColor rgb="FFE1F4A6"/>
        <bgColor indexed="64"/>
      </patternFill>
    </fill>
    <fill>
      <patternFill patternType="solid">
        <fgColor rgb="FFF3F3F3"/>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rgb="FFFFFFFF"/>
        <bgColor indexed="64"/>
      </patternFill>
    </fill>
    <fill>
      <patternFill patternType="solid">
        <fgColor rgb="FFE1E1E1"/>
        <bgColor indexed="64"/>
      </patternFill>
    </fill>
    <fill>
      <patternFill patternType="solid">
        <fgColor rgb="FF92D050"/>
        <bgColor indexed="64"/>
      </patternFill>
    </fill>
    <fill>
      <patternFill patternType="solid">
        <fgColor rgb="FFF5F5F5"/>
        <bgColor indexed="64"/>
      </patternFill>
    </fill>
    <fill>
      <patternFill patternType="solid">
        <fgColor rgb="FFFFDDDD"/>
        <bgColor indexed="64"/>
      </patternFill>
    </fill>
    <fill>
      <patternFill patternType="solid">
        <fgColor rgb="FFFF0000"/>
        <bgColor indexed="64"/>
      </patternFill>
    </fill>
    <fill>
      <patternFill patternType="solid">
        <fgColor theme="4" tint="0.59999389629810485"/>
        <bgColor indexed="64"/>
      </patternFill>
    </fill>
    <fill>
      <patternFill patternType="solid">
        <fgColor rgb="FFD0CECE"/>
        <bgColor indexed="64"/>
      </patternFill>
    </fill>
    <fill>
      <patternFill patternType="solid">
        <fgColor rgb="FF0070C0"/>
        <bgColor indexed="64"/>
      </patternFill>
    </fill>
  </fills>
  <borders count="49">
    <border>
      <left/>
      <right/>
      <top/>
      <bottom/>
      <diagonal/>
    </border>
    <border>
      <left style="medium">
        <color rgb="FFA9A9A9"/>
      </left>
      <right style="medium">
        <color rgb="FFA9A9A9"/>
      </right>
      <top style="medium">
        <color rgb="FFA9A9A9"/>
      </top>
      <bottom style="medium">
        <color rgb="FFA9A9A9"/>
      </bottom>
      <diagonal/>
    </border>
    <border>
      <left style="medium">
        <color rgb="FFA9A9A9"/>
      </left>
      <right/>
      <top style="medium">
        <color rgb="FFA9A9A9"/>
      </top>
      <bottom style="medium">
        <color rgb="FFA9A9A9"/>
      </bottom>
      <diagonal/>
    </border>
    <border>
      <left/>
      <right/>
      <top style="medium">
        <color rgb="FFA9A9A9"/>
      </top>
      <bottom style="medium">
        <color rgb="FFA9A9A9"/>
      </bottom>
      <diagonal/>
    </border>
    <border>
      <left/>
      <right style="medium">
        <color rgb="FFA9A9A9"/>
      </right>
      <top style="medium">
        <color rgb="FFA9A9A9"/>
      </top>
      <bottom style="medium">
        <color rgb="FFA9A9A9"/>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medium">
        <color rgb="FFA9A9A9"/>
      </right>
      <top/>
      <bottom style="medium">
        <color rgb="FFA9A9A9"/>
      </bottom>
      <diagonal/>
    </border>
    <border>
      <left style="medium">
        <color rgb="FFA9A9A9"/>
      </left>
      <right/>
      <top/>
      <bottom style="medium">
        <color rgb="FFA9A9A9"/>
      </bottom>
      <diagonal/>
    </border>
    <border>
      <left/>
      <right/>
      <top style="medium">
        <color rgb="FFDDDDDD"/>
      </top>
      <bottom/>
      <diagonal/>
    </border>
    <border>
      <left style="medium">
        <color rgb="FFDDDDDD"/>
      </left>
      <right/>
      <top style="medium">
        <color rgb="FFDDDDDD"/>
      </top>
      <bottom/>
      <diagonal/>
    </border>
    <border>
      <left style="medium">
        <color rgb="FFDDDDDD"/>
      </left>
      <right/>
      <top style="medium">
        <color rgb="FFDDDDDD"/>
      </top>
      <bottom style="medium">
        <color rgb="FFDDDDDD"/>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rgb="FFA9A9A9"/>
      </right>
      <top/>
      <bottom/>
      <diagonal/>
    </border>
    <border>
      <left/>
      <right/>
      <top/>
      <bottom style="medium">
        <color rgb="FFA9A9A9"/>
      </bottom>
      <diagonal/>
    </border>
    <border>
      <left style="medium">
        <color indexed="64"/>
      </left>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s>
  <cellStyleXfs count="9">
    <xf numFmtId="0" fontId="0" fillId="0" borderId="0"/>
    <xf numFmtId="0" fontId="1" fillId="0" borderId="0" applyNumberFormat="0" applyBorder="0" applyAlignment="0"/>
    <xf numFmtId="0" fontId="1" fillId="0" borderId="0" applyNumberFormat="0" applyBorder="0" applyAlignment="0"/>
    <xf numFmtId="0" fontId="16" fillId="0" borderId="0"/>
    <xf numFmtId="0" fontId="18" fillId="0" borderId="0"/>
    <xf numFmtId="0" fontId="25" fillId="0" borderId="0" applyNumberFormat="0" applyFill="0" applyBorder="0" applyAlignment="0" applyProtection="0"/>
    <xf numFmtId="0" fontId="3" fillId="12" borderId="0" applyNumberFormat="0" applyBorder="0" applyAlignment="0" applyProtection="0">
      <alignment horizontal="right"/>
    </xf>
    <xf numFmtId="0" fontId="48" fillId="0" borderId="0"/>
    <xf numFmtId="0" fontId="50" fillId="0" borderId="0"/>
  </cellStyleXfs>
  <cellXfs count="1389">
    <xf numFmtId="0" fontId="0" fillId="0" borderId="0" xfId="0"/>
    <xf numFmtId="164" fontId="0" fillId="0" borderId="0" xfId="0" applyNumberFormat="1"/>
    <xf numFmtId="1" fontId="0" fillId="0" borderId="0" xfId="0" applyNumberFormat="1"/>
    <xf numFmtId="3" fontId="0" fillId="0" borderId="0" xfId="0" applyNumberFormat="1"/>
    <xf numFmtId="3" fontId="3" fillId="0" borderId="0" xfId="0" applyNumberFormat="1" applyFont="1"/>
    <xf numFmtId="2" fontId="0" fillId="0" borderId="0" xfId="0" applyNumberFormat="1"/>
    <xf numFmtId="0" fontId="4" fillId="0" borderId="0" xfId="0" applyFont="1"/>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2" fillId="5" borderId="10" xfId="0" applyFont="1" applyFill="1" applyBorder="1" applyAlignment="1">
      <alignment horizontal="center" vertical="center" wrapText="1"/>
    </xf>
    <xf numFmtId="0" fontId="12" fillId="5" borderId="0" xfId="0" applyFont="1" applyFill="1" applyAlignment="1">
      <alignment horizontal="center" vertical="center" wrapText="1"/>
    </xf>
    <xf numFmtId="2" fontId="12" fillId="5" borderId="0" xfId="0" applyNumberFormat="1" applyFont="1" applyFill="1" applyAlignment="1">
      <alignment horizontal="center" vertical="center" wrapText="1"/>
    </xf>
    <xf numFmtId="0" fontId="0" fillId="5" borderId="0" xfId="0" applyFill="1"/>
    <xf numFmtId="0" fontId="12" fillId="0" borderId="10" xfId="0" applyFont="1" applyBorder="1" applyAlignment="1">
      <alignment horizontal="center" vertical="center" wrapText="1"/>
    </xf>
    <xf numFmtId="0" fontId="12" fillId="0" borderId="0" xfId="0" applyFont="1" applyAlignment="1">
      <alignment horizontal="center" vertical="center" wrapText="1"/>
    </xf>
    <xf numFmtId="2" fontId="12" fillId="0" borderId="0" xfId="0" applyNumberFormat="1" applyFont="1" applyAlignment="1">
      <alignment horizontal="center" vertical="center" wrapText="1"/>
    </xf>
    <xf numFmtId="1" fontId="12" fillId="0" borderId="0" xfId="0" applyNumberFormat="1" applyFont="1" applyAlignment="1">
      <alignment horizontal="center" vertical="center" wrapText="1"/>
    </xf>
    <xf numFmtId="2" fontId="0" fillId="0" borderId="0" xfId="0" applyNumberFormat="1" applyAlignment="1">
      <alignment horizontal="center"/>
    </xf>
    <xf numFmtId="0" fontId="0" fillId="0" borderId="10" xfId="0" applyBorder="1"/>
    <xf numFmtId="0" fontId="0" fillId="0" borderId="10" xfId="0" applyBorder="1" applyAlignment="1">
      <alignment horizontal="center"/>
    </xf>
    <xf numFmtId="0" fontId="0" fillId="5" borderId="10" xfId="0" applyFill="1" applyBorder="1" applyAlignment="1">
      <alignment horizontal="center"/>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1" fillId="0" borderId="0" xfId="0" applyFont="1" applyAlignment="1">
      <alignment horizontal="center" vertical="center"/>
    </xf>
    <xf numFmtId="0" fontId="0" fillId="0" borderId="0" xfId="0" applyAlignment="1">
      <alignment horizontal="center"/>
    </xf>
    <xf numFmtId="2" fontId="12" fillId="0" borderId="0" xfId="0" applyNumberFormat="1" applyFont="1" applyAlignment="1">
      <alignment horizontal="center"/>
    </xf>
    <xf numFmtId="2" fontId="3" fillId="0" borderId="0" xfId="0" applyNumberFormat="1" applyFont="1" applyAlignment="1">
      <alignment horizontal="center"/>
    </xf>
    <xf numFmtId="0" fontId="11" fillId="0" borderId="0" xfId="0" applyFont="1" applyAlignment="1">
      <alignment horizontal="center" vertical="center" wrapText="1"/>
    </xf>
    <xf numFmtId="0" fontId="12" fillId="0" borderId="10" xfId="0" applyFont="1" applyBorder="1" applyAlignment="1">
      <alignment horizontal="center" vertical="center"/>
    </xf>
    <xf numFmtId="0" fontId="12" fillId="0" borderId="0" xfId="0" applyFont="1" applyAlignment="1">
      <alignment horizontal="center" vertical="center"/>
    </xf>
    <xf numFmtId="164" fontId="12" fillId="0" borderId="0" xfId="0" applyNumberFormat="1" applyFont="1" applyAlignment="1">
      <alignment horizontal="center" vertical="center"/>
    </xf>
    <xf numFmtId="2" fontId="12" fillId="0" borderId="0" xfId="0" applyNumberFormat="1" applyFont="1" applyAlignment="1">
      <alignment horizontal="center" vertical="center"/>
    </xf>
    <xf numFmtId="2" fontId="12" fillId="0" borderId="11" xfId="0" applyNumberFormat="1"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2" fontId="12" fillId="0" borderId="13" xfId="0" applyNumberFormat="1" applyFont="1" applyBorder="1" applyAlignment="1">
      <alignment horizontal="center" vertical="center"/>
    </xf>
    <xf numFmtId="0" fontId="13" fillId="0" borderId="0" xfId="0" applyFont="1"/>
    <xf numFmtId="0" fontId="3" fillId="0" borderId="0" xfId="0" applyFont="1"/>
    <xf numFmtId="1" fontId="3" fillId="0" borderId="0" xfId="0" applyNumberFormat="1" applyFont="1"/>
    <xf numFmtId="164" fontId="3" fillId="0" borderId="0" xfId="0" applyNumberFormat="1" applyFont="1"/>
    <xf numFmtId="2" fontId="3" fillId="0" borderId="0" xfId="0" applyNumberFormat="1" applyFont="1"/>
    <xf numFmtId="0" fontId="13" fillId="6" borderId="0" xfId="0" applyFont="1" applyFill="1"/>
    <xf numFmtId="0" fontId="3" fillId="6" borderId="0" xfId="0" applyFont="1" applyFill="1"/>
    <xf numFmtId="0" fontId="0" fillId="0" borderId="0" xfId="0" applyAlignment="1">
      <alignment horizontal="left"/>
    </xf>
    <xf numFmtId="0" fontId="12" fillId="0" borderId="0" xfId="0" applyFont="1" applyAlignment="1">
      <alignment horizontal="left" vertical="center"/>
    </xf>
    <xf numFmtId="0" fontId="14" fillId="0" borderId="0" xfId="0" applyFont="1" applyAlignment="1">
      <alignment horizontal="right" vertical="center" wrapText="1"/>
    </xf>
    <xf numFmtId="0" fontId="15" fillId="0" borderId="0" xfId="0" applyFont="1" applyAlignment="1">
      <alignment horizontal="left" vertical="center" wrapText="1"/>
    </xf>
    <xf numFmtId="0" fontId="15" fillId="0" borderId="0" xfId="0" applyFont="1" applyAlignment="1">
      <alignment horizontal="left" vertical="center" wrapText="1" indent="1"/>
    </xf>
    <xf numFmtId="3" fontId="14" fillId="0" borderId="0" xfId="0" applyNumberFormat="1" applyFont="1" applyAlignment="1">
      <alignment horizontal="right" vertical="center"/>
    </xf>
    <xf numFmtId="4" fontId="3" fillId="0" borderId="0" xfId="0" applyNumberFormat="1" applyFont="1"/>
    <xf numFmtId="2" fontId="3" fillId="0" borderId="0" xfId="0" applyNumberFormat="1" applyFont="1" applyAlignment="1">
      <alignment horizontal="center" vertical="center"/>
    </xf>
    <xf numFmtId="2" fontId="13" fillId="0" borderId="0" xfId="0" applyNumberFormat="1" applyFont="1" applyAlignment="1">
      <alignment horizontal="center" vertical="center"/>
    </xf>
    <xf numFmtId="0" fontId="0" fillId="0" borderId="0" xfId="0" applyAlignment="1">
      <alignment wrapText="1"/>
    </xf>
    <xf numFmtId="164" fontId="12" fillId="0" borderId="0" xfId="0" applyNumberFormat="1" applyFont="1" applyAlignment="1">
      <alignment horizontal="center" vertical="center" wrapText="1"/>
    </xf>
    <xf numFmtId="2" fontId="0" fillId="0" borderId="0" xfId="0" applyNumberFormat="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11" fillId="0" borderId="13" xfId="0" applyFont="1"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12"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2" fillId="0" borderId="13" xfId="0" applyFont="1" applyBorder="1" applyAlignment="1">
      <alignment horizontal="center"/>
    </xf>
    <xf numFmtId="0" fontId="12" fillId="0" borderId="0" xfId="0" applyFont="1" applyAlignment="1">
      <alignment horizontal="center"/>
    </xf>
    <xf numFmtId="0" fontId="0" fillId="0" borderId="11" xfId="0" applyBorder="1"/>
    <xf numFmtId="0" fontId="0" fillId="0" borderId="13" xfId="0" applyBorder="1"/>
    <xf numFmtId="164" fontId="0" fillId="0" borderId="0" xfId="0" applyNumberFormat="1" applyAlignment="1">
      <alignment horizontal="center"/>
    </xf>
    <xf numFmtId="164" fontId="0" fillId="0" borderId="0" xfId="0" applyNumberFormat="1" applyAlignment="1">
      <alignment horizontal="center" vertical="center"/>
    </xf>
    <xf numFmtId="0" fontId="0" fillId="0" borderId="10" xfId="0" applyBorder="1" applyAlignment="1">
      <alignment horizontal="center" vertical="center"/>
    </xf>
    <xf numFmtId="0" fontId="3" fillId="0" borderId="0" xfId="0" applyFont="1" applyAlignment="1">
      <alignment horizontal="center"/>
    </xf>
    <xf numFmtId="0" fontId="17" fillId="0" borderId="10" xfId="0" applyFont="1" applyBorder="1" applyAlignment="1">
      <alignment horizontal="center"/>
    </xf>
    <xf numFmtId="0" fontId="0" fillId="0" borderId="12" xfId="0" applyBorder="1" applyAlignment="1">
      <alignment horizontal="center" vertical="center"/>
    </xf>
    <xf numFmtId="0" fontId="11" fillId="7" borderId="5"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2" fillId="5" borderId="0" xfId="0" applyFont="1" applyFill="1" applyAlignment="1">
      <alignment horizontal="center" vertical="center"/>
    </xf>
    <xf numFmtId="0" fontId="11" fillId="6" borderId="0" xfId="0" applyFont="1" applyFill="1" applyAlignment="1">
      <alignment horizontal="center" vertical="center"/>
    </xf>
    <xf numFmtId="0" fontId="12" fillId="6" borderId="0" xfId="0" applyFont="1" applyFill="1" applyAlignment="1">
      <alignment horizontal="center" vertical="center"/>
    </xf>
    <xf numFmtId="164" fontId="0" fillId="0" borderId="11" xfId="0" applyNumberFormat="1" applyBorder="1" applyAlignment="1">
      <alignment horizontal="center" vertical="center"/>
    </xf>
    <xf numFmtId="2" fontId="0" fillId="5" borderId="0" xfId="0" applyNumberFormat="1" applyFill="1" applyAlignment="1">
      <alignment horizontal="center" vertical="center"/>
    </xf>
    <xf numFmtId="164" fontId="0" fillId="0" borderId="11" xfId="0" applyNumberFormat="1" applyBorder="1" applyAlignment="1">
      <alignment horizontal="center"/>
    </xf>
    <xf numFmtId="2" fontId="0" fillId="0" borderId="13" xfId="0" applyNumberFormat="1" applyBorder="1" applyAlignment="1">
      <alignment horizontal="center" vertical="center"/>
    </xf>
    <xf numFmtId="164" fontId="0" fillId="0" borderId="13" xfId="0" applyNumberFormat="1" applyBorder="1" applyAlignment="1">
      <alignment horizontal="center" vertical="center"/>
    </xf>
    <xf numFmtId="2" fontId="0" fillId="0" borderId="11" xfId="0" applyNumberFormat="1" applyBorder="1" applyAlignment="1">
      <alignment horizontal="center" vertical="center"/>
    </xf>
    <xf numFmtId="0" fontId="0" fillId="0" borderId="14" xfId="0" applyBorder="1"/>
    <xf numFmtId="0" fontId="4" fillId="0" borderId="5" xfId="0" applyFont="1" applyBorder="1"/>
    <xf numFmtId="0" fontId="0" fillId="0" borderId="12" xfId="0" applyBorder="1"/>
    <xf numFmtId="2" fontId="0" fillId="5" borderId="11" xfId="0" applyNumberFormat="1" applyFill="1" applyBorder="1" applyAlignment="1">
      <alignment horizontal="center" vertical="center"/>
    </xf>
    <xf numFmtId="2" fontId="0" fillId="0" borderId="14" xfId="0" applyNumberFormat="1" applyBorder="1" applyAlignment="1">
      <alignment horizontal="center" vertical="center"/>
    </xf>
    <xf numFmtId="0" fontId="0" fillId="0" borderId="6" xfId="0" applyBorder="1"/>
    <xf numFmtId="0" fontId="0" fillId="0" borderId="15" xfId="0" applyBorder="1"/>
    <xf numFmtId="0" fontId="20" fillId="0" borderId="0" xfId="0" applyFont="1"/>
    <xf numFmtId="0" fontId="12" fillId="0" borderId="0" xfId="0" applyFont="1" applyAlignment="1">
      <alignment wrapText="1"/>
    </xf>
    <xf numFmtId="0" fontId="0" fillId="5" borderId="0" xfId="0" applyFill="1" applyAlignment="1">
      <alignment horizontal="center" vertical="center"/>
    </xf>
    <xf numFmtId="0" fontId="0" fillId="5" borderId="10" xfId="0" applyFill="1" applyBorder="1"/>
    <xf numFmtId="0" fontId="0" fillId="5" borderId="6" xfId="0" applyFill="1" applyBorder="1"/>
    <xf numFmtId="1" fontId="0" fillId="0" borderId="0" xfId="0" applyNumberFormat="1" applyAlignment="1">
      <alignment horizontal="center" vertical="center"/>
    </xf>
    <xf numFmtId="164" fontId="0" fillId="0" borderId="10" xfId="0" applyNumberFormat="1" applyBorder="1"/>
    <xf numFmtId="0" fontId="11" fillId="0" borderId="15" xfId="0" applyFont="1" applyBorder="1" applyAlignment="1">
      <alignment horizontal="center" vertical="center" wrapText="1"/>
    </xf>
    <xf numFmtId="0" fontId="11" fillId="0" borderId="0" xfId="0" applyFont="1"/>
    <xf numFmtId="0" fontId="12" fillId="0" borderId="11" xfId="0" applyFont="1" applyBorder="1" applyAlignment="1">
      <alignment horizontal="center" vertical="center"/>
    </xf>
    <xf numFmtId="2" fontId="23" fillId="0" borderId="0" xfId="3" applyNumberFormat="1" applyFont="1" applyAlignment="1">
      <alignment horizontal="center"/>
    </xf>
    <xf numFmtId="2" fontId="24" fillId="0" borderId="11" xfId="0" applyNumberFormat="1" applyFont="1" applyBorder="1" applyAlignment="1">
      <alignment horizontal="center" vertical="center"/>
    </xf>
    <xf numFmtId="2" fontId="23" fillId="0" borderId="13" xfId="3" applyNumberFormat="1" applyFont="1" applyBorder="1" applyAlignment="1">
      <alignment horizontal="center"/>
    </xf>
    <xf numFmtId="2" fontId="24" fillId="0" borderId="14" xfId="0" applyNumberFormat="1" applyFont="1" applyBorder="1" applyAlignment="1">
      <alignment horizontal="center" vertical="center"/>
    </xf>
    <xf numFmtId="0" fontId="20" fillId="0" borderId="0" xfId="0" applyFont="1" applyAlignment="1">
      <alignment horizontal="center" vertical="center"/>
    </xf>
    <xf numFmtId="0" fontId="0" fillId="0" borderId="0" xfId="0" applyAlignment="1">
      <alignment horizontal="center" vertical="center" wrapText="1"/>
    </xf>
    <xf numFmtId="1" fontId="0" fillId="5" borderId="0" xfId="0" applyNumberFormat="1" applyFill="1" applyAlignment="1">
      <alignment horizontal="center" vertical="center"/>
    </xf>
    <xf numFmtId="0" fontId="0" fillId="5" borderId="10" xfId="0"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2" xfId="0" applyFont="1" applyBorder="1" applyAlignment="1">
      <alignment horizontal="center" vertical="center" wrapText="1"/>
    </xf>
    <xf numFmtId="2" fontId="12" fillId="0" borderId="11" xfId="0" applyNumberFormat="1" applyFont="1" applyBorder="1" applyAlignment="1">
      <alignment horizontal="center" vertical="center" wrapText="1"/>
    </xf>
    <xf numFmtId="164" fontId="12" fillId="5" borderId="0" xfId="0" applyNumberFormat="1" applyFont="1" applyFill="1" applyAlignment="1">
      <alignment horizontal="center" vertical="center" wrapText="1"/>
    </xf>
    <xf numFmtId="0" fontId="12" fillId="0" borderId="0" xfId="0" applyFont="1"/>
    <xf numFmtId="1" fontId="12" fillId="0" borderId="0" xfId="0" applyNumberFormat="1" applyFont="1"/>
    <xf numFmtId="2" fontId="12" fillId="0" borderId="0" xfId="0" applyNumberFormat="1" applyFont="1" applyAlignment="1">
      <alignment horizontal="center" wrapText="1"/>
    </xf>
    <xf numFmtId="1" fontId="12" fillId="0" borderId="0" xfId="0" applyNumberFormat="1" applyFont="1" applyAlignment="1">
      <alignment horizontal="center" wrapText="1"/>
    </xf>
    <xf numFmtId="0" fontId="11" fillId="0" borderId="8" xfId="0" applyFont="1" applyBorder="1" applyAlignment="1">
      <alignment wrapText="1"/>
    </xf>
    <xf numFmtId="0" fontId="11" fillId="0" borderId="9" xfId="0" applyFont="1" applyBorder="1" applyAlignment="1">
      <alignment wrapText="1"/>
    </xf>
    <xf numFmtId="166" fontId="12" fillId="5" borderId="0" xfId="0" applyNumberFormat="1" applyFont="1" applyFill="1" applyAlignment="1">
      <alignment horizontal="center" vertical="center" wrapText="1"/>
    </xf>
    <xf numFmtId="166" fontId="12" fillId="0" borderId="0" xfId="0" applyNumberFormat="1" applyFont="1" applyAlignment="1">
      <alignment horizontal="center" vertical="center" wrapText="1"/>
    </xf>
    <xf numFmtId="0" fontId="11" fillId="0" borderId="5" xfId="0" applyFont="1" applyBorder="1" applyAlignment="1">
      <alignment horizontal="center" vertical="center" wrapText="1"/>
    </xf>
    <xf numFmtId="164" fontId="12" fillId="5" borderId="0" xfId="0" applyNumberFormat="1" applyFont="1" applyFill="1" applyAlignment="1">
      <alignment horizontal="center" wrapText="1"/>
    </xf>
    <xf numFmtId="0" fontId="0" fillId="0" borderId="11" xfId="0" applyBorder="1" applyAlignment="1">
      <alignment horizontal="center"/>
    </xf>
    <xf numFmtId="0" fontId="11" fillId="0" borderId="0" xfId="0" applyFont="1" applyAlignment="1">
      <alignment wrapText="1"/>
    </xf>
    <xf numFmtId="166" fontId="0" fillId="0" borderId="0" xfId="0" applyNumberFormat="1"/>
    <xf numFmtId="1" fontId="3" fillId="0" borderId="0" xfId="0" applyNumberFormat="1" applyFont="1" applyAlignment="1">
      <alignment horizontal="center"/>
    </xf>
    <xf numFmtId="2" fontId="18" fillId="0" borderId="0" xfId="4" applyNumberFormat="1"/>
    <xf numFmtId="166" fontId="18" fillId="0" borderId="0" xfId="4" applyNumberFormat="1" applyAlignment="1">
      <alignment horizontal="center"/>
    </xf>
    <xf numFmtId="166" fontId="0" fillId="0" borderId="0" xfId="0" applyNumberFormat="1" applyAlignment="1">
      <alignment horizontal="center" vertical="center"/>
    </xf>
    <xf numFmtId="0" fontId="11" fillId="7" borderId="8" xfId="0" applyFont="1" applyFill="1" applyBorder="1" applyAlignment="1">
      <alignment horizontal="center" vertical="center" wrapText="1"/>
    </xf>
    <xf numFmtId="0" fontId="11" fillId="7" borderId="9" xfId="0" applyFont="1" applyFill="1" applyBorder="1" applyAlignment="1">
      <alignment horizontal="center" vertical="center" wrapText="1"/>
    </xf>
    <xf numFmtId="2" fontId="0" fillId="5" borderId="15" xfId="0" applyNumberFormat="1" applyFill="1" applyBorder="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167" fontId="3" fillId="0" borderId="0" xfId="0" applyNumberFormat="1" applyFont="1"/>
    <xf numFmtId="2" fontId="0" fillId="0" borderId="13" xfId="0" applyNumberFormat="1" applyBorder="1" applyAlignment="1">
      <alignment horizontal="center"/>
    </xf>
    <xf numFmtId="0" fontId="21" fillId="0" borderId="0" xfId="0" applyFont="1"/>
    <xf numFmtId="0" fontId="0" fillId="5" borderId="10" xfId="0" applyFill="1" applyBorder="1" applyAlignment="1">
      <alignment horizontal="center" vertical="center" wrapText="1"/>
    </xf>
    <xf numFmtId="0" fontId="0" fillId="0" borderId="10" xfId="0" applyBorder="1" applyAlignment="1">
      <alignment horizontal="center" vertical="center" wrapText="1"/>
    </xf>
    <xf numFmtId="0" fontId="0" fillId="5" borderId="0" xfId="0" applyFill="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5" borderId="11" xfId="0" applyFill="1" applyBorder="1"/>
    <xf numFmtId="0" fontId="12" fillId="0" borderId="6" xfId="0" applyFont="1" applyBorder="1"/>
    <xf numFmtId="0" fontId="4" fillId="0" borderId="6" xfId="0" applyFont="1" applyBorder="1" applyAlignment="1">
      <alignment horizontal="center" vertical="center" wrapText="1"/>
    </xf>
    <xf numFmtId="0" fontId="12" fillId="5" borderId="10" xfId="0" applyFont="1" applyFill="1" applyBorder="1" applyAlignment="1">
      <alignment horizontal="center" vertical="center"/>
    </xf>
    <xf numFmtId="0" fontId="12" fillId="0" borderId="0" xfId="0" applyFont="1" applyAlignment="1">
      <alignment horizontal="left" vertical="center" wrapText="1"/>
    </xf>
    <xf numFmtId="0" fontId="4" fillId="0" borderId="0" xfId="0" applyFont="1" applyAlignment="1">
      <alignment horizontal="center" vertical="center" wrapText="1"/>
    </xf>
    <xf numFmtId="0" fontId="12" fillId="0" borderId="0" xfId="0" applyFont="1" applyAlignment="1">
      <alignment vertical="center"/>
    </xf>
    <xf numFmtId="0" fontId="12" fillId="0" borderId="15" xfId="0" applyFont="1" applyBorder="1"/>
    <xf numFmtId="0" fontId="11" fillId="0" borderId="11" xfId="0" applyFont="1" applyBorder="1" applyAlignment="1">
      <alignment horizontal="center" vertical="center" wrapText="1"/>
    </xf>
    <xf numFmtId="0" fontId="14" fillId="0" borderId="5" xfId="0" applyFont="1" applyBorder="1" applyAlignment="1">
      <alignment vertical="center" wrapText="1"/>
    </xf>
    <xf numFmtId="0" fontId="26" fillId="0" borderId="0" xfId="0" applyFont="1" applyAlignment="1">
      <alignment vertical="center" wrapText="1"/>
    </xf>
    <xf numFmtId="2" fontId="14" fillId="0" borderId="0" xfId="0" applyNumberFormat="1" applyFont="1" applyAlignment="1">
      <alignment horizontal="center" vertical="center" wrapText="1"/>
    </xf>
    <xf numFmtId="0" fontId="14" fillId="0" borderId="0" xfId="0" applyFont="1" applyAlignment="1">
      <alignment vertical="center" wrapText="1"/>
    </xf>
    <xf numFmtId="166" fontId="12" fillId="0" borderId="0" xfId="0" applyNumberFormat="1" applyFont="1" applyAlignment="1">
      <alignment vertical="center"/>
    </xf>
    <xf numFmtId="2" fontId="12" fillId="0" borderId="0" xfId="0" applyNumberFormat="1" applyFont="1" applyAlignment="1">
      <alignment vertical="center"/>
    </xf>
    <xf numFmtId="0" fontId="11" fillId="0" borderId="6" xfId="0" applyFont="1" applyBorder="1" applyAlignment="1">
      <alignment horizontal="center" wrapText="1"/>
    </xf>
    <xf numFmtId="0" fontId="26" fillId="0" borderId="10" xfId="0" applyFont="1" applyBorder="1" applyAlignment="1">
      <alignment horizontal="center" vertical="center" wrapText="1"/>
    </xf>
    <xf numFmtId="0" fontId="26" fillId="0" borderId="12" xfId="0" applyFont="1" applyBorder="1" applyAlignment="1">
      <alignment horizontal="center" vertical="center" wrapText="1"/>
    </xf>
    <xf numFmtId="2" fontId="12" fillId="0" borderId="14" xfId="0" applyNumberFormat="1" applyFont="1" applyBorder="1" applyAlignment="1">
      <alignment horizontal="center" vertical="center"/>
    </xf>
    <xf numFmtId="166" fontId="3" fillId="0" borderId="0" xfId="0" applyNumberFormat="1" applyFont="1"/>
    <xf numFmtId="0" fontId="0" fillId="5" borderId="0" xfId="0" applyFill="1" applyAlignment="1">
      <alignment horizontal="center"/>
    </xf>
    <xf numFmtId="0" fontId="13" fillId="0" borderId="0" xfId="0" applyFont="1" applyAlignment="1">
      <alignment wrapText="1"/>
    </xf>
    <xf numFmtId="0" fontId="12" fillId="0" borderId="10" xfId="0" applyFont="1" applyBorder="1"/>
    <xf numFmtId="0" fontId="13" fillId="0" borderId="0" xfId="0" applyFont="1" applyAlignment="1">
      <alignment horizontal="center" vertical="center" wrapText="1"/>
    </xf>
    <xf numFmtId="2" fontId="5" fillId="0" borderId="0" xfId="0" applyNumberFormat="1" applyFont="1" applyAlignment="1">
      <alignment horizontal="center" vertical="center"/>
    </xf>
    <xf numFmtId="0" fontId="27" fillId="0" borderId="0" xfId="0" applyFont="1"/>
    <xf numFmtId="2" fontId="0" fillId="5" borderId="0" xfId="0" applyNumberFormat="1" applyFill="1" applyAlignment="1">
      <alignment horizontal="center" vertical="center" wrapText="1"/>
    </xf>
    <xf numFmtId="0" fontId="11" fillId="0" borderId="6" xfId="0" applyFont="1" applyBorder="1" applyAlignment="1">
      <alignment horizontal="center" vertical="center"/>
    </xf>
    <xf numFmtId="164" fontId="12" fillId="0" borderId="0" xfId="0" applyNumberFormat="1" applyFont="1" applyAlignment="1">
      <alignment horizontal="center" wrapText="1"/>
    </xf>
    <xf numFmtId="0" fontId="11" fillId="0" borderId="0" xfId="0" applyFont="1" applyAlignment="1">
      <alignment horizontal="center" wrapText="1"/>
    </xf>
    <xf numFmtId="0" fontId="3" fillId="0" borderId="0" xfId="0" applyFont="1" applyAlignment="1">
      <alignment horizontal="center" vertical="center"/>
    </xf>
    <xf numFmtId="0" fontId="11" fillId="0" borderId="0" xfId="0" applyFont="1" applyAlignment="1">
      <alignment vertical="center"/>
    </xf>
    <xf numFmtId="164" fontId="3" fillId="0" borderId="0" xfId="0" applyNumberFormat="1" applyFont="1" applyAlignment="1">
      <alignment horizontal="center" vertical="center"/>
    </xf>
    <xf numFmtId="0" fontId="0" fillId="2" borderId="0" xfId="0" applyFill="1"/>
    <xf numFmtId="1" fontId="12" fillId="0" borderId="0" xfId="0" applyNumberFormat="1" applyFont="1" applyAlignment="1">
      <alignment horizontal="center" vertical="center"/>
    </xf>
    <xf numFmtId="0" fontId="11" fillId="0" borderId="0" xfId="0" applyFont="1" applyAlignment="1">
      <alignment horizontal="left" vertical="center"/>
    </xf>
    <xf numFmtId="164" fontId="0" fillId="0" borderId="14" xfId="0" applyNumberFormat="1" applyBorder="1" applyAlignment="1">
      <alignment horizontal="center" vertical="center"/>
    </xf>
    <xf numFmtId="0" fontId="30" fillId="8" borderId="2" xfId="0" applyFont="1" applyFill="1" applyBorder="1" applyAlignment="1">
      <alignment horizontal="right" vertical="top" wrapText="1"/>
    </xf>
    <xf numFmtId="0" fontId="30" fillId="8" borderId="2" xfId="0" applyFont="1" applyFill="1" applyBorder="1" applyAlignment="1">
      <alignment horizontal="right" vertical="top"/>
    </xf>
    <xf numFmtId="11" fontId="0" fillId="0" borderId="0" xfId="0" applyNumberFormat="1"/>
    <xf numFmtId="0" fontId="30" fillId="4" borderId="1" xfId="0" applyFont="1" applyFill="1" applyBorder="1" applyAlignment="1">
      <alignment horizontal="right" vertical="center" wrapText="1"/>
    </xf>
    <xf numFmtId="3" fontId="30" fillId="4" borderId="1" xfId="0" applyNumberFormat="1" applyFont="1" applyFill="1" applyBorder="1" applyAlignment="1">
      <alignment horizontal="right" vertical="center"/>
    </xf>
    <xf numFmtId="11" fontId="0" fillId="0" borderId="0" xfId="0" applyNumberFormat="1" applyAlignment="1">
      <alignment horizontal="center"/>
    </xf>
    <xf numFmtId="0" fontId="20" fillId="0" borderId="0" xfId="0" applyFont="1" applyAlignment="1">
      <alignment horizontal="center" vertical="center" wrapText="1"/>
    </xf>
    <xf numFmtId="169" fontId="0" fillId="0" borderId="0" xfId="0" applyNumberFormat="1"/>
    <xf numFmtId="11" fontId="0" fillId="0" borderId="0" xfId="0" applyNumberFormat="1" applyAlignment="1">
      <alignment horizontal="center" vertical="center"/>
    </xf>
    <xf numFmtId="0" fontId="0" fillId="0" borderId="0" xfId="0" applyAlignment="1">
      <alignment vertical="center"/>
    </xf>
    <xf numFmtId="0" fontId="31" fillId="0" borderId="0" xfId="0" applyFont="1" applyAlignment="1">
      <alignment horizontal="center"/>
    </xf>
    <xf numFmtId="11" fontId="31" fillId="0" borderId="0" xfId="0" applyNumberFormat="1" applyFont="1" applyAlignment="1">
      <alignment horizontal="center"/>
    </xf>
    <xf numFmtId="2" fontId="31" fillId="0" borderId="0" xfId="0" applyNumberFormat="1" applyFont="1" applyAlignment="1">
      <alignment horizontal="center"/>
    </xf>
    <xf numFmtId="0" fontId="32" fillId="0" borderId="0" xfId="0" applyFont="1"/>
    <xf numFmtId="0" fontId="4" fillId="0" borderId="10" xfId="0" applyFont="1" applyBorder="1" applyAlignment="1">
      <alignment horizontal="center" vertical="center"/>
    </xf>
    <xf numFmtId="0" fontId="4" fillId="0" borderId="0" xfId="0" applyFont="1" applyAlignment="1">
      <alignment wrapText="1"/>
    </xf>
    <xf numFmtId="0" fontId="11" fillId="0" borderId="10" xfId="0" applyFont="1" applyBorder="1" applyAlignment="1">
      <alignment horizontal="center" vertical="center" wrapText="1"/>
    </xf>
    <xf numFmtId="11" fontId="0" fillId="0" borderId="15" xfId="0" applyNumberFormat="1" applyBorder="1" applyAlignment="1">
      <alignment horizontal="center" vertical="center"/>
    </xf>
    <xf numFmtId="11" fontId="0" fillId="0" borderId="11" xfId="0" applyNumberFormat="1" applyBorder="1" applyAlignment="1">
      <alignment horizontal="center" vertical="center"/>
    </xf>
    <xf numFmtId="11" fontId="0" fillId="0" borderId="11" xfId="0" applyNumberFormat="1" applyBorder="1" applyAlignment="1">
      <alignment horizontal="center"/>
    </xf>
    <xf numFmtId="11" fontId="0" fillId="0" borderId="14" xfId="0" applyNumberFormat="1" applyBorder="1" applyAlignment="1">
      <alignment horizontal="center"/>
    </xf>
    <xf numFmtId="1" fontId="3" fillId="0" borderId="0" xfId="0" applyNumberFormat="1" applyFont="1" applyAlignment="1">
      <alignment horizontal="center" vertical="center"/>
    </xf>
    <xf numFmtId="1" fontId="11" fillId="0" borderId="0" xfId="0" applyNumberFormat="1" applyFont="1" applyAlignment="1">
      <alignment horizontal="center" vertical="center" wrapText="1"/>
    </xf>
    <xf numFmtId="11" fontId="0" fillId="2" borderId="0" xfId="0" applyNumberFormat="1" applyFill="1" applyAlignment="1">
      <alignment horizontal="center"/>
    </xf>
    <xf numFmtId="0" fontId="19" fillId="0" borderId="0" xfId="0" applyFont="1"/>
    <xf numFmtId="0" fontId="34" fillId="0" borderId="0" xfId="0" applyFont="1"/>
    <xf numFmtId="169" fontId="3" fillId="0" borderId="0" xfId="0" applyNumberFormat="1" applyFont="1"/>
    <xf numFmtId="169" fontId="11" fillId="0" borderId="0" xfId="0" applyNumberFormat="1" applyFont="1" applyAlignment="1">
      <alignment horizontal="center" vertical="center" wrapText="1"/>
    </xf>
    <xf numFmtId="11" fontId="3" fillId="0" borderId="0" xfId="0" applyNumberFormat="1" applyFont="1"/>
    <xf numFmtId="11" fontId="0" fillId="0" borderId="13" xfId="0" applyNumberFormat="1" applyBorder="1" applyAlignment="1">
      <alignment horizontal="center" vertical="center"/>
    </xf>
    <xf numFmtId="11" fontId="0" fillId="5" borderId="0" xfId="0" applyNumberFormat="1" applyFill="1" applyAlignment="1">
      <alignment horizontal="center" vertical="center"/>
    </xf>
    <xf numFmtId="11" fontId="0" fillId="5" borderId="0" xfId="0" applyNumberFormat="1" applyFill="1" applyAlignment="1">
      <alignment horizontal="center" vertical="center" wrapText="1"/>
    </xf>
    <xf numFmtId="171" fontId="3" fillId="0" borderId="0" xfId="0" applyNumberFormat="1" applyFont="1"/>
    <xf numFmtId="2" fontId="12" fillId="0" borderId="13" xfId="0" applyNumberFormat="1" applyFont="1" applyBorder="1" applyAlignment="1">
      <alignment horizontal="center" vertical="center" wrapText="1"/>
    </xf>
    <xf numFmtId="0" fontId="25" fillId="0" borderId="0" xfId="5"/>
    <xf numFmtId="2" fontId="3" fillId="2" borderId="0" xfId="0" applyNumberFormat="1" applyFont="1" applyFill="1"/>
    <xf numFmtId="0" fontId="34" fillId="2" borderId="0" xfId="0" applyFont="1" applyFill="1"/>
    <xf numFmtId="0" fontId="3" fillId="2" borderId="0" xfId="0" applyFont="1" applyFill="1"/>
    <xf numFmtId="0" fontId="36" fillId="0" borderId="0" xfId="0" applyFont="1"/>
    <xf numFmtId="0" fontId="37" fillId="0" borderId="0" xfId="0" applyFont="1"/>
    <xf numFmtId="0" fontId="38" fillId="0" borderId="0" xfId="0" applyFont="1" applyAlignment="1">
      <alignment horizontal="center" vertical="center" wrapText="1"/>
    </xf>
    <xf numFmtId="0" fontId="39" fillId="0" borderId="0" xfId="0" applyFont="1" applyAlignment="1">
      <alignment horizontal="center" vertical="center" wrapText="1"/>
    </xf>
    <xf numFmtId="0" fontId="37" fillId="0" borderId="0" xfId="0" applyFont="1" applyAlignment="1">
      <alignment horizontal="center" vertical="center" wrapText="1"/>
    </xf>
    <xf numFmtId="0" fontId="29" fillId="4" borderId="1" xfId="0" applyFont="1" applyFill="1" applyBorder="1" applyAlignment="1">
      <alignment horizontal="right" vertical="center" wrapText="1"/>
    </xf>
    <xf numFmtId="0" fontId="41" fillId="4" borderId="1" xfId="0" applyFont="1" applyFill="1" applyBorder="1" applyAlignment="1">
      <alignment horizontal="left" vertical="center" wrapText="1"/>
    </xf>
    <xf numFmtId="0" fontId="42" fillId="4" borderId="1" xfId="0" applyFont="1" applyFill="1" applyBorder="1" applyAlignment="1">
      <alignment horizontal="left" vertical="center" wrapText="1"/>
    </xf>
    <xf numFmtId="0" fontId="42" fillId="4" borderId="1" xfId="0" applyFont="1" applyFill="1" applyBorder="1" applyAlignment="1">
      <alignment horizontal="left" vertical="center" wrapText="1" indent="1"/>
    </xf>
    <xf numFmtId="0" fontId="3" fillId="0" borderId="0" xfId="0" applyFont="1" applyAlignment="1">
      <alignment wrapText="1"/>
    </xf>
    <xf numFmtId="0" fontId="30" fillId="8" borderId="1" xfId="0" applyFont="1" applyFill="1" applyBorder="1" applyAlignment="1">
      <alignment horizontal="right" vertical="top" wrapText="1"/>
    </xf>
    <xf numFmtId="0" fontId="43" fillId="9" borderId="4" xfId="0" applyFont="1" applyFill="1" applyBorder="1" applyAlignment="1">
      <alignment horizontal="left" vertical="center" wrapText="1"/>
    </xf>
    <xf numFmtId="0" fontId="30" fillId="8" borderId="1" xfId="0" applyFont="1" applyFill="1" applyBorder="1" applyAlignment="1">
      <alignment horizontal="right" vertical="top"/>
    </xf>
    <xf numFmtId="0" fontId="3" fillId="0" borderId="12" xfId="0" applyFont="1" applyBorder="1"/>
    <xf numFmtId="0" fontId="44" fillId="0" borderId="18" xfId="0" applyFont="1" applyBorder="1" applyAlignment="1">
      <alignment vertical="top" wrapText="1"/>
    </xf>
    <xf numFmtId="0" fontId="44" fillId="0" borderId="19" xfId="0" applyFont="1" applyBorder="1" applyAlignment="1">
      <alignment vertical="top" wrapText="1"/>
    </xf>
    <xf numFmtId="0" fontId="44" fillId="0" borderId="19" xfId="0" applyFont="1" applyBorder="1" applyAlignment="1">
      <alignment horizontal="right" vertical="top" wrapText="1"/>
    </xf>
    <xf numFmtId="2" fontId="19" fillId="0" borderId="0" xfId="0" applyNumberFormat="1" applyFont="1"/>
    <xf numFmtId="14" fontId="37" fillId="0" borderId="0" xfId="0" applyNumberFormat="1" applyFont="1"/>
    <xf numFmtId="2" fontId="37" fillId="0" borderId="0" xfId="0" applyNumberFormat="1" applyFont="1"/>
    <xf numFmtId="0" fontId="44" fillId="11" borderId="20" xfId="0" applyFont="1" applyFill="1" applyBorder="1" applyAlignment="1">
      <alignment horizontal="right" vertical="top" wrapText="1"/>
    </xf>
    <xf numFmtId="0" fontId="45" fillId="0" borderId="0" xfId="0" applyFont="1" applyAlignment="1">
      <alignment vertical="center" wrapText="1"/>
    </xf>
    <xf numFmtId="2" fontId="45" fillId="0" borderId="0" xfId="0" applyNumberFormat="1" applyFont="1" applyAlignment="1">
      <alignment horizontal="center" vertical="center" wrapText="1"/>
    </xf>
    <xf numFmtId="0" fontId="40" fillId="3" borderId="2" xfId="0" applyFont="1" applyFill="1" applyBorder="1" applyAlignment="1">
      <alignment horizontal="left" vertical="center" wrapText="1"/>
    </xf>
    <xf numFmtId="0" fontId="40" fillId="3" borderId="3" xfId="0" applyFont="1" applyFill="1" applyBorder="1" applyAlignment="1">
      <alignment horizontal="left" vertical="center" wrapText="1"/>
    </xf>
    <xf numFmtId="0" fontId="40" fillId="3" borderId="4" xfId="0" applyFont="1" applyFill="1" applyBorder="1" applyAlignment="1">
      <alignment horizontal="left" vertical="center" wrapText="1"/>
    </xf>
    <xf numFmtId="164" fontId="3" fillId="0" borderId="0" xfId="0" applyNumberFormat="1" applyFont="1" applyAlignment="1">
      <alignment horizontal="center"/>
    </xf>
    <xf numFmtId="3" fontId="3" fillId="0" borderId="0" xfId="0" applyNumberFormat="1" applyFont="1" applyAlignment="1">
      <alignment horizontal="center"/>
    </xf>
    <xf numFmtId="0" fontId="13" fillId="0" borderId="0" xfId="0" applyFont="1" applyAlignment="1">
      <alignment horizontal="center" vertical="center"/>
    </xf>
    <xf numFmtId="0" fontId="32" fillId="6" borderId="0" xfId="0" applyFont="1" applyFill="1"/>
    <xf numFmtId="0" fontId="21" fillId="10" borderId="0" xfId="0" applyFont="1" applyFill="1"/>
    <xf numFmtId="172" fontId="0" fillId="0" borderId="0" xfId="0" applyNumberFormat="1" applyAlignment="1">
      <alignment vertical="center"/>
    </xf>
    <xf numFmtId="172" fontId="0" fillId="0" borderId="0" xfId="0" applyNumberFormat="1" applyAlignment="1">
      <alignment horizontal="right" vertical="center"/>
    </xf>
    <xf numFmtId="172" fontId="3" fillId="0" borderId="0" xfId="0" applyNumberFormat="1" applyFont="1" applyAlignment="1">
      <alignment horizontal="right" vertical="center"/>
    </xf>
    <xf numFmtId="0" fontId="0" fillId="0" borderId="0" xfId="0" applyAlignment="1">
      <alignment vertical="top" wrapText="1"/>
    </xf>
    <xf numFmtId="0" fontId="0" fillId="0" borderId="0" xfId="0" applyAlignment="1">
      <alignment horizontal="left" vertical="top" wrapText="1"/>
    </xf>
    <xf numFmtId="0" fontId="13" fillId="0" borderId="0" xfId="6" applyNumberFormat="1" applyFont="1" applyFill="1" applyBorder="1" applyAlignment="1">
      <alignment horizontal="left" vertical="top" wrapText="1"/>
    </xf>
    <xf numFmtId="0" fontId="4" fillId="0" borderId="0" xfId="0" applyFont="1" applyAlignment="1">
      <alignment horizontal="left" vertical="top" wrapText="1"/>
    </xf>
    <xf numFmtId="172" fontId="3" fillId="0" borderId="0" xfId="0" applyNumberFormat="1" applyFont="1"/>
    <xf numFmtId="0" fontId="18" fillId="0" borderId="0" xfId="0" applyFont="1" applyAlignment="1">
      <alignment vertical="center"/>
    </xf>
    <xf numFmtId="164" fontId="31" fillId="0" borderId="13" xfId="3" applyNumberFormat="1" applyFont="1" applyBorder="1" applyAlignment="1">
      <alignment horizontal="center" vertical="center"/>
    </xf>
    <xf numFmtId="164" fontId="31" fillId="0" borderId="14" xfId="3" applyNumberFormat="1" applyFont="1" applyBorder="1" applyAlignment="1">
      <alignment horizontal="center" vertical="center"/>
    </xf>
    <xf numFmtId="164" fontId="31" fillId="0" borderId="0" xfId="3" applyNumberFormat="1" applyFont="1" applyAlignment="1">
      <alignment horizontal="center" vertical="center"/>
    </xf>
    <xf numFmtId="0" fontId="11" fillId="0" borderId="15" xfId="0" applyFont="1" applyBorder="1" applyAlignment="1">
      <alignment horizontal="center" vertical="center"/>
    </xf>
    <xf numFmtId="0" fontId="47" fillId="0" borderId="0" xfId="0" applyFont="1"/>
    <xf numFmtId="11" fontId="0" fillId="0" borderId="14" xfId="0" applyNumberFormat="1" applyBorder="1" applyAlignment="1">
      <alignment horizontal="center" vertical="center"/>
    </xf>
    <xf numFmtId="11" fontId="12" fillId="0" borderId="0" xfId="0" applyNumberFormat="1" applyFont="1" applyAlignment="1">
      <alignment horizontal="center" vertical="center"/>
    </xf>
    <xf numFmtId="11" fontId="0" fillId="0" borderId="0" xfId="0" applyNumberFormat="1" applyAlignment="1">
      <alignment horizontal="center" vertical="center" wrapText="1"/>
    </xf>
    <xf numFmtId="0" fontId="3" fillId="0" borderId="0" xfId="0" applyFont="1" applyAlignment="1">
      <alignment horizontal="left"/>
    </xf>
    <xf numFmtId="11" fontId="4" fillId="0" borderId="0" xfId="0" applyNumberFormat="1" applyFont="1" applyAlignment="1">
      <alignment horizontal="center" vertical="center" wrapText="1"/>
    </xf>
    <xf numFmtId="0" fontId="4" fillId="0" borderId="12" xfId="0" applyFont="1" applyBorder="1" applyAlignment="1">
      <alignment horizontal="center" vertical="center"/>
    </xf>
    <xf numFmtId="0" fontId="12" fillId="0" borderId="10" xfId="0" applyFont="1" applyBorder="1" applyAlignment="1">
      <alignment wrapText="1"/>
    </xf>
    <xf numFmtId="0" fontId="12" fillId="5" borderId="0" xfId="0" applyFont="1" applyFill="1" applyAlignment="1">
      <alignment wrapText="1"/>
    </xf>
    <xf numFmtId="0" fontId="12" fillId="5" borderId="0" xfId="0" applyFont="1" applyFill="1"/>
    <xf numFmtId="167" fontId="3" fillId="0" borderId="0" xfId="0" applyNumberFormat="1" applyFont="1" applyAlignment="1">
      <alignment horizontal="center"/>
    </xf>
    <xf numFmtId="164" fontId="0" fillId="0" borderId="0" xfId="0" applyNumberFormat="1" applyAlignment="1">
      <alignment wrapText="1"/>
    </xf>
    <xf numFmtId="1" fontId="13" fillId="0" borderId="0" xfId="0" applyNumberFormat="1" applyFont="1"/>
    <xf numFmtId="0" fontId="42" fillId="4" borderId="0" xfId="0" applyFont="1" applyFill="1" applyAlignment="1">
      <alignment horizontal="left" vertical="center" wrapText="1"/>
    </xf>
    <xf numFmtId="3" fontId="30" fillId="4" borderId="0" xfId="0" applyNumberFormat="1" applyFont="1" applyFill="1" applyAlignment="1">
      <alignment horizontal="right" vertical="center"/>
    </xf>
    <xf numFmtId="167" fontId="0" fillId="0" borderId="0" xfId="0" applyNumberFormat="1"/>
    <xf numFmtId="0" fontId="43" fillId="9" borderId="2" xfId="0" applyFont="1" applyFill="1" applyBorder="1" applyAlignment="1">
      <alignment horizontal="left" vertical="center" wrapText="1"/>
    </xf>
    <xf numFmtId="0" fontId="43" fillId="9" borderId="1" xfId="0" applyFont="1" applyFill="1" applyBorder="1" applyAlignment="1">
      <alignment horizontal="left" vertical="center" wrapText="1"/>
    </xf>
    <xf numFmtId="174" fontId="0" fillId="0" borderId="0" xfId="0" applyNumberFormat="1"/>
    <xf numFmtId="0" fontId="26" fillId="0" borderId="0" xfId="0" applyFont="1" applyAlignment="1">
      <alignment horizontal="center" vertical="center" wrapText="1"/>
    </xf>
    <xf numFmtId="11" fontId="0" fillId="0" borderId="6" xfId="0" applyNumberFormat="1" applyBorder="1" applyAlignment="1">
      <alignment horizontal="center" vertical="center"/>
    </xf>
    <xf numFmtId="1" fontId="12" fillId="2" borderId="0" xfId="0" applyNumberFormat="1" applyFont="1" applyFill="1" applyAlignment="1">
      <alignment horizontal="center" wrapText="1"/>
    </xf>
    <xf numFmtId="0" fontId="44" fillId="8" borderId="20" xfId="0" applyFont="1" applyFill="1" applyBorder="1" applyAlignment="1">
      <alignment horizontal="right" vertical="top" wrapText="1"/>
    </xf>
    <xf numFmtId="0" fontId="0" fillId="13" borderId="0" xfId="0" applyFill="1"/>
    <xf numFmtId="2" fontId="0" fillId="2" borderId="0" xfId="0" applyNumberFormat="1" applyFill="1"/>
    <xf numFmtId="0" fontId="4" fillId="0" borderId="0" xfId="0" applyFont="1" applyAlignment="1">
      <alignment horizontal="left" vertical="center"/>
    </xf>
    <xf numFmtId="0" fontId="44" fillId="0" borderId="0" xfId="0" applyFont="1"/>
    <xf numFmtId="0" fontId="12" fillId="5" borderId="0" xfId="0" applyFont="1" applyFill="1" applyAlignment="1">
      <alignment horizontal="center"/>
    </xf>
    <xf numFmtId="2" fontId="4" fillId="0" borderId="0" xfId="0" applyNumberFormat="1" applyFont="1" applyAlignment="1">
      <alignment horizontal="center" vertical="center"/>
    </xf>
    <xf numFmtId="11" fontId="4" fillId="0" borderId="0" xfId="0" applyNumberFormat="1" applyFont="1" applyAlignment="1">
      <alignment horizontal="center" vertical="center"/>
    </xf>
    <xf numFmtId="11" fontId="0" fillId="2" borderId="0" xfId="0" applyNumberFormat="1" applyFill="1" applyAlignment="1">
      <alignment horizontal="center" vertical="center"/>
    </xf>
    <xf numFmtId="0" fontId="0" fillId="0" borderId="0" xfId="0" applyAlignment="1">
      <alignment horizontal="left" vertical="center"/>
    </xf>
    <xf numFmtId="11" fontId="3" fillId="0" borderId="0" xfId="0" applyNumberFormat="1" applyFont="1" applyAlignment="1">
      <alignment horizontal="center" vertical="center"/>
    </xf>
    <xf numFmtId="2" fontId="5" fillId="0" borderId="0" xfId="0" applyNumberFormat="1" applyFont="1" applyAlignment="1">
      <alignment horizontal="center" vertical="center" wrapText="1"/>
    </xf>
    <xf numFmtId="2" fontId="49" fillId="0" borderId="0" xfId="0" applyNumberFormat="1" applyFont="1" applyAlignment="1">
      <alignment horizontal="center" vertical="center"/>
    </xf>
    <xf numFmtId="0" fontId="51" fillId="0" borderId="0" xfId="0" applyFont="1" applyAlignment="1">
      <alignment vertical="center"/>
    </xf>
    <xf numFmtId="0" fontId="52" fillId="0" borderId="0" xfId="0" applyFont="1" applyAlignment="1">
      <alignment vertical="center"/>
    </xf>
    <xf numFmtId="2" fontId="12" fillId="2" borderId="0" xfId="0" applyNumberFormat="1" applyFont="1" applyFill="1" applyAlignment="1">
      <alignment horizontal="center" vertical="center" wrapText="1"/>
    </xf>
    <xf numFmtId="1" fontId="12" fillId="2" borderId="0" xfId="0" applyNumberFormat="1" applyFont="1" applyFill="1" applyAlignment="1">
      <alignment horizontal="center" vertical="center" wrapText="1"/>
    </xf>
    <xf numFmtId="2" fontId="12" fillId="2" borderId="0" xfId="0" applyNumberFormat="1" applyFont="1" applyFill="1" applyAlignment="1">
      <alignment horizontal="center" wrapText="1"/>
    </xf>
    <xf numFmtId="0" fontId="12" fillId="2" borderId="0" xfId="0" applyFont="1" applyFill="1" applyAlignment="1">
      <alignment horizontal="center" vertical="center" wrapText="1"/>
    </xf>
    <xf numFmtId="1" fontId="0" fillId="0" borderId="13" xfId="0" applyNumberFormat="1" applyBorder="1" applyAlignment="1">
      <alignment horizontal="center" vertical="center"/>
    </xf>
    <xf numFmtId="0" fontId="53" fillId="0" borderId="0" xfId="0" applyFont="1" applyAlignment="1">
      <alignment horizontal="left" vertical="top" wrapText="1"/>
    </xf>
    <xf numFmtId="0" fontId="54" fillId="0" borderId="0" xfId="0" applyFont="1" applyAlignment="1">
      <alignment vertical="center" wrapText="1"/>
    </xf>
    <xf numFmtId="0" fontId="55" fillId="0" borderId="0" xfId="0" applyFont="1" applyAlignment="1">
      <alignment horizontal="left" vertical="center" wrapText="1" indent="1"/>
    </xf>
    <xf numFmtId="0" fontId="51" fillId="0" borderId="0" xfId="0" applyFont="1" applyAlignment="1">
      <alignment horizontal="justify" vertical="center"/>
    </xf>
    <xf numFmtId="0" fontId="56" fillId="0" borderId="0" xfId="0" applyFont="1" applyAlignment="1">
      <alignment horizontal="justify" vertical="center"/>
    </xf>
    <xf numFmtId="0" fontId="51" fillId="0" borderId="0" xfId="0" applyFont="1" applyAlignment="1">
      <alignment vertical="center" wrapText="1"/>
    </xf>
    <xf numFmtId="0" fontId="51" fillId="0" borderId="0" xfId="0" applyFont="1" applyAlignment="1">
      <alignment horizontal="justify" vertical="center" wrapText="1"/>
    </xf>
    <xf numFmtId="0" fontId="53" fillId="0" borderId="0" xfId="0" applyFont="1" applyAlignment="1">
      <alignment horizontal="center" vertical="center"/>
    </xf>
    <xf numFmtId="0" fontId="53" fillId="0" borderId="0" xfId="0" applyFont="1" applyAlignment="1">
      <alignment horizontal="center"/>
    </xf>
    <xf numFmtId="0" fontId="53" fillId="0" borderId="0" xfId="0" applyFont="1" applyAlignment="1">
      <alignment horizontal="left"/>
    </xf>
    <xf numFmtId="0" fontId="25" fillId="0" borderId="0" xfId="5" applyAlignment="1">
      <alignment horizontal="center"/>
    </xf>
    <xf numFmtId="0" fontId="57" fillId="0" borderId="0" xfId="5" applyFont="1" applyFill="1" applyAlignment="1">
      <alignment horizontal="center"/>
    </xf>
    <xf numFmtId="0" fontId="57" fillId="0" borderId="0" xfId="5" applyFont="1" applyFill="1" applyBorder="1" applyAlignment="1">
      <alignment horizontal="center"/>
    </xf>
    <xf numFmtId="0" fontId="25" fillId="0" borderId="0" xfId="5" applyFill="1" applyBorder="1" applyAlignment="1">
      <alignment horizontal="center"/>
    </xf>
    <xf numFmtId="0" fontId="57" fillId="0" borderId="0" xfId="5" applyFont="1" applyFill="1" applyAlignment="1">
      <alignment horizontal="center" vertical="center"/>
    </xf>
    <xf numFmtId="0" fontId="25" fillId="0" borderId="0" xfId="5" applyAlignment="1">
      <alignment horizontal="left" vertical="center"/>
    </xf>
    <xf numFmtId="0" fontId="25" fillId="0" borderId="0" xfId="5" applyAlignment="1">
      <alignment horizontal="center" vertical="center"/>
    </xf>
    <xf numFmtId="0" fontId="25" fillId="0" borderId="0" xfId="5" applyFill="1" applyBorder="1" applyAlignment="1">
      <alignment horizontal="center" vertical="center" wrapText="1"/>
    </xf>
    <xf numFmtId="0" fontId="25" fillId="0" borderId="0" xfId="5" applyFill="1" applyAlignment="1">
      <alignment horizontal="center"/>
    </xf>
    <xf numFmtId="0" fontId="24" fillId="0" borderId="0" xfId="0" applyFont="1" applyAlignment="1">
      <alignment horizontal="center" vertical="center" wrapText="1"/>
    </xf>
    <xf numFmtId="0" fontId="25" fillId="0" borderId="0" xfId="5" applyFill="1" applyBorder="1" applyAlignment="1">
      <alignment horizontal="center" wrapText="1"/>
    </xf>
    <xf numFmtId="0" fontId="58" fillId="0" borderId="0" xfId="0" applyFont="1"/>
    <xf numFmtId="0" fontId="59" fillId="0" borderId="0" xfId="0" applyFont="1"/>
    <xf numFmtId="0" fontId="60" fillId="0" borderId="0" xfId="0" applyFont="1"/>
    <xf numFmtId="0" fontId="61" fillId="0" borderId="0" xfId="0" applyFont="1" applyAlignment="1">
      <alignment horizontal="center" vertical="center"/>
    </xf>
    <xf numFmtId="0" fontId="59" fillId="0" borderId="0" xfId="0" applyFont="1" applyAlignment="1">
      <alignment wrapText="1"/>
    </xf>
    <xf numFmtId="0" fontId="0" fillId="0" borderId="5" xfId="0" applyBorder="1" applyAlignment="1">
      <alignment horizontal="center" vertical="center"/>
    </xf>
    <xf numFmtId="0" fontId="60" fillId="0" borderId="6" xfId="0" applyFont="1" applyBorder="1" applyAlignment="1">
      <alignment horizontal="center" vertical="center"/>
    </xf>
    <xf numFmtId="0" fontId="59" fillId="0" borderId="28" xfId="0" applyFont="1" applyBorder="1" applyAlignment="1">
      <alignment horizontal="left" vertical="center"/>
    </xf>
    <xf numFmtId="0" fontId="59" fillId="0" borderId="24" xfId="0" applyFont="1" applyBorder="1" applyAlignment="1">
      <alignment horizontal="left" vertical="center"/>
    </xf>
    <xf numFmtId="0" fontId="59" fillId="0" borderId="29" xfId="0" applyFont="1" applyBorder="1" applyAlignment="1">
      <alignment horizontal="left" vertical="center"/>
    </xf>
    <xf numFmtId="0" fontId="59" fillId="0" borderId="8" xfId="0" applyFont="1" applyBorder="1" applyAlignment="1">
      <alignment horizontal="center" vertical="center" wrapText="1"/>
    </xf>
    <xf numFmtId="0" fontId="59" fillId="0" borderId="9" xfId="0" applyFont="1" applyBorder="1" applyAlignment="1">
      <alignment horizontal="center" vertical="center"/>
    </xf>
    <xf numFmtId="0" fontId="60" fillId="0" borderId="8" xfId="0" applyFont="1" applyBorder="1" applyAlignment="1">
      <alignment horizontal="center" vertical="center"/>
    </xf>
    <xf numFmtId="0" fontId="60" fillId="0" borderId="5" xfId="0" applyFont="1" applyBorder="1" applyAlignment="1">
      <alignment horizontal="center" vertical="center"/>
    </xf>
    <xf numFmtId="0" fontId="60" fillId="0" borderId="6" xfId="0" applyFont="1" applyBorder="1"/>
    <xf numFmtId="0" fontId="60" fillId="0" borderId="15" xfId="0" applyFont="1" applyBorder="1"/>
    <xf numFmtId="0" fontId="59" fillId="0" borderId="13" xfId="0" applyFont="1" applyBorder="1" applyAlignment="1">
      <alignment horizontal="center" vertical="center"/>
    </xf>
    <xf numFmtId="0" fontId="59" fillId="0" borderId="13" xfId="0" applyFont="1" applyBorder="1" applyAlignment="1">
      <alignment horizontal="center" vertical="center" wrapText="1"/>
    </xf>
    <xf numFmtId="0" fontId="59" fillId="0" borderId="34" xfId="0" applyFont="1" applyBorder="1" applyAlignment="1">
      <alignment horizontal="center" vertical="center" wrapText="1"/>
    </xf>
    <xf numFmtId="0" fontId="59" fillId="0" borderId="0" xfId="0" applyFont="1" applyAlignment="1">
      <alignment horizontal="center" vertical="center" wrapText="1"/>
    </xf>
    <xf numFmtId="0" fontId="59" fillId="0" borderId="21" xfId="0" applyFont="1" applyBorder="1" applyAlignment="1">
      <alignment horizontal="center" vertical="center" wrapText="1"/>
    </xf>
    <xf numFmtId="0" fontId="59" fillId="0" borderId="14" xfId="0" applyFont="1" applyBorder="1" applyAlignment="1">
      <alignment horizontal="center" vertical="center" wrapText="1"/>
    </xf>
    <xf numFmtId="0" fontId="59" fillId="0" borderId="12" xfId="0" applyFont="1" applyBorder="1" applyAlignment="1">
      <alignment horizontal="center" vertical="center" wrapText="1"/>
    </xf>
    <xf numFmtId="0" fontId="59" fillId="0" borderId="14" xfId="0" applyFont="1" applyBorder="1" applyAlignment="1">
      <alignment horizontal="center" vertical="center"/>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0" fillId="7" borderId="13" xfId="0" applyFill="1" applyBorder="1" applyAlignment="1">
      <alignment horizontal="center" vertical="center"/>
    </xf>
    <xf numFmtId="2" fontId="0" fillId="7" borderId="8" xfId="0" applyNumberFormat="1" applyFill="1" applyBorder="1" applyAlignment="1">
      <alignment horizontal="center" vertical="center"/>
    </xf>
    <xf numFmtId="2" fontId="3" fillId="5" borderId="0" xfId="0" applyNumberFormat="1" applyFont="1" applyFill="1" applyAlignment="1">
      <alignment horizontal="center"/>
    </xf>
    <xf numFmtId="0" fontId="4" fillId="5" borderId="0" xfId="0" applyFont="1" applyFill="1" applyAlignment="1">
      <alignment horizontal="center" vertical="center"/>
    </xf>
    <xf numFmtId="2" fontId="0" fillId="0" borderId="34" xfId="0" applyNumberFormat="1" applyBorder="1" applyAlignment="1">
      <alignment horizontal="center" vertical="center"/>
    </xf>
    <xf numFmtId="2" fontId="0" fillId="0" borderId="21" xfId="0" applyNumberFormat="1" applyBorder="1" applyAlignment="1">
      <alignment horizontal="center" vertical="center"/>
    </xf>
    <xf numFmtId="11" fontId="0" fillId="5" borderId="0" xfId="0" applyNumberFormat="1" applyFill="1"/>
    <xf numFmtId="0" fontId="62" fillId="0" borderId="10" xfId="3" applyFont="1" applyBorder="1" applyAlignment="1">
      <alignment horizontal="center" vertical="center"/>
    </xf>
    <xf numFmtId="0" fontId="62" fillId="0" borderId="0" xfId="3" applyFont="1" applyAlignment="1">
      <alignment horizontal="center" vertical="center"/>
    </xf>
    <xf numFmtId="11" fontId="14" fillId="0" borderId="0" xfId="0" applyNumberFormat="1" applyFont="1" applyAlignment="1">
      <alignment horizontal="center" vertical="center" wrapText="1"/>
    </xf>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0" fillId="7" borderId="8" xfId="0" applyFill="1" applyBorder="1" applyAlignment="1">
      <alignment horizontal="center" vertical="center"/>
    </xf>
    <xf numFmtId="11" fontId="0" fillId="7" borderId="8" xfId="0" applyNumberFormat="1" applyFill="1" applyBorder="1" applyAlignment="1">
      <alignment horizontal="center" vertical="center"/>
    </xf>
    <xf numFmtId="11" fontId="0" fillId="7" borderId="8" xfId="0" applyNumberFormat="1" applyFill="1" applyBorder="1"/>
    <xf numFmtId="11" fontId="12" fillId="7" borderId="8" xfId="0" applyNumberFormat="1" applyFont="1" applyFill="1" applyBorder="1" applyAlignment="1">
      <alignment horizontal="center" vertical="center" wrapText="1"/>
    </xf>
    <xf numFmtId="0" fontId="0" fillId="7" borderId="8" xfId="0" applyFill="1" applyBorder="1"/>
    <xf numFmtId="0" fontId="4" fillId="0" borderId="10" xfId="0" applyFont="1" applyBorder="1" applyAlignment="1">
      <alignment horizontal="center" vertical="center" wrapText="1"/>
    </xf>
    <xf numFmtId="166" fontId="0" fillId="0" borderId="10" xfId="0" applyNumberFormat="1" applyBorder="1"/>
    <xf numFmtId="167" fontId="0" fillId="0" borderId="10" xfId="0" applyNumberFormat="1" applyBorder="1" applyAlignment="1">
      <alignment horizontal="center" vertical="center"/>
    </xf>
    <xf numFmtId="2" fontId="0" fillId="0" borderId="37" xfId="0" applyNumberFormat="1" applyBorder="1" applyAlignment="1">
      <alignment horizontal="center" vertical="center"/>
    </xf>
    <xf numFmtId="2" fontId="0" fillId="0" borderId="38" xfId="0" applyNumberFormat="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2" fontId="0" fillId="7" borderId="6" xfId="0" applyNumberFormat="1" applyFill="1" applyBorder="1" applyAlignment="1">
      <alignment horizontal="center" vertical="center"/>
    </xf>
    <xf numFmtId="0" fontId="0" fillId="7" borderId="6" xfId="0" applyFill="1" applyBorder="1" applyAlignment="1">
      <alignment horizontal="center" vertical="center"/>
    </xf>
    <xf numFmtId="11" fontId="0" fillId="7" borderId="6" xfId="0" applyNumberFormat="1" applyFill="1" applyBorder="1" applyAlignment="1">
      <alignment horizontal="center" vertical="center"/>
    </xf>
    <xf numFmtId="11" fontId="0" fillId="7" borderId="6" xfId="0" applyNumberFormat="1" applyFill="1" applyBorder="1"/>
    <xf numFmtId="11" fontId="12" fillId="7" borderId="6" xfId="0" applyNumberFormat="1" applyFont="1" applyFill="1" applyBorder="1" applyAlignment="1">
      <alignment horizontal="center" vertical="center" wrapText="1"/>
    </xf>
    <xf numFmtId="0" fontId="0" fillId="5" borderId="5" xfId="0" applyFill="1" applyBorder="1" applyAlignment="1">
      <alignment horizontal="center" vertical="center"/>
    </xf>
    <xf numFmtId="0" fontId="0" fillId="5" borderId="6" xfId="0" applyFill="1" applyBorder="1" applyAlignment="1">
      <alignment horizontal="center" vertical="center"/>
    </xf>
    <xf numFmtId="2" fontId="3" fillId="5" borderId="6" xfId="0" applyNumberFormat="1" applyFont="1" applyFill="1" applyBorder="1" applyAlignment="1">
      <alignment horizontal="center"/>
    </xf>
    <xf numFmtId="0" fontId="4" fillId="5" borderId="6" xfId="0" applyFont="1" applyFill="1" applyBorder="1" applyAlignment="1">
      <alignment horizontal="center" vertical="center"/>
    </xf>
    <xf numFmtId="11" fontId="4" fillId="5" borderId="0" xfId="0" applyNumberFormat="1" applyFont="1" applyFill="1" applyAlignment="1">
      <alignment horizontal="center" vertical="center"/>
    </xf>
    <xf numFmtId="0" fontId="62" fillId="5" borderId="10" xfId="3" applyFont="1" applyFill="1" applyBorder="1" applyAlignment="1">
      <alignment horizontal="center" vertical="center"/>
    </xf>
    <xf numFmtId="0" fontId="63" fillId="5" borderId="10" xfId="3" applyFont="1" applyFill="1" applyBorder="1" applyAlignment="1">
      <alignment horizontal="center" vertical="center"/>
    </xf>
    <xf numFmtId="0" fontId="63" fillId="0" borderId="10" xfId="3" applyFont="1" applyBorder="1" applyAlignment="1">
      <alignment horizontal="center" vertical="center"/>
    </xf>
    <xf numFmtId="0" fontId="18" fillId="5" borderId="10" xfId="0" applyFont="1" applyFill="1" applyBorder="1" applyAlignment="1">
      <alignment horizontal="center" vertical="center"/>
    </xf>
    <xf numFmtId="2" fontId="3" fillId="5" borderId="0" xfId="0" applyNumberFormat="1" applyFont="1" applyFill="1" applyAlignment="1">
      <alignment horizontal="center" vertical="center"/>
    </xf>
    <xf numFmtId="0" fontId="18" fillId="0" borderId="10" xfId="0" applyFont="1" applyBorder="1" applyAlignment="1">
      <alignment horizontal="center" vertical="center"/>
    </xf>
    <xf numFmtId="0" fontId="18" fillId="0" borderId="10" xfId="0" applyFont="1" applyBorder="1"/>
    <xf numFmtId="0" fontId="18" fillId="5" borderId="10" xfId="0" applyFont="1" applyFill="1" applyBorder="1"/>
    <xf numFmtId="2" fontId="18" fillId="5" borderId="10" xfId="0" applyNumberFormat="1" applyFont="1" applyFill="1" applyBorder="1"/>
    <xf numFmtId="0" fontId="18" fillId="0" borderId="12" xfId="0" applyFont="1" applyBorder="1"/>
    <xf numFmtId="0" fontId="18" fillId="0" borderId="13" xfId="0" applyFont="1" applyBorder="1" applyAlignment="1">
      <alignment horizontal="center" vertical="center"/>
    </xf>
    <xf numFmtId="2" fontId="0" fillId="0" borderId="30" xfId="0" applyNumberFormat="1" applyBorder="1" applyAlignment="1">
      <alignment horizontal="center" vertical="center"/>
    </xf>
    <xf numFmtId="2" fontId="0" fillId="0" borderId="31" xfId="0" applyNumberFormat="1" applyBorder="1" applyAlignment="1">
      <alignment horizontal="center" vertical="center"/>
    </xf>
    <xf numFmtId="0" fontId="60" fillId="0" borderId="24" xfId="0" applyFont="1" applyBorder="1" applyAlignment="1">
      <alignment horizontal="center" vertical="center"/>
    </xf>
    <xf numFmtId="0" fontId="60" fillId="0" borderId="29" xfId="0" applyFont="1" applyBorder="1"/>
    <xf numFmtId="0" fontId="59" fillId="0" borderId="6" xfId="0" applyFont="1" applyBorder="1" applyAlignment="1">
      <alignment horizontal="center" vertical="center" wrapText="1"/>
    </xf>
    <xf numFmtId="0" fontId="59" fillId="0" borderId="6" xfId="0" applyFont="1" applyBorder="1" applyAlignment="1">
      <alignment horizontal="center" vertical="center"/>
    </xf>
    <xf numFmtId="0" fontId="59" fillId="0" borderId="7" xfId="0" applyFont="1" applyBorder="1" applyAlignment="1">
      <alignment horizontal="center" vertical="center" wrapText="1"/>
    </xf>
    <xf numFmtId="0" fontId="59" fillId="0" borderId="12" xfId="0" applyFont="1" applyBorder="1" applyAlignment="1">
      <alignment horizontal="center" vertical="center"/>
    </xf>
    <xf numFmtId="0" fontId="59" fillId="0" borderId="9" xfId="0" applyFont="1" applyBorder="1" applyAlignment="1">
      <alignment horizontal="center" vertical="center" wrapText="1"/>
    </xf>
    <xf numFmtId="0" fontId="60" fillId="0" borderId="0" xfId="0" applyFont="1" applyAlignment="1">
      <alignment horizontal="center" vertical="center"/>
    </xf>
    <xf numFmtId="0" fontId="13" fillId="7" borderId="12" xfId="0" applyFont="1" applyFill="1" applyBorder="1" applyAlignment="1">
      <alignment horizontal="left" vertical="center"/>
    </xf>
    <xf numFmtId="0" fontId="64" fillId="7" borderId="13" xfId="0" applyFont="1" applyFill="1" applyBorder="1" applyAlignment="1">
      <alignment horizontal="center" vertical="center" wrapText="1"/>
    </xf>
    <xf numFmtId="0" fontId="13" fillId="7" borderId="39" xfId="0" applyFont="1" applyFill="1" applyBorder="1" applyAlignment="1">
      <alignment horizontal="center" vertical="center" wrapText="1"/>
    </xf>
    <xf numFmtId="0" fontId="64" fillId="7" borderId="40" xfId="0" applyFont="1" applyFill="1" applyBorder="1" applyAlignment="1">
      <alignment horizontal="center" vertical="center" wrapText="1"/>
    </xf>
    <xf numFmtId="0" fontId="64" fillId="7" borderId="8" xfId="0" applyFont="1" applyFill="1" applyBorder="1" applyAlignment="1">
      <alignment horizontal="center" vertical="center"/>
    </xf>
    <xf numFmtId="0" fontId="64" fillId="7" borderId="8" xfId="0" applyFont="1" applyFill="1" applyBorder="1" applyAlignment="1">
      <alignment horizontal="center" vertical="center" wrapText="1"/>
    </xf>
    <xf numFmtId="0" fontId="13" fillId="7" borderId="7" xfId="0" applyFont="1" applyFill="1" applyBorder="1" applyAlignment="1">
      <alignment horizontal="center" vertical="center"/>
    </xf>
    <xf numFmtId="0" fontId="13" fillId="7" borderId="8" xfId="0" applyFont="1" applyFill="1" applyBorder="1" applyAlignment="1">
      <alignment horizontal="center" vertical="center" wrapText="1"/>
    </xf>
    <xf numFmtId="0" fontId="61" fillId="0" borderId="0" xfId="0" applyFont="1"/>
    <xf numFmtId="2" fontId="60" fillId="0" borderId="0" xfId="0" applyNumberFormat="1" applyFont="1"/>
    <xf numFmtId="0" fontId="0" fillId="0" borderId="6" xfId="0" applyBorder="1" applyAlignment="1">
      <alignment horizontal="center" vertical="center"/>
    </xf>
    <xf numFmtId="0" fontId="59" fillId="0" borderId="5" xfId="0" applyFont="1" applyBorder="1" applyAlignment="1">
      <alignment horizontal="center" vertical="center" wrapText="1"/>
    </xf>
    <xf numFmtId="0" fontId="59" fillId="0" borderId="15" xfId="0" applyFont="1" applyBorder="1" applyAlignment="1">
      <alignment horizontal="center" vertical="center"/>
    </xf>
    <xf numFmtId="0" fontId="59" fillId="0" borderId="10" xfId="0" applyFont="1" applyBorder="1" applyAlignment="1">
      <alignment horizontal="center" vertical="center"/>
    </xf>
    <xf numFmtId="0" fontId="59" fillId="0" borderId="0" xfId="0" applyFont="1" applyAlignment="1">
      <alignment horizontal="center" vertical="center"/>
    </xf>
    <xf numFmtId="0" fontId="59" fillId="0" borderId="10" xfId="0" applyFont="1" applyBorder="1" applyAlignment="1">
      <alignment horizontal="center" vertical="center" wrapText="1"/>
    </xf>
    <xf numFmtId="0" fontId="59" fillId="0" borderId="11" xfId="0" applyFont="1" applyBorder="1" applyAlignment="1">
      <alignment horizontal="center" vertical="center" wrapText="1"/>
    </xf>
    <xf numFmtId="0" fontId="59" fillId="0" borderId="11" xfId="0" applyFont="1" applyBorder="1" applyAlignment="1">
      <alignment horizontal="center" vertical="center"/>
    </xf>
    <xf numFmtId="2" fontId="4" fillId="7" borderId="39" xfId="0" applyNumberFormat="1" applyFont="1" applyFill="1" applyBorder="1" applyAlignment="1">
      <alignment horizontal="center" vertical="center"/>
    </xf>
    <xf numFmtId="2" fontId="4" fillId="7" borderId="6" xfId="0" applyNumberFormat="1" applyFont="1" applyFill="1" applyBorder="1" applyAlignment="1">
      <alignment horizontal="center" vertical="center"/>
    </xf>
    <xf numFmtId="2" fontId="4" fillId="7" borderId="40" xfId="0" applyNumberFormat="1" applyFont="1" applyFill="1" applyBorder="1" applyAlignment="1">
      <alignment horizontal="center" vertical="center"/>
    </xf>
    <xf numFmtId="0" fontId="12" fillId="7" borderId="8" xfId="0" applyFont="1" applyFill="1" applyBorder="1" applyAlignment="1">
      <alignment horizontal="center" vertical="center" wrapText="1"/>
    </xf>
    <xf numFmtId="0" fontId="0" fillId="7" borderId="9" xfId="0" applyFill="1" applyBorder="1"/>
    <xf numFmtId="2" fontId="4" fillId="5" borderId="39" xfId="0" applyNumberFormat="1" applyFont="1" applyFill="1" applyBorder="1" applyAlignment="1">
      <alignment horizontal="center" vertical="center" wrapText="1"/>
    </xf>
    <xf numFmtId="2" fontId="4" fillId="5" borderId="6" xfId="0" applyNumberFormat="1" applyFont="1" applyFill="1" applyBorder="1" applyAlignment="1">
      <alignment horizontal="center" vertical="center" wrapText="1"/>
    </xf>
    <xf numFmtId="2" fontId="4" fillId="5" borderId="40" xfId="0" applyNumberFormat="1" applyFont="1" applyFill="1" applyBorder="1" applyAlignment="1">
      <alignment horizontal="center" vertical="center" wrapText="1"/>
    </xf>
    <xf numFmtId="11" fontId="0" fillId="5" borderId="11" xfId="0" applyNumberFormat="1" applyFill="1" applyBorder="1"/>
    <xf numFmtId="2" fontId="0" fillId="0" borderId="34" xfId="0" applyNumberFormat="1" applyBorder="1" applyAlignment="1">
      <alignment horizontal="center" vertical="center" wrapText="1"/>
    </xf>
    <xf numFmtId="2" fontId="0" fillId="0" borderId="0" xfId="0" applyNumberFormat="1" applyAlignment="1">
      <alignment horizontal="center" vertical="center" wrapText="1"/>
    </xf>
    <xf numFmtId="2" fontId="0" fillId="0" borderId="21" xfId="0" applyNumberFormat="1" applyBorder="1" applyAlignment="1">
      <alignment horizontal="center" vertical="center" wrapText="1"/>
    </xf>
    <xf numFmtId="0" fontId="62" fillId="0" borderId="12" xfId="3" applyFont="1" applyBorder="1" applyAlignment="1">
      <alignment horizontal="center" vertical="center"/>
    </xf>
    <xf numFmtId="0" fontId="62" fillId="0" borderId="13" xfId="3" applyFont="1" applyBorder="1" applyAlignment="1">
      <alignment horizontal="center" vertical="center"/>
    </xf>
    <xf numFmtId="2" fontId="0" fillId="0" borderId="37" xfId="0" applyNumberFormat="1" applyBorder="1" applyAlignment="1">
      <alignment horizontal="center" vertical="center" wrapText="1"/>
    </xf>
    <xf numFmtId="2" fontId="0" fillId="0" borderId="13" xfId="0" applyNumberFormat="1" applyBorder="1" applyAlignment="1">
      <alignment horizontal="center" vertical="center" wrapText="1"/>
    </xf>
    <xf numFmtId="2" fontId="0" fillId="0" borderId="38" xfId="0" applyNumberFormat="1" applyBorder="1" applyAlignment="1">
      <alignment horizontal="center" vertical="center" wrapText="1"/>
    </xf>
    <xf numFmtId="11" fontId="0" fillId="0" borderId="13" xfId="0" applyNumberFormat="1" applyBorder="1" applyAlignment="1">
      <alignment horizontal="center"/>
    </xf>
    <xf numFmtId="2" fontId="4" fillId="7" borderId="34" xfId="0" applyNumberFormat="1" applyFont="1" applyFill="1" applyBorder="1" applyAlignment="1">
      <alignment horizontal="center" vertical="center"/>
    </xf>
    <xf numFmtId="2" fontId="4" fillId="7" borderId="0" xfId="0" applyNumberFormat="1" applyFont="1" applyFill="1" applyAlignment="1">
      <alignment horizontal="center" vertical="center"/>
    </xf>
    <xf numFmtId="2" fontId="4" fillId="7" borderId="21" xfId="0" applyNumberFormat="1" applyFont="1" applyFill="1" applyBorder="1" applyAlignment="1">
      <alignment horizontal="center" vertical="center"/>
    </xf>
    <xf numFmtId="11" fontId="0" fillId="7" borderId="0" xfId="0" applyNumberFormat="1" applyFill="1" applyAlignment="1">
      <alignment horizontal="center" vertical="center"/>
    </xf>
    <xf numFmtId="11" fontId="0" fillId="7" borderId="0" xfId="0" applyNumberFormat="1" applyFill="1"/>
    <xf numFmtId="11" fontId="12" fillId="7" borderId="0" xfId="0" applyNumberFormat="1" applyFont="1" applyFill="1" applyAlignment="1">
      <alignment horizontal="center" vertical="center" wrapText="1"/>
    </xf>
    <xf numFmtId="11" fontId="0" fillId="7" borderId="11" xfId="0" applyNumberFormat="1" applyFill="1" applyBorder="1"/>
    <xf numFmtId="0" fontId="0" fillId="7" borderId="0" xfId="0" applyFill="1"/>
    <xf numFmtId="11" fontId="4" fillId="5" borderId="6" xfId="0" applyNumberFormat="1" applyFont="1" applyFill="1" applyBorder="1" applyAlignment="1">
      <alignment horizontal="center" vertical="center"/>
    </xf>
    <xf numFmtId="11" fontId="0" fillId="5" borderId="6" xfId="0" applyNumberFormat="1" applyFill="1" applyBorder="1" applyAlignment="1">
      <alignment horizontal="center" vertical="center"/>
    </xf>
    <xf numFmtId="11" fontId="0" fillId="5" borderId="6" xfId="0" applyNumberFormat="1" applyFill="1" applyBorder="1"/>
    <xf numFmtId="11" fontId="0" fillId="5" borderId="15" xfId="0" applyNumberFormat="1" applyFill="1" applyBorder="1"/>
    <xf numFmtId="2" fontId="0" fillId="0" borderId="34" xfId="0" applyNumberFormat="1" applyBorder="1" applyAlignment="1">
      <alignment horizontal="center"/>
    </xf>
    <xf numFmtId="2" fontId="0" fillId="0" borderId="21" xfId="0" applyNumberFormat="1" applyBorder="1" applyAlignment="1">
      <alignment horizontal="center"/>
    </xf>
    <xf numFmtId="2" fontId="0" fillId="0" borderId="37" xfId="0" applyNumberFormat="1" applyBorder="1" applyAlignment="1">
      <alignment horizontal="center"/>
    </xf>
    <xf numFmtId="2" fontId="0" fillId="0" borderId="38" xfId="0" applyNumberFormat="1" applyBorder="1" applyAlignment="1">
      <alignment horizontal="center"/>
    </xf>
    <xf numFmtId="0" fontId="4" fillId="7" borderId="10" xfId="0" applyFont="1" applyFill="1" applyBorder="1" applyAlignment="1">
      <alignment horizontal="center" vertical="center"/>
    </xf>
    <xf numFmtId="0" fontId="4" fillId="7" borderId="0" xfId="0" applyFont="1" applyFill="1" applyAlignment="1">
      <alignment horizontal="center" vertical="center"/>
    </xf>
    <xf numFmtId="2" fontId="0" fillId="7" borderId="0" xfId="0" applyNumberFormat="1" applyFill="1" applyAlignment="1">
      <alignment horizontal="center" vertical="center"/>
    </xf>
    <xf numFmtId="0" fontId="0" fillId="7" borderId="0" xfId="0" applyFill="1" applyAlignment="1">
      <alignment horizontal="center" vertical="center"/>
    </xf>
    <xf numFmtId="11" fontId="4" fillId="5" borderId="6" xfId="0" applyNumberFormat="1" applyFont="1" applyFill="1" applyBorder="1" applyAlignment="1">
      <alignment horizontal="center" vertical="center" wrapText="1"/>
    </xf>
    <xf numFmtId="11" fontId="0" fillId="5" borderId="6" xfId="0" applyNumberFormat="1" applyFill="1" applyBorder="1" applyAlignment="1">
      <alignment horizontal="center"/>
    </xf>
    <xf numFmtId="11" fontId="0" fillId="5" borderId="15" xfId="0" applyNumberFormat="1" applyFill="1" applyBorder="1" applyAlignment="1">
      <alignment horizontal="center"/>
    </xf>
    <xf numFmtId="0" fontId="14" fillId="5" borderId="10" xfId="0" applyFont="1" applyFill="1" applyBorder="1" applyAlignment="1">
      <alignment horizontal="center" vertical="center"/>
    </xf>
    <xf numFmtId="2" fontId="4" fillId="5" borderId="34" xfId="0" applyNumberFormat="1" applyFont="1" applyFill="1" applyBorder="1" applyAlignment="1">
      <alignment horizontal="center" vertical="center" wrapText="1"/>
    </xf>
    <xf numFmtId="2" fontId="4" fillId="5" borderId="0" xfId="0" applyNumberFormat="1" applyFont="1" applyFill="1" applyAlignment="1">
      <alignment horizontal="center" vertical="center" wrapText="1"/>
    </xf>
    <xf numFmtId="2" fontId="4" fillId="5" borderId="21" xfId="0" applyNumberFormat="1" applyFont="1" applyFill="1" applyBorder="1" applyAlignment="1">
      <alignment horizontal="center" vertical="center" wrapText="1"/>
    </xf>
    <xf numFmtId="11" fontId="0" fillId="5" borderId="0" xfId="0" applyNumberFormat="1" applyFill="1" applyAlignment="1">
      <alignment horizontal="center"/>
    </xf>
    <xf numFmtId="11" fontId="0" fillId="5" borderId="11" xfId="0" applyNumberFormat="1" applyFill="1" applyBorder="1" applyAlignment="1">
      <alignment horizontal="center"/>
    </xf>
    <xf numFmtId="0" fontId="14" fillId="0" borderId="10" xfId="0" applyFont="1" applyBorder="1" applyAlignment="1">
      <alignment horizontal="center" vertical="center"/>
    </xf>
    <xf numFmtId="0" fontId="14" fillId="0" borderId="0" xfId="0" applyFont="1" applyAlignment="1">
      <alignment horizontal="center" vertical="center" wrapText="1"/>
    </xf>
    <xf numFmtId="11" fontId="14" fillId="0" borderId="0" xfId="0" applyNumberFormat="1" applyFont="1" applyAlignment="1">
      <alignment horizontal="center"/>
    </xf>
    <xf numFmtId="0" fontId="14" fillId="0" borderId="0" xfId="0" applyFont="1" applyAlignment="1">
      <alignment horizontal="center" vertical="center"/>
    </xf>
    <xf numFmtId="11" fontId="14" fillId="0" borderId="0" xfId="0" quotePrefix="1" applyNumberFormat="1" applyFont="1" applyAlignment="1">
      <alignment horizontal="center"/>
    </xf>
    <xf numFmtId="11" fontId="5" fillId="0" borderId="0" xfId="0" applyNumberFormat="1" applyFont="1" applyAlignment="1">
      <alignment horizontal="center" wrapText="1"/>
    </xf>
    <xf numFmtId="11" fontId="14" fillId="0" borderId="0" xfId="0" applyNumberFormat="1" applyFont="1" applyAlignment="1">
      <alignment horizontal="center" wrapText="1"/>
    </xf>
    <xf numFmtId="11" fontId="0" fillId="7" borderId="15" xfId="0" applyNumberFormat="1" applyFill="1" applyBorder="1"/>
    <xf numFmtId="11" fontId="4" fillId="5" borderId="6" xfId="0" applyNumberFormat="1" applyFont="1" applyFill="1" applyBorder="1" applyAlignment="1">
      <alignment horizontal="center"/>
    </xf>
    <xf numFmtId="0" fontId="14" fillId="5" borderId="0" xfId="0" applyFont="1" applyFill="1" applyAlignment="1">
      <alignment horizontal="center" vertical="center" wrapText="1"/>
    </xf>
    <xf numFmtId="0" fontId="14" fillId="5" borderId="0" xfId="0" applyFont="1" applyFill="1" applyAlignment="1">
      <alignment horizontal="center" vertical="center"/>
    </xf>
    <xf numFmtId="11" fontId="14" fillId="0" borderId="0" xfId="0" applyNumberFormat="1" applyFont="1" applyAlignment="1">
      <alignment horizontal="center" vertical="center"/>
    </xf>
    <xf numFmtId="11" fontId="14" fillId="0" borderId="0" xfId="0" quotePrefix="1" applyNumberFormat="1" applyFont="1" applyAlignment="1">
      <alignment horizontal="center" vertical="center"/>
    </xf>
    <xf numFmtId="11" fontId="5" fillId="0" borderId="0" xfId="0" applyNumberFormat="1" applyFont="1" applyAlignment="1">
      <alignment horizontal="center" vertical="center" wrapText="1"/>
    </xf>
    <xf numFmtId="11" fontId="0" fillId="7" borderId="9" xfId="0" applyNumberFormat="1" applyFill="1" applyBorder="1"/>
    <xf numFmtId="0" fontId="12" fillId="5" borderId="6" xfId="0" applyFont="1" applyFill="1" applyBorder="1" applyAlignment="1">
      <alignment horizontal="center" vertical="center"/>
    </xf>
    <xf numFmtId="2" fontId="14" fillId="5" borderId="6" xfId="0" applyNumberFormat="1" applyFont="1" applyFill="1" applyBorder="1" applyAlignment="1">
      <alignment horizontal="center" vertical="center" wrapText="1"/>
    </xf>
    <xf numFmtId="2" fontId="4" fillId="7" borderId="37" xfId="0" applyNumberFormat="1" applyFont="1" applyFill="1" applyBorder="1" applyAlignment="1">
      <alignment horizontal="center" vertical="center"/>
    </xf>
    <xf numFmtId="2" fontId="4" fillId="7" borderId="13" xfId="0" applyNumberFormat="1" applyFont="1" applyFill="1" applyBorder="1" applyAlignment="1">
      <alignment horizontal="center" vertical="center"/>
    </xf>
    <xf numFmtId="2" fontId="4" fillId="7" borderId="38" xfId="0" applyNumberFormat="1" applyFont="1" applyFill="1" applyBorder="1" applyAlignment="1">
      <alignment horizontal="center" vertical="center"/>
    </xf>
    <xf numFmtId="11" fontId="0" fillId="7" borderId="6" xfId="0" applyNumberFormat="1" applyFill="1" applyBorder="1" applyAlignment="1">
      <alignment horizontal="center"/>
    </xf>
    <xf numFmtId="11" fontId="0" fillId="7" borderId="15" xfId="0" applyNumberFormat="1" applyFill="1" applyBorder="1" applyAlignment="1">
      <alignment horizontal="center"/>
    </xf>
    <xf numFmtId="2" fontId="0" fillId="0" borderId="25" xfId="0" applyNumberFormat="1" applyBorder="1" applyAlignment="1">
      <alignment horizontal="center"/>
    </xf>
    <xf numFmtId="0" fontId="60" fillId="0" borderId="10" xfId="0" applyFont="1" applyBorder="1" applyAlignment="1">
      <alignment horizontal="center" vertical="center"/>
    </xf>
    <xf numFmtId="0" fontId="60" fillId="0" borderId="13" xfId="0" applyFont="1" applyBorder="1" applyAlignment="1">
      <alignment horizontal="center" vertical="center"/>
    </xf>
    <xf numFmtId="0" fontId="0" fillId="5" borderId="5" xfId="0" applyFill="1" applyBorder="1" applyAlignment="1">
      <alignment horizontal="center"/>
    </xf>
    <xf numFmtId="2" fontId="3" fillId="5" borderId="6" xfId="0" applyNumberFormat="1" applyFont="1" applyFill="1" applyBorder="1" applyAlignment="1">
      <alignment horizontal="center" vertical="center"/>
    </xf>
    <xf numFmtId="0" fontId="4" fillId="0" borderId="10" xfId="0" applyFont="1" applyBorder="1" applyAlignment="1">
      <alignment horizontal="center"/>
    </xf>
    <xf numFmtId="0" fontId="0" fillId="5" borderId="6" xfId="0" applyFill="1" applyBorder="1" applyAlignment="1">
      <alignment horizontal="center"/>
    </xf>
    <xf numFmtId="0" fontId="4" fillId="14" borderId="10" xfId="0" applyFont="1" applyFill="1" applyBorder="1" applyAlignment="1">
      <alignment horizontal="center" vertical="center"/>
    </xf>
    <xf numFmtId="0" fontId="60" fillId="5" borderId="0" xfId="0" applyFont="1" applyFill="1" applyAlignment="1">
      <alignment horizontal="center" vertical="center"/>
    </xf>
    <xf numFmtId="0" fontId="60" fillId="7" borderId="8" xfId="0" applyFont="1" applyFill="1" applyBorder="1" applyAlignment="1">
      <alignment horizontal="center" vertical="center"/>
    </xf>
    <xf numFmtId="0" fontId="0" fillId="0" borderId="29" xfId="0" applyBorder="1"/>
    <xf numFmtId="0" fontId="59" fillId="0" borderId="37" xfId="0" applyFont="1" applyBorder="1" applyAlignment="1">
      <alignment horizontal="center" vertical="center" wrapText="1"/>
    </xf>
    <xf numFmtId="0" fontId="59" fillId="0" borderId="38" xfId="0" applyFont="1" applyBorder="1" applyAlignment="1">
      <alignment horizontal="center" vertical="center" wrapText="1"/>
    </xf>
    <xf numFmtId="0" fontId="0" fillId="7" borderId="34" xfId="0" applyFill="1" applyBorder="1" applyAlignment="1">
      <alignment horizontal="center" vertical="center"/>
    </xf>
    <xf numFmtId="0" fontId="4" fillId="7" borderId="21" xfId="0" applyFont="1" applyFill="1" applyBorder="1" applyAlignment="1">
      <alignment horizontal="center" vertical="center"/>
    </xf>
    <xf numFmtId="0" fontId="4" fillId="7" borderId="0" xfId="0" applyFont="1" applyFill="1" applyAlignment="1">
      <alignment horizontal="center" vertical="center" wrapText="1"/>
    </xf>
    <xf numFmtId="0" fontId="4" fillId="5" borderId="39" xfId="0" applyFont="1" applyFill="1" applyBorder="1" applyAlignment="1">
      <alignment horizontal="center" vertical="center"/>
    </xf>
    <xf numFmtId="0" fontId="3" fillId="0" borderId="34" xfId="0" applyFont="1" applyBorder="1" applyAlignment="1">
      <alignment horizontal="center" vertical="center"/>
    </xf>
    <xf numFmtId="0" fontId="0" fillId="0" borderId="34" xfId="0" applyBorder="1" applyAlignment="1">
      <alignment horizontal="center" vertical="center"/>
    </xf>
    <xf numFmtId="0" fontId="4" fillId="5" borderId="34" xfId="0" applyFont="1" applyFill="1" applyBorder="1" applyAlignment="1">
      <alignment horizontal="center" vertical="center"/>
    </xf>
    <xf numFmtId="0" fontId="0" fillId="0" borderId="37" xfId="0" applyBorder="1" applyAlignment="1">
      <alignment horizontal="center" vertical="center"/>
    </xf>
    <xf numFmtId="0" fontId="0" fillId="7" borderId="6" xfId="0" applyFill="1" applyBorder="1"/>
    <xf numFmtId="0" fontId="12" fillId="0" borderId="0" xfId="0" applyFont="1" applyAlignment="1">
      <alignment vertical="center" wrapText="1"/>
    </xf>
    <xf numFmtId="2" fontId="3" fillId="0" borderId="34" xfId="0" applyNumberFormat="1" applyFont="1" applyBorder="1" applyAlignment="1">
      <alignment horizontal="center" vertical="center"/>
    </xf>
    <xf numFmtId="0" fontId="0" fillId="5" borderId="34" xfId="0" applyFill="1" applyBorder="1" applyAlignment="1">
      <alignment horizontal="center" vertical="center"/>
    </xf>
    <xf numFmtId="0" fontId="0" fillId="0" borderId="30" xfId="0" applyBorder="1" applyAlignment="1">
      <alignment horizontal="center" vertical="center"/>
    </xf>
    <xf numFmtId="0" fontId="0" fillId="0" borderId="25" xfId="0" applyBorder="1" applyAlignment="1">
      <alignment horizontal="center" vertical="center"/>
    </xf>
    <xf numFmtId="0" fontId="28" fillId="0" borderId="0" xfId="0" applyFont="1" applyAlignment="1">
      <alignment vertical="center"/>
    </xf>
    <xf numFmtId="0" fontId="12" fillId="0" borderId="5" xfId="0" applyFont="1" applyBorder="1" applyAlignment="1">
      <alignment horizontal="left" vertical="center"/>
    </xf>
    <xf numFmtId="0" fontId="26" fillId="0" borderId="6" xfId="0" applyFont="1" applyBorder="1" applyAlignment="1">
      <alignment horizontal="center" vertical="center" wrapText="1"/>
    </xf>
    <xf numFmtId="0" fontId="12" fillId="0" borderId="10" xfId="0" applyFont="1" applyBorder="1" applyAlignment="1">
      <alignment horizontal="left" vertical="center"/>
    </xf>
    <xf numFmtId="0" fontId="12" fillId="0" borderId="11" xfId="0" applyFont="1" applyBorder="1" applyAlignment="1">
      <alignment horizontal="center" vertical="center" wrapText="1"/>
    </xf>
    <xf numFmtId="49" fontId="12" fillId="0" borderId="10" xfId="0" applyNumberFormat="1" applyFont="1" applyBorder="1" applyAlignment="1">
      <alignment horizontal="left" vertical="center"/>
    </xf>
    <xf numFmtId="0" fontId="14" fillId="0" borderId="11" xfId="0" applyFont="1" applyBorder="1" applyAlignment="1">
      <alignment horizontal="center" vertical="center" wrapText="1"/>
    </xf>
    <xf numFmtId="1" fontId="12" fillId="0" borderId="11" xfId="0" applyNumberFormat="1" applyFont="1" applyBorder="1" applyAlignment="1">
      <alignment horizontal="center" vertical="center"/>
    </xf>
    <xf numFmtId="0" fontId="12" fillId="0" borderId="10" xfId="0" applyFont="1" applyBorder="1" applyAlignment="1">
      <alignment vertical="center"/>
    </xf>
    <xf numFmtId="0" fontId="12" fillId="0" borderId="12" xfId="0" applyFont="1" applyBorder="1" applyAlignment="1">
      <alignment vertical="center"/>
    </xf>
    <xf numFmtId="0" fontId="12" fillId="0" borderId="14" xfId="0" applyFont="1" applyBorder="1" applyAlignment="1">
      <alignment horizontal="center" vertical="center"/>
    </xf>
    <xf numFmtId="2" fontId="14" fillId="0" borderId="0" xfId="0" applyNumberFormat="1" applyFont="1" applyAlignment="1">
      <alignment vertical="center" wrapText="1"/>
    </xf>
    <xf numFmtId="0" fontId="12" fillId="0" borderId="5" xfId="0" applyFont="1" applyBorder="1" applyAlignment="1">
      <alignment vertical="top" wrapText="1"/>
    </xf>
    <xf numFmtId="0" fontId="11" fillId="0" borderId="10" xfId="0" applyFont="1" applyBorder="1" applyAlignment="1">
      <alignment horizontal="center" vertical="top" wrapText="1"/>
    </xf>
    <xf numFmtId="0" fontId="12" fillId="0" borderId="10" xfId="0" applyFont="1" applyBorder="1" applyAlignment="1">
      <alignment horizontal="center" vertical="top" wrapText="1"/>
    </xf>
    <xf numFmtId="0" fontId="12" fillId="0" borderId="12" xfId="0" applyFont="1" applyBorder="1" applyAlignment="1">
      <alignment horizontal="center" vertical="top" wrapText="1"/>
    </xf>
    <xf numFmtId="2" fontId="14" fillId="0" borderId="13" xfId="0" applyNumberFormat="1" applyFont="1" applyBorder="1" applyAlignment="1">
      <alignment horizontal="center" vertical="center" wrapText="1"/>
    </xf>
    <xf numFmtId="2" fontId="14" fillId="0" borderId="14" xfId="0" applyNumberFormat="1" applyFont="1" applyBorder="1" applyAlignment="1">
      <alignment horizontal="center" vertical="center" wrapText="1"/>
    </xf>
    <xf numFmtId="0" fontId="12" fillId="0" borderId="0" xfId="0" applyFont="1" applyAlignment="1">
      <alignment vertical="top" wrapText="1"/>
    </xf>
    <xf numFmtId="0" fontId="11" fillId="0" borderId="0" xfId="0" applyFont="1" applyAlignment="1">
      <alignment horizontal="center"/>
    </xf>
    <xf numFmtId="164" fontId="12" fillId="0" borderId="13" xfId="0" applyNumberFormat="1" applyFont="1" applyBorder="1" applyAlignment="1">
      <alignment horizontal="center" vertical="center" wrapText="1"/>
    </xf>
    <xf numFmtId="164" fontId="12" fillId="0" borderId="14" xfId="0" applyNumberFormat="1" applyFont="1" applyBorder="1" applyAlignment="1">
      <alignment horizontal="center" vertical="center" wrapText="1"/>
    </xf>
    <xf numFmtId="0" fontId="12" fillId="0" borderId="0" xfId="4" applyFont="1"/>
    <xf numFmtId="0" fontId="11" fillId="0" borderId="6" xfId="0" applyFont="1" applyBorder="1" applyAlignment="1">
      <alignment horizontal="center"/>
    </xf>
    <xf numFmtId="0" fontId="12" fillId="0" borderId="10" xfId="0" applyFont="1" applyBorder="1" applyAlignment="1">
      <alignment horizontal="center"/>
    </xf>
    <xf numFmtId="11" fontId="12" fillId="0" borderId="0" xfId="0" applyNumberFormat="1" applyFont="1" applyAlignment="1">
      <alignment vertical="center"/>
    </xf>
    <xf numFmtId="2" fontId="31" fillId="0" borderId="0" xfId="3" applyNumberFormat="1" applyFont="1" applyAlignment="1">
      <alignment horizontal="center"/>
    </xf>
    <xf numFmtId="0" fontId="12" fillId="0" borderId="14" xfId="0" applyFont="1" applyBorder="1" applyAlignment="1">
      <alignment horizontal="center"/>
    </xf>
    <xf numFmtId="0" fontId="31" fillId="0" borderId="0" xfId="0" applyFont="1"/>
    <xf numFmtId="167" fontId="12" fillId="0" borderId="0" xfId="0" applyNumberFormat="1" applyFont="1" applyAlignment="1">
      <alignment vertical="center"/>
    </xf>
    <xf numFmtId="0" fontId="14" fillId="0" borderId="5"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2" xfId="0" applyFont="1" applyBorder="1" applyAlignment="1">
      <alignment horizontal="center" vertical="center" wrapText="1"/>
    </xf>
    <xf numFmtId="1" fontId="12" fillId="0" borderId="0" xfId="0" applyNumberFormat="1" applyFont="1" applyAlignment="1">
      <alignment horizontal="center"/>
    </xf>
    <xf numFmtId="0" fontId="31" fillId="0" borderId="0" xfId="0" applyFont="1" applyAlignment="1">
      <alignment horizontal="left" vertical="center" wrapText="1"/>
    </xf>
    <xf numFmtId="0" fontId="31" fillId="0" borderId="0" xfId="0" applyFont="1" applyAlignment="1">
      <alignment vertical="center"/>
    </xf>
    <xf numFmtId="166" fontId="12" fillId="0" borderId="0" xfId="0" applyNumberFormat="1" applyFont="1" applyAlignment="1">
      <alignment vertical="center" wrapText="1"/>
    </xf>
    <xf numFmtId="166" fontId="12" fillId="0" borderId="0" xfId="0" applyNumberFormat="1" applyFont="1" applyAlignment="1">
      <alignment horizontal="center"/>
    </xf>
    <xf numFmtId="0" fontId="12" fillId="0" borderId="5" xfId="0" applyFont="1" applyBorder="1" applyAlignment="1">
      <alignment vertical="center"/>
    </xf>
    <xf numFmtId="164" fontId="12" fillId="0" borderId="13" xfId="0" applyNumberFormat="1" applyFont="1" applyBorder="1" applyAlignment="1">
      <alignment horizontal="center" vertical="center"/>
    </xf>
    <xf numFmtId="164" fontId="12" fillId="0" borderId="14" xfId="0" applyNumberFormat="1" applyFont="1" applyBorder="1" applyAlignment="1">
      <alignment horizontal="center" vertical="center"/>
    </xf>
    <xf numFmtId="0" fontId="26" fillId="0" borderId="15" xfId="0" applyFont="1" applyBorder="1" applyAlignment="1">
      <alignment horizontal="center" vertical="center" wrapText="1"/>
    </xf>
    <xf numFmtId="2" fontId="0" fillId="0" borderId="13" xfId="0" applyNumberFormat="1" applyBorder="1"/>
    <xf numFmtId="2" fontId="0" fillId="0" borderId="14" xfId="0" applyNumberFormat="1" applyBorder="1"/>
    <xf numFmtId="0" fontId="65" fillId="0" borderId="0" xfId="0" applyFont="1"/>
    <xf numFmtId="0" fontId="66" fillId="0" borderId="0" xfId="0" applyFont="1" applyAlignment="1">
      <alignment vertical="center"/>
    </xf>
    <xf numFmtId="0" fontId="67" fillId="0" borderId="0" xfId="0" applyFont="1" applyAlignment="1">
      <alignment vertical="center"/>
    </xf>
    <xf numFmtId="11" fontId="66" fillId="0" borderId="0" xfId="0" applyNumberFormat="1" applyFont="1" applyAlignment="1">
      <alignment vertical="center"/>
    </xf>
    <xf numFmtId="2" fontId="14" fillId="0" borderId="11" xfId="0" applyNumberFormat="1" applyFont="1" applyBorder="1" applyAlignment="1">
      <alignment horizontal="center" vertical="center" wrapText="1"/>
    </xf>
    <xf numFmtId="2" fontId="66" fillId="0" borderId="0" xfId="0" applyNumberFormat="1" applyFont="1" applyAlignment="1">
      <alignment horizontal="center" vertical="center" wrapText="1"/>
    </xf>
    <xf numFmtId="2" fontId="12" fillId="0" borderId="11" xfId="0" applyNumberFormat="1" applyFont="1" applyBorder="1" applyAlignment="1">
      <alignment horizontal="center"/>
    </xf>
    <xf numFmtId="2" fontId="66" fillId="0" borderId="0" xfId="0" applyNumberFormat="1" applyFont="1" applyAlignment="1">
      <alignment horizontal="center"/>
    </xf>
    <xf numFmtId="11" fontId="68" fillId="0" borderId="0" xfId="0" applyNumberFormat="1" applyFont="1"/>
    <xf numFmtId="2" fontId="12" fillId="0" borderId="13" xfId="0" applyNumberFormat="1" applyFont="1" applyBorder="1" applyAlignment="1">
      <alignment horizontal="center"/>
    </xf>
    <xf numFmtId="2" fontId="12" fillId="0" borderId="14" xfId="0" applyNumberFormat="1" applyFont="1" applyBorder="1" applyAlignment="1">
      <alignment horizontal="center"/>
    </xf>
    <xf numFmtId="0" fontId="11" fillId="0" borderId="5" xfId="0" applyFont="1" applyBorder="1" applyAlignment="1">
      <alignment horizontal="center" vertical="center"/>
    </xf>
    <xf numFmtId="164" fontId="31" fillId="0" borderId="11" xfId="0" applyNumberFormat="1" applyFont="1" applyBorder="1" applyAlignment="1">
      <alignment horizontal="center"/>
    </xf>
    <xf numFmtId="0" fontId="12" fillId="0" borderId="0" xfId="0" applyFont="1" applyAlignment="1">
      <alignment horizontal="left"/>
    </xf>
    <xf numFmtId="164" fontId="31" fillId="0" borderId="14" xfId="0" applyNumberFormat="1" applyFont="1" applyBorder="1" applyAlignment="1">
      <alignment horizontal="center"/>
    </xf>
    <xf numFmtId="0" fontId="12" fillId="0" borderId="5" xfId="0" applyFont="1" applyBorder="1" applyAlignment="1">
      <alignment horizontal="center" vertical="center"/>
    </xf>
    <xf numFmtId="0" fontId="24" fillId="0" borderId="0" xfId="0" applyFont="1" applyAlignment="1">
      <alignment horizontal="left" vertical="center" indent="6"/>
    </xf>
    <xf numFmtId="0" fontId="12" fillId="0" borderId="15" xfId="0" applyFont="1" applyBorder="1" applyAlignment="1">
      <alignment horizontal="center" vertical="center"/>
    </xf>
    <xf numFmtId="0" fontId="67" fillId="0" borderId="0" xfId="0" applyFont="1" applyAlignment="1">
      <alignment horizontal="left" vertical="center" wrapText="1"/>
    </xf>
    <xf numFmtId="0" fontId="26" fillId="0" borderId="13" xfId="0" applyFont="1" applyBorder="1" applyAlignment="1">
      <alignment horizontal="center" vertical="center" wrapText="1"/>
    </xf>
    <xf numFmtId="0" fontId="26" fillId="0" borderId="5" xfId="0" applyFont="1" applyBorder="1" applyAlignment="1">
      <alignment horizontal="center" vertical="center" wrapText="1"/>
    </xf>
    <xf numFmtId="0" fontId="14" fillId="0" borderId="0" xfId="0" applyFont="1" applyAlignment="1">
      <alignment horizontal="left" vertical="center"/>
    </xf>
    <xf numFmtId="0" fontId="28" fillId="0" borderId="0" xfId="0" applyFont="1" applyAlignment="1">
      <alignment horizontal="center" vertical="center"/>
    </xf>
    <xf numFmtId="2" fontId="12" fillId="5" borderId="11" xfId="0" applyNumberFormat="1" applyFont="1" applyFill="1" applyBorder="1" applyAlignment="1">
      <alignment horizontal="center" vertical="center" wrapText="1"/>
    </xf>
    <xf numFmtId="0" fontId="71" fillId="0" borderId="0" xfId="5" applyFont="1" applyFill="1" applyBorder="1" applyAlignment="1">
      <alignment horizontal="center" vertical="center" wrapText="1"/>
    </xf>
    <xf numFmtId="2" fontId="12" fillId="5" borderId="11" xfId="0" applyNumberFormat="1" applyFont="1" applyFill="1" applyBorder="1" applyAlignment="1">
      <alignment horizontal="center" vertical="center"/>
    </xf>
    <xf numFmtId="2" fontId="12" fillId="0" borderId="14" xfId="0" applyNumberFormat="1" applyFont="1" applyBorder="1" applyAlignment="1">
      <alignment horizontal="center" vertical="center" wrapText="1"/>
    </xf>
    <xf numFmtId="2" fontId="12" fillId="0" borderId="15" xfId="0" applyNumberFormat="1" applyFont="1" applyBorder="1" applyAlignment="1">
      <alignment horizontal="center" vertical="center" wrapText="1"/>
    </xf>
    <xf numFmtId="0" fontId="22" fillId="0" borderId="0" xfId="3" applyFont="1"/>
    <xf numFmtId="0" fontId="22" fillId="0" borderId="0" xfId="3" applyFont="1" applyAlignment="1">
      <alignment horizontal="center"/>
    </xf>
    <xf numFmtId="2" fontId="3" fillId="0" borderId="11" xfId="0" applyNumberFormat="1" applyFont="1" applyBorder="1" applyAlignment="1">
      <alignment horizontal="center" vertical="center"/>
    </xf>
    <xf numFmtId="2" fontId="22" fillId="0" borderId="0" xfId="3" applyNumberFormat="1" applyFont="1"/>
    <xf numFmtId="0" fontId="31" fillId="0" borderId="10" xfId="3" applyFont="1" applyBorder="1" applyAlignment="1">
      <alignment horizontal="center" vertical="center"/>
    </xf>
    <xf numFmtId="0" fontId="31" fillId="0" borderId="0" xfId="3" applyFont="1" applyAlignment="1">
      <alignment horizontal="left" vertical="center"/>
    </xf>
    <xf numFmtId="0" fontId="31" fillId="0" borderId="0" xfId="3" applyFont="1"/>
    <xf numFmtId="2" fontId="31" fillId="0" borderId="0" xfId="3" applyNumberFormat="1" applyFont="1"/>
    <xf numFmtId="2" fontId="31" fillId="0" borderId="0" xfId="3" applyNumberFormat="1" applyFont="1" applyAlignment="1">
      <alignment horizontal="center" vertical="center"/>
    </xf>
    <xf numFmtId="2" fontId="3" fillId="0" borderId="13" xfId="0" applyNumberFormat="1" applyFont="1" applyBorder="1" applyAlignment="1">
      <alignment horizontal="center" vertical="center"/>
    </xf>
    <xf numFmtId="0" fontId="31" fillId="0" borderId="0" xfId="3" applyFont="1" applyAlignment="1">
      <alignment horizontal="center" vertical="center"/>
    </xf>
    <xf numFmtId="173" fontId="12" fillId="0" borderId="0" xfId="0" applyNumberFormat="1" applyFont="1" applyAlignment="1">
      <alignment horizontal="center" vertical="center"/>
    </xf>
    <xf numFmtId="0" fontId="12" fillId="0" borderId="0" xfId="0" quotePrefix="1" applyFont="1" applyAlignment="1">
      <alignment horizontal="center" vertical="center"/>
    </xf>
    <xf numFmtId="175" fontId="12" fillId="0" borderId="0" xfId="0" applyNumberFormat="1" applyFont="1" applyAlignment="1">
      <alignment horizontal="center" vertical="center"/>
    </xf>
    <xf numFmtId="0" fontId="22" fillId="0" borderId="0" xfId="3" applyFont="1" applyAlignment="1">
      <alignment horizontal="center" vertical="center"/>
    </xf>
    <xf numFmtId="1" fontId="22" fillId="0" borderId="6" xfId="3" applyNumberFormat="1" applyFont="1" applyBorder="1" applyAlignment="1">
      <alignment horizontal="center" vertical="center"/>
    </xf>
    <xf numFmtId="1" fontId="22" fillId="0" borderId="0" xfId="3" applyNumberFormat="1" applyFont="1" applyAlignment="1">
      <alignment horizontal="center" vertical="center"/>
    </xf>
    <xf numFmtId="0" fontId="24" fillId="0" borderId="10" xfId="0" applyFont="1" applyBorder="1" applyAlignment="1">
      <alignment horizontal="center" vertical="center"/>
    </xf>
    <xf numFmtId="2" fontId="23" fillId="0" borderId="0" xfId="3" applyNumberFormat="1" applyFont="1" applyAlignment="1">
      <alignment horizontal="center" vertical="center"/>
    </xf>
    <xf numFmtId="2" fontId="24" fillId="0" borderId="0" xfId="0" applyNumberFormat="1" applyFont="1" applyAlignment="1">
      <alignment horizontal="center" vertical="center"/>
    </xf>
    <xf numFmtId="0" fontId="24" fillId="0" borderId="12" xfId="0" applyFont="1" applyBorder="1" applyAlignment="1">
      <alignment horizontal="center" vertical="center"/>
    </xf>
    <xf numFmtId="2" fontId="31" fillId="0" borderId="0" xfId="3" applyNumberFormat="1" applyFont="1" applyAlignment="1">
      <alignment horizontal="left" vertical="center"/>
    </xf>
    <xf numFmtId="1" fontId="31" fillId="0" borderId="0" xfId="3" applyNumberFormat="1" applyFont="1" applyAlignment="1">
      <alignment horizontal="center" vertical="center"/>
    </xf>
    <xf numFmtId="0" fontId="31" fillId="0" borderId="0" xfId="3" applyFont="1" applyAlignment="1">
      <alignment horizontal="center"/>
    </xf>
    <xf numFmtId="0" fontId="31" fillId="0" borderId="12" xfId="3" applyFont="1" applyBorder="1" applyAlignment="1">
      <alignment horizontal="center" vertical="center"/>
    </xf>
    <xf numFmtId="164" fontId="31" fillId="0" borderId="0" xfId="3" applyNumberFormat="1" applyFont="1"/>
    <xf numFmtId="1" fontId="31" fillId="0" borderId="0" xfId="3" applyNumberFormat="1" applyFont="1"/>
    <xf numFmtId="164" fontId="12" fillId="0" borderId="11" xfId="0" applyNumberFormat="1" applyFont="1" applyBorder="1" applyAlignment="1">
      <alignment horizontal="center" vertical="center"/>
    </xf>
    <xf numFmtId="0" fontId="31" fillId="0" borderId="5" xfId="3" applyFont="1" applyBorder="1" applyAlignment="1">
      <alignment horizontal="center" vertical="center"/>
    </xf>
    <xf numFmtId="1" fontId="12" fillId="0" borderId="6" xfId="0" applyNumberFormat="1" applyFont="1" applyBorder="1" applyAlignment="1">
      <alignment horizontal="center" vertical="center"/>
    </xf>
    <xf numFmtId="0" fontId="12" fillId="0" borderId="6" xfId="0" applyFont="1" applyBorder="1" applyAlignment="1">
      <alignment horizontal="center" vertical="center"/>
    </xf>
    <xf numFmtId="0" fontId="72" fillId="0" borderId="0" xfId="0" applyFont="1"/>
    <xf numFmtId="0" fontId="22" fillId="0" borderId="0" xfId="0" applyFont="1" applyAlignment="1">
      <alignment horizontal="center"/>
    </xf>
    <xf numFmtId="0" fontId="11" fillId="0" borderId="11" xfId="0" applyFont="1" applyBorder="1" applyAlignment="1">
      <alignment horizontal="center" vertical="center"/>
    </xf>
    <xf numFmtId="1" fontId="22" fillId="0" borderId="0" xfId="0" applyNumberFormat="1" applyFont="1" applyAlignment="1">
      <alignment horizontal="center"/>
    </xf>
    <xf numFmtId="1" fontId="31" fillId="0" borderId="0" xfId="0" applyNumberFormat="1" applyFont="1" applyAlignment="1">
      <alignment horizontal="center"/>
    </xf>
    <xf numFmtId="1" fontId="14" fillId="0" borderId="0" xfId="0" applyNumberFormat="1" applyFont="1" applyAlignment="1">
      <alignment horizontal="center" vertical="center"/>
    </xf>
    <xf numFmtId="0" fontId="31" fillId="0" borderId="0" xfId="0" applyFont="1" applyAlignment="1">
      <alignment horizontal="center" vertical="center"/>
    </xf>
    <xf numFmtId="1" fontId="14" fillId="0" borderId="11" xfId="0" applyNumberFormat="1" applyFont="1" applyBorder="1" applyAlignment="1">
      <alignment horizontal="center" vertical="center"/>
    </xf>
    <xf numFmtId="1" fontId="31" fillId="0" borderId="11" xfId="0" applyNumberFormat="1" applyFont="1" applyBorder="1" applyAlignment="1">
      <alignment horizontal="center" vertical="center"/>
    </xf>
    <xf numFmtId="2" fontId="31" fillId="0" borderId="11" xfId="3" applyNumberFormat="1" applyFont="1" applyBorder="1" applyAlignment="1">
      <alignment horizontal="center" vertical="center"/>
    </xf>
    <xf numFmtId="3" fontId="14" fillId="0" borderId="0" xfId="0" applyNumberFormat="1" applyFont="1" applyAlignment="1">
      <alignment horizontal="center" vertical="center"/>
    </xf>
    <xf numFmtId="1" fontId="31" fillId="0" borderId="11" xfId="3" applyNumberFormat="1" applyFont="1" applyBorder="1" applyAlignment="1">
      <alignment horizontal="center" vertical="center"/>
    </xf>
    <xf numFmtId="0" fontId="22" fillId="0" borderId="10" xfId="3" applyFont="1" applyBorder="1" applyAlignment="1">
      <alignment horizontal="left" vertical="center"/>
    </xf>
    <xf numFmtId="0" fontId="31" fillId="0" borderId="11" xfId="3" applyFont="1" applyBorder="1" applyAlignment="1">
      <alignment horizontal="center" vertical="center"/>
    </xf>
    <xf numFmtId="1" fontId="22" fillId="0" borderId="11" xfId="3" applyNumberFormat="1" applyFont="1" applyBorder="1" applyAlignment="1">
      <alignment horizontal="center" vertical="center"/>
    </xf>
    <xf numFmtId="3" fontId="31" fillId="0" borderId="0" xfId="3" applyNumberFormat="1" applyFont="1" applyAlignment="1">
      <alignment horizontal="center" vertical="center"/>
    </xf>
    <xf numFmtId="164" fontId="31" fillId="0" borderId="11" xfId="3" applyNumberFormat="1" applyFont="1" applyBorder="1" applyAlignment="1">
      <alignment horizontal="center" vertical="center"/>
    </xf>
    <xf numFmtId="0" fontId="22" fillId="0" borderId="11" xfId="3" applyFont="1" applyBorder="1" applyAlignment="1">
      <alignment horizontal="center" vertical="center"/>
    </xf>
    <xf numFmtId="4" fontId="31" fillId="0" borderId="0" xfId="3" applyNumberFormat="1" applyFont="1" applyAlignment="1">
      <alignment horizontal="center" vertical="center"/>
    </xf>
    <xf numFmtId="0" fontId="73" fillId="0" borderId="10" xfId="0" applyFont="1" applyBorder="1" applyAlignment="1">
      <alignment horizontal="center" vertical="center"/>
    </xf>
    <xf numFmtId="1" fontId="24" fillId="0" borderId="0" xfId="0" applyNumberFormat="1" applyFont="1" applyAlignment="1">
      <alignment horizontal="center" vertical="center"/>
    </xf>
    <xf numFmtId="1" fontId="24" fillId="0" borderId="11" xfId="0" applyNumberFormat="1" applyFont="1" applyBorder="1" applyAlignment="1">
      <alignment horizontal="center" vertical="center"/>
    </xf>
    <xf numFmtId="2" fontId="11" fillId="0" borderId="11" xfId="0" applyNumberFormat="1" applyFont="1" applyBorder="1" applyAlignment="1">
      <alignment horizontal="center" vertical="center"/>
    </xf>
    <xf numFmtId="4" fontId="31" fillId="0" borderId="11" xfId="3" applyNumberFormat="1" applyFont="1" applyBorder="1" applyAlignment="1">
      <alignment horizontal="center" vertical="center"/>
    </xf>
    <xf numFmtId="0" fontId="22" fillId="0" borderId="10" xfId="3" applyFont="1" applyBorder="1" applyAlignment="1">
      <alignment horizontal="center" vertical="center"/>
    </xf>
    <xf numFmtId="2" fontId="23" fillId="0" borderId="11" xfId="3" applyNumberFormat="1" applyFont="1" applyBorder="1" applyAlignment="1">
      <alignment horizontal="center" vertical="center"/>
    </xf>
    <xf numFmtId="0" fontId="23" fillId="0" borderId="10" xfId="3" applyFont="1" applyBorder="1" applyAlignment="1">
      <alignment horizontal="center" vertical="center"/>
    </xf>
    <xf numFmtId="1" fontId="23" fillId="0" borderId="0" xfId="3" applyNumberFormat="1" applyFont="1" applyAlignment="1">
      <alignment horizontal="center" vertical="center"/>
    </xf>
    <xf numFmtId="1" fontId="23" fillId="0" borderId="11" xfId="3" applyNumberFormat="1" applyFont="1" applyBorder="1" applyAlignment="1">
      <alignment horizontal="center" vertical="center"/>
    </xf>
    <xf numFmtId="0" fontId="23" fillId="0" borderId="0" xfId="3" applyFont="1"/>
    <xf numFmtId="1" fontId="23" fillId="0" borderId="0" xfId="3" applyNumberFormat="1" applyFont="1"/>
    <xf numFmtId="1" fontId="31" fillId="0" borderId="13" xfId="3" applyNumberFormat="1" applyFont="1" applyBorder="1" applyAlignment="1">
      <alignment horizontal="center" vertical="center"/>
    </xf>
    <xf numFmtId="1" fontId="31" fillId="0" borderId="14" xfId="3" applyNumberFormat="1" applyFont="1" applyBorder="1" applyAlignment="1">
      <alignment horizontal="center" vertical="center"/>
    </xf>
    <xf numFmtId="0" fontId="22" fillId="0" borderId="5" xfId="3" applyFont="1" applyBorder="1" applyAlignment="1">
      <alignment horizontal="center" vertical="center"/>
    </xf>
    <xf numFmtId="2" fontId="22" fillId="0" borderId="6" xfId="3" applyNumberFormat="1" applyFont="1" applyBorder="1" applyAlignment="1">
      <alignment horizontal="center" vertical="center"/>
    </xf>
    <xf numFmtId="1" fontId="22" fillId="0" borderId="0" xfId="3" applyNumberFormat="1" applyFont="1"/>
    <xf numFmtId="170" fontId="31" fillId="0" borderId="0" xfId="3" applyNumberFormat="1" applyFont="1"/>
    <xf numFmtId="3" fontId="31" fillId="0" borderId="0" xfId="3" applyNumberFormat="1" applyFont="1"/>
    <xf numFmtId="1" fontId="14" fillId="0" borderId="0" xfId="0" applyNumberFormat="1" applyFont="1" applyAlignment="1">
      <alignment horizontal="right" vertical="center"/>
    </xf>
    <xf numFmtId="166" fontId="31" fillId="0" borderId="0" xfId="3" applyNumberFormat="1" applyFont="1"/>
    <xf numFmtId="164" fontId="14" fillId="0" borderId="0" xfId="0" applyNumberFormat="1" applyFont="1" applyAlignment="1">
      <alignment horizontal="center" vertical="center"/>
    </xf>
    <xf numFmtId="164" fontId="14" fillId="0" borderId="11" xfId="0" applyNumberFormat="1" applyFont="1" applyBorder="1" applyAlignment="1">
      <alignment horizontal="center" vertical="center"/>
    </xf>
    <xf numFmtId="168" fontId="31" fillId="0" borderId="0" xfId="3" applyNumberFormat="1" applyFont="1"/>
    <xf numFmtId="0" fontId="24" fillId="0" borderId="0" xfId="0" applyFont="1" applyAlignment="1">
      <alignment horizontal="center" vertical="center"/>
    </xf>
    <xf numFmtId="0" fontId="24" fillId="0" borderId="11" xfId="0" applyFont="1" applyBorder="1" applyAlignment="1">
      <alignment horizontal="center" vertical="center"/>
    </xf>
    <xf numFmtId="166" fontId="31" fillId="0" borderId="11" xfId="3" applyNumberFormat="1" applyFont="1" applyBorder="1" applyAlignment="1">
      <alignment horizontal="center" vertical="center"/>
    </xf>
    <xf numFmtId="0" fontId="70" fillId="0" borderId="10" xfId="0" applyFont="1" applyBorder="1" applyAlignment="1">
      <alignment horizontal="center" vertical="center" wrapText="1"/>
    </xf>
    <xf numFmtId="3" fontId="14" fillId="0" borderId="11" xfId="0" applyNumberFormat="1" applyFont="1" applyBorder="1" applyAlignment="1">
      <alignment horizontal="center" vertical="center"/>
    </xf>
    <xf numFmtId="165" fontId="31" fillId="0" borderId="11" xfId="3" applyNumberFormat="1" applyFont="1" applyBorder="1" applyAlignment="1">
      <alignment horizontal="center" vertical="center"/>
    </xf>
    <xf numFmtId="0" fontId="11" fillId="0" borderId="7" xfId="0" applyFont="1" applyBorder="1" applyAlignment="1">
      <alignment horizontal="center" vertical="center"/>
    </xf>
    <xf numFmtId="1" fontId="22" fillId="0" borderId="0" xfId="3" applyNumberFormat="1" applyFont="1" applyAlignment="1">
      <alignment horizontal="center"/>
    </xf>
    <xf numFmtId="1" fontId="31" fillId="0" borderId="0" xfId="3" applyNumberFormat="1" applyFont="1" applyAlignment="1">
      <alignment horizontal="center"/>
    </xf>
    <xf numFmtId="1" fontId="31" fillId="0" borderId="15" xfId="3" applyNumberFormat="1" applyFont="1" applyBorder="1" applyAlignment="1">
      <alignment horizontal="center"/>
    </xf>
    <xf numFmtId="1" fontId="31" fillId="0" borderId="14" xfId="3" applyNumberFormat="1" applyFont="1" applyBorder="1" applyAlignment="1">
      <alignment horizontal="center"/>
    </xf>
    <xf numFmtId="0" fontId="22" fillId="0" borderId="12" xfId="3" applyFont="1" applyBorder="1" applyAlignment="1">
      <alignment horizontal="center" vertical="center"/>
    </xf>
    <xf numFmtId="0" fontId="22" fillId="0" borderId="6" xfId="3" applyFont="1" applyBorder="1" applyAlignment="1">
      <alignment horizontal="center" vertical="center"/>
    </xf>
    <xf numFmtId="0" fontId="11" fillId="0" borderId="10" xfId="0" applyFont="1" applyBorder="1" applyAlignment="1">
      <alignment horizontal="left" vertical="center"/>
    </xf>
    <xf numFmtId="0" fontId="26" fillId="0" borderId="0" xfId="0" applyFont="1"/>
    <xf numFmtId="4" fontId="31" fillId="0" borderId="0" xfId="3" applyNumberFormat="1" applyFont="1"/>
    <xf numFmtId="2" fontId="74" fillId="0" borderId="0" xfId="0" applyNumberFormat="1" applyFont="1"/>
    <xf numFmtId="1" fontId="31" fillId="0" borderId="12" xfId="3" applyNumberFormat="1" applyFont="1" applyBorder="1" applyAlignment="1">
      <alignment horizontal="center" vertical="center"/>
    </xf>
    <xf numFmtId="168" fontId="31" fillId="0" borderId="14" xfId="3" applyNumberFormat="1" applyFont="1" applyBorder="1" applyAlignment="1">
      <alignment horizontal="center" vertical="center"/>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2" fontId="12" fillId="5" borderId="6" xfId="0" applyNumberFormat="1" applyFont="1" applyFill="1" applyBorder="1" applyAlignment="1">
      <alignment horizontal="center" vertical="center" wrapText="1"/>
    </xf>
    <xf numFmtId="164" fontId="12" fillId="5" borderId="15" xfId="0" applyNumberFormat="1" applyFont="1" applyFill="1" applyBorder="1" applyAlignment="1">
      <alignment horizontal="center" vertical="center" wrapText="1"/>
    </xf>
    <xf numFmtId="164" fontId="12" fillId="0" borderId="11" xfId="0" applyNumberFormat="1" applyFont="1" applyBorder="1" applyAlignment="1">
      <alignment horizontal="center" vertical="center" wrapText="1"/>
    </xf>
    <xf numFmtId="164" fontId="12" fillId="5" borderId="11" xfId="0" applyNumberFormat="1" applyFont="1" applyFill="1" applyBorder="1" applyAlignment="1">
      <alignment horizontal="center" vertical="center" wrapText="1"/>
    </xf>
    <xf numFmtId="2" fontId="12" fillId="5" borderId="0" xfId="0" applyNumberFormat="1" applyFont="1" applyFill="1" applyAlignment="1">
      <alignment horizontal="center"/>
    </xf>
    <xf numFmtId="2" fontId="12" fillId="5" borderId="0" xfId="0" applyNumberFormat="1" applyFont="1" applyFill="1" applyAlignment="1">
      <alignment horizontal="center" vertical="center"/>
    </xf>
    <xf numFmtId="164" fontId="12" fillId="5" borderId="11" xfId="0" applyNumberFormat="1" applyFont="1" applyFill="1" applyBorder="1" applyAlignment="1">
      <alignment horizontal="center" vertical="center"/>
    </xf>
    <xf numFmtId="2" fontId="12" fillId="0" borderId="0" xfId="0" applyNumberFormat="1" applyFont="1"/>
    <xf numFmtId="0" fontId="12" fillId="0" borderId="5" xfId="0" applyFont="1" applyBorder="1"/>
    <xf numFmtId="0" fontId="11" fillId="0" borderId="10" xfId="0" applyFont="1" applyBorder="1" applyAlignment="1">
      <alignment horizontal="center"/>
    </xf>
    <xf numFmtId="0" fontId="11" fillId="0" borderId="12" xfId="0" applyFont="1" applyBorder="1" applyAlignment="1">
      <alignment horizontal="center"/>
    </xf>
    <xf numFmtId="0" fontId="12" fillId="0" borderId="14" xfId="0" applyFont="1" applyBorder="1" applyAlignment="1">
      <alignment horizontal="center" vertical="center" wrapText="1"/>
    </xf>
    <xf numFmtId="0" fontId="26" fillId="0" borderId="6" xfId="0" applyFont="1" applyBorder="1" applyAlignment="1">
      <alignment horizontal="center" vertical="center"/>
    </xf>
    <xf numFmtId="0" fontId="31" fillId="5" borderId="0" xfId="0" applyFont="1" applyFill="1" applyAlignment="1">
      <alignment horizontal="center" vertical="center"/>
    </xf>
    <xf numFmtId="0" fontId="12" fillId="5" borderId="11" xfId="0" applyFont="1" applyFill="1" applyBorder="1" applyAlignment="1">
      <alignment horizontal="center" vertical="center"/>
    </xf>
    <xf numFmtId="1" fontId="14" fillId="5" borderId="11" xfId="0" applyNumberFormat="1" applyFont="1" applyFill="1" applyBorder="1" applyAlignment="1">
      <alignment horizontal="center" vertical="center" wrapText="1"/>
    </xf>
    <xf numFmtId="1" fontId="14" fillId="0" borderId="11" xfId="0" applyNumberFormat="1" applyFont="1" applyBorder="1" applyAlignment="1">
      <alignment horizontal="center" vertical="center" wrapText="1"/>
    </xf>
    <xf numFmtId="0" fontId="12" fillId="5" borderId="13" xfId="0" applyFont="1" applyFill="1" applyBorder="1" applyAlignment="1">
      <alignment horizontal="center" vertical="center"/>
    </xf>
    <xf numFmtId="0" fontId="12" fillId="5" borderId="13" xfId="0" applyFont="1" applyFill="1" applyBorder="1" applyAlignment="1">
      <alignment horizontal="center"/>
    </xf>
    <xf numFmtId="0" fontId="14" fillId="5" borderId="13" xfId="0" applyFont="1" applyFill="1" applyBorder="1" applyAlignment="1">
      <alignment horizontal="center" vertical="center" wrapText="1"/>
    </xf>
    <xf numFmtId="0" fontId="14" fillId="5" borderId="13" xfId="0" applyFont="1" applyFill="1" applyBorder="1" applyAlignment="1">
      <alignment horizontal="center" vertical="center"/>
    </xf>
    <xf numFmtId="0" fontId="14" fillId="5" borderId="14" xfId="0" applyFont="1" applyFill="1" applyBorder="1" applyAlignment="1">
      <alignment horizontal="center" vertical="center" wrapText="1"/>
    </xf>
    <xf numFmtId="2" fontId="12" fillId="0" borderId="15" xfId="0" applyNumberFormat="1" applyFont="1" applyBorder="1" applyAlignment="1">
      <alignment horizontal="center" vertical="center"/>
    </xf>
    <xf numFmtId="0" fontId="12" fillId="0" borderId="7" xfId="0" applyFont="1" applyBorder="1" applyAlignment="1">
      <alignment horizontal="center" vertical="center"/>
    </xf>
    <xf numFmtId="0" fontId="12" fillId="0" borderId="9" xfId="0" applyFont="1" applyBorder="1" applyAlignment="1">
      <alignment horizontal="center" vertical="center"/>
    </xf>
    <xf numFmtId="0" fontId="11" fillId="0" borderId="5" xfId="0" applyFont="1" applyBorder="1" applyAlignment="1">
      <alignment horizontal="left" vertical="center"/>
    </xf>
    <xf numFmtId="170" fontId="12" fillId="0" borderId="0" xfId="0" applyNumberFormat="1" applyFont="1" applyAlignment="1">
      <alignment horizontal="center" vertical="center"/>
    </xf>
    <xf numFmtId="0" fontId="12" fillId="0" borderId="15" xfId="0" applyFont="1" applyBorder="1" applyAlignment="1">
      <alignment horizontal="center" vertical="center" wrapText="1"/>
    </xf>
    <xf numFmtId="173" fontId="12" fillId="0" borderId="0" xfId="0" applyNumberFormat="1" applyFont="1"/>
    <xf numFmtId="2" fontId="12" fillId="0" borderId="0" xfId="0" applyNumberFormat="1" applyFont="1" applyAlignment="1">
      <alignment horizontal="left"/>
    </xf>
    <xf numFmtId="2" fontId="31" fillId="0" borderId="0" xfId="0" applyNumberFormat="1" applyFont="1" applyAlignment="1">
      <alignment horizontal="center" vertical="center"/>
    </xf>
    <xf numFmtId="0" fontId="14" fillId="0" borderId="6" xfId="0" applyFont="1" applyBorder="1" applyAlignment="1">
      <alignment horizontal="center" vertical="center" wrapText="1"/>
    </xf>
    <xf numFmtId="164" fontId="14" fillId="0" borderId="0" xfId="0" applyNumberFormat="1" applyFont="1" applyAlignment="1">
      <alignment horizontal="center" vertical="center" wrapText="1"/>
    </xf>
    <xf numFmtId="164" fontId="12" fillId="0" borderId="0" xfId="0" applyNumberFormat="1" applyFont="1"/>
    <xf numFmtId="166" fontId="12" fillId="0" borderId="0" xfId="0" applyNumberFormat="1" applyFont="1"/>
    <xf numFmtId="0" fontId="75" fillId="0" borderId="0" xfId="0" applyFont="1"/>
    <xf numFmtId="0" fontId="12" fillId="0" borderId="6" xfId="0" applyFont="1" applyBorder="1" applyAlignment="1">
      <alignment horizontal="left"/>
    </xf>
    <xf numFmtId="0" fontId="12" fillId="0" borderId="12" xfId="0" applyFont="1" applyBorder="1"/>
    <xf numFmtId="0" fontId="12" fillId="0" borderId="7" xfId="0" applyFont="1" applyBorder="1"/>
    <xf numFmtId="0" fontId="11" fillId="0" borderId="13" xfId="0" applyFont="1" applyBorder="1" applyAlignment="1">
      <alignment vertical="center"/>
    </xf>
    <xf numFmtId="0" fontId="11" fillId="0" borderId="10" xfId="0" applyFont="1" applyBorder="1" applyAlignment="1">
      <alignment vertical="center" wrapText="1"/>
    </xf>
    <xf numFmtId="0" fontId="11" fillId="0" borderId="12" xfId="0" applyFont="1" applyBorder="1" applyAlignment="1">
      <alignment vertical="center" wrapText="1"/>
    </xf>
    <xf numFmtId="0" fontId="12" fillId="0" borderId="5" xfId="0" applyFont="1" applyBorder="1" applyAlignment="1">
      <alignment vertical="center" wrapText="1"/>
    </xf>
    <xf numFmtId="0" fontId="12" fillId="0" borderId="15" xfId="0" applyFont="1" applyBorder="1" applyAlignment="1">
      <alignment vertical="center" wrapText="1"/>
    </xf>
    <xf numFmtId="0" fontId="12" fillId="0" borderId="12" xfId="0" applyFont="1" applyBorder="1" applyAlignment="1">
      <alignment vertical="center" wrapText="1"/>
    </xf>
    <xf numFmtId="0" fontId="73" fillId="0" borderId="0" xfId="0" applyFont="1" applyAlignment="1">
      <alignment vertical="center"/>
    </xf>
    <xf numFmtId="0" fontId="75" fillId="0" borderId="0" xfId="0" applyFont="1" applyAlignment="1">
      <alignment horizontal="center"/>
    </xf>
    <xf numFmtId="0" fontId="11" fillId="0" borderId="22" xfId="0" applyFont="1" applyBorder="1" applyAlignment="1">
      <alignment vertical="center" wrapText="1"/>
    </xf>
    <xf numFmtId="0" fontId="11" fillId="0" borderId="23" xfId="0" applyFont="1" applyBorder="1" applyAlignment="1">
      <alignment vertical="center" wrapText="1"/>
    </xf>
    <xf numFmtId="0" fontId="11" fillId="15" borderId="27" xfId="0" applyFont="1" applyFill="1" applyBorder="1" applyAlignment="1">
      <alignment vertical="center" wrapText="1"/>
    </xf>
    <xf numFmtId="0" fontId="12" fillId="15" borderId="31" xfId="0" applyFont="1" applyFill="1" applyBorder="1" applyAlignment="1">
      <alignment vertical="center" wrapText="1"/>
    </xf>
    <xf numFmtId="0" fontId="12" fillId="0" borderId="27" xfId="0" applyFont="1" applyBorder="1" applyAlignment="1">
      <alignment vertical="center" wrapText="1"/>
    </xf>
    <xf numFmtId="0" fontId="12" fillId="0" borderId="31" xfId="0" applyFont="1" applyBorder="1" applyAlignment="1">
      <alignment vertical="center" wrapText="1"/>
    </xf>
    <xf numFmtId="0" fontId="12" fillId="0" borderId="21" xfId="0" applyFont="1" applyBorder="1" applyAlignment="1">
      <alignment vertical="center" wrapText="1"/>
    </xf>
    <xf numFmtId="0" fontId="76" fillId="0" borderId="0" xfId="0" applyFont="1" applyAlignment="1">
      <alignment horizontal="left"/>
    </xf>
    <xf numFmtId="0" fontId="22" fillId="0" borderId="0" xfId="0" applyFont="1" applyAlignment="1">
      <alignment horizontal="left"/>
    </xf>
    <xf numFmtId="0" fontId="31" fillId="0" borderId="0" xfId="0" applyFont="1" applyAlignment="1">
      <alignment horizontal="left" vertical="center" indent="5"/>
    </xf>
    <xf numFmtId="0" fontId="31" fillId="0" borderId="0" xfId="0" applyFont="1" applyAlignment="1">
      <alignment horizontal="left" vertical="center"/>
    </xf>
    <xf numFmtId="0" fontId="31" fillId="0" borderId="0" xfId="0" applyFont="1" applyAlignment="1">
      <alignment horizontal="left"/>
    </xf>
    <xf numFmtId="0" fontId="22" fillId="0" borderId="0" xfId="0" applyFont="1" applyAlignment="1">
      <alignment horizontal="left" vertical="center"/>
    </xf>
    <xf numFmtId="14" fontId="4" fillId="0" borderId="0" xfId="0" applyNumberFormat="1" applyFont="1"/>
    <xf numFmtId="0" fontId="11" fillId="2" borderId="6" xfId="0" applyFont="1" applyFill="1" applyBorder="1" applyAlignment="1">
      <alignment horizontal="center" vertical="center" wrapText="1"/>
    </xf>
    <xf numFmtId="2" fontId="0" fillId="0" borderId="0" xfId="0" applyNumberFormat="1" applyAlignment="1">
      <alignment wrapText="1"/>
    </xf>
    <xf numFmtId="0" fontId="0" fillId="5" borderId="15" xfId="0" applyFill="1" applyBorder="1"/>
    <xf numFmtId="11" fontId="4" fillId="0" borderId="0" xfId="0" applyNumberFormat="1" applyFont="1" applyAlignment="1">
      <alignment wrapText="1"/>
    </xf>
    <xf numFmtId="2" fontId="23" fillId="0" borderId="13" xfId="3" applyNumberFormat="1" applyFont="1" applyBorder="1" applyAlignment="1">
      <alignment horizontal="center" vertical="center"/>
    </xf>
    <xf numFmtId="2" fontId="24" fillId="0" borderId="13" xfId="0" applyNumberFormat="1" applyFont="1" applyBorder="1" applyAlignment="1">
      <alignment horizontal="center" vertical="center"/>
    </xf>
    <xf numFmtId="2" fontId="4" fillId="0" borderId="0" xfId="0" applyNumberFormat="1" applyFont="1" applyAlignment="1">
      <alignment wrapText="1"/>
    </xf>
    <xf numFmtId="0" fontId="0" fillId="0" borderId="0" xfId="0" applyAlignment="1">
      <alignment horizontal="left" wrapText="1"/>
    </xf>
    <xf numFmtId="2" fontId="27" fillId="0" borderId="0" xfId="7" applyNumberFormat="1" applyFont="1" applyAlignment="1">
      <alignment horizontal="center" vertical="center"/>
    </xf>
    <xf numFmtId="1" fontId="27" fillId="0" borderId="0" xfId="7" applyNumberFormat="1" applyFont="1" applyAlignment="1">
      <alignment horizontal="center" vertical="center"/>
    </xf>
    <xf numFmtId="1" fontId="27" fillId="2" borderId="0" xfId="7" applyNumberFormat="1" applyFont="1" applyFill="1" applyAlignment="1">
      <alignment horizontal="center" vertical="center"/>
    </xf>
    <xf numFmtId="0" fontId="0" fillId="14" borderId="34" xfId="0" applyFill="1" applyBorder="1" applyAlignment="1">
      <alignment horizontal="center" vertical="center"/>
    </xf>
    <xf numFmtId="0" fontId="75" fillId="0" borderId="0" xfId="0" applyFont="1" applyAlignment="1">
      <alignment horizontal="left"/>
    </xf>
    <xf numFmtId="0" fontId="59" fillId="0" borderId="28" xfId="0" applyFont="1" applyBorder="1"/>
    <xf numFmtId="0" fontId="59" fillId="0" borderId="34" xfId="0" applyFont="1" applyBorder="1"/>
    <xf numFmtId="0" fontId="59" fillId="0" borderId="30" xfId="0" applyFont="1" applyBorder="1" applyAlignment="1">
      <alignment wrapText="1"/>
    </xf>
    <xf numFmtId="0" fontId="60" fillId="0" borderId="15" xfId="0" applyFont="1" applyBorder="1" applyAlignment="1">
      <alignment horizontal="center" vertical="center"/>
    </xf>
    <xf numFmtId="2" fontId="3" fillId="5" borderId="15" xfId="0" applyNumberFormat="1" applyFont="1" applyFill="1" applyBorder="1" applyAlignment="1">
      <alignment horizontal="center" vertical="center"/>
    </xf>
    <xf numFmtId="2" fontId="0" fillId="7" borderId="15" xfId="0" applyNumberFormat="1" applyFill="1" applyBorder="1" applyAlignment="1">
      <alignment horizontal="center" vertical="center"/>
    </xf>
    <xf numFmtId="0" fontId="0" fillId="5" borderId="15" xfId="0" applyFill="1" applyBorder="1" applyAlignment="1">
      <alignment horizontal="center"/>
    </xf>
    <xf numFmtId="2" fontId="0" fillId="14" borderId="11" xfId="0" applyNumberFormat="1" applyFill="1" applyBorder="1" applyAlignment="1">
      <alignment horizontal="center" vertical="center"/>
    </xf>
    <xf numFmtId="2" fontId="0" fillId="7" borderId="9" xfId="0" applyNumberFormat="1" applyFill="1" applyBorder="1" applyAlignment="1">
      <alignment horizontal="center" vertical="center"/>
    </xf>
    <xf numFmtId="2" fontId="3" fillId="5" borderId="11" xfId="0" applyNumberFormat="1" applyFont="1" applyFill="1" applyBorder="1" applyAlignment="1">
      <alignment horizontal="center" vertical="center"/>
    </xf>
    <xf numFmtId="2" fontId="3" fillId="5" borderId="15" xfId="0" applyNumberFormat="1" applyFont="1" applyFill="1" applyBorder="1" applyAlignment="1">
      <alignment horizontal="center"/>
    </xf>
    <xf numFmtId="0" fontId="60" fillId="0" borderId="34" xfId="0" applyFont="1" applyBorder="1" applyAlignment="1">
      <alignment horizontal="center" vertical="center"/>
    </xf>
    <xf numFmtId="0" fontId="75" fillId="16" borderId="0" xfId="0" applyFont="1" applyFill="1"/>
    <xf numFmtId="0" fontId="75" fillId="7" borderId="28" xfId="0" applyFont="1" applyFill="1" applyBorder="1"/>
    <xf numFmtId="0" fontId="77" fillId="0" borderId="0" xfId="0" applyFont="1" applyAlignment="1">
      <alignment horizontal="left" vertical="center" indent="4"/>
    </xf>
    <xf numFmtId="11" fontId="4" fillId="0" borderId="6" xfId="0" applyNumberFormat="1" applyFont="1" applyBorder="1" applyAlignment="1">
      <alignment horizontal="center" vertical="center" wrapText="1"/>
    </xf>
    <xf numFmtId="11" fontId="4" fillId="0" borderId="0" xfId="0" applyNumberFormat="1" applyFont="1" applyAlignment="1">
      <alignment horizontal="left" vertical="center"/>
    </xf>
    <xf numFmtId="2" fontId="13" fillId="0" borderId="8" xfId="0" applyNumberFormat="1" applyFont="1" applyBorder="1" applyAlignment="1">
      <alignment horizontal="center" vertical="center" wrapText="1"/>
    </xf>
    <xf numFmtId="11" fontId="4" fillId="0" borderId="8" xfId="0" applyNumberFormat="1" applyFont="1" applyBorder="1" applyAlignment="1">
      <alignment horizontal="center" vertical="center" wrapText="1"/>
    </xf>
    <xf numFmtId="11" fontId="4" fillId="0" borderId="15" xfId="0" applyNumberFormat="1" applyFont="1" applyBorder="1" applyAlignment="1">
      <alignment horizontal="center" vertical="center" wrapText="1"/>
    </xf>
    <xf numFmtId="0" fontId="20" fillId="0" borderId="5" xfId="0" applyFont="1" applyBorder="1" applyAlignment="1">
      <alignment vertical="center"/>
    </xf>
    <xf numFmtId="0" fontId="11" fillId="0" borderId="15" xfId="0" applyFont="1" applyBorder="1" applyAlignment="1">
      <alignment vertical="center"/>
    </xf>
    <xf numFmtId="1" fontId="13" fillId="0" borderId="8" xfId="0" applyNumberFormat="1" applyFont="1" applyBorder="1" applyAlignment="1">
      <alignment horizontal="center" vertical="center" wrapText="1"/>
    </xf>
    <xf numFmtId="0" fontId="4" fillId="0" borderId="0" xfId="0" applyFont="1" applyAlignment="1">
      <alignment vertical="center"/>
    </xf>
    <xf numFmtId="0" fontId="4" fillId="0" borderId="7" xfId="0" applyFont="1" applyBorder="1" applyAlignment="1">
      <alignment horizontal="center" vertical="center" wrapText="1"/>
    </xf>
    <xf numFmtId="2" fontId="4" fillId="0" borderId="8" xfId="0" applyNumberFormat="1" applyFont="1" applyBorder="1" applyAlignment="1">
      <alignment horizontal="center" vertical="center" wrapText="1"/>
    </xf>
    <xf numFmtId="1"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2" fontId="0" fillId="5" borderId="6" xfId="0" applyNumberFormat="1" applyFill="1" applyBorder="1" applyAlignment="1">
      <alignment horizontal="center" vertical="center" wrapText="1"/>
    </xf>
    <xf numFmtId="1" fontId="0" fillId="5" borderId="6" xfId="0" applyNumberFormat="1" applyFill="1" applyBorder="1" applyAlignment="1">
      <alignment horizontal="center" vertical="center" wrapText="1"/>
    </xf>
    <xf numFmtId="11" fontId="0" fillId="5" borderId="6" xfId="0" applyNumberFormat="1" applyFill="1" applyBorder="1" applyAlignment="1">
      <alignment horizontal="center" vertical="center" wrapText="1"/>
    </xf>
    <xf numFmtId="0" fontId="0" fillId="5" borderId="6" xfId="0" applyFill="1" applyBorder="1" applyAlignment="1">
      <alignment horizontal="center" wrapText="1"/>
    </xf>
    <xf numFmtId="1" fontId="0" fillId="0" borderId="0" xfId="0" applyNumberFormat="1" applyAlignment="1">
      <alignment horizontal="center" vertical="center" wrapText="1"/>
    </xf>
    <xf numFmtId="1" fontId="0" fillId="5" borderId="0" xfId="0" applyNumberFormat="1" applyFill="1" applyAlignment="1">
      <alignment horizontal="center" vertical="center" wrapText="1"/>
    </xf>
    <xf numFmtId="1" fontId="3" fillId="0" borderId="0" xfId="0" applyNumberFormat="1" applyFont="1" applyAlignment="1">
      <alignment horizontal="center" vertical="center" wrapText="1"/>
    </xf>
    <xf numFmtId="2" fontId="0" fillId="0" borderId="0" xfId="0" applyNumberFormat="1" applyAlignment="1">
      <alignment horizontal="left" vertical="center"/>
    </xf>
    <xf numFmtId="1" fontId="0" fillId="0" borderId="13" xfId="0" applyNumberFormat="1" applyBorder="1" applyAlignment="1">
      <alignment horizontal="center" vertical="center" wrapText="1"/>
    </xf>
    <xf numFmtId="11" fontId="0" fillId="0" borderId="13" xfId="0" applyNumberFormat="1" applyBorder="1" applyAlignment="1">
      <alignment horizontal="center" vertical="center" wrapText="1"/>
    </xf>
    <xf numFmtId="0" fontId="0" fillId="0" borderId="0" xfId="0" applyAlignment="1">
      <alignment horizontal="left" vertical="center" wrapText="1"/>
    </xf>
    <xf numFmtId="2" fontId="4" fillId="0" borderId="0" xfId="0" applyNumberFormat="1" applyFont="1" applyAlignment="1">
      <alignment horizontal="center" vertical="center" wrapText="1"/>
    </xf>
    <xf numFmtId="1" fontId="4" fillId="0" borderId="0" xfId="0" applyNumberFormat="1" applyFont="1" applyAlignment="1">
      <alignment horizontal="center" vertical="center" wrapText="1"/>
    </xf>
    <xf numFmtId="2" fontId="0" fillId="0" borderId="15" xfId="0" applyNumberFormat="1" applyBorder="1" applyAlignment="1">
      <alignment horizontal="center" vertical="center"/>
    </xf>
    <xf numFmtId="2" fontId="0" fillId="0" borderId="11" xfId="0" applyNumberFormat="1" applyBorder="1" applyAlignment="1">
      <alignment horizontal="center" vertical="center" wrapText="1"/>
    </xf>
    <xf numFmtId="2" fontId="0" fillId="0" borderId="6" xfId="0" applyNumberFormat="1" applyBorder="1" applyAlignment="1">
      <alignment horizontal="center" vertical="center"/>
    </xf>
    <xf numFmtId="1" fontId="0" fillId="0" borderId="6" xfId="0" applyNumberFormat="1" applyBorder="1" applyAlignment="1">
      <alignment horizontal="center" vertical="center"/>
    </xf>
    <xf numFmtId="11" fontId="0" fillId="0" borderId="11" xfId="0" applyNumberFormat="1" applyBorder="1" applyAlignment="1">
      <alignment horizontal="center" vertical="center" wrapText="1"/>
    </xf>
    <xf numFmtId="11" fontId="25" fillId="0" borderId="0" xfId="5" applyNumberFormat="1" applyFill="1" applyBorder="1" applyAlignment="1">
      <alignment horizontal="center" vertical="center"/>
    </xf>
    <xf numFmtId="2" fontId="4" fillId="0" borderId="6" xfId="0" applyNumberFormat="1" applyFont="1" applyBorder="1" applyAlignment="1">
      <alignment horizontal="center" vertical="center" wrapText="1"/>
    </xf>
    <xf numFmtId="1" fontId="4" fillId="0" borderId="6" xfId="0" applyNumberFormat="1" applyFont="1" applyBorder="1" applyAlignment="1">
      <alignment horizontal="center" vertical="center" wrapText="1"/>
    </xf>
    <xf numFmtId="0" fontId="9" fillId="0" borderId="0" xfId="0" applyFont="1" applyAlignment="1">
      <alignment vertical="center"/>
    </xf>
    <xf numFmtId="0" fontId="5" fillId="0" borderId="0" xfId="0" applyFont="1" applyAlignment="1">
      <alignment vertical="center"/>
    </xf>
    <xf numFmtId="0" fontId="2" fillId="0" borderId="5" xfId="0" applyFont="1" applyBorder="1" applyAlignment="1">
      <alignment horizontal="center" vertical="center" wrapText="1"/>
    </xf>
    <xf numFmtId="2" fontId="4" fillId="0" borderId="6" xfId="0" applyNumberFormat="1" applyFont="1" applyBorder="1" applyAlignment="1">
      <alignment horizontal="center" vertical="center"/>
    </xf>
    <xf numFmtId="1" fontId="4" fillId="0" borderId="6" xfId="0" applyNumberFormat="1" applyFont="1" applyBorder="1" applyAlignment="1">
      <alignment horizontal="center" vertical="center"/>
    </xf>
    <xf numFmtId="1" fontId="4" fillId="0" borderId="15" xfId="0" applyNumberFormat="1" applyFont="1" applyBorder="1" applyAlignment="1">
      <alignment horizontal="center" vertical="center" wrapText="1"/>
    </xf>
    <xf numFmtId="1" fontId="4" fillId="0" borderId="0" xfId="0" applyNumberFormat="1" applyFont="1" applyAlignment="1">
      <alignment horizontal="center" vertical="center"/>
    </xf>
    <xf numFmtId="2" fontId="4" fillId="0" borderId="15" xfId="0" applyNumberFormat="1" applyFont="1" applyBorder="1" applyAlignment="1">
      <alignment horizontal="center" vertical="center" wrapText="1"/>
    </xf>
    <xf numFmtId="2" fontId="3" fillId="0" borderId="0" xfId="0" applyNumberFormat="1" applyFont="1" applyAlignment="1">
      <alignment horizontal="center" vertical="center" wrapText="1"/>
    </xf>
    <xf numFmtId="2" fontId="3" fillId="0" borderId="13" xfId="0" applyNumberFormat="1" applyFont="1" applyBorder="1" applyAlignment="1">
      <alignment horizontal="center" vertical="center" wrapText="1"/>
    </xf>
    <xf numFmtId="2" fontId="0" fillId="0" borderId="0" xfId="0" applyNumberFormat="1" applyAlignment="1">
      <alignment horizontal="center" wrapText="1"/>
    </xf>
    <xf numFmtId="2" fontId="9" fillId="0" borderId="0" xfId="0" applyNumberFormat="1" applyFont="1" applyAlignment="1">
      <alignment vertical="center" wrapText="1"/>
    </xf>
    <xf numFmtId="2" fontId="5" fillId="0" borderId="0" xfId="0" applyNumberFormat="1" applyFont="1" applyAlignment="1">
      <alignment horizontal="right" vertical="center" wrapText="1"/>
    </xf>
    <xf numFmtId="2" fontId="0" fillId="5" borderId="5" xfId="0" applyNumberFormat="1" applyFill="1" applyBorder="1" applyAlignment="1">
      <alignment horizontal="center" vertical="center"/>
    </xf>
    <xf numFmtId="2" fontId="12" fillId="0" borderId="11" xfId="0" applyNumberFormat="1" applyFont="1" applyBorder="1" applyAlignment="1">
      <alignment vertical="center"/>
    </xf>
    <xf numFmtId="2" fontId="12" fillId="0" borderId="14" xfId="0" applyNumberFormat="1" applyFont="1" applyBorder="1" applyAlignment="1">
      <alignment vertical="center"/>
    </xf>
    <xf numFmtId="2" fontId="9" fillId="0" borderId="0" xfId="0" applyNumberFormat="1" applyFont="1" applyAlignment="1">
      <alignment horizontal="center" vertical="center"/>
    </xf>
    <xf numFmtId="169" fontId="60" fillId="0" borderId="29" xfId="0" applyNumberFormat="1" applyFont="1" applyBorder="1"/>
    <xf numFmtId="169" fontId="60" fillId="0" borderId="21" xfId="0" applyNumberFormat="1" applyFont="1" applyBorder="1"/>
    <xf numFmtId="169" fontId="59" fillId="0" borderId="0" xfId="0" applyNumberFormat="1" applyFont="1"/>
    <xf numFmtId="169" fontId="4" fillId="0" borderId="0" xfId="0" applyNumberFormat="1" applyFont="1" applyAlignment="1">
      <alignment horizontal="center" vertical="center"/>
    </xf>
    <xf numFmtId="169" fontId="4" fillId="0" borderId="0" xfId="0" applyNumberFormat="1" applyFont="1" applyAlignment="1">
      <alignment horizontal="center" vertical="center" wrapText="1"/>
    </xf>
    <xf numFmtId="169" fontId="4" fillId="0" borderId="0" xfId="0" applyNumberFormat="1" applyFont="1" applyAlignment="1">
      <alignment horizontal="center"/>
    </xf>
    <xf numFmtId="169" fontId="60" fillId="0" borderId="31" xfId="0" applyNumberFormat="1" applyFont="1" applyBorder="1"/>
    <xf numFmtId="169" fontId="60" fillId="0" borderId="0" xfId="0" applyNumberFormat="1" applyFont="1"/>
    <xf numFmtId="169" fontId="59" fillId="16" borderId="0" xfId="0" applyNumberFormat="1" applyFont="1" applyFill="1" applyAlignment="1">
      <alignment wrapText="1"/>
    </xf>
    <xf numFmtId="169" fontId="60" fillId="16" borderId="0" xfId="0" applyNumberFormat="1" applyFont="1" applyFill="1"/>
    <xf numFmtId="169" fontId="59" fillId="16" borderId="0" xfId="0" applyNumberFormat="1" applyFont="1" applyFill="1"/>
    <xf numFmtId="169" fontId="0" fillId="16" borderId="0" xfId="0" applyNumberFormat="1" applyFill="1"/>
    <xf numFmtId="169" fontId="75" fillId="6" borderId="5" xfId="0" applyNumberFormat="1" applyFont="1" applyFill="1" applyBorder="1"/>
    <xf numFmtId="169" fontId="0" fillId="6" borderId="6" xfId="0" applyNumberFormat="1" applyFill="1" applyBorder="1"/>
    <xf numFmtId="169" fontId="0" fillId="6" borderId="15" xfId="0" applyNumberFormat="1" applyFill="1" applyBorder="1"/>
    <xf numFmtId="169" fontId="0" fillId="7" borderId="24" xfId="0" applyNumberFormat="1" applyFill="1" applyBorder="1"/>
    <xf numFmtId="169" fontId="59" fillId="7" borderId="29" xfId="0" applyNumberFormat="1" applyFont="1" applyFill="1" applyBorder="1"/>
    <xf numFmtId="169" fontId="75" fillId="7" borderId="0" xfId="0" applyNumberFormat="1" applyFont="1" applyFill="1"/>
    <xf numFmtId="169" fontId="0" fillId="7" borderId="0" xfId="0" applyNumberFormat="1" applyFill="1"/>
    <xf numFmtId="169" fontId="75" fillId="7" borderId="10" xfId="0" applyNumberFormat="1" applyFont="1" applyFill="1" applyBorder="1"/>
    <xf numFmtId="169" fontId="0" fillId="7" borderId="11" xfId="0" applyNumberFormat="1" applyFill="1" applyBorder="1"/>
    <xf numFmtId="169" fontId="59" fillId="0" borderId="0" xfId="0" applyNumberFormat="1" applyFont="1" applyAlignment="1">
      <alignment horizontal="left" vertical="center"/>
    </xf>
    <xf numFmtId="169" fontId="59" fillId="0" borderId="6" xfId="0" applyNumberFormat="1" applyFont="1" applyBorder="1" applyAlignment="1">
      <alignment horizontal="center" vertical="center"/>
    </xf>
    <xf numFmtId="169" fontId="59" fillId="0" borderId="6" xfId="0" applyNumberFormat="1" applyFont="1" applyBorder="1" applyAlignment="1">
      <alignment horizontal="center" vertical="center" wrapText="1"/>
    </xf>
    <xf numFmtId="169" fontId="59" fillId="0" borderId="5" xfId="0" applyNumberFormat="1" applyFont="1" applyBorder="1" applyAlignment="1">
      <alignment horizontal="center" vertical="center"/>
    </xf>
    <xf numFmtId="169" fontId="60" fillId="0" borderId="15" xfId="0" applyNumberFormat="1" applyFont="1" applyBorder="1"/>
    <xf numFmtId="169" fontId="60" fillId="0" borderId="6" xfId="0" applyNumberFormat="1" applyFont="1" applyBorder="1"/>
    <xf numFmtId="169" fontId="0" fillId="0" borderId="10" xfId="0" applyNumberFormat="1" applyBorder="1"/>
    <xf numFmtId="169" fontId="0" fillId="0" borderId="11" xfId="0" applyNumberFormat="1" applyBorder="1"/>
    <xf numFmtId="169" fontId="59" fillId="0" borderId="0" xfId="0" applyNumberFormat="1" applyFont="1" applyAlignment="1">
      <alignment horizontal="center" vertical="center" wrapText="1"/>
    </xf>
    <xf numFmtId="169" fontId="59" fillId="0" borderId="21" xfId="0" applyNumberFormat="1" applyFont="1" applyBorder="1" applyAlignment="1">
      <alignment horizontal="center" vertical="center" wrapText="1"/>
    </xf>
    <xf numFmtId="169" fontId="59" fillId="0" borderId="13" xfId="0" applyNumberFormat="1" applyFont="1" applyBorder="1" applyAlignment="1">
      <alignment horizontal="center" vertical="center" wrapText="1"/>
    </xf>
    <xf numFmtId="169" fontId="59" fillId="0" borderId="13" xfId="0" applyNumberFormat="1" applyFont="1" applyBorder="1" applyAlignment="1">
      <alignment horizontal="center" vertical="center"/>
    </xf>
    <xf numFmtId="169" fontId="60" fillId="0" borderId="10" xfId="0" applyNumberFormat="1" applyFont="1" applyBorder="1" applyAlignment="1">
      <alignment horizontal="center" vertical="center"/>
    </xf>
    <xf numFmtId="169" fontId="59" fillId="0" borderId="7" xfId="0" applyNumberFormat="1" applyFont="1" applyBorder="1" applyAlignment="1">
      <alignment horizontal="center" vertical="center" wrapText="1"/>
    </xf>
    <xf numFmtId="169" fontId="59" fillId="0" borderId="8" xfId="0" applyNumberFormat="1" applyFont="1" applyBorder="1" applyAlignment="1">
      <alignment horizontal="center" vertical="center" wrapText="1"/>
    </xf>
    <xf numFmtId="169" fontId="64" fillId="0" borderId="8" xfId="0" applyNumberFormat="1" applyFont="1" applyBorder="1" applyAlignment="1">
      <alignment horizontal="center" vertical="center" wrapText="1"/>
    </xf>
    <xf numFmtId="169" fontId="59" fillId="0" borderId="9" xfId="0" applyNumberFormat="1" applyFont="1" applyBorder="1" applyAlignment="1">
      <alignment horizontal="center" vertical="center" wrapText="1"/>
    </xf>
    <xf numFmtId="169" fontId="60" fillId="0" borderId="0" xfId="0" applyNumberFormat="1" applyFont="1" applyAlignment="1">
      <alignment horizontal="center" vertical="center"/>
    </xf>
    <xf numFmtId="169" fontId="4" fillId="7" borderId="21" xfId="0" applyNumberFormat="1" applyFont="1" applyFill="1" applyBorder="1" applyAlignment="1">
      <alignment horizontal="center" vertical="center"/>
    </xf>
    <xf numFmtId="169" fontId="0" fillId="7" borderId="0" xfId="0" applyNumberFormat="1" applyFill="1" applyAlignment="1">
      <alignment horizontal="center" vertical="center"/>
    </xf>
    <xf numFmtId="169" fontId="4" fillId="5" borderId="0" xfId="0" applyNumberFormat="1" applyFont="1" applyFill="1" applyAlignment="1">
      <alignment horizontal="center" vertical="center"/>
    </xf>
    <xf numFmtId="169" fontId="4" fillId="5" borderId="21" xfId="0" applyNumberFormat="1" applyFont="1" applyFill="1" applyBorder="1" applyAlignment="1">
      <alignment horizontal="center" vertical="center"/>
    </xf>
    <xf numFmtId="169" fontId="4" fillId="5" borderId="6" xfId="0" applyNumberFormat="1" applyFont="1" applyFill="1" applyBorder="1" applyAlignment="1">
      <alignment horizontal="center" vertical="center"/>
    </xf>
    <xf numFmtId="169" fontId="0" fillId="5" borderId="6" xfId="0" applyNumberFormat="1" applyFill="1" applyBorder="1" applyAlignment="1">
      <alignment horizontal="center" vertical="center"/>
    </xf>
    <xf numFmtId="169" fontId="0" fillId="5" borderId="6" xfId="0" applyNumberFormat="1" applyFill="1" applyBorder="1"/>
    <xf numFmtId="169" fontId="0" fillId="0" borderId="0" xfId="0" applyNumberFormat="1" applyAlignment="1">
      <alignment horizontal="center" vertical="center"/>
    </xf>
    <xf numFmtId="169" fontId="0" fillId="0" borderId="21" xfId="0" applyNumberFormat="1" applyBorder="1" applyAlignment="1">
      <alignment horizontal="center" vertical="center"/>
    </xf>
    <xf numFmtId="169" fontId="0" fillId="0" borderId="10" xfId="0" applyNumberFormat="1" applyBorder="1" applyAlignment="1">
      <alignment horizontal="center" vertical="center"/>
    </xf>
    <xf numFmtId="169" fontId="0" fillId="7" borderId="6" xfId="0" applyNumberFormat="1" applyFill="1" applyBorder="1" applyAlignment="1">
      <alignment horizontal="center" vertical="center"/>
    </xf>
    <xf numFmtId="169" fontId="0" fillId="7" borderId="6" xfId="0" applyNumberFormat="1" applyFill="1" applyBorder="1"/>
    <xf numFmtId="169" fontId="12" fillId="7" borderId="6" xfId="0" applyNumberFormat="1" applyFont="1" applyFill="1" applyBorder="1" applyAlignment="1">
      <alignment horizontal="center" vertical="center" wrapText="1"/>
    </xf>
    <xf numFmtId="169" fontId="0" fillId="5" borderId="10" xfId="0" applyNumberFormat="1" applyFill="1" applyBorder="1" applyAlignment="1">
      <alignment horizontal="center" vertical="center"/>
    </xf>
    <xf numFmtId="169" fontId="0" fillId="5" borderId="0" xfId="0" applyNumberFormat="1" applyFill="1" applyAlignment="1">
      <alignment horizontal="center" vertical="center"/>
    </xf>
    <xf numFmtId="169" fontId="0" fillId="5" borderId="11" xfId="0" applyNumberFormat="1" applyFill="1" applyBorder="1" applyAlignment="1">
      <alignment horizontal="center" vertical="center"/>
    </xf>
    <xf numFmtId="169" fontId="0" fillId="0" borderId="11" xfId="0" applyNumberFormat="1" applyBorder="1" applyAlignment="1">
      <alignment horizontal="center" vertical="center"/>
    </xf>
    <xf numFmtId="169" fontId="0" fillId="14" borderId="21" xfId="0" applyNumberFormat="1" applyFill="1" applyBorder="1" applyAlignment="1">
      <alignment horizontal="center" vertical="center"/>
    </xf>
    <xf numFmtId="169" fontId="0" fillId="5" borderId="0" xfId="0" applyNumberFormat="1" applyFill="1"/>
    <xf numFmtId="169" fontId="0" fillId="7" borderId="8" xfId="0" applyNumberFormat="1" applyFill="1" applyBorder="1" applyAlignment="1">
      <alignment horizontal="center" vertical="center"/>
    </xf>
    <xf numFmtId="169" fontId="0" fillId="7" borderId="8" xfId="0" applyNumberFormat="1" applyFill="1" applyBorder="1"/>
    <xf numFmtId="169" fontId="12" fillId="7" borderId="8" xfId="0" applyNumberFormat="1" applyFont="1" applyFill="1" applyBorder="1" applyAlignment="1">
      <alignment horizontal="center" vertical="center" wrapText="1"/>
    </xf>
    <xf numFmtId="169" fontId="4" fillId="7" borderId="8" xfId="0" applyNumberFormat="1" applyFont="1" applyFill="1" applyBorder="1" applyAlignment="1">
      <alignment horizontal="center" vertical="center"/>
    </xf>
    <xf numFmtId="169" fontId="0" fillId="5" borderId="15" xfId="0" applyNumberFormat="1" applyFill="1" applyBorder="1"/>
    <xf numFmtId="169" fontId="0" fillId="0" borderId="25" xfId="0" applyNumberFormat="1" applyBorder="1" applyAlignment="1">
      <alignment horizontal="center" vertical="center"/>
    </xf>
    <xf numFmtId="169" fontId="0" fillId="0" borderId="31" xfId="0" applyNumberFormat="1" applyBorder="1" applyAlignment="1">
      <alignment horizontal="center" vertical="center"/>
    </xf>
    <xf numFmtId="169" fontId="0" fillId="0" borderId="13" xfId="0" applyNumberFormat="1" applyBorder="1" applyAlignment="1">
      <alignment horizontal="center" vertical="center"/>
    </xf>
    <xf numFmtId="169" fontId="0" fillId="0" borderId="14" xfId="0" applyNumberFormat="1" applyBorder="1" applyAlignment="1">
      <alignment horizontal="center" vertical="center"/>
    </xf>
    <xf numFmtId="2" fontId="18" fillId="0" borderId="0" xfId="0" applyNumberFormat="1" applyFont="1" applyAlignment="1">
      <alignment horizontal="center"/>
    </xf>
    <xf numFmtId="2" fontId="18" fillId="0" borderId="0" xfId="0" applyNumberFormat="1" applyFont="1" applyAlignment="1">
      <alignment horizontal="center" vertical="center"/>
    </xf>
    <xf numFmtId="0" fontId="18" fillId="0" borderId="0" xfId="0" applyFont="1"/>
    <xf numFmtId="0" fontId="18" fillId="0" borderId="0" xfId="0" applyFont="1" applyAlignment="1">
      <alignment horizontal="center" vertical="center"/>
    </xf>
    <xf numFmtId="2" fontId="0" fillId="7" borderId="14" xfId="0" applyNumberFormat="1" applyFill="1" applyBorder="1" applyAlignment="1">
      <alignment horizontal="center" vertical="center"/>
    </xf>
    <xf numFmtId="2" fontId="3" fillId="5" borderId="11" xfId="0" applyNumberFormat="1" applyFont="1" applyFill="1" applyBorder="1" applyAlignment="1">
      <alignment horizontal="center"/>
    </xf>
    <xf numFmtId="2" fontId="0" fillId="5" borderId="11" xfId="0" applyNumberFormat="1" applyFill="1" applyBorder="1" applyAlignment="1">
      <alignment horizontal="center"/>
    </xf>
    <xf numFmtId="2" fontId="18" fillId="5" borderId="11" xfId="0" applyNumberFormat="1" applyFont="1" applyFill="1" applyBorder="1" applyAlignment="1">
      <alignment horizontal="center"/>
    </xf>
    <xf numFmtId="2" fontId="18" fillId="0" borderId="11" xfId="0" applyNumberFormat="1" applyFont="1" applyBorder="1" applyAlignment="1">
      <alignment horizontal="center" vertical="center"/>
    </xf>
    <xf numFmtId="0" fontId="18" fillId="0" borderId="11" xfId="0" applyFont="1" applyBorder="1"/>
    <xf numFmtId="0" fontId="18" fillId="0" borderId="11" xfId="0" applyFont="1" applyBorder="1" applyAlignment="1">
      <alignment horizontal="center" vertical="center"/>
    </xf>
    <xf numFmtId="0" fontId="18" fillId="5" borderId="11" xfId="0" applyFont="1" applyFill="1" applyBorder="1"/>
    <xf numFmtId="2" fontId="18" fillId="5" borderId="11" xfId="0" applyNumberFormat="1" applyFont="1" applyFill="1" applyBorder="1" applyAlignment="1">
      <alignment horizontal="center" vertical="center"/>
    </xf>
    <xf numFmtId="0" fontId="18" fillId="0" borderId="14" xfId="0" applyFont="1" applyBorder="1"/>
    <xf numFmtId="0" fontId="59" fillId="0" borderId="6" xfId="0" applyFont="1" applyBorder="1" applyAlignment="1">
      <alignment horizontal="left" vertical="center"/>
    </xf>
    <xf numFmtId="0" fontId="59" fillId="0" borderId="15" xfId="0" applyFont="1" applyBorder="1" applyAlignment="1">
      <alignment horizontal="left" vertical="center"/>
    </xf>
    <xf numFmtId="2" fontId="59" fillId="0" borderId="0" xfId="0" applyNumberFormat="1" applyFont="1" applyAlignment="1">
      <alignment horizontal="center" vertical="center" wrapText="1"/>
    </xf>
    <xf numFmtId="2" fontId="60" fillId="0" borderId="15" xfId="0" applyNumberFormat="1" applyFont="1" applyBorder="1" applyAlignment="1">
      <alignment horizontal="center" vertical="center"/>
    </xf>
    <xf numFmtId="2" fontId="59" fillId="0" borderId="14" xfId="0" applyNumberFormat="1" applyFont="1" applyBorder="1" applyAlignment="1">
      <alignment horizontal="center" vertical="center" wrapText="1"/>
    </xf>
    <xf numFmtId="2" fontId="0" fillId="0" borderId="11" xfId="0" applyNumberFormat="1" applyBorder="1"/>
    <xf numFmtId="0" fontId="0" fillId="5" borderId="12" xfId="0" applyFill="1" applyBorder="1" applyAlignment="1">
      <alignment horizontal="center"/>
    </xf>
    <xf numFmtId="0" fontId="0" fillId="5" borderId="13" xfId="0" applyFill="1" applyBorder="1" applyAlignment="1">
      <alignment horizontal="center" vertical="center"/>
    </xf>
    <xf numFmtId="2" fontId="0" fillId="5" borderId="14" xfId="0" applyNumberFormat="1" applyFill="1" applyBorder="1" applyAlignment="1">
      <alignment horizontal="center" vertical="center"/>
    </xf>
    <xf numFmtId="0" fontId="75" fillId="7" borderId="5" xfId="0" applyFont="1" applyFill="1" applyBorder="1"/>
    <xf numFmtId="169" fontId="59" fillId="7" borderId="15" xfId="0" applyNumberFormat="1" applyFont="1" applyFill="1" applyBorder="1"/>
    <xf numFmtId="169" fontId="59" fillId="0" borderId="11" xfId="0" applyNumberFormat="1" applyFont="1" applyBorder="1" applyAlignment="1">
      <alignment horizontal="left" vertical="center"/>
    </xf>
    <xf numFmtId="169" fontId="59" fillId="0" borderId="0" xfId="0" applyNumberFormat="1" applyFont="1" applyAlignment="1">
      <alignment wrapText="1"/>
    </xf>
    <xf numFmtId="169" fontId="4" fillId="7" borderId="34" xfId="0" applyNumberFormat="1" applyFont="1" applyFill="1" applyBorder="1" applyAlignment="1">
      <alignment horizontal="center" vertical="center"/>
    </xf>
    <xf numFmtId="169" fontId="4" fillId="5" borderId="39" xfId="0" applyNumberFormat="1" applyFont="1" applyFill="1" applyBorder="1" applyAlignment="1">
      <alignment horizontal="center" vertical="center"/>
    </xf>
    <xf numFmtId="169" fontId="4" fillId="5" borderId="40" xfId="0" applyNumberFormat="1" applyFont="1" applyFill="1" applyBorder="1" applyAlignment="1">
      <alignment horizontal="center" vertical="center"/>
    </xf>
    <xf numFmtId="169" fontId="0" fillId="0" borderId="34" xfId="0" applyNumberFormat="1" applyBorder="1" applyAlignment="1">
      <alignment horizontal="center" vertical="center"/>
    </xf>
    <xf numFmtId="169" fontId="12" fillId="0" borderId="0" xfId="0" applyNumberFormat="1" applyFont="1" applyAlignment="1">
      <alignment vertical="center"/>
    </xf>
    <xf numFmtId="169" fontId="4" fillId="5" borderId="34" xfId="0" applyNumberFormat="1" applyFont="1" applyFill="1" applyBorder="1" applyAlignment="1">
      <alignment horizontal="center" vertical="center"/>
    </xf>
    <xf numFmtId="169" fontId="0" fillId="0" borderId="0" xfId="0" quotePrefix="1" applyNumberFormat="1" applyAlignment="1">
      <alignment horizontal="center" vertical="center"/>
    </xf>
    <xf numFmtId="169" fontId="0" fillId="0" borderId="37" xfId="0" applyNumberFormat="1" applyBorder="1" applyAlignment="1">
      <alignment horizontal="center" vertical="center"/>
    </xf>
    <xf numFmtId="169" fontId="0" fillId="0" borderId="38" xfId="0" applyNumberFormat="1" applyBorder="1" applyAlignment="1">
      <alignment horizontal="center" vertical="center"/>
    </xf>
    <xf numFmtId="169" fontId="0" fillId="0" borderId="6" xfId="0" applyNumberFormat="1" applyBorder="1" applyAlignment="1">
      <alignment horizontal="center" vertical="center"/>
    </xf>
    <xf numFmtId="169" fontId="0" fillId="0" borderId="12" xfId="0" applyNumberFormat="1" applyBorder="1" applyAlignment="1">
      <alignment horizontal="center" vertical="center"/>
    </xf>
    <xf numFmtId="169" fontId="0" fillId="5" borderId="11" xfId="0" applyNumberFormat="1" applyFill="1" applyBorder="1"/>
    <xf numFmtId="169" fontId="0" fillId="7" borderId="5" xfId="0" applyNumberFormat="1" applyFill="1" applyBorder="1" applyAlignment="1">
      <alignment horizontal="center" vertical="center"/>
    </xf>
    <xf numFmtId="169" fontId="0" fillId="7" borderId="15" xfId="0" applyNumberFormat="1" applyFill="1" applyBorder="1" applyAlignment="1">
      <alignment horizontal="center" vertical="center"/>
    </xf>
    <xf numFmtId="0" fontId="0" fillId="7" borderId="35" xfId="0" applyFill="1" applyBorder="1" applyAlignment="1">
      <alignment horizontal="center" vertical="center"/>
    </xf>
    <xf numFmtId="169" fontId="59" fillId="0" borderId="11" xfId="0" applyNumberFormat="1" applyFont="1" applyBorder="1" applyAlignment="1">
      <alignment horizontal="center" vertical="center" wrapText="1"/>
    </xf>
    <xf numFmtId="0" fontId="0" fillId="7" borderId="41" xfId="0" applyFill="1" applyBorder="1" applyAlignment="1">
      <alignment horizontal="center" vertical="center"/>
    </xf>
    <xf numFmtId="169" fontId="4" fillId="7" borderId="28" xfId="0" applyNumberFormat="1" applyFont="1" applyFill="1" applyBorder="1" applyAlignment="1">
      <alignment horizontal="center" vertical="center"/>
    </xf>
    <xf numFmtId="169" fontId="4" fillId="7" borderId="24" xfId="0" applyNumberFormat="1" applyFont="1" applyFill="1" applyBorder="1" applyAlignment="1">
      <alignment horizontal="center" vertical="center"/>
    </xf>
    <xf numFmtId="169" fontId="4" fillId="7" borderId="29" xfId="0" applyNumberFormat="1" applyFont="1" applyFill="1" applyBorder="1" applyAlignment="1">
      <alignment horizontal="center" vertical="center"/>
    </xf>
    <xf numFmtId="169" fontId="0" fillId="0" borderId="40" xfId="0" applyNumberFormat="1" applyBorder="1" applyAlignment="1">
      <alignment horizontal="center" vertical="center"/>
    </xf>
    <xf numFmtId="1" fontId="0" fillId="0" borderId="21" xfId="0" applyNumberFormat="1" applyBorder="1"/>
    <xf numFmtId="1" fontId="0" fillId="0" borderId="31" xfId="0" applyNumberFormat="1" applyBorder="1"/>
    <xf numFmtId="0" fontId="0" fillId="7" borderId="39" xfId="0" applyFill="1" applyBorder="1" applyAlignment="1">
      <alignment horizontal="center" vertical="center"/>
    </xf>
    <xf numFmtId="0" fontId="10" fillId="0" borderId="0" xfId="0" applyFont="1"/>
    <xf numFmtId="0" fontId="3" fillId="0" borderId="0" xfId="0" applyFont="1" applyAlignment="1">
      <alignment horizontal="left" vertical="top"/>
    </xf>
    <xf numFmtId="0" fontId="10" fillId="0" borderId="0" xfId="0" applyFont="1" applyAlignment="1">
      <alignment horizontal="left" vertical="top"/>
    </xf>
    <xf numFmtId="0" fontId="0" fillId="0" borderId="0" xfId="0" applyAlignment="1">
      <alignment horizontal="left" vertical="top"/>
    </xf>
    <xf numFmtId="0" fontId="3" fillId="0" borderId="0" xfId="5" applyFont="1" applyFill="1" applyAlignment="1">
      <alignment horizontal="left" vertical="top"/>
    </xf>
    <xf numFmtId="0" fontId="5" fillId="0" borderId="0" xfId="0" applyFont="1" applyAlignment="1">
      <alignment horizontal="left" vertical="top"/>
    </xf>
    <xf numFmtId="0" fontId="3" fillId="0" borderId="0" xfId="5" applyFont="1" applyAlignment="1">
      <alignment horizontal="left" vertical="top"/>
    </xf>
    <xf numFmtId="2" fontId="60" fillId="0" borderId="0" xfId="0" applyNumberFormat="1" applyFont="1" applyAlignment="1">
      <alignment horizontal="center" vertical="center"/>
    </xf>
    <xf numFmtId="169" fontId="59" fillId="0" borderId="5" xfId="0" applyNumberFormat="1" applyFont="1" applyBorder="1" applyAlignment="1">
      <alignment horizontal="center" vertical="center" wrapText="1"/>
    </xf>
    <xf numFmtId="169" fontId="64" fillId="0" borderId="6" xfId="0" applyNumberFormat="1" applyFont="1" applyBorder="1" applyAlignment="1">
      <alignment horizontal="center" vertical="center" wrapText="1"/>
    </xf>
    <xf numFmtId="169" fontId="59" fillId="0" borderId="15" xfId="0" applyNumberFormat="1" applyFont="1" applyBorder="1" applyAlignment="1">
      <alignment horizontal="center" vertical="center" wrapText="1"/>
    </xf>
    <xf numFmtId="169" fontId="0" fillId="7" borderId="9" xfId="0" applyNumberFormat="1" applyFill="1" applyBorder="1" applyAlignment="1">
      <alignment horizontal="center" vertical="center"/>
    </xf>
    <xf numFmtId="169" fontId="4" fillId="7" borderId="6" xfId="0" applyNumberFormat="1" applyFont="1" applyFill="1" applyBorder="1" applyAlignment="1">
      <alignment horizontal="center" vertical="center"/>
    </xf>
    <xf numFmtId="169" fontId="4" fillId="7" borderId="40" xfId="0" applyNumberFormat="1" applyFont="1" applyFill="1" applyBorder="1" applyAlignment="1">
      <alignment horizontal="center" vertical="center"/>
    </xf>
    <xf numFmtId="169" fontId="4" fillId="5" borderId="28" xfId="0" applyNumberFormat="1" applyFont="1" applyFill="1" applyBorder="1" applyAlignment="1">
      <alignment horizontal="center" vertical="center"/>
    </xf>
    <xf numFmtId="169" fontId="4" fillId="5" borderId="24" xfId="0" applyNumberFormat="1" applyFont="1" applyFill="1" applyBorder="1" applyAlignment="1">
      <alignment horizontal="center" vertical="center"/>
    </xf>
    <xf numFmtId="169" fontId="4" fillId="5" borderId="29" xfId="0" applyNumberFormat="1" applyFont="1" applyFill="1" applyBorder="1" applyAlignment="1">
      <alignment horizontal="center" vertical="center"/>
    </xf>
    <xf numFmtId="169" fontId="0" fillId="7" borderId="13" xfId="0" applyNumberFormat="1" applyFill="1" applyBorder="1" applyAlignment="1">
      <alignment horizontal="center" vertical="center"/>
    </xf>
    <xf numFmtId="169" fontId="0" fillId="7" borderId="13" xfId="0" applyNumberFormat="1" applyFill="1" applyBorder="1"/>
    <xf numFmtId="169" fontId="12" fillId="7" borderId="13" xfId="0" applyNumberFormat="1" applyFont="1" applyFill="1" applyBorder="1" applyAlignment="1">
      <alignment horizontal="center" vertical="center" wrapText="1"/>
    </xf>
    <xf numFmtId="169" fontId="4" fillId="7" borderId="35" xfId="0" applyNumberFormat="1" applyFont="1" applyFill="1" applyBorder="1" applyAlignment="1">
      <alignment horizontal="center" vertical="center"/>
    </xf>
    <xf numFmtId="169" fontId="4" fillId="7" borderId="36" xfId="0" applyNumberFormat="1" applyFont="1" applyFill="1" applyBorder="1" applyAlignment="1">
      <alignment horizontal="center" vertical="center"/>
    </xf>
    <xf numFmtId="169" fontId="59" fillId="0" borderId="0" xfId="0" applyNumberFormat="1" applyFont="1" applyAlignment="1">
      <alignment horizontal="center" vertical="center"/>
    </xf>
    <xf numFmtId="169" fontId="59" fillId="16" borderId="0" xfId="0" applyNumberFormat="1" applyFont="1" applyFill="1" applyAlignment="1">
      <alignment horizontal="center" vertical="center" wrapText="1"/>
    </xf>
    <xf numFmtId="169" fontId="60" fillId="16" borderId="0" xfId="0" applyNumberFormat="1" applyFont="1" applyFill="1" applyAlignment="1">
      <alignment horizontal="center" vertical="center"/>
    </xf>
    <xf numFmtId="169" fontId="59" fillId="16" borderId="0" xfId="0" applyNumberFormat="1" applyFont="1" applyFill="1" applyAlignment="1">
      <alignment horizontal="center" vertical="center"/>
    </xf>
    <xf numFmtId="169" fontId="0" fillId="16" borderId="0" xfId="0" applyNumberFormat="1" applyFill="1" applyAlignment="1">
      <alignment horizontal="center" vertical="center"/>
    </xf>
    <xf numFmtId="169" fontId="0" fillId="7" borderId="24" xfId="0" applyNumberFormat="1" applyFill="1" applyBorder="1" applyAlignment="1">
      <alignment horizontal="center" vertical="center"/>
    </xf>
    <xf numFmtId="169" fontId="59" fillId="7" borderId="29" xfId="0" applyNumberFormat="1" applyFont="1" applyFill="1" applyBorder="1" applyAlignment="1">
      <alignment horizontal="center" vertical="center"/>
    </xf>
    <xf numFmtId="169" fontId="75" fillId="7" borderId="0" xfId="0" applyNumberFormat="1" applyFont="1" applyFill="1" applyAlignment="1">
      <alignment horizontal="center" vertical="center"/>
    </xf>
    <xf numFmtId="169" fontId="59" fillId="0" borderId="21" xfId="0" applyNumberFormat="1" applyFont="1" applyBorder="1" applyAlignment="1">
      <alignment horizontal="center" vertical="center"/>
    </xf>
    <xf numFmtId="169" fontId="60" fillId="0" borderId="6" xfId="0" applyNumberFormat="1" applyFont="1" applyBorder="1" applyAlignment="1">
      <alignment horizontal="center" vertical="center"/>
    </xf>
    <xf numFmtId="169" fontId="0" fillId="5" borderId="15" xfId="0" applyNumberFormat="1" applyFill="1" applyBorder="1" applyAlignment="1">
      <alignment horizontal="center" vertical="center"/>
    </xf>
    <xf numFmtId="169" fontId="12" fillId="0" borderId="0" xfId="0" applyNumberFormat="1" applyFont="1" applyAlignment="1">
      <alignment horizontal="center" vertical="center"/>
    </xf>
    <xf numFmtId="0" fontId="62" fillId="2" borderId="10" xfId="3" applyFont="1" applyFill="1" applyBorder="1" applyAlignment="1">
      <alignment horizontal="center" vertical="center"/>
    </xf>
    <xf numFmtId="2" fontId="0" fillId="2" borderId="10" xfId="0" applyNumberFormat="1" applyFill="1" applyBorder="1" applyAlignment="1">
      <alignment horizontal="center" vertical="center"/>
    </xf>
    <xf numFmtId="0" fontId="62" fillId="2" borderId="12" xfId="3" applyFont="1" applyFill="1" applyBorder="1" applyAlignment="1">
      <alignment horizontal="center" vertical="center"/>
    </xf>
    <xf numFmtId="2" fontId="0" fillId="0" borderId="14" xfId="0" applyNumberFormat="1" applyBorder="1" applyAlignment="1">
      <alignment horizontal="center" vertical="center" wrapText="1"/>
    </xf>
    <xf numFmtId="11" fontId="4" fillId="0" borderId="5" xfId="0" applyNumberFormat="1" applyFont="1" applyBorder="1" applyAlignment="1">
      <alignment horizontal="center" vertical="center"/>
    </xf>
    <xf numFmtId="11" fontId="4" fillId="0" borderId="6" xfId="0" applyNumberFormat="1" applyFont="1" applyBorder="1" applyAlignment="1">
      <alignment horizontal="center" vertical="center"/>
    </xf>
    <xf numFmtId="11" fontId="4" fillId="0" borderId="15" xfId="0" applyNumberFormat="1" applyFont="1" applyBorder="1" applyAlignment="1">
      <alignment horizontal="center" vertical="center"/>
    </xf>
    <xf numFmtId="0" fontId="12" fillId="2" borderId="0" xfId="0" applyFont="1" applyFill="1" applyAlignment="1">
      <alignment horizontal="center" vertical="center"/>
    </xf>
    <xf numFmtId="11" fontId="0" fillId="0" borderId="0" xfId="0" applyNumberFormat="1" applyAlignment="1">
      <alignment horizontal="left" vertical="center"/>
    </xf>
    <xf numFmtId="2" fontId="0" fillId="5" borderId="6" xfId="0" applyNumberFormat="1" applyFill="1" applyBorder="1"/>
    <xf numFmtId="11" fontId="3" fillId="0" borderId="0" xfId="0" applyNumberFormat="1" applyFont="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2" fontId="0" fillId="2" borderId="0" xfId="0" applyNumberFormat="1" applyFill="1" applyAlignment="1">
      <alignment horizontal="center" vertical="center" wrapText="1"/>
    </xf>
    <xf numFmtId="2" fontId="12" fillId="0" borderId="15" xfId="0" applyNumberFormat="1" applyFont="1" applyBorder="1" applyAlignment="1">
      <alignment vertical="center"/>
    </xf>
    <xf numFmtId="0" fontId="0" fillId="0" borderId="5" xfId="0" applyBorder="1" applyAlignment="1">
      <alignment vertical="center"/>
    </xf>
    <xf numFmtId="0" fontId="0" fillId="0" borderId="15"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3" fontId="0" fillId="0" borderId="11" xfId="0" applyNumberFormat="1" applyBorder="1" applyAlignment="1">
      <alignment vertical="center"/>
    </xf>
    <xf numFmtId="0" fontId="3" fillId="0" borderId="14" xfId="0" applyFont="1" applyBorder="1"/>
    <xf numFmtId="11" fontId="13" fillId="0" borderId="8" xfId="0" applyNumberFormat="1" applyFont="1" applyBorder="1" applyAlignment="1">
      <alignment horizontal="center" vertical="center" wrapText="1"/>
    </xf>
    <xf numFmtId="11" fontId="4" fillId="0" borderId="9"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11" fontId="13" fillId="0" borderId="0" xfId="0" applyNumberFormat="1" applyFont="1" applyAlignment="1">
      <alignment horizontal="center" vertical="center" wrapText="1"/>
    </xf>
    <xf numFmtId="166" fontId="0" fillId="5" borderId="6" xfId="0" applyNumberFormat="1" applyFill="1" applyBorder="1" applyAlignment="1">
      <alignment horizontal="center" vertical="center" wrapText="1"/>
    </xf>
    <xf numFmtId="166" fontId="0" fillId="0" borderId="0" xfId="0" applyNumberFormat="1" applyAlignment="1">
      <alignment horizontal="center" vertical="center" wrapText="1"/>
    </xf>
    <xf numFmtId="166" fontId="0" fillId="5" borderId="0" xfId="0" applyNumberFormat="1" applyFill="1" applyAlignment="1">
      <alignment horizontal="center" vertical="center" wrapText="1"/>
    </xf>
    <xf numFmtId="166" fontId="3" fillId="0" borderId="0" xfId="0" applyNumberFormat="1" applyFont="1" applyAlignment="1">
      <alignment horizontal="center" vertical="center" wrapText="1"/>
    </xf>
    <xf numFmtId="169" fontId="0" fillId="0" borderId="6" xfId="0" applyNumberFormat="1" applyBorder="1"/>
    <xf numFmtId="169" fontId="64" fillId="0" borderId="0" xfId="0" applyNumberFormat="1" applyFont="1" applyAlignment="1">
      <alignment horizontal="center" vertical="center" wrapText="1"/>
    </xf>
    <xf numFmtId="0" fontId="60" fillId="0" borderId="0" xfId="0" applyFont="1" applyAlignment="1">
      <alignment horizontal="center" vertical="center" wrapText="1"/>
    </xf>
    <xf numFmtId="169" fontId="64" fillId="0" borderId="0" xfId="0" applyNumberFormat="1" applyFont="1" applyAlignment="1">
      <alignment horizontal="center" vertical="center"/>
    </xf>
    <xf numFmtId="2" fontId="22" fillId="0" borderId="15" xfId="3" applyNumberFormat="1" applyFont="1" applyBorder="1" applyAlignment="1">
      <alignment horizontal="center" vertical="center"/>
    </xf>
    <xf numFmtId="2" fontId="31" fillId="0" borderId="10" xfId="3" applyNumberFormat="1" applyFont="1" applyBorder="1" applyAlignment="1">
      <alignment horizontal="center" vertical="center"/>
    </xf>
    <xf numFmtId="2" fontId="31" fillId="0" borderId="12" xfId="3" applyNumberFormat="1" applyFont="1" applyBorder="1" applyAlignment="1">
      <alignment horizontal="center" vertical="center"/>
    </xf>
    <xf numFmtId="2" fontId="31" fillId="0" borderId="14" xfId="3" applyNumberFormat="1" applyFont="1" applyBorder="1" applyAlignment="1">
      <alignment horizontal="center" vertical="center"/>
    </xf>
    <xf numFmtId="2" fontId="31" fillId="0" borderId="13" xfId="3" applyNumberFormat="1" applyFont="1" applyBorder="1" applyAlignment="1">
      <alignment horizontal="center" vertical="center"/>
    </xf>
    <xf numFmtId="0" fontId="4" fillId="0" borderId="6" xfId="0" applyFont="1" applyBorder="1" applyAlignment="1">
      <alignment horizontal="center" vertical="center"/>
    </xf>
    <xf numFmtId="0" fontId="4" fillId="0" borderId="15" xfId="0" applyFont="1" applyBorder="1" applyAlignment="1">
      <alignment horizontal="center" vertical="center"/>
    </xf>
    <xf numFmtId="2" fontId="12" fillId="0" borderId="9" xfId="0" applyNumberFormat="1" applyFont="1" applyBorder="1" applyAlignment="1">
      <alignment horizontal="center" vertical="center"/>
    </xf>
    <xf numFmtId="169" fontId="22" fillId="0" borderId="0" xfId="0" applyNumberFormat="1" applyFont="1" applyAlignment="1">
      <alignment horizontal="center" vertical="center" wrapText="1"/>
    </xf>
    <xf numFmtId="0" fontId="12" fillId="2" borderId="0" xfId="0" applyFont="1" applyFill="1"/>
    <xf numFmtId="2" fontId="22" fillId="0" borderId="0" xfId="0" applyNumberFormat="1" applyFont="1" applyAlignment="1">
      <alignment horizontal="left" vertical="center"/>
    </xf>
    <xf numFmtId="2" fontId="31" fillId="0" borderId="0" xfId="0" applyNumberFormat="1" applyFont="1" applyAlignment="1">
      <alignment horizontal="left" vertical="center"/>
    </xf>
    <xf numFmtId="2" fontId="12" fillId="0" borderId="0" xfId="0" applyNumberFormat="1" applyFont="1" applyAlignment="1">
      <alignment horizontal="left" vertical="center"/>
    </xf>
    <xf numFmtId="2" fontId="12" fillId="2" borderId="0" xfId="0" applyNumberFormat="1" applyFont="1" applyFill="1" applyAlignment="1">
      <alignment horizontal="center" vertical="center"/>
    </xf>
    <xf numFmtId="0" fontId="11" fillId="0" borderId="10" xfId="0" applyFont="1" applyBorder="1" applyAlignment="1">
      <alignment horizontal="center" wrapText="1"/>
    </xf>
    <xf numFmtId="0" fontId="11" fillId="0" borderId="0" xfId="0" applyFont="1" applyAlignment="1">
      <alignment horizontal="left" vertical="center" wrapText="1"/>
    </xf>
    <xf numFmtId="2" fontId="11" fillId="0" borderId="0" xfId="0" applyNumberFormat="1" applyFont="1" applyAlignment="1">
      <alignment horizontal="center" vertical="center"/>
    </xf>
    <xf numFmtId="2" fontId="24" fillId="5" borderId="0" xfId="0" applyNumberFormat="1" applyFont="1" applyFill="1" applyAlignment="1">
      <alignment horizontal="center" vertical="center"/>
    </xf>
    <xf numFmtId="2" fontId="11" fillId="5" borderId="0" xfId="0" applyNumberFormat="1" applyFont="1" applyFill="1" applyAlignment="1">
      <alignment horizontal="center" vertical="center"/>
    </xf>
    <xf numFmtId="2" fontId="12" fillId="5" borderId="11" xfId="0" applyNumberFormat="1" applyFont="1" applyFill="1" applyBorder="1" applyAlignment="1">
      <alignment horizontal="center"/>
    </xf>
    <xf numFmtId="164" fontId="12" fillId="2" borderId="13" xfId="0" applyNumberFormat="1" applyFont="1" applyFill="1" applyBorder="1" applyAlignment="1">
      <alignment horizontal="center" vertical="center"/>
    </xf>
    <xf numFmtId="164" fontId="31" fillId="2" borderId="13" xfId="0" applyNumberFormat="1" applyFont="1" applyFill="1" applyBorder="1" applyAlignment="1">
      <alignment horizontal="center" vertical="center"/>
    </xf>
    <xf numFmtId="0" fontId="12" fillId="0" borderId="11" xfId="0" applyFont="1" applyBorder="1" applyAlignment="1">
      <alignment horizontal="center"/>
    </xf>
    <xf numFmtId="2" fontId="4" fillId="0" borderId="10" xfId="0" applyNumberFormat="1" applyFont="1" applyBorder="1" applyAlignment="1">
      <alignment horizontal="center" vertical="center" wrapText="1"/>
    </xf>
    <xf numFmtId="2" fontId="13" fillId="0" borderId="0" xfId="0" applyNumberFormat="1" applyFont="1" applyAlignment="1">
      <alignment horizontal="center" vertical="center" wrapText="1"/>
    </xf>
    <xf numFmtId="2" fontId="4" fillId="0" borderId="11" xfId="0" applyNumberFormat="1" applyFont="1" applyBorder="1" applyAlignment="1">
      <alignment horizontal="center" vertical="center" wrapText="1"/>
    </xf>
    <xf numFmtId="11" fontId="4" fillId="0" borderId="10" xfId="0" applyNumberFormat="1" applyFont="1" applyBorder="1" applyAlignment="1">
      <alignment horizontal="center" vertical="center" wrapText="1"/>
    </xf>
    <xf numFmtId="11" fontId="4" fillId="0" borderId="11" xfId="0" applyNumberFormat="1" applyFont="1" applyBorder="1" applyAlignment="1">
      <alignment horizontal="center" vertical="center" wrapText="1"/>
    </xf>
    <xf numFmtId="1" fontId="5" fillId="0" borderId="0" xfId="0" applyNumberFormat="1" applyFont="1" applyAlignment="1">
      <alignment horizontal="center" vertical="center" wrapText="1"/>
    </xf>
    <xf numFmtId="0" fontId="52" fillId="0" borderId="13" xfId="0" applyFont="1" applyBorder="1" applyAlignment="1">
      <alignment vertical="center"/>
    </xf>
    <xf numFmtId="0" fontId="3" fillId="0" borderId="13" xfId="0" applyFont="1" applyBorder="1"/>
    <xf numFmtId="169" fontId="0" fillId="0" borderId="30" xfId="0" applyNumberFormat="1" applyBorder="1" applyAlignment="1">
      <alignment horizontal="center" vertical="center"/>
    </xf>
    <xf numFmtId="164" fontId="0" fillId="0" borderId="13" xfId="0" applyNumberFormat="1" applyBorder="1" applyAlignment="1">
      <alignment horizontal="center"/>
    </xf>
    <xf numFmtId="0" fontId="0" fillId="0" borderId="6" xfId="0" applyBorder="1" applyAlignment="1">
      <alignment vertical="center"/>
    </xf>
    <xf numFmtId="0" fontId="0" fillId="0" borderId="5" xfId="0" applyBorder="1" applyAlignment="1">
      <alignment horizontal="left" vertical="center"/>
    </xf>
    <xf numFmtId="0" fontId="4" fillId="0" borderId="5" xfId="0" applyFont="1" applyBorder="1" applyAlignment="1">
      <alignment horizontal="center" vertical="center"/>
    </xf>
    <xf numFmtId="2" fontId="5" fillId="0" borderId="15" xfId="0" applyNumberFormat="1" applyFont="1" applyBorder="1" applyAlignment="1">
      <alignment horizontal="center" vertical="center" wrapText="1"/>
    </xf>
    <xf numFmtId="2" fontId="5" fillId="0" borderId="14" xfId="0" applyNumberFormat="1" applyFont="1" applyBorder="1" applyAlignment="1">
      <alignment horizontal="center" vertical="center" wrapText="1"/>
    </xf>
    <xf numFmtId="173" fontId="12" fillId="0" borderId="0" xfId="0" applyNumberFormat="1" applyFont="1" applyAlignment="1">
      <alignment horizontal="center"/>
    </xf>
    <xf numFmtId="167" fontId="12" fillId="0" borderId="0" xfId="0" applyNumberFormat="1" applyFont="1" applyAlignment="1">
      <alignment horizontal="center"/>
    </xf>
    <xf numFmtId="0" fontId="8" fillId="0" borderId="0" xfId="0" applyFont="1" applyAlignment="1">
      <alignment vertical="center"/>
    </xf>
    <xf numFmtId="0" fontId="9" fillId="0" borderId="0" xfId="0" applyFont="1" applyAlignment="1">
      <alignment horizontal="right" vertical="center"/>
    </xf>
    <xf numFmtId="0" fontId="8" fillId="0" borderId="0" xfId="0" applyFont="1" applyAlignment="1">
      <alignment horizontal="left" vertical="center"/>
    </xf>
    <xf numFmtId="0" fontId="10" fillId="0" borderId="0" xfId="0" applyFont="1" applyAlignment="1">
      <alignment horizontal="left" vertical="center"/>
    </xf>
    <xf numFmtId="4" fontId="5" fillId="0" borderId="0" xfId="0" applyNumberFormat="1" applyFont="1" applyAlignment="1">
      <alignment horizontal="right" vertical="center"/>
    </xf>
    <xf numFmtId="0" fontId="12" fillId="0" borderId="0" xfId="0" applyFont="1" applyAlignment="1">
      <alignment horizontal="center" wrapText="1"/>
    </xf>
    <xf numFmtId="0" fontId="11" fillId="0" borderId="5" xfId="0" applyFont="1" applyBorder="1" applyAlignment="1">
      <alignment horizontal="center"/>
    </xf>
    <xf numFmtId="0" fontId="11" fillId="0" borderId="15" xfId="0" applyFont="1" applyBorder="1" applyAlignment="1">
      <alignment horizontal="center" wrapText="1"/>
    </xf>
    <xf numFmtId="166" fontId="12" fillId="0" borderId="11" xfId="0" applyNumberFormat="1" applyFont="1" applyBorder="1" applyAlignment="1">
      <alignment horizontal="center" wrapText="1"/>
    </xf>
    <xf numFmtId="2" fontId="12" fillId="0" borderId="11" xfId="0" applyNumberFormat="1" applyFont="1" applyBorder="1" applyAlignment="1">
      <alignment horizontal="center" wrapText="1"/>
    </xf>
    <xf numFmtId="0" fontId="12" fillId="0" borderId="11" xfId="0" applyFont="1" applyBorder="1" applyAlignment="1">
      <alignment horizontal="center" wrapText="1"/>
    </xf>
    <xf numFmtId="0" fontId="12" fillId="0" borderId="12" xfId="0" applyFont="1" applyBorder="1" applyAlignment="1">
      <alignment horizontal="center"/>
    </xf>
    <xf numFmtId="0" fontId="3" fillId="2" borderId="0" xfId="0" applyFont="1" applyFill="1" applyAlignment="1">
      <alignment horizontal="left" vertical="top"/>
    </xf>
    <xf numFmtId="0" fontId="31" fillId="2" borderId="0" xfId="0" applyFont="1" applyFill="1"/>
    <xf numFmtId="0" fontId="31" fillId="2" borderId="0" xfId="0" applyFont="1" applyFill="1" applyAlignment="1">
      <alignment horizontal="left"/>
    </xf>
    <xf numFmtId="2" fontId="45" fillId="0" borderId="0" xfId="0" applyNumberFormat="1" applyFont="1" applyAlignment="1">
      <alignment vertical="center" wrapText="1"/>
    </xf>
    <xf numFmtId="0" fontId="32" fillId="5" borderId="0" xfId="0" applyFont="1" applyFill="1"/>
    <xf numFmtId="0" fontId="3" fillId="5" borderId="0" xfId="0" applyFont="1" applyFill="1"/>
    <xf numFmtId="0" fontId="21" fillId="0" borderId="10" xfId="0" applyFont="1" applyBorder="1" applyAlignment="1">
      <alignment horizontal="center"/>
    </xf>
    <xf numFmtId="1" fontId="13" fillId="0" borderId="0" xfId="0" applyNumberFormat="1" applyFont="1" applyAlignment="1">
      <alignment horizontal="center" vertical="center" wrapText="1"/>
    </xf>
    <xf numFmtId="2" fontId="4" fillId="0" borderId="10" xfId="0" applyNumberFormat="1" applyFont="1" applyBorder="1" applyAlignment="1">
      <alignment horizontal="center" vertical="center"/>
    </xf>
    <xf numFmtId="2" fontId="4" fillId="0" borderId="11" xfId="0" applyNumberFormat="1" applyFont="1" applyBorder="1" applyAlignment="1">
      <alignment horizontal="center" vertical="center"/>
    </xf>
    <xf numFmtId="0" fontId="35" fillId="2" borderId="0" xfId="0" applyFont="1" applyFill="1" applyAlignment="1">
      <alignment horizontal="left"/>
    </xf>
    <xf numFmtId="0" fontId="53" fillId="0" borderId="0" xfId="0" applyFont="1" applyAlignment="1">
      <alignment horizontal="left" vertical="center"/>
    </xf>
    <xf numFmtId="0" fontId="11" fillId="0" borderId="8" xfId="0" applyFont="1" applyBorder="1" applyAlignment="1">
      <alignment horizontal="center" wrapText="1"/>
    </xf>
    <xf numFmtId="0" fontId="11" fillId="0" borderId="9" xfId="0" applyFont="1" applyBorder="1" applyAlignment="1">
      <alignment horizontal="center" wrapText="1"/>
    </xf>
    <xf numFmtId="0" fontId="12" fillId="5" borderId="11" xfId="0" applyFont="1" applyFill="1" applyBorder="1" applyAlignment="1">
      <alignment horizontal="center" wrapText="1"/>
    </xf>
    <xf numFmtId="0" fontId="12" fillId="0" borderId="11" xfId="0" applyFont="1" applyBorder="1" applyAlignment="1">
      <alignment horizontal="left"/>
    </xf>
    <xf numFmtId="0" fontId="12" fillId="0" borderId="11" xfId="0" applyFont="1" applyBorder="1" applyAlignment="1">
      <alignment horizontal="left" vertical="center" wrapText="1"/>
    </xf>
    <xf numFmtId="0" fontId="12" fillId="5" borderId="11" xfId="0" applyFont="1" applyFill="1" applyBorder="1" applyAlignment="1">
      <alignment horizontal="left" wrapText="1"/>
    </xf>
    <xf numFmtId="0" fontId="12" fillId="0" borderId="10" xfId="0" applyFont="1" applyBorder="1" applyAlignment="1">
      <alignment horizontal="center" wrapText="1"/>
    </xf>
    <xf numFmtId="0" fontId="12" fillId="5" borderId="11" xfId="0" applyFont="1" applyFill="1" applyBorder="1" applyAlignment="1">
      <alignment horizontal="left" vertical="center" wrapText="1"/>
    </xf>
    <xf numFmtId="0" fontId="12" fillId="5" borderId="11" xfId="0" applyFont="1" applyFill="1" applyBorder="1" applyAlignment="1">
      <alignment horizontal="left" vertical="center"/>
    </xf>
    <xf numFmtId="0" fontId="12" fillId="0" borderId="11" xfId="0" applyFont="1" applyBorder="1" applyAlignment="1">
      <alignment horizontal="left" vertical="center"/>
    </xf>
    <xf numFmtId="0" fontId="12" fillId="5" borderId="10" xfId="0" applyFont="1" applyFill="1" applyBorder="1" applyAlignment="1">
      <alignment horizontal="center"/>
    </xf>
    <xf numFmtId="164" fontId="12" fillId="0" borderId="0" xfId="0" applyNumberFormat="1" applyFont="1" applyAlignment="1">
      <alignment horizontal="center"/>
    </xf>
    <xf numFmtId="0" fontId="12" fillId="0" borderId="14" xfId="0" applyFont="1" applyBorder="1" applyAlignment="1">
      <alignment horizontal="left"/>
    </xf>
    <xf numFmtId="0" fontId="12" fillId="0" borderId="8" xfId="0" applyFont="1" applyBorder="1" applyAlignment="1">
      <alignment wrapText="1"/>
    </xf>
    <xf numFmtId="0" fontId="12" fillId="5" borderId="6" xfId="0" applyFont="1" applyFill="1" applyBorder="1" applyAlignment="1">
      <alignment wrapText="1"/>
    </xf>
    <xf numFmtId="164" fontId="12" fillId="5" borderId="6" xfId="0" applyNumberFormat="1" applyFont="1" applyFill="1" applyBorder="1" applyAlignment="1">
      <alignment horizontal="center" vertical="center" wrapText="1"/>
    </xf>
    <xf numFmtId="0" fontId="12" fillId="5" borderId="15" xfId="0" applyFont="1" applyFill="1" applyBorder="1" applyAlignment="1">
      <alignment wrapText="1"/>
    </xf>
    <xf numFmtId="0" fontId="12" fillId="0" borderId="11" xfId="0" applyFont="1" applyBorder="1"/>
    <xf numFmtId="0" fontId="12" fillId="5" borderId="11" xfId="0" applyFont="1" applyFill="1" applyBorder="1" applyAlignment="1">
      <alignment wrapText="1"/>
    </xf>
    <xf numFmtId="0" fontId="12" fillId="5" borderId="11" xfId="0" applyFont="1" applyFill="1" applyBorder="1"/>
    <xf numFmtId="0" fontId="12" fillId="0" borderId="12" xfId="0" applyFont="1" applyBorder="1" applyAlignment="1">
      <alignment wrapText="1"/>
    </xf>
    <xf numFmtId="0" fontId="12" fillId="0" borderId="13" xfId="0" applyFont="1" applyBorder="1" applyAlignment="1">
      <alignment wrapText="1"/>
    </xf>
    <xf numFmtId="0" fontId="12" fillId="0" borderId="14" xfId="0" applyFont="1" applyBorder="1"/>
    <xf numFmtId="0" fontId="20" fillId="0" borderId="0" xfId="0" applyFont="1" applyAlignment="1">
      <alignment wrapText="1"/>
    </xf>
    <xf numFmtId="0" fontId="25" fillId="0" borderId="0" xfId="5" applyBorder="1" applyAlignment="1">
      <alignment vertical="center"/>
    </xf>
    <xf numFmtId="0" fontId="82" fillId="0" borderId="0" xfId="0" applyFont="1" applyAlignment="1">
      <alignment vertical="center"/>
    </xf>
    <xf numFmtId="170" fontId="12" fillId="5" borderId="0" xfId="0" applyNumberFormat="1" applyFont="1" applyFill="1" applyAlignment="1">
      <alignment horizontal="center"/>
    </xf>
    <xf numFmtId="167" fontId="12" fillId="0" borderId="0" xfId="0" applyNumberFormat="1" applyFont="1" applyAlignment="1">
      <alignment horizontal="center" vertical="center" wrapText="1"/>
    </xf>
    <xf numFmtId="0" fontId="12" fillId="0" borderId="0" xfId="0" quotePrefix="1" applyFont="1" applyAlignment="1">
      <alignment horizontal="center" vertical="center" wrapText="1"/>
    </xf>
    <xf numFmtId="167" fontId="14" fillId="0" borderId="0" xfId="0" applyNumberFormat="1" applyFont="1" applyAlignment="1">
      <alignment horizontal="center"/>
    </xf>
    <xf numFmtId="167" fontId="12" fillId="5" borderId="0" xfId="0" applyNumberFormat="1" applyFont="1" applyFill="1" applyAlignment="1">
      <alignment horizontal="center" vertical="center" wrapText="1"/>
    </xf>
    <xf numFmtId="168" fontId="12" fillId="5" borderId="0" xfId="0" applyNumberFormat="1" applyFont="1" applyFill="1" applyAlignment="1">
      <alignment horizontal="center"/>
    </xf>
    <xf numFmtId="166" fontId="12" fillId="0" borderId="0" xfId="0" applyNumberFormat="1" applyFont="1" applyAlignment="1">
      <alignment horizontal="center" vertical="center"/>
    </xf>
    <xf numFmtId="167" fontId="12" fillId="0" borderId="0" xfId="0" applyNumberFormat="1" applyFont="1" applyAlignment="1">
      <alignment horizontal="center" vertical="center"/>
    </xf>
    <xf numFmtId="3" fontId="4" fillId="0" borderId="0" xfId="0" applyNumberFormat="1" applyFont="1"/>
    <xf numFmtId="164" fontId="0" fillId="5" borderId="0" xfId="0" applyNumberFormat="1" applyFill="1"/>
    <xf numFmtId="164" fontId="4" fillId="0" borderId="0" xfId="0" applyNumberFormat="1" applyFont="1"/>
    <xf numFmtId="173" fontId="0" fillId="0" borderId="11" xfId="0" applyNumberFormat="1" applyBorder="1" applyAlignment="1">
      <alignment wrapText="1"/>
    </xf>
    <xf numFmtId="0" fontId="3" fillId="0" borderId="11" xfId="0" applyFont="1" applyBorder="1"/>
    <xf numFmtId="1" fontId="0" fillId="0" borderId="11" xfId="0" applyNumberFormat="1" applyBorder="1"/>
    <xf numFmtId="11" fontId="0" fillId="0" borderId="11" xfId="0" applyNumberFormat="1" applyBorder="1" applyAlignment="1">
      <alignment horizontal="left" vertical="center"/>
    </xf>
    <xf numFmtId="11" fontId="0" fillId="0" borderId="14" xfId="0" applyNumberFormat="1" applyBorder="1" applyAlignment="1">
      <alignment horizontal="left" vertical="center"/>
    </xf>
    <xf numFmtId="0" fontId="0" fillId="0" borderId="0" xfId="0" applyAlignment="1">
      <alignment horizontal="center" wrapText="1"/>
    </xf>
    <xf numFmtId="0" fontId="83" fillId="0" borderId="11" xfId="1" applyFont="1" applyBorder="1" applyAlignment="1">
      <alignment horizontal="center" vertical="center" wrapText="1"/>
    </xf>
    <xf numFmtId="0" fontId="84" fillId="2" borderId="0" xfId="0" applyFont="1" applyFill="1" applyAlignment="1">
      <alignment vertical="center"/>
    </xf>
    <xf numFmtId="2" fontId="0" fillId="0" borderId="13" xfId="0" applyNumberFormat="1" applyBorder="1" applyAlignment="1">
      <alignment horizontal="left" vertical="center"/>
    </xf>
    <xf numFmtId="0" fontId="83" fillId="0" borderId="0" xfId="1" applyFont="1" applyBorder="1" applyAlignment="1">
      <alignment horizontal="center" vertical="center" wrapText="1"/>
    </xf>
    <xf numFmtId="0" fontId="83" fillId="0" borderId="0" xfId="1" applyFont="1" applyBorder="1" applyAlignment="1">
      <alignment horizontal="left" vertical="center"/>
    </xf>
    <xf numFmtId="0" fontId="81" fillId="2" borderId="0" xfId="0" applyFont="1" applyFill="1" applyAlignment="1">
      <alignment horizontal="left"/>
    </xf>
    <xf numFmtId="2" fontId="3" fillId="0" borderId="0" xfId="0" applyNumberFormat="1" applyFont="1" applyAlignment="1">
      <alignment horizontal="left" vertical="center"/>
    </xf>
    <xf numFmtId="0" fontId="3" fillId="0" borderId="0" xfId="0" applyFont="1" applyAlignment="1">
      <alignment vertical="center"/>
    </xf>
    <xf numFmtId="11" fontId="3" fillId="0" borderId="11" xfId="0" applyNumberFormat="1" applyFont="1" applyBorder="1" applyAlignment="1">
      <alignment horizontal="left" vertical="center"/>
    </xf>
    <xf numFmtId="173" fontId="3" fillId="0" borderId="11" xfId="0" applyNumberFormat="1" applyFont="1" applyBorder="1" applyAlignment="1">
      <alignment wrapText="1"/>
    </xf>
    <xf numFmtId="176" fontId="4" fillId="0" borderId="0" xfId="0" applyNumberFormat="1" applyFont="1" applyAlignment="1">
      <alignment horizontal="center" vertical="center" wrapText="1"/>
    </xf>
    <xf numFmtId="2" fontId="0" fillId="2" borderId="0" xfId="0" applyNumberFormat="1" applyFill="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center" vertical="center" wrapText="1"/>
    </xf>
    <xf numFmtId="0" fontId="11" fillId="0" borderId="8" xfId="0" applyFont="1" applyBorder="1" applyAlignment="1">
      <alignment horizontal="center" vertical="center"/>
    </xf>
    <xf numFmtId="0" fontId="35" fillId="2" borderId="0" xfId="0" applyFont="1" applyFill="1"/>
    <xf numFmtId="0" fontId="35" fillId="5" borderId="0" xfId="0" applyFont="1" applyFill="1" applyAlignment="1">
      <alignment horizontal="center" vertical="center" wrapText="1"/>
    </xf>
    <xf numFmtId="0" fontId="35" fillId="0" borderId="0" xfId="0" applyFont="1" applyAlignment="1">
      <alignment horizontal="center" vertical="center" wrapText="1"/>
    </xf>
    <xf numFmtId="2" fontId="35" fillId="0" borderId="0" xfId="0" applyNumberFormat="1" applyFont="1" applyAlignment="1">
      <alignment horizontal="center" vertical="center" wrapText="1"/>
    </xf>
    <xf numFmtId="166" fontId="35" fillId="0" borderId="0" xfId="0" applyNumberFormat="1" applyFont="1" applyAlignment="1">
      <alignment horizontal="center" vertical="center" wrapText="1"/>
    </xf>
    <xf numFmtId="1" fontId="35" fillId="0" borderId="0" xfId="0" applyNumberFormat="1" applyFont="1" applyAlignment="1">
      <alignment horizontal="center" vertical="center" wrapText="1"/>
    </xf>
    <xf numFmtId="169" fontId="35" fillId="0" borderId="0" xfId="0" applyNumberFormat="1" applyFont="1" applyAlignment="1">
      <alignment horizontal="center" vertical="center" wrapText="1"/>
    </xf>
    <xf numFmtId="0" fontId="35" fillId="0" borderId="13" xfId="0" applyFont="1" applyBorder="1" applyAlignment="1">
      <alignment horizontal="center" vertical="center" wrapText="1"/>
    </xf>
    <xf numFmtId="2" fontId="35" fillId="0" borderId="13" xfId="0" applyNumberFormat="1" applyFont="1" applyBorder="1" applyAlignment="1">
      <alignment horizontal="center" vertical="center" wrapText="1"/>
    </xf>
    <xf numFmtId="1" fontId="35" fillId="0" borderId="13" xfId="0" applyNumberFormat="1" applyFont="1" applyBorder="1" applyAlignment="1">
      <alignment horizontal="center" vertical="center" wrapText="1"/>
    </xf>
    <xf numFmtId="169" fontId="35" fillId="0" borderId="13" xfId="0" applyNumberFormat="1" applyFont="1" applyBorder="1" applyAlignment="1">
      <alignment horizontal="center" vertical="center" wrapText="1"/>
    </xf>
    <xf numFmtId="0" fontId="86" fillId="0" borderId="0" xfId="0" applyFont="1"/>
    <xf numFmtId="0" fontId="41" fillId="4" borderId="0" xfId="0" applyFont="1" applyFill="1" applyAlignment="1">
      <alignment horizontal="left" vertical="center" wrapText="1"/>
    </xf>
    <xf numFmtId="0" fontId="30" fillId="4" borderId="0" xfId="0" applyFont="1" applyFill="1" applyAlignment="1">
      <alignment horizontal="right" vertical="center" wrapText="1"/>
    </xf>
    <xf numFmtId="164" fontId="31" fillId="2" borderId="0" xfId="0" applyNumberFormat="1" applyFont="1" applyFill="1" applyAlignment="1">
      <alignment horizontal="center" vertical="center"/>
    </xf>
    <xf numFmtId="164" fontId="31" fillId="0" borderId="0" xfId="0" applyNumberFormat="1" applyFont="1" applyAlignment="1">
      <alignment horizontal="center" vertical="center"/>
    </xf>
    <xf numFmtId="0" fontId="11" fillId="2" borderId="15" xfId="0" applyFont="1" applyFill="1" applyBorder="1" applyAlignment="1">
      <alignment horizontal="center" vertical="center" wrapText="1"/>
    </xf>
    <xf numFmtId="164" fontId="12" fillId="2" borderId="13" xfId="0" applyNumberFormat="1" applyFont="1" applyFill="1" applyBorder="1" applyAlignment="1">
      <alignment horizontal="center" vertical="center" wrapText="1"/>
    </xf>
    <xf numFmtId="164" fontId="12" fillId="2" borderId="14" xfId="0" applyNumberFormat="1" applyFont="1" applyFill="1" applyBorder="1" applyAlignment="1">
      <alignment horizontal="center" vertical="center" wrapText="1"/>
    </xf>
    <xf numFmtId="0" fontId="12" fillId="0" borderId="13" xfId="0" applyFont="1" applyBorder="1" applyAlignment="1">
      <alignment vertical="center"/>
    </xf>
    <xf numFmtId="0" fontId="12" fillId="0" borderId="11" xfId="0" applyFont="1" applyBorder="1" applyAlignment="1">
      <alignment vertical="center"/>
    </xf>
    <xf numFmtId="0" fontId="12" fillId="0" borderId="14" xfId="0" applyFont="1" applyBorder="1" applyAlignment="1">
      <alignment vertical="center"/>
    </xf>
    <xf numFmtId="164" fontId="12" fillId="0" borderId="10" xfId="0" applyNumberFormat="1" applyFont="1" applyBorder="1" applyAlignment="1">
      <alignment horizontal="center" vertical="center" wrapText="1"/>
    </xf>
    <xf numFmtId="164" fontId="12" fillId="0" borderId="12" xfId="0" applyNumberFormat="1" applyFont="1" applyBorder="1" applyAlignment="1">
      <alignment horizontal="center" vertical="center" wrapText="1"/>
    </xf>
    <xf numFmtId="0" fontId="14" fillId="0" borderId="14" xfId="0" applyFont="1" applyBorder="1" applyAlignment="1">
      <alignment horizontal="center" vertical="center" wrapText="1"/>
    </xf>
    <xf numFmtId="164" fontId="14" fillId="0" borderId="11" xfId="0" applyNumberFormat="1" applyFont="1" applyBorder="1" applyAlignment="1">
      <alignment horizontal="center" vertical="center" wrapText="1"/>
    </xf>
    <xf numFmtId="167" fontId="12" fillId="0" borderId="11" xfId="0" applyNumberFormat="1" applyFont="1" applyBorder="1" applyAlignment="1">
      <alignment horizontal="center" vertical="center"/>
    </xf>
    <xf numFmtId="166" fontId="12" fillId="0" borderId="11" xfId="0" applyNumberFormat="1" applyFont="1" applyBorder="1" applyAlignment="1">
      <alignment horizontal="center" vertical="center"/>
    </xf>
    <xf numFmtId="0" fontId="12" fillId="2" borderId="13" xfId="0" applyFont="1" applyFill="1" applyBorder="1" applyAlignment="1">
      <alignment horizontal="center" vertical="center"/>
    </xf>
    <xf numFmtId="0" fontId="87" fillId="0" borderId="0" xfId="0" applyFont="1"/>
    <xf numFmtId="1" fontId="88" fillId="0" borderId="0" xfId="0" applyNumberFormat="1" applyFont="1"/>
    <xf numFmtId="169" fontId="3" fillId="0" borderId="0" xfId="0" applyNumberFormat="1" applyFont="1" applyAlignment="1">
      <alignment horizontal="center" vertical="center"/>
    </xf>
    <xf numFmtId="169" fontId="3" fillId="0" borderId="11" xfId="0" applyNumberFormat="1" applyFont="1" applyBorder="1" applyAlignment="1">
      <alignment horizontal="center" vertical="center"/>
    </xf>
    <xf numFmtId="169" fontId="0" fillId="5" borderId="5" xfId="0" applyNumberFormat="1" applyFill="1" applyBorder="1" applyAlignment="1">
      <alignment horizontal="center" vertical="center"/>
    </xf>
    <xf numFmtId="0" fontId="12" fillId="0" borderId="0" xfId="0" applyFont="1" applyAlignment="1">
      <alignment horizontal="right" vertical="center"/>
    </xf>
    <xf numFmtId="169" fontId="60" fillId="0" borderId="11" xfId="0" applyNumberFormat="1" applyFont="1" applyBorder="1" applyAlignment="1">
      <alignment horizontal="center" vertical="center"/>
    </xf>
    <xf numFmtId="169" fontId="4" fillId="7" borderId="41" xfId="0" applyNumberFormat="1" applyFont="1" applyFill="1" applyBorder="1" applyAlignment="1">
      <alignment horizontal="center" vertical="center"/>
    </xf>
    <xf numFmtId="169" fontId="4" fillId="7" borderId="42" xfId="0" applyNumberFormat="1" applyFont="1" applyFill="1" applyBorder="1" applyAlignment="1">
      <alignment horizontal="center" vertical="center"/>
    </xf>
    <xf numFmtId="169" fontId="4" fillId="7" borderId="43" xfId="0" applyNumberFormat="1" applyFont="1" applyFill="1" applyBorder="1" applyAlignment="1">
      <alignment horizontal="center" vertical="center"/>
    </xf>
    <xf numFmtId="169" fontId="4" fillId="5" borderId="0" xfId="0" applyNumberFormat="1" applyFont="1" applyFill="1" applyAlignment="1">
      <alignment horizontal="center" vertical="center" wrapText="1"/>
    </xf>
    <xf numFmtId="169" fontId="14" fillId="0" borderId="0" xfId="0" applyNumberFormat="1" applyFont="1" applyAlignment="1">
      <alignment horizontal="center" vertical="center" wrapText="1"/>
    </xf>
    <xf numFmtId="169" fontId="62" fillId="0" borderId="0" xfId="3" applyNumberFormat="1" applyFont="1" applyAlignment="1">
      <alignment horizontal="center" vertical="center"/>
    </xf>
    <xf numFmtId="169" fontId="4" fillId="7" borderId="7" xfId="0" applyNumberFormat="1" applyFont="1" applyFill="1" applyBorder="1" applyAlignment="1">
      <alignment horizontal="center" vertical="center"/>
    </xf>
    <xf numFmtId="169" fontId="13" fillId="7" borderId="35" xfId="0" applyNumberFormat="1" applyFont="1" applyFill="1" applyBorder="1" applyAlignment="1">
      <alignment horizontal="center" vertical="center" wrapText="1"/>
    </xf>
    <xf numFmtId="169" fontId="13" fillId="7" borderId="8" xfId="0" applyNumberFormat="1" applyFont="1" applyFill="1" applyBorder="1" applyAlignment="1">
      <alignment horizontal="center" vertical="center" wrapText="1"/>
    </xf>
    <xf numFmtId="169" fontId="13" fillId="7" borderId="36" xfId="0" applyNumberFormat="1" applyFont="1" applyFill="1" applyBorder="1" applyAlignment="1">
      <alignment horizontal="center" vertical="center" wrapText="1"/>
    </xf>
    <xf numFmtId="169" fontId="0" fillId="0" borderId="0" xfId="0" applyNumberFormat="1" applyAlignment="1">
      <alignment horizontal="center" vertical="center" wrapText="1"/>
    </xf>
    <xf numFmtId="169" fontId="13" fillId="7" borderId="8" xfId="0" applyNumberFormat="1" applyFont="1" applyFill="1" applyBorder="1" applyAlignment="1">
      <alignment horizontal="center" vertical="center"/>
    </xf>
    <xf numFmtId="169" fontId="5" fillId="0" borderId="0" xfId="0" applyNumberFormat="1" applyFont="1" applyAlignment="1">
      <alignment horizontal="center" vertical="center" wrapText="1"/>
    </xf>
    <xf numFmtId="169" fontId="5" fillId="7" borderId="8" xfId="0" applyNumberFormat="1" applyFont="1" applyFill="1" applyBorder="1" applyAlignment="1">
      <alignment horizontal="center" vertical="center" wrapText="1"/>
    </xf>
    <xf numFmtId="169" fontId="5" fillId="0" borderId="13" xfId="0" applyNumberFormat="1" applyFont="1" applyBorder="1" applyAlignment="1">
      <alignment horizontal="center" vertical="center" wrapText="1"/>
    </xf>
    <xf numFmtId="169" fontId="63" fillId="0" borderId="0" xfId="3" applyNumberFormat="1" applyFont="1" applyAlignment="1">
      <alignment horizontal="center" vertical="center"/>
    </xf>
    <xf numFmtId="169" fontId="62" fillId="5" borderId="0" xfId="3" applyNumberFormat="1" applyFont="1" applyFill="1" applyAlignment="1">
      <alignment horizontal="center" vertical="center"/>
    </xf>
    <xf numFmtId="169" fontId="4" fillId="5" borderId="6" xfId="0" applyNumberFormat="1" applyFont="1" applyFill="1" applyBorder="1" applyAlignment="1">
      <alignment horizontal="center" vertical="center" wrapText="1"/>
    </xf>
    <xf numFmtId="169" fontId="3" fillId="0" borderId="21" xfId="0" applyNumberFormat="1" applyFont="1" applyBorder="1" applyAlignment="1">
      <alignment horizontal="center" vertical="center"/>
    </xf>
    <xf numFmtId="164" fontId="12" fillId="2" borderId="0" xfId="0" applyNumberFormat="1" applyFont="1" applyFill="1" applyAlignment="1">
      <alignment horizontal="center" wrapText="1"/>
    </xf>
    <xf numFmtId="1" fontId="27" fillId="2" borderId="0" xfId="0" applyNumberFormat="1" applyFont="1" applyFill="1" applyAlignment="1">
      <alignment horizontal="center" vertical="center" wrapText="1"/>
    </xf>
    <xf numFmtId="1" fontId="27" fillId="2" borderId="0" xfId="7" applyNumberFormat="1" applyFont="1" applyFill="1" applyAlignment="1">
      <alignment horizontal="center"/>
    </xf>
    <xf numFmtId="0" fontId="4" fillId="2" borderId="7" xfId="0" applyFont="1" applyFill="1" applyBorder="1" applyAlignment="1">
      <alignment horizontal="center" vertical="center"/>
    </xf>
    <xf numFmtId="164" fontId="12" fillId="0" borderId="15" xfId="0" applyNumberFormat="1" applyFont="1" applyBorder="1" applyAlignment="1">
      <alignment horizontal="center" vertical="center"/>
    </xf>
    <xf numFmtId="0" fontId="12" fillId="0" borderId="5" xfId="0" applyFont="1" applyBorder="1" applyAlignment="1">
      <alignment horizontal="center"/>
    </xf>
    <xf numFmtId="11" fontId="0" fillId="13" borderId="0" xfId="0" applyNumberFormat="1" applyFill="1"/>
    <xf numFmtId="11" fontId="0" fillId="13" borderId="0" xfId="0" applyNumberFormat="1" applyFill="1" applyAlignment="1">
      <alignment vertical="center"/>
    </xf>
    <xf numFmtId="11" fontId="59" fillId="0" borderId="0" xfId="0" applyNumberFormat="1" applyFont="1" applyAlignment="1">
      <alignment horizontal="center" vertical="center" wrapText="1"/>
    </xf>
    <xf numFmtId="169" fontId="3" fillId="0" borderId="0" xfId="0" applyNumberFormat="1" applyFont="1" applyAlignment="1">
      <alignment horizontal="center" vertical="center" wrapText="1"/>
    </xf>
    <xf numFmtId="169" fontId="89" fillId="0" borderId="0" xfId="0" applyNumberFormat="1" applyFont="1" applyAlignment="1">
      <alignment horizontal="center" vertical="center" wrapText="1"/>
    </xf>
    <xf numFmtId="169" fontId="46" fillId="0" borderId="0" xfId="0" applyNumberFormat="1" applyFont="1" applyAlignment="1">
      <alignment horizontal="center" vertical="center"/>
    </xf>
    <xf numFmtId="0" fontId="0" fillId="0" borderId="11" xfId="0" applyBorder="1" applyAlignment="1">
      <alignment horizontal="center" vertical="center" wrapText="1"/>
    </xf>
    <xf numFmtId="0" fontId="87" fillId="0" borderId="0" xfId="0" applyFont="1" applyAlignment="1">
      <alignment wrapText="1"/>
    </xf>
    <xf numFmtId="11" fontId="0" fillId="0" borderId="0" xfId="0" pivotButton="1" applyNumberFormat="1"/>
    <xf numFmtId="11" fontId="0" fillId="0" borderId="0" xfId="0" pivotButton="1" applyNumberFormat="1" applyAlignment="1">
      <alignment wrapText="1"/>
    </xf>
    <xf numFmtId="11" fontId="0" fillId="0" borderId="28" xfId="0" applyNumberFormat="1" applyBorder="1"/>
    <xf numFmtId="11" fontId="0" fillId="0" borderId="29" xfId="0" applyNumberFormat="1" applyBorder="1"/>
    <xf numFmtId="11" fontId="0" fillId="0" borderId="34" xfId="0" applyNumberFormat="1" applyBorder="1"/>
    <xf numFmtId="11" fontId="0" fillId="0" borderId="30" xfId="0" applyNumberFormat="1" applyBorder="1"/>
    <xf numFmtId="0" fontId="0" fillId="2" borderId="0" xfId="0" applyFill="1" applyAlignment="1">
      <alignment wrapText="1"/>
    </xf>
    <xf numFmtId="169" fontId="4" fillId="5" borderId="11" xfId="0" applyNumberFormat="1" applyFont="1" applyFill="1" applyBorder="1" applyAlignment="1">
      <alignment horizontal="center" vertical="center" wrapText="1"/>
    </xf>
    <xf numFmtId="169" fontId="4" fillId="5" borderId="11" xfId="0" applyNumberFormat="1" applyFont="1" applyFill="1" applyBorder="1" applyAlignment="1">
      <alignment horizontal="center" vertical="center"/>
    </xf>
    <xf numFmtId="169" fontId="4" fillId="0" borderId="11" xfId="0" applyNumberFormat="1" applyFont="1" applyBorder="1" applyAlignment="1">
      <alignment horizontal="center" vertical="center"/>
    </xf>
    <xf numFmtId="169" fontId="62" fillId="5" borderId="11" xfId="3" applyNumberFormat="1" applyFont="1" applyFill="1" applyBorder="1" applyAlignment="1">
      <alignment horizontal="center" vertical="center"/>
    </xf>
    <xf numFmtId="169" fontId="62" fillId="0" borderId="11" xfId="3" applyNumberFormat="1" applyFont="1" applyBorder="1" applyAlignment="1">
      <alignment horizontal="center" vertical="center"/>
    </xf>
    <xf numFmtId="169" fontId="0" fillId="0" borderId="10" xfId="0" applyNumberFormat="1" applyBorder="1" applyAlignment="1">
      <alignment horizontal="center" vertical="center" wrapText="1"/>
    </xf>
    <xf numFmtId="169" fontId="0" fillId="0" borderId="11" xfId="0" applyNumberFormat="1" applyBorder="1" applyAlignment="1">
      <alignment horizontal="center" vertical="center" wrapText="1"/>
    </xf>
    <xf numFmtId="169" fontId="0" fillId="0" borderId="12" xfId="0" applyNumberFormat="1" applyBorder="1"/>
    <xf numFmtId="169" fontId="0" fillId="0" borderId="13" xfId="0" applyNumberFormat="1" applyBorder="1"/>
    <xf numFmtId="169" fontId="0" fillId="0" borderId="14" xfId="0" applyNumberFormat="1" applyBorder="1"/>
    <xf numFmtId="169" fontId="0" fillId="5" borderId="0" xfId="0" applyNumberFormat="1" applyFill="1" applyAlignment="1">
      <alignment horizontal="center" vertical="center" wrapText="1"/>
    </xf>
    <xf numFmtId="169" fontId="0" fillId="5" borderId="10" xfId="0" applyNumberFormat="1" applyFill="1" applyBorder="1" applyAlignment="1">
      <alignment horizontal="center" vertical="center" wrapText="1"/>
    </xf>
    <xf numFmtId="169" fontId="0" fillId="5" borderId="11" xfId="0" applyNumberFormat="1" applyFill="1" applyBorder="1" applyAlignment="1">
      <alignment horizontal="center" vertical="center" wrapText="1"/>
    </xf>
    <xf numFmtId="168" fontId="0" fillId="0" borderId="0" xfId="0" applyNumberFormat="1"/>
    <xf numFmtId="169" fontId="4" fillId="5" borderId="15" xfId="0" applyNumberFormat="1" applyFont="1" applyFill="1" applyBorder="1" applyAlignment="1">
      <alignment horizontal="center" vertical="center" wrapText="1"/>
    </xf>
    <xf numFmtId="11" fontId="0" fillId="0" borderId="10" xfId="0" applyNumberFormat="1" applyBorder="1"/>
    <xf numFmtId="11" fontId="0" fillId="0" borderId="11" xfId="0" applyNumberFormat="1" applyBorder="1"/>
    <xf numFmtId="11" fontId="0" fillId="0" borderId="10" xfId="0" applyNumberFormat="1" applyBorder="1" applyAlignment="1">
      <alignment horizontal="center" vertical="center"/>
    </xf>
    <xf numFmtId="11" fontId="0" fillId="13" borderId="0" xfId="0" applyNumberFormat="1" applyFill="1" applyAlignment="1">
      <alignment horizontal="center" vertical="center"/>
    </xf>
    <xf numFmtId="11" fontId="0" fillId="13" borderId="0" xfId="0" applyNumberFormat="1" applyFill="1" applyAlignment="1">
      <alignment horizontal="center" vertical="center" wrapText="1"/>
    </xf>
    <xf numFmtId="11" fontId="0" fillId="13" borderId="11" xfId="0" applyNumberFormat="1" applyFill="1" applyBorder="1" applyAlignment="1">
      <alignment horizontal="center" vertical="center" wrapText="1"/>
    </xf>
    <xf numFmtId="11" fontId="0" fillId="0" borderId="12" xfId="0" applyNumberFormat="1" applyBorder="1"/>
    <xf numFmtId="11" fontId="0" fillId="0" borderId="13" xfId="0" applyNumberFormat="1" applyBorder="1"/>
    <xf numFmtId="11" fontId="0" fillId="0" borderId="14" xfId="0" applyNumberFormat="1" applyBorder="1"/>
    <xf numFmtId="11" fontId="0" fillId="5" borderId="10" xfId="0" applyNumberFormat="1" applyFill="1" applyBorder="1"/>
    <xf numFmtId="11" fontId="0" fillId="5" borderId="10" xfId="0" applyNumberFormat="1" applyFill="1" applyBorder="1" applyAlignment="1">
      <alignment horizontal="center" vertical="center"/>
    </xf>
    <xf numFmtId="11" fontId="0" fillId="5" borderId="11" xfId="0" applyNumberFormat="1" applyFill="1" applyBorder="1" applyAlignment="1">
      <alignment horizontal="center" vertical="center" wrapText="1"/>
    </xf>
    <xf numFmtId="11" fontId="0" fillId="5" borderId="11" xfId="0" applyNumberFormat="1" applyFill="1" applyBorder="1" applyAlignment="1">
      <alignment horizontal="center" vertical="center"/>
    </xf>
    <xf numFmtId="11" fontId="0" fillId="5" borderId="0" xfId="0" applyNumberFormat="1" applyFill="1" applyAlignment="1">
      <alignment horizontal="left" vertical="center"/>
    </xf>
    <xf numFmtId="11" fontId="59" fillId="0" borderId="7" xfId="0" applyNumberFormat="1" applyFont="1" applyBorder="1" applyAlignment="1">
      <alignment horizontal="center" vertical="center" wrapText="1"/>
    </xf>
    <xf numFmtId="11" fontId="59" fillId="0" borderId="8" xfId="0" applyNumberFormat="1" applyFont="1" applyBorder="1" applyAlignment="1">
      <alignment horizontal="center" vertical="center" wrapText="1"/>
    </xf>
    <xf numFmtId="11" fontId="64" fillId="0" borderId="8" xfId="0" applyNumberFormat="1" applyFont="1" applyBorder="1" applyAlignment="1">
      <alignment horizontal="center" vertical="center" wrapText="1"/>
    </xf>
    <xf numFmtId="11" fontId="59" fillId="0" borderId="9" xfId="0" applyNumberFormat="1" applyFont="1" applyBorder="1" applyAlignment="1">
      <alignment horizontal="center" vertical="center" wrapText="1"/>
    </xf>
    <xf numFmtId="169" fontId="0" fillId="2" borderId="0" xfId="0" applyNumberFormat="1" applyFill="1" applyAlignment="1">
      <alignment horizontal="center" vertical="center"/>
    </xf>
    <xf numFmtId="169" fontId="0" fillId="2" borderId="11" xfId="0" applyNumberFormat="1" applyFill="1" applyBorder="1" applyAlignment="1">
      <alignment horizontal="center" vertical="center"/>
    </xf>
    <xf numFmtId="11" fontId="59" fillId="0" borderId="12" xfId="0" applyNumberFormat="1" applyFont="1" applyBorder="1" applyAlignment="1">
      <alignment horizontal="center" vertical="center" wrapText="1"/>
    </xf>
    <xf numFmtId="11" fontId="64" fillId="0" borderId="13" xfId="0" applyNumberFormat="1" applyFont="1" applyBorder="1" applyAlignment="1">
      <alignment horizontal="center" vertical="center" wrapText="1"/>
    </xf>
    <xf numFmtId="11" fontId="59" fillId="0" borderId="14" xfId="0" applyNumberFormat="1" applyFont="1" applyBorder="1" applyAlignment="1">
      <alignment horizontal="center" vertical="center" wrapText="1"/>
    </xf>
    <xf numFmtId="11" fontId="59" fillId="0" borderId="13" xfId="0" applyNumberFormat="1" applyFont="1" applyBorder="1" applyAlignment="1">
      <alignment horizontal="center" vertical="center" wrapText="1"/>
    </xf>
    <xf numFmtId="169" fontId="4" fillId="0" borderId="10" xfId="0" applyNumberFormat="1" applyFont="1" applyBorder="1" applyAlignment="1">
      <alignment horizontal="center" vertical="center" wrapText="1"/>
    </xf>
    <xf numFmtId="169" fontId="13" fillId="0" borderId="0" xfId="0" applyNumberFormat="1" applyFont="1" applyAlignment="1">
      <alignment horizontal="center" vertical="center"/>
    </xf>
    <xf numFmtId="169" fontId="60" fillId="7" borderId="0" xfId="0" applyNumberFormat="1" applyFont="1" applyFill="1"/>
    <xf numFmtId="169" fontId="59" fillId="6" borderId="5" xfId="0" applyNumberFormat="1" applyFont="1" applyFill="1" applyBorder="1"/>
    <xf numFmtId="169" fontId="60" fillId="6" borderId="6" xfId="0" applyNumberFormat="1" applyFont="1" applyFill="1" applyBorder="1"/>
    <xf numFmtId="169" fontId="60" fillId="6" borderId="15" xfId="0" applyNumberFormat="1" applyFont="1" applyFill="1" applyBorder="1"/>
    <xf numFmtId="169" fontId="59" fillId="7" borderId="10" xfId="0" applyNumberFormat="1" applyFont="1" applyFill="1" applyBorder="1"/>
    <xf numFmtId="169" fontId="60" fillId="7" borderId="11" xfId="0" applyNumberFormat="1" applyFont="1" applyFill="1" applyBorder="1"/>
    <xf numFmtId="169" fontId="13" fillId="0" borderId="10" xfId="0" applyNumberFormat="1" applyFont="1" applyBorder="1" applyAlignment="1">
      <alignment horizontal="center" vertical="center"/>
    </xf>
    <xf numFmtId="169" fontId="3" fillId="0" borderId="10" xfId="0" applyNumberFormat="1" applyFont="1" applyBorder="1" applyAlignment="1">
      <alignment horizontal="center" vertical="center"/>
    </xf>
    <xf numFmtId="0" fontId="60" fillId="0" borderId="11" xfId="0" applyFont="1" applyBorder="1" applyAlignment="1">
      <alignment horizontal="center" vertical="center"/>
    </xf>
    <xf numFmtId="169" fontId="3" fillId="5" borderId="10" xfId="0" applyNumberFormat="1" applyFont="1" applyFill="1" applyBorder="1" applyAlignment="1">
      <alignment horizontal="center" vertical="center"/>
    </xf>
    <xf numFmtId="169" fontId="3" fillId="5" borderId="0" xfId="0" applyNumberFormat="1" applyFont="1" applyFill="1" applyAlignment="1">
      <alignment horizontal="center" vertical="center"/>
    </xf>
    <xf numFmtId="169" fontId="3" fillId="5" borderId="11" xfId="0" applyNumberFormat="1" applyFont="1" applyFill="1" applyBorder="1" applyAlignment="1">
      <alignment horizontal="center" vertical="center"/>
    </xf>
    <xf numFmtId="169" fontId="0" fillId="14" borderId="0" xfId="0" applyNumberFormat="1" applyFill="1" applyAlignment="1">
      <alignment horizontal="center" vertical="center"/>
    </xf>
    <xf numFmtId="169" fontId="75" fillId="7" borderId="28" xfId="0" applyNumberFormat="1" applyFont="1" applyFill="1" applyBorder="1"/>
    <xf numFmtId="169" fontId="0" fillId="7" borderId="29" xfId="0" applyNumberFormat="1" applyFill="1" applyBorder="1"/>
    <xf numFmtId="169" fontId="0" fillId="5" borderId="40" xfId="0" applyNumberFormat="1" applyFill="1" applyBorder="1" applyAlignment="1">
      <alignment horizontal="center" vertical="center"/>
    </xf>
    <xf numFmtId="169" fontId="0" fillId="7" borderId="39" xfId="0" applyNumberFormat="1" applyFill="1" applyBorder="1" applyAlignment="1">
      <alignment horizontal="center" vertical="center"/>
    </xf>
    <xf numFmtId="169" fontId="0" fillId="7" borderId="40" xfId="0" applyNumberFormat="1" applyFill="1" applyBorder="1" applyAlignment="1">
      <alignment horizontal="center" vertical="center"/>
    </xf>
    <xf numFmtId="169" fontId="0" fillId="5" borderId="39" xfId="0" applyNumberFormat="1" applyFill="1" applyBorder="1" applyAlignment="1">
      <alignment horizontal="center" vertical="center"/>
    </xf>
    <xf numFmtId="169" fontId="0" fillId="14" borderId="34" xfId="0" applyNumberFormat="1" applyFill="1" applyBorder="1" applyAlignment="1">
      <alignment horizontal="center" vertical="center"/>
    </xf>
    <xf numFmtId="169" fontId="12" fillId="14" borderId="0" xfId="0" applyNumberFormat="1" applyFont="1" applyFill="1" applyAlignment="1">
      <alignment horizontal="center" vertical="center" wrapText="1"/>
    </xf>
    <xf numFmtId="169" fontId="0" fillId="5" borderId="34" xfId="0" applyNumberFormat="1" applyFill="1" applyBorder="1" applyAlignment="1">
      <alignment horizontal="center" vertical="center"/>
    </xf>
    <xf numFmtId="169" fontId="0" fillId="5" borderId="21" xfId="0" applyNumberFormat="1" applyFill="1" applyBorder="1" applyAlignment="1">
      <alignment horizontal="center" vertical="center"/>
    </xf>
    <xf numFmtId="169" fontId="0" fillId="7" borderId="35" xfId="0" applyNumberFormat="1" applyFill="1" applyBorder="1" applyAlignment="1">
      <alignment horizontal="center" vertical="center"/>
    </xf>
    <xf numFmtId="169" fontId="0" fillId="7" borderId="36" xfId="0" applyNumberFormat="1" applyFill="1" applyBorder="1" applyAlignment="1">
      <alignment horizontal="center" vertical="center"/>
    </xf>
    <xf numFmtId="169" fontId="0" fillId="7" borderId="37" xfId="0" applyNumberFormat="1" applyFill="1" applyBorder="1" applyAlignment="1">
      <alignment horizontal="center" vertical="center"/>
    </xf>
    <xf numFmtId="169" fontId="0" fillId="7" borderId="38" xfId="0" applyNumberFormat="1" applyFill="1" applyBorder="1" applyAlignment="1">
      <alignment horizontal="center" vertical="center"/>
    </xf>
    <xf numFmtId="0" fontId="4" fillId="14" borderId="0" xfId="0" applyFont="1" applyFill="1" applyAlignment="1">
      <alignment horizontal="center" vertical="center"/>
    </xf>
    <xf numFmtId="0" fontId="13" fillId="2" borderId="0" xfId="0" applyFont="1" applyFill="1" applyAlignment="1">
      <alignment horizontal="center" vertical="center" wrapText="1"/>
    </xf>
    <xf numFmtId="169" fontId="59" fillId="0" borderId="10" xfId="0" applyNumberFormat="1" applyFont="1" applyBorder="1" applyAlignment="1">
      <alignment horizontal="center" vertical="center" wrapText="1"/>
    </xf>
    <xf numFmtId="169" fontId="59" fillId="0" borderId="11" xfId="0" applyNumberFormat="1" applyFont="1" applyBorder="1" applyAlignment="1">
      <alignment horizontal="center" vertical="center"/>
    </xf>
    <xf numFmtId="169" fontId="0" fillId="7" borderId="12" xfId="0" applyNumberFormat="1" applyFill="1" applyBorder="1" applyAlignment="1">
      <alignment horizontal="center" vertical="center"/>
    </xf>
    <xf numFmtId="169" fontId="0" fillId="7" borderId="14" xfId="0" applyNumberFormat="1" applyFill="1" applyBorder="1" applyAlignment="1">
      <alignment horizontal="center" vertical="center"/>
    </xf>
    <xf numFmtId="169" fontId="0" fillId="7" borderId="7" xfId="0" applyNumberFormat="1" applyFill="1" applyBorder="1" applyAlignment="1">
      <alignment horizontal="center" vertical="center"/>
    </xf>
    <xf numFmtId="169" fontId="4" fillId="7" borderId="0" xfId="0" applyNumberFormat="1" applyFont="1" applyFill="1" applyAlignment="1">
      <alignment horizontal="center" vertical="center"/>
    </xf>
    <xf numFmtId="169" fontId="4" fillId="7" borderId="9" xfId="0" applyNumberFormat="1" applyFont="1" applyFill="1" applyBorder="1" applyAlignment="1">
      <alignment horizontal="center" vertical="center"/>
    </xf>
    <xf numFmtId="0" fontId="0" fillId="7" borderId="44" xfId="0" applyFill="1" applyBorder="1" applyAlignment="1">
      <alignment horizontal="center" vertical="center"/>
    </xf>
    <xf numFmtId="0" fontId="4" fillId="5" borderId="45" xfId="0" applyFont="1" applyFill="1" applyBorder="1" applyAlignment="1">
      <alignment horizontal="center" vertical="center"/>
    </xf>
    <xf numFmtId="0" fontId="3" fillId="0" borderId="45" xfId="0" applyFont="1" applyBorder="1" applyAlignment="1">
      <alignment horizontal="center" vertical="center"/>
    </xf>
    <xf numFmtId="0" fontId="0" fillId="0" borderId="45" xfId="0" applyBorder="1" applyAlignment="1">
      <alignment horizontal="center" vertical="center"/>
    </xf>
    <xf numFmtId="0" fontId="0" fillId="7" borderId="46" xfId="0" applyFill="1" applyBorder="1" applyAlignment="1">
      <alignment horizontal="center" vertical="center"/>
    </xf>
    <xf numFmtId="0" fontId="0" fillId="0" borderId="27" xfId="0" applyBorder="1" applyAlignment="1">
      <alignment horizontal="center" vertical="center"/>
    </xf>
    <xf numFmtId="169" fontId="0" fillId="0" borderId="34" xfId="0" applyNumberFormat="1" applyBorder="1"/>
    <xf numFmtId="169" fontId="0" fillId="0" borderId="37" xfId="0" applyNumberFormat="1" applyBorder="1"/>
    <xf numFmtId="169" fontId="0" fillId="5" borderId="39" xfId="0" applyNumberFormat="1" applyFill="1" applyBorder="1"/>
    <xf numFmtId="169" fontId="0" fillId="5" borderId="34" xfId="0" applyNumberFormat="1" applyFill="1" applyBorder="1"/>
    <xf numFmtId="2" fontId="3" fillId="0" borderId="14" xfId="0" applyNumberFormat="1" applyFont="1" applyBorder="1" applyAlignment="1">
      <alignment horizontal="center" vertical="center"/>
    </xf>
    <xf numFmtId="0" fontId="0" fillId="7" borderId="47" xfId="0" applyFill="1" applyBorder="1" applyAlignment="1">
      <alignment horizontal="center" vertical="center"/>
    </xf>
    <xf numFmtId="169" fontId="0" fillId="7" borderId="13" xfId="0" applyNumberFormat="1" applyFill="1" applyBorder="1" applyAlignment="1">
      <alignment horizontal="center" vertical="center" wrapText="1"/>
    </xf>
    <xf numFmtId="169" fontId="0" fillId="7" borderId="8" xfId="0" applyNumberFormat="1" applyFill="1" applyBorder="1" applyAlignment="1">
      <alignment horizontal="center" vertical="center" wrapText="1"/>
    </xf>
    <xf numFmtId="169" fontId="0" fillId="7" borderId="6" xfId="0" applyNumberFormat="1" applyFill="1" applyBorder="1" applyAlignment="1">
      <alignment horizontal="center" vertical="center" wrapText="1"/>
    </xf>
    <xf numFmtId="169" fontId="19" fillId="5" borderId="0" xfId="0" applyNumberFormat="1" applyFont="1" applyFill="1" applyAlignment="1">
      <alignment horizontal="center" vertical="center"/>
    </xf>
    <xf numFmtId="169" fontId="19" fillId="5" borderId="11" xfId="0" applyNumberFormat="1" applyFont="1" applyFill="1" applyBorder="1" applyAlignment="1">
      <alignment horizontal="center" vertical="center"/>
    </xf>
    <xf numFmtId="169" fontId="59" fillId="6" borderId="5" xfId="0" applyNumberFormat="1" applyFont="1" applyFill="1" applyBorder="1" applyAlignment="1">
      <alignment horizontal="left" vertical="center"/>
    </xf>
    <xf numFmtId="169" fontId="60" fillId="6" borderId="6" xfId="0" applyNumberFormat="1" applyFont="1" applyFill="1" applyBorder="1" applyAlignment="1">
      <alignment horizontal="center" vertical="center"/>
    </xf>
    <xf numFmtId="169" fontId="60" fillId="6" borderId="15" xfId="0" applyNumberFormat="1" applyFont="1" applyFill="1" applyBorder="1" applyAlignment="1">
      <alignment horizontal="center" vertical="center"/>
    </xf>
    <xf numFmtId="169" fontId="59" fillId="7" borderId="10" xfId="0" applyNumberFormat="1" applyFont="1" applyFill="1" applyBorder="1" applyAlignment="1">
      <alignment horizontal="left" vertical="center"/>
    </xf>
    <xf numFmtId="169" fontId="60" fillId="7" borderId="0" xfId="0" applyNumberFormat="1" applyFont="1" applyFill="1" applyAlignment="1">
      <alignment horizontal="center" vertical="center"/>
    </xf>
    <xf numFmtId="169" fontId="60" fillId="7" borderId="11" xfId="0" applyNumberFormat="1" applyFont="1" applyFill="1" applyBorder="1" applyAlignment="1">
      <alignment horizontal="center" vertical="center"/>
    </xf>
    <xf numFmtId="169" fontId="12" fillId="0" borderId="0" xfId="0" applyNumberFormat="1" applyFont="1" applyAlignment="1">
      <alignment horizontal="center" vertical="center" wrapText="1"/>
    </xf>
    <xf numFmtId="169" fontId="0" fillId="7" borderId="34" xfId="0" applyNumberFormat="1" applyFill="1" applyBorder="1" applyAlignment="1">
      <alignment horizontal="center" vertical="center"/>
    </xf>
    <xf numFmtId="169" fontId="0" fillId="7" borderId="11" xfId="0" applyNumberFormat="1" applyFill="1" applyBorder="1" applyAlignment="1">
      <alignment horizontal="center" vertical="center"/>
    </xf>
    <xf numFmtId="169" fontId="3" fillId="0" borderId="34" xfId="0" applyNumberFormat="1" applyFont="1" applyBorder="1" applyAlignment="1">
      <alignment horizontal="center" vertical="center"/>
    </xf>
    <xf numFmtId="169" fontId="4" fillId="0" borderId="10" xfId="0" applyNumberFormat="1" applyFont="1" applyBorder="1" applyAlignment="1">
      <alignment horizontal="center" vertical="center"/>
    </xf>
    <xf numFmtId="169" fontId="12" fillId="0" borderId="10" xfId="0" applyNumberFormat="1" applyFont="1" applyBorder="1" applyAlignment="1">
      <alignment horizontal="center" vertical="center"/>
    </xf>
    <xf numFmtId="169" fontId="12" fillId="0" borderId="12" xfId="0" applyNumberFormat="1" applyFont="1" applyBorder="1" applyAlignment="1">
      <alignment horizontal="center" vertical="center"/>
    </xf>
    <xf numFmtId="169" fontId="12" fillId="0" borderId="13" xfId="0" applyNumberFormat="1" applyFont="1" applyBorder="1" applyAlignment="1">
      <alignment horizontal="center" vertical="center" wrapText="1"/>
    </xf>
    <xf numFmtId="169" fontId="64" fillId="0" borderId="5" xfId="0" applyNumberFormat="1" applyFont="1" applyBorder="1" applyAlignment="1">
      <alignment horizontal="center" vertical="center" wrapText="1"/>
    </xf>
    <xf numFmtId="169" fontId="64" fillId="0" borderId="7" xfId="0" applyNumberFormat="1" applyFont="1" applyBorder="1" applyAlignment="1">
      <alignment horizontal="center" vertical="center" wrapText="1"/>
    </xf>
    <xf numFmtId="169" fontId="46" fillId="0" borderId="10" xfId="0" applyNumberFormat="1" applyFont="1" applyBorder="1" applyAlignment="1">
      <alignment horizontal="center" vertical="center"/>
    </xf>
    <xf numFmtId="169" fontId="64" fillId="0" borderId="10" xfId="0" applyNumberFormat="1" applyFont="1" applyBorder="1" applyAlignment="1">
      <alignment horizontal="center" vertical="center" wrapText="1"/>
    </xf>
    <xf numFmtId="11" fontId="64" fillId="0" borderId="12" xfId="0" applyNumberFormat="1" applyFont="1" applyBorder="1" applyAlignment="1">
      <alignment horizontal="center" vertical="center" wrapText="1"/>
    </xf>
    <xf numFmtId="2" fontId="18" fillId="5" borderId="0" xfId="0" applyNumberFormat="1" applyFont="1" applyFill="1" applyAlignment="1">
      <alignment horizontal="center" vertical="center"/>
    </xf>
    <xf numFmtId="0" fontId="63" fillId="0" borderId="0" xfId="3" applyFont="1" applyAlignment="1">
      <alignment horizontal="center" vertical="center"/>
    </xf>
    <xf numFmtId="0" fontId="18" fillId="5" borderId="0" xfId="0" applyFont="1" applyFill="1" applyAlignment="1">
      <alignment horizontal="center" vertical="center"/>
    </xf>
    <xf numFmtId="0" fontId="13" fillId="2" borderId="13" xfId="0" applyFont="1" applyFill="1" applyBorder="1" applyAlignment="1">
      <alignment horizontal="center" vertical="center" wrapText="1"/>
    </xf>
    <xf numFmtId="169" fontId="0" fillId="0" borderId="48" xfId="0" applyNumberFormat="1" applyBorder="1" applyAlignment="1">
      <alignment horizontal="center" vertical="center"/>
    </xf>
    <xf numFmtId="0" fontId="60" fillId="0" borderId="48" xfId="0" applyFont="1" applyBorder="1" applyAlignment="1">
      <alignment horizontal="center" vertical="center"/>
    </xf>
    <xf numFmtId="2" fontId="0" fillId="2" borderId="14" xfId="0" applyNumberFormat="1" applyFill="1" applyBorder="1" applyAlignment="1">
      <alignment horizontal="center" vertical="center"/>
    </xf>
    <xf numFmtId="0" fontId="0" fillId="2" borderId="13" xfId="0" applyFill="1" applyBorder="1" applyAlignment="1">
      <alignment horizontal="center" vertical="center"/>
    </xf>
    <xf numFmtId="0" fontId="3" fillId="0" borderId="0" xfId="0" applyFont="1" applyAlignment="1">
      <alignment horizontal="left" vertical="top" wrapText="1"/>
    </xf>
    <xf numFmtId="167" fontId="0" fillId="5" borderId="11" xfId="0" applyNumberFormat="1" applyFill="1" applyBorder="1" applyAlignment="1">
      <alignment horizontal="center" vertical="center"/>
    </xf>
    <xf numFmtId="167" fontId="0" fillId="0" borderId="11" xfId="0" applyNumberFormat="1" applyBorder="1"/>
    <xf numFmtId="167" fontId="3" fillId="0" borderId="11" xfId="0" applyNumberFormat="1" applyFont="1" applyBorder="1" applyAlignment="1">
      <alignment horizontal="center" vertical="center"/>
    </xf>
    <xf numFmtId="167" fontId="0" fillId="0" borderId="11" xfId="0" applyNumberFormat="1" applyBorder="1" applyAlignment="1">
      <alignment horizontal="center" vertical="center"/>
    </xf>
    <xf numFmtId="177" fontId="4" fillId="5" borderId="21" xfId="0" applyNumberFormat="1" applyFont="1" applyFill="1" applyBorder="1" applyAlignment="1">
      <alignment horizontal="center" vertical="center"/>
    </xf>
    <xf numFmtId="0" fontId="91" fillId="0" borderId="0" xfId="0" applyFont="1"/>
    <xf numFmtId="0" fontId="0" fillId="2" borderId="10" xfId="0" applyFill="1" applyBorder="1" applyAlignment="1">
      <alignment horizontal="center" vertical="center" wrapText="1"/>
    </xf>
    <xf numFmtId="0" fontId="0" fillId="2" borderId="0" xfId="0" applyFill="1" applyAlignment="1">
      <alignment horizontal="center" vertical="center" wrapText="1"/>
    </xf>
    <xf numFmtId="1" fontId="12" fillId="2" borderId="0" xfId="0" applyNumberFormat="1" applyFont="1" applyFill="1" applyAlignment="1">
      <alignment horizontal="center" vertical="center"/>
    </xf>
    <xf numFmtId="0" fontId="0" fillId="2" borderId="0" xfId="0" applyFill="1" applyAlignment="1">
      <alignment horizontal="center" vertical="center"/>
    </xf>
    <xf numFmtId="166"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0" fontId="0" fillId="2" borderId="0" xfId="0" applyFill="1" applyAlignment="1">
      <alignment horizontal="center" wrapText="1"/>
    </xf>
    <xf numFmtId="0" fontId="0" fillId="2" borderId="11" xfId="0" applyFill="1" applyBorder="1"/>
    <xf numFmtId="173" fontId="0" fillId="2" borderId="11" xfId="0" applyNumberFormat="1" applyFill="1" applyBorder="1" applyAlignment="1">
      <alignment wrapText="1"/>
    </xf>
    <xf numFmtId="11" fontId="12" fillId="0" borderId="13" xfId="0" applyNumberFormat="1" applyFont="1" applyBorder="1" applyAlignment="1">
      <alignment horizontal="center" vertical="center"/>
    </xf>
    <xf numFmtId="0" fontId="0" fillId="2" borderId="10" xfId="0" applyFill="1" applyBorder="1" applyAlignment="1">
      <alignment horizontal="center" vertical="center"/>
    </xf>
    <xf numFmtId="0" fontId="3" fillId="2" borderId="34" xfId="0" applyFont="1" applyFill="1" applyBorder="1" applyAlignment="1">
      <alignment horizontal="center" vertical="center"/>
    </xf>
    <xf numFmtId="169" fontId="0" fillId="2" borderId="34" xfId="0" applyNumberFormat="1" applyFill="1" applyBorder="1" applyAlignment="1">
      <alignment horizontal="center" vertical="center"/>
    </xf>
    <xf numFmtId="169" fontId="0" fillId="2" borderId="21" xfId="0" applyNumberFormat="1" applyFill="1" applyBorder="1" applyAlignment="1">
      <alignment horizontal="center" vertical="center"/>
    </xf>
    <xf numFmtId="0" fontId="0" fillId="2" borderId="10" xfId="0" applyFill="1" applyBorder="1"/>
    <xf numFmtId="169" fontId="0" fillId="2" borderId="10" xfId="0" applyNumberFormat="1" applyFill="1" applyBorder="1" applyAlignment="1">
      <alignment horizontal="center" vertical="center"/>
    </xf>
    <xf numFmtId="11" fontId="0" fillId="2" borderId="0" xfId="0" applyNumberFormat="1" applyFill="1"/>
    <xf numFmtId="0" fontId="13" fillId="0" borderId="0" xfId="0" applyFont="1" applyAlignment="1">
      <alignment horizontal="left" vertical="top"/>
    </xf>
    <xf numFmtId="176" fontId="0" fillId="0" borderId="10" xfId="0" applyNumberFormat="1" applyBorder="1" applyAlignment="1">
      <alignment horizontal="center" vertical="center"/>
    </xf>
    <xf numFmtId="167" fontId="88" fillId="0" borderId="0" xfId="0" applyNumberFormat="1" applyFont="1"/>
    <xf numFmtId="2" fontId="12" fillId="2" borderId="11" xfId="0" applyNumberFormat="1" applyFont="1" applyFill="1" applyBorder="1" applyAlignment="1">
      <alignment horizontal="center" vertical="center"/>
    </xf>
    <xf numFmtId="11" fontId="60" fillId="0" borderId="28" xfId="0" applyNumberFormat="1" applyFont="1" applyBorder="1" applyAlignment="1">
      <alignment horizontal="center"/>
    </xf>
    <xf numFmtId="11" fontId="60" fillId="0" borderId="29" xfId="0" applyNumberFormat="1" applyFont="1" applyBorder="1" applyAlignment="1">
      <alignment horizontal="center"/>
    </xf>
    <xf numFmtId="11" fontId="59" fillId="6" borderId="7" xfId="0" applyNumberFormat="1" applyFont="1" applyFill="1" applyBorder="1" applyAlignment="1">
      <alignment horizontal="center" vertical="center" wrapText="1"/>
    </xf>
    <xf numFmtId="11" fontId="59" fillId="6" borderId="8" xfId="0" applyNumberFormat="1" applyFont="1" applyFill="1" applyBorder="1" applyAlignment="1">
      <alignment horizontal="center" vertical="center" wrapText="1"/>
    </xf>
    <xf numFmtId="11" fontId="59" fillId="6" borderId="9" xfId="0" applyNumberFormat="1" applyFont="1" applyFill="1" applyBorder="1" applyAlignment="1">
      <alignment horizontal="center" vertical="center" wrapText="1"/>
    </xf>
    <xf numFmtId="11" fontId="59" fillId="6" borderId="5" xfId="0" applyNumberFormat="1" applyFont="1" applyFill="1" applyBorder="1" applyAlignment="1">
      <alignment horizontal="center" vertical="center" wrapText="1"/>
    </xf>
    <xf numFmtId="11" fontId="59" fillId="6" borderId="6" xfId="0" applyNumberFormat="1" applyFont="1" applyFill="1" applyBorder="1" applyAlignment="1">
      <alignment horizontal="center" vertical="center" wrapText="1"/>
    </xf>
    <xf numFmtId="11" fontId="59" fillId="6" borderId="15" xfId="0" applyNumberFormat="1" applyFont="1" applyFill="1" applyBorder="1" applyAlignment="1">
      <alignment horizontal="center" vertical="center" wrapText="1"/>
    </xf>
    <xf numFmtId="11" fontId="59" fillId="6" borderId="10" xfId="0" applyNumberFormat="1" applyFont="1" applyFill="1" applyBorder="1" applyAlignment="1">
      <alignment horizontal="center" vertical="center" wrapText="1"/>
    </xf>
    <xf numFmtId="0" fontId="4" fillId="0" borderId="0" xfId="0" applyFont="1" applyAlignment="1">
      <alignment horizontal="center" wrapText="1"/>
    </xf>
    <xf numFmtId="0" fontId="4" fillId="0" borderId="0" xfId="0" applyFont="1" applyAlignment="1">
      <alignment horizontal="center"/>
    </xf>
    <xf numFmtId="0" fontId="4" fillId="0" borderId="5" xfId="0" applyFont="1" applyBorder="1" applyAlignment="1">
      <alignment horizontal="center"/>
    </xf>
    <xf numFmtId="0" fontId="4" fillId="0" borderId="15" xfId="0" applyFont="1" applyBorder="1" applyAlignment="1">
      <alignment horizontal="center"/>
    </xf>
    <xf numFmtId="0" fontId="11" fillId="0" borderId="5" xfId="0" applyFont="1" applyBorder="1" applyAlignment="1">
      <alignment horizontal="center" vertical="center"/>
    </xf>
    <xf numFmtId="0" fontId="11" fillId="0" borderId="15" xfId="0" applyFont="1" applyBorder="1" applyAlignment="1">
      <alignment horizontal="center" vertical="center"/>
    </xf>
    <xf numFmtId="0" fontId="12" fillId="0" borderId="5"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2" xfId="0" applyFont="1" applyBorder="1" applyAlignment="1">
      <alignment horizontal="center" vertical="center" wrapText="1"/>
    </xf>
    <xf numFmtId="0" fontId="43" fillId="9" borderId="17" xfId="0" applyFont="1" applyFill="1" applyBorder="1" applyAlignment="1">
      <alignment horizontal="left" vertical="center" wrapText="1"/>
    </xf>
    <xf numFmtId="0" fontId="43" fillId="9" borderId="33" xfId="0" applyFont="1" applyFill="1" applyBorder="1" applyAlignment="1">
      <alignment horizontal="left" vertical="center" wrapText="1"/>
    </xf>
    <xf numFmtId="0" fontId="29" fillId="9" borderId="32" xfId="0" applyFont="1" applyFill="1" applyBorder="1" applyAlignment="1">
      <alignment horizontal="right" vertical="top" wrapText="1"/>
    </xf>
    <xf numFmtId="0" fontId="29" fillId="9" borderId="16" xfId="0" applyFont="1" applyFill="1" applyBorder="1" applyAlignment="1">
      <alignment horizontal="right" vertical="top" wrapText="1"/>
    </xf>
    <xf numFmtId="0" fontId="43" fillId="9" borderId="16" xfId="0" applyFont="1" applyFill="1" applyBorder="1" applyAlignment="1">
      <alignment horizontal="left" vertical="center" wrapText="1"/>
    </xf>
    <xf numFmtId="0" fontId="12" fillId="0" borderId="26" xfId="0" applyFont="1" applyBorder="1" applyAlignment="1">
      <alignment vertical="center" wrapText="1"/>
    </xf>
    <xf numFmtId="0" fontId="12" fillId="0" borderId="27" xfId="0" applyFont="1" applyBorder="1" applyAlignment="1">
      <alignment vertical="center" wrapText="1"/>
    </xf>
  </cellXfs>
  <cellStyles count="9">
    <cellStyle name="Hyperlink" xfId="5" builtinId="8"/>
    <cellStyle name="Normal" xfId="0" builtinId="0"/>
    <cellStyle name="Normal 2" xfId="4" xr:uid="{00000000-0005-0000-0000-000002000000}"/>
    <cellStyle name="Normal 2 2" xfId="2" xr:uid="{00000000-0005-0000-0000-000003000000}"/>
    <cellStyle name="Normal 3" xfId="3" xr:uid="{00000000-0005-0000-0000-000004000000}"/>
    <cellStyle name="Normal 4" xfId="1" xr:uid="{00000000-0005-0000-0000-000005000000}"/>
    <cellStyle name="Normal 5" xfId="7" xr:uid="{00000000-0005-0000-0000-000006000000}"/>
    <cellStyle name="Normal 6" xfId="8" xr:uid="{00000000-0005-0000-0000-000007000000}"/>
    <cellStyle name="Validate" xfId="6" xr:uid="{00000000-0005-0000-0000-000008000000}"/>
  </cellStyles>
  <dxfs count="62">
    <dxf>
      <font>
        <color theme="0" tint="-0.34998626667073579"/>
      </font>
    </dxf>
    <dxf>
      <font>
        <color theme="0" tint="-0.34998626667073579"/>
      </font>
    </dxf>
    <dxf>
      <alignment horizontal="center" readingOrder="0"/>
    </dxf>
    <dxf>
      <alignment vertical="center" readingOrder="0"/>
    </dxf>
    <dxf>
      <alignment horizontal="center" readingOrder="0"/>
    </dxf>
    <dxf>
      <alignment vertical="center" readingOrder="0"/>
    </dxf>
    <dxf>
      <alignment wrapText="1" readingOrder="0"/>
    </dxf>
    <dxf>
      <alignment wrapText="0" readingOrder="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numFmt numFmtId="15" formatCode="0.00E+00"/>
    </dxf>
    <dxf>
      <alignment wrapText="1" readingOrder="0"/>
    </dxf>
    <dxf>
      <alignment wrapText="1" readingOrder="0"/>
    </dxf>
    <dxf>
      <alignment wrapText="0" readingOrder="0"/>
    </dxf>
    <dxf>
      <alignment wrapText="1" readingOrder="0"/>
    </dxf>
    <dxf>
      <alignment wrapText="1" readingOrder="0"/>
    </dxf>
    <dxf>
      <alignment wrapText="0" readingOrder="0"/>
    </dxf>
    <dxf>
      <alignment wrapText="0" readingOrder="0"/>
    </dxf>
    <dxf>
      <alignment wrapText="1" readingOrder="0"/>
    </dxf>
    <dxf>
      <alignment wrapText="1" readingOrder="0"/>
    </dxf>
    <dxf>
      <numFmt numFmtId="15" formatCode="0.00E+00"/>
    </dxf>
    <dxf>
      <numFmt numFmtId="15" formatCode="0.00E+00"/>
    </dxf>
    <dxf>
      <numFmt numFmtId="15" formatCode="0.00E+00"/>
    </dxf>
    <dxf>
      <numFmt numFmtId="15" formatCode="0.00E+00"/>
    </dxf>
    <dxf>
      <numFmt numFmtId="2" formatCode="0.00"/>
    </dxf>
    <dxf>
      <numFmt numFmtId="2" formatCode="0.00"/>
    </dxf>
    <dxf>
      <numFmt numFmtId="169" formatCode="0.0E+00"/>
    </dxf>
    <dxf>
      <numFmt numFmtId="169" formatCode="0.0E+00"/>
    </dxf>
    <dxf>
      <numFmt numFmtId="169" formatCode="0.0E+00"/>
    </dxf>
    <dxf>
      <numFmt numFmtId="169" formatCode="0.0E+00"/>
    </dxf>
    <dxf>
      <numFmt numFmtId="169" formatCode="0.0E+00"/>
    </dxf>
    <dxf>
      <numFmt numFmtId="169" formatCode="0.0E+00"/>
    </dxf>
    <dxf>
      <numFmt numFmtId="169" formatCode="0.0E+00"/>
    </dxf>
    <dxf>
      <numFmt numFmtId="169" formatCode="0.0E+00"/>
    </dxf>
    <dxf>
      <numFmt numFmtId="169" formatCode="0.0E+00"/>
    </dxf>
    <dxf>
      <numFmt numFmtId="169" formatCode="0.0E+00"/>
    </dxf>
    <dxf>
      <numFmt numFmtId="2" formatCode="0.0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07/relationships/slicerCache" Target="slicerCaches/slicerCach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kg CO2e at retail-gate per kg of product</a:t>
            </a:r>
          </a:p>
        </c:rich>
      </c:tx>
      <c:layout>
        <c:manualLayout>
          <c:xMode val="edge"/>
          <c:yMode val="edge"/>
          <c:x val="0.34645478083115788"/>
          <c:y val="3.4825268456714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4.6815054051532308E-2"/>
          <c:y val="8.2036171339979452E-2"/>
          <c:w val="0.75285706000267816"/>
          <c:h val="0.86776967922936854"/>
        </c:manualLayout>
      </c:layout>
      <c:barChart>
        <c:barDir val="bar"/>
        <c:grouping val="stacked"/>
        <c:varyColors val="0"/>
        <c:ser>
          <c:idx val="0"/>
          <c:order val="0"/>
          <c:tx>
            <c:v>CO2</c:v>
          </c:tx>
          <c:spPr>
            <a:solidFill>
              <a:schemeClr val="accent1"/>
            </a:solidFill>
            <a:ln>
              <a:noFill/>
            </a:ln>
            <a:effectLst/>
          </c:spPr>
          <c:invertIfNegative val="0"/>
          <c:cat>
            <c:multiLvlStrRef>
              <c:f>[0]!Namee</c:f>
              <c:multiLvlStrCache>
                <c:ptCount val="27"/>
                <c:lvl>
                  <c:pt idx="0">
                    <c:v>Average</c:v>
                  </c:pt>
                  <c:pt idx="1">
                    <c:v>Denmark</c:v>
                  </c:pt>
                  <c:pt idx="2">
                    <c:v>Rest of Europe</c:v>
                  </c:pt>
                  <c:pt idx="3">
                    <c:v>Sweden</c:v>
                  </c:pt>
                  <c:pt idx="4">
                    <c:v>Average</c:v>
                  </c:pt>
                  <c:pt idx="5">
                    <c:v>Rest of Europe</c:v>
                  </c:pt>
                  <c:pt idx="6">
                    <c:v>Sweden</c:v>
                  </c:pt>
                  <c:pt idx="7">
                    <c:v>Average</c:v>
                  </c:pt>
                  <c:pt idx="8">
                    <c:v>Rest of Europe</c:v>
                  </c:pt>
                  <c:pt idx="9">
                    <c:v>Sweden</c:v>
                  </c:pt>
                  <c:pt idx="10">
                    <c:v>Average</c:v>
                  </c:pt>
                  <c:pt idx="11">
                    <c:v>Denmark</c:v>
                  </c:pt>
                  <c:pt idx="12">
                    <c:v>Rest of Europe</c:v>
                  </c:pt>
                  <c:pt idx="13">
                    <c:v>Sweden</c:v>
                  </c:pt>
                  <c:pt idx="14">
                    <c:v>The Nederlands</c:v>
                  </c:pt>
                  <c:pt idx="15">
                    <c:v>Average</c:v>
                  </c:pt>
                  <c:pt idx="16">
                    <c:v>Denmark</c:v>
                  </c:pt>
                  <c:pt idx="17">
                    <c:v>Rest of Europe</c:v>
                  </c:pt>
                  <c:pt idx="18">
                    <c:v>Sweden</c:v>
                  </c:pt>
                  <c:pt idx="19">
                    <c:v>The Nederlands</c:v>
                  </c:pt>
                  <c:pt idx="20">
                    <c:v>Average</c:v>
                  </c:pt>
                  <c:pt idx="21">
                    <c:v>Rest of Europe</c:v>
                  </c:pt>
                  <c:pt idx="22">
                    <c:v>Sweden</c:v>
                  </c:pt>
                  <c:pt idx="23">
                    <c:v>Sweden</c:v>
                  </c:pt>
                  <c:pt idx="24">
                    <c:v>Average</c:v>
                  </c:pt>
                  <c:pt idx="25">
                    <c:v>Rest of Europe</c:v>
                  </c:pt>
                  <c:pt idx="26">
                    <c:v>Sweden</c:v>
                  </c:pt>
                </c:lvl>
                <c:lvl>
                  <c:pt idx="0">
                    <c:v>Butter (82% fat)</c:v>
                  </c:pt>
                  <c:pt idx="4">
                    <c:v>Cream (40% fat)</c:v>
                  </c:pt>
                  <c:pt idx="7">
                    <c:v>Crème fraiche (34% fat</c:v>
                  </c:pt>
                  <c:pt idx="10">
                    <c:v>Desert cheese (25% fat)</c:v>
                  </c:pt>
                  <c:pt idx="15">
                    <c:v>Hard cheese (38% fat)</c:v>
                  </c:pt>
                  <c:pt idx="20">
                    <c:v>Milk powder</c:v>
                  </c:pt>
                  <c:pt idx="23">
                    <c:v>Pasteurized milk (3% fat)</c:v>
                  </c:pt>
                  <c:pt idx="24">
                    <c:v>Yogurt (3% fat)</c:v>
                  </c:pt>
                </c:lvl>
                <c:lvl>
                  <c:pt idx="0">
                    <c:v>Dairy product</c:v>
                  </c:pt>
                </c:lvl>
              </c:multiLvlStrCache>
              <c:extLst xmlns:c15="http://schemas.microsoft.com/office/drawing/2012/chart"/>
            </c:multiLvlStrRef>
          </c:cat>
          <c:val>
            <c:numRef>
              <c:f>[0]!aaaCO2</c:f>
              <c:numCache>
                <c:formatCode>0.00E+00</c:formatCode>
                <c:ptCount val="27"/>
                <c:pt idx="0">
                  <c:v>2.3818856034324125</c:v>
                </c:pt>
                <c:pt idx="1">
                  <c:v>2.2212941532354926</c:v>
                </c:pt>
                <c:pt idx="2">
                  <c:v>3.4852132790813619</c:v>
                </c:pt>
                <c:pt idx="3">
                  <c:v>2.170176971902301</c:v>
                </c:pt>
                <c:pt idx="4">
                  <c:v>1.205281278608977</c:v>
                </c:pt>
                <c:pt idx="5">
                  <c:v>1.8749630929291297</c:v>
                </c:pt>
                <c:pt idx="6">
                  <c:v>1.1282492331524534</c:v>
                </c:pt>
                <c:pt idx="7">
                  <c:v>2.3490512740937302</c:v>
                </c:pt>
                <c:pt idx="8">
                  <c:v>3.6403309025783956</c:v>
                </c:pt>
                <c:pt idx="9">
                  <c:v>2.1030932496204606</c:v>
                </c:pt>
                <c:pt idx="10">
                  <c:v>2.037647860083764</c:v>
                </c:pt>
                <c:pt idx="11">
                  <c:v>1.6874887850373066</c:v>
                </c:pt>
                <c:pt idx="12">
                  <c:v>2.8691255282761898</c:v>
                </c:pt>
                <c:pt idx="13">
                  <c:v>1.6363716037041152</c:v>
                </c:pt>
                <c:pt idx="14">
                  <c:v>2.7668911656098074</c:v>
                </c:pt>
                <c:pt idx="15">
                  <c:v>2.8332124854600531</c:v>
                </c:pt>
                <c:pt idx="16">
                  <c:v>2.3693335908805895</c:v>
                </c:pt>
                <c:pt idx="17">
                  <c:v>3.8976771009883944</c:v>
                </c:pt>
                <c:pt idx="18">
                  <c:v>2.3182164095473978</c:v>
                </c:pt>
                <c:pt idx="19">
                  <c:v>3.7954427383220115</c:v>
                </c:pt>
                <c:pt idx="20">
                  <c:v>2.3490512740937302</c:v>
                </c:pt>
                <c:pt idx="21">
                  <c:v>3.6403309025783956</c:v>
                </c:pt>
                <c:pt idx="22">
                  <c:v>2.1030932496204606</c:v>
                </c:pt>
                <c:pt idx="23">
                  <c:v>0.31970546028356261</c:v>
                </c:pt>
                <c:pt idx="24">
                  <c:v>0.49873243970917247</c:v>
                </c:pt>
                <c:pt idx="25">
                  <c:v>0.85447177949116015</c:v>
                </c:pt>
                <c:pt idx="26">
                  <c:v>0.39126951415003036</c:v>
                </c:pt>
              </c:numCache>
            </c:numRef>
          </c:val>
          <c:extLst>
            <c:ext xmlns:c16="http://schemas.microsoft.com/office/drawing/2014/chart" uri="{C3380CC4-5D6E-409C-BE32-E72D297353CC}">
              <c16:uniqueId val="{0000000F-1311-4877-B65E-1D9D5D474D41}"/>
            </c:ext>
          </c:extLst>
        </c:ser>
        <c:ser>
          <c:idx val="1"/>
          <c:order val="1"/>
          <c:tx>
            <c:v>CH4 fossil</c:v>
          </c:tx>
          <c:spPr>
            <a:solidFill>
              <a:schemeClr val="accent2"/>
            </a:solidFill>
            <a:ln>
              <a:noFill/>
            </a:ln>
            <a:effectLst/>
          </c:spPr>
          <c:invertIfNegative val="0"/>
          <c:val>
            <c:numRef>
              <c:f>[0]!aaaCH4fossilee</c:f>
              <c:numCache>
                <c:formatCode>0.00E+00</c:formatCode>
                <c:ptCount val="27"/>
                <c:pt idx="0">
                  <c:v>6.397416657725942E-2</c:v>
                </c:pt>
                <c:pt idx="1">
                  <c:v>6.3796624022209425E-2</c:v>
                </c:pt>
                <c:pt idx="2">
                  <c:v>6.489943643128622E-2</c:v>
                </c:pt>
                <c:pt idx="3">
                  <c:v>6.3796624022209425E-2</c:v>
                </c:pt>
                <c:pt idx="4">
                  <c:v>3.2474792526285927E-2</c:v>
                </c:pt>
                <c:pt idx="5">
                  <c:v>3.2977355910206417E-2</c:v>
                </c:pt>
                <c:pt idx="6">
                  <c:v>3.2416983751122681E-2</c:v>
                </c:pt>
                <c:pt idx="7">
                  <c:v>2.8218240409790103E-2</c:v>
                </c:pt>
                <c:pt idx="8">
                  <c:v>2.8591367574148964E-2</c:v>
                </c:pt>
                <c:pt idx="9">
                  <c:v>2.8105524912223366E-2</c:v>
                </c:pt>
                <c:pt idx="10">
                  <c:v>0</c:v>
                </c:pt>
                <c:pt idx="11">
                  <c:v>0</c:v>
                </c:pt>
                <c:pt idx="12">
                  <c:v>0</c:v>
                </c:pt>
                <c:pt idx="13">
                  <c:v>0</c:v>
                </c:pt>
                <c:pt idx="14">
                  <c:v>0</c:v>
                </c:pt>
                <c:pt idx="15">
                  <c:v>6.1289477340288022E-2</c:v>
                </c:pt>
                <c:pt idx="16">
                  <c:v>6.0943929452110635E-2</c:v>
                </c:pt>
                <c:pt idx="17">
                  <c:v>6.1997429111188045E-2</c:v>
                </c:pt>
                <c:pt idx="18">
                  <c:v>6.0943929452110635E-2</c:v>
                </c:pt>
                <c:pt idx="19">
                  <c:v>6.1997429111188045E-2</c:v>
                </c:pt>
                <c:pt idx="20">
                  <c:v>5.6993910582545694E-2</c:v>
                </c:pt>
                <c:pt idx="21">
                  <c:v>5.7819211194687019E-2</c:v>
                </c:pt>
                <c:pt idx="22">
                  <c:v>5.6836710465947356E-2</c:v>
                </c:pt>
                <c:pt idx="23">
                  <c:v>6.4833967502245368E-3</c:v>
                </c:pt>
                <c:pt idx="24">
                  <c:v>6.5093980184060219E-3</c:v>
                </c:pt>
                <c:pt idx="25">
                  <c:v>6.5954711820412825E-3</c:v>
                </c:pt>
                <c:pt idx="26">
                  <c:v>6.4833967502245368E-3</c:v>
                </c:pt>
              </c:numCache>
            </c:numRef>
          </c:val>
          <c:extLst>
            <c:ext xmlns:c16="http://schemas.microsoft.com/office/drawing/2014/chart" uri="{C3380CC4-5D6E-409C-BE32-E72D297353CC}">
              <c16:uniqueId val="{00000000-5C78-449A-BC70-372B6B548E1B}"/>
            </c:ext>
          </c:extLst>
        </c:ser>
        <c:ser>
          <c:idx val="3"/>
          <c:order val="2"/>
          <c:tx>
            <c:v>CH4 biogenic</c:v>
          </c:tx>
          <c:spPr>
            <a:solidFill>
              <a:schemeClr val="accent4"/>
            </a:solidFill>
            <a:ln>
              <a:noFill/>
            </a:ln>
            <a:effectLst/>
          </c:spPr>
          <c:invertIfNegative val="0"/>
          <c:val>
            <c:numRef>
              <c:f>[0]!aaaCH4bioee</c:f>
              <c:numCache>
                <c:formatCode>0.00E+00</c:formatCode>
                <c:ptCount val="27"/>
                <c:pt idx="0">
                  <c:v>5.726356898704994</c:v>
                </c:pt>
                <c:pt idx="1">
                  <c:v>5.7263568987049931</c:v>
                </c:pt>
                <c:pt idx="2">
                  <c:v>5.7263568987049931</c:v>
                </c:pt>
                <c:pt idx="3">
                  <c:v>5.7263568987049931</c:v>
                </c:pt>
                <c:pt idx="4">
                  <c:v>2.9097341964964398</c:v>
                </c:pt>
                <c:pt idx="5">
                  <c:v>2.9097341964964398</c:v>
                </c:pt>
                <c:pt idx="6">
                  <c:v>2.9097341964964398</c:v>
                </c:pt>
                <c:pt idx="7">
                  <c:v>5.1016381205856822</c:v>
                </c:pt>
                <c:pt idx="8">
                  <c:v>5.1016381205856822</c:v>
                </c:pt>
                <c:pt idx="9">
                  <c:v>5.1016381205856822</c:v>
                </c:pt>
                <c:pt idx="10">
                  <c:v>3.5556951881186496</c:v>
                </c:pt>
                <c:pt idx="11">
                  <c:v>3.5556951881186496</c:v>
                </c:pt>
                <c:pt idx="12">
                  <c:v>3.5556951881186496</c:v>
                </c:pt>
                <c:pt idx="13">
                  <c:v>3.5556951881186496</c:v>
                </c:pt>
                <c:pt idx="14">
                  <c:v>3.5556951881186496</c:v>
                </c:pt>
                <c:pt idx="15">
                  <c:v>5.4703002894133066</c:v>
                </c:pt>
                <c:pt idx="16">
                  <c:v>5.4703002894133066</c:v>
                </c:pt>
                <c:pt idx="17">
                  <c:v>5.4703002894133066</c:v>
                </c:pt>
                <c:pt idx="18">
                  <c:v>5.4703002894133066</c:v>
                </c:pt>
                <c:pt idx="19">
                  <c:v>5.4703002894133066</c:v>
                </c:pt>
                <c:pt idx="20">
                  <c:v>5.1016381205856822</c:v>
                </c:pt>
                <c:pt idx="21">
                  <c:v>5.1016381205856822</c:v>
                </c:pt>
                <c:pt idx="22">
                  <c:v>5.1016381205856822</c:v>
                </c:pt>
                <c:pt idx="23">
                  <c:v>0.58194683929928792</c:v>
                </c:pt>
                <c:pt idx="24">
                  <c:v>0.58194683929928792</c:v>
                </c:pt>
                <c:pt idx="25">
                  <c:v>0.58194683929928792</c:v>
                </c:pt>
                <c:pt idx="26">
                  <c:v>0.58194683929928792</c:v>
                </c:pt>
              </c:numCache>
            </c:numRef>
          </c:val>
          <c:extLst>
            <c:ext xmlns:c16="http://schemas.microsoft.com/office/drawing/2014/chart" uri="{C3380CC4-5D6E-409C-BE32-E72D297353CC}">
              <c16:uniqueId val="{00000001-1470-46F1-9CDB-D885E7FAA2EA}"/>
            </c:ext>
          </c:extLst>
        </c:ser>
        <c:ser>
          <c:idx val="2"/>
          <c:order val="3"/>
          <c:tx>
            <c:v>N2O</c:v>
          </c:tx>
          <c:spPr>
            <a:solidFill>
              <a:schemeClr val="accent3"/>
            </a:solidFill>
            <a:ln>
              <a:noFill/>
            </a:ln>
            <a:effectLst/>
          </c:spPr>
          <c:invertIfNegative val="0"/>
          <c:val>
            <c:numRef>
              <c:f>[0]!aaaN2Oee</c:f>
              <c:numCache>
                <c:formatCode>0.00E+00</c:formatCode>
                <c:ptCount val="27"/>
                <c:pt idx="0">
                  <c:v>2.7470125828428449</c:v>
                </c:pt>
                <c:pt idx="1">
                  <c:v>2.7468609587205237</c:v>
                </c:pt>
                <c:pt idx="2">
                  <c:v>2.7478027777878684</c:v>
                </c:pt>
                <c:pt idx="3">
                  <c:v>2.7468609587205237</c:v>
                </c:pt>
                <c:pt idx="4">
                  <c:v>1.3958120518759609</c:v>
                </c:pt>
                <c:pt idx="5">
                  <c:v>1.3962412488759492</c:v>
                </c:pt>
                <c:pt idx="6">
                  <c:v>1.3957626822766889</c:v>
                </c:pt>
                <c:pt idx="7">
                  <c:v>2.4473255156931497</c:v>
                </c:pt>
                <c:pt idx="8">
                  <c:v>2.4480303353400892</c:v>
                </c:pt>
                <c:pt idx="9">
                  <c:v>2.4471912643318281</c:v>
                </c:pt>
                <c:pt idx="10">
                  <c:v>1.7058138148921629</c:v>
                </c:pt>
                <c:pt idx="11">
                  <c:v>1.7056219977421136</c:v>
                </c:pt>
                <c:pt idx="12">
                  <c:v>1.7062068061264102</c:v>
                </c:pt>
                <c:pt idx="13">
                  <c:v>1.7056219977421136</c:v>
                </c:pt>
                <c:pt idx="14">
                  <c:v>1.7062068061264102</c:v>
                </c:pt>
                <c:pt idx="15">
                  <c:v>2.6243289459879429</c:v>
                </c:pt>
                <c:pt idx="16">
                  <c:v>2.6240338426801748</c:v>
                </c:pt>
                <c:pt idx="17">
                  <c:v>2.6249335478867852</c:v>
                </c:pt>
                <c:pt idx="18">
                  <c:v>2.6240338426801748</c:v>
                </c:pt>
                <c:pt idx="19">
                  <c:v>2.6249335478867852</c:v>
                </c:pt>
                <c:pt idx="20">
                  <c:v>2.4473255156931497</c:v>
                </c:pt>
                <c:pt idx="21">
                  <c:v>2.4480303353400892</c:v>
                </c:pt>
                <c:pt idx="22">
                  <c:v>2.4471912643318281</c:v>
                </c:pt>
                <c:pt idx="23">
                  <c:v>0.27915253645533777</c:v>
                </c:pt>
                <c:pt idx="24">
                  <c:v>0.27917474194554348</c:v>
                </c:pt>
                <c:pt idx="25">
                  <c:v>0.27924824977518986</c:v>
                </c:pt>
                <c:pt idx="26">
                  <c:v>0.27915253645533777</c:v>
                </c:pt>
              </c:numCache>
            </c:numRef>
          </c:val>
          <c:extLst>
            <c:ext xmlns:c16="http://schemas.microsoft.com/office/drawing/2014/chart" uri="{C3380CC4-5D6E-409C-BE32-E72D297353CC}">
              <c16:uniqueId val="{00000001-5C78-449A-BC70-372B6B548E1B}"/>
            </c:ext>
          </c:extLst>
        </c:ser>
        <c:ser>
          <c:idx val="4"/>
          <c:order val="4"/>
          <c:tx>
            <c:v>HCFC-22</c:v>
          </c:tx>
          <c:spPr>
            <a:solidFill>
              <a:schemeClr val="accent5"/>
            </a:solidFill>
            <a:ln>
              <a:noFill/>
            </a:ln>
            <a:effectLst/>
          </c:spPr>
          <c:invertIfNegative val="0"/>
          <c:val>
            <c:numRef>
              <c:f>[0]!aaaHFCee</c:f>
              <c:numCache>
                <c:formatCode>0.00E+00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extLst>
            <c:ext xmlns:c16="http://schemas.microsoft.com/office/drawing/2014/chart" uri="{C3380CC4-5D6E-409C-BE32-E72D297353CC}">
              <c16:uniqueId val="{00000002-1470-46F1-9CDB-D885E7FAA2EA}"/>
            </c:ext>
          </c:extLst>
        </c:ser>
        <c:dLbls>
          <c:showLegendKey val="0"/>
          <c:showVal val="0"/>
          <c:showCatName val="0"/>
          <c:showSerName val="0"/>
          <c:showPercent val="0"/>
          <c:showBubbleSize val="0"/>
        </c:dLbls>
        <c:gapWidth val="219"/>
        <c:overlap val="100"/>
        <c:axId val="1091172304"/>
        <c:axId val="763919008"/>
      </c:barChart>
      <c:catAx>
        <c:axId val="1091172304"/>
        <c:scaling>
          <c:orientation val="minMax"/>
        </c:scaling>
        <c:delete val="0"/>
        <c:axPos val="l"/>
        <c:numFmt formatCode="@"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sv-SE"/>
          </a:p>
        </c:txPr>
        <c:crossAx val="763919008"/>
        <c:crosses val="autoZero"/>
        <c:auto val="1"/>
        <c:lblAlgn val="ctr"/>
        <c:lblOffset val="100"/>
        <c:noMultiLvlLbl val="0"/>
      </c:catAx>
      <c:valAx>
        <c:axId val="76391900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1172304"/>
        <c:crossesAt val="1"/>
        <c:crossBetween val="between"/>
      </c:valAx>
      <c:spPr>
        <a:noFill/>
        <a:ln>
          <a:noFill/>
        </a:ln>
        <a:effectLst/>
      </c:spPr>
    </c:plotArea>
    <c:legend>
      <c:legendPos val="r"/>
      <c:layout>
        <c:manualLayout>
          <c:xMode val="edge"/>
          <c:yMode val="edge"/>
          <c:x val="0.82946297649937306"/>
          <c:y val="0.43353842589162844"/>
          <c:w val="0.15663478983744747"/>
          <c:h val="0.2155374360251501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sv-SE"/>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kg CO2 at retail-gate per kg of product</a:t>
            </a:r>
          </a:p>
        </c:rich>
      </c:tx>
      <c:layout>
        <c:manualLayout>
          <c:xMode val="edge"/>
          <c:yMode val="edge"/>
          <c:x val="0.34645478083115788"/>
          <c:y val="3.4825268456714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4.6815054051532308E-2"/>
          <c:y val="8.2036171339979452E-2"/>
          <c:w val="0.93862108257356081"/>
          <c:h val="0.86664623231732141"/>
        </c:manualLayout>
      </c:layout>
      <c:barChart>
        <c:barDir val="bar"/>
        <c:grouping val="clustered"/>
        <c:varyColors val="0"/>
        <c:ser>
          <c:idx val="0"/>
          <c:order val="0"/>
          <c:tx>
            <c:strRef>
              <c:f>'Summary pivot'!$F$9</c:f>
              <c:strCache>
                <c:ptCount val="1"/>
                <c:pt idx="0">
                  <c:v>kg  CO2 at retail-gate per kg of product</c:v>
                </c:pt>
              </c:strCache>
            </c:strRef>
          </c:tx>
          <c:spPr>
            <a:solidFill>
              <a:schemeClr val="accent1"/>
            </a:solidFill>
            <a:ln>
              <a:noFill/>
            </a:ln>
            <a:effectLst/>
          </c:spPr>
          <c:invertIfNegative val="0"/>
          <c:cat>
            <c:multiLvlStrRef>
              <c:f>[0]!Namee</c:f>
              <c:multiLvlStrCache>
                <c:ptCount val="27"/>
                <c:lvl>
                  <c:pt idx="0">
                    <c:v>Average</c:v>
                  </c:pt>
                  <c:pt idx="1">
                    <c:v>Denmark</c:v>
                  </c:pt>
                  <c:pt idx="2">
                    <c:v>Rest of Europe</c:v>
                  </c:pt>
                  <c:pt idx="3">
                    <c:v>Sweden</c:v>
                  </c:pt>
                  <c:pt idx="4">
                    <c:v>Average</c:v>
                  </c:pt>
                  <c:pt idx="5">
                    <c:v>Rest of Europe</c:v>
                  </c:pt>
                  <c:pt idx="6">
                    <c:v>Sweden</c:v>
                  </c:pt>
                  <c:pt idx="7">
                    <c:v>Average</c:v>
                  </c:pt>
                  <c:pt idx="8">
                    <c:v>Rest of Europe</c:v>
                  </c:pt>
                  <c:pt idx="9">
                    <c:v>Sweden</c:v>
                  </c:pt>
                  <c:pt idx="10">
                    <c:v>Average</c:v>
                  </c:pt>
                  <c:pt idx="11">
                    <c:v>Denmark</c:v>
                  </c:pt>
                  <c:pt idx="12">
                    <c:v>Rest of Europe</c:v>
                  </c:pt>
                  <c:pt idx="13">
                    <c:v>Sweden</c:v>
                  </c:pt>
                  <c:pt idx="14">
                    <c:v>The Nederlands</c:v>
                  </c:pt>
                  <c:pt idx="15">
                    <c:v>Average</c:v>
                  </c:pt>
                  <c:pt idx="16">
                    <c:v>Denmark</c:v>
                  </c:pt>
                  <c:pt idx="17">
                    <c:v>Rest of Europe</c:v>
                  </c:pt>
                  <c:pt idx="18">
                    <c:v>Sweden</c:v>
                  </c:pt>
                  <c:pt idx="19">
                    <c:v>The Nederlands</c:v>
                  </c:pt>
                  <c:pt idx="20">
                    <c:v>Average</c:v>
                  </c:pt>
                  <c:pt idx="21">
                    <c:v>Rest of Europe</c:v>
                  </c:pt>
                  <c:pt idx="22">
                    <c:v>Sweden</c:v>
                  </c:pt>
                  <c:pt idx="23">
                    <c:v>Sweden</c:v>
                  </c:pt>
                  <c:pt idx="24">
                    <c:v>Average</c:v>
                  </c:pt>
                  <c:pt idx="25">
                    <c:v>Rest of Europe</c:v>
                  </c:pt>
                  <c:pt idx="26">
                    <c:v>Sweden</c:v>
                  </c:pt>
                </c:lvl>
                <c:lvl>
                  <c:pt idx="0">
                    <c:v>Butter (82% fat)</c:v>
                  </c:pt>
                  <c:pt idx="4">
                    <c:v>Cream (40% fat)</c:v>
                  </c:pt>
                  <c:pt idx="7">
                    <c:v>Crème fraiche (34% fat</c:v>
                  </c:pt>
                  <c:pt idx="10">
                    <c:v>Desert cheese (25% fat)</c:v>
                  </c:pt>
                  <c:pt idx="15">
                    <c:v>Hard cheese (38% fat)</c:v>
                  </c:pt>
                  <c:pt idx="20">
                    <c:v>Milk powder</c:v>
                  </c:pt>
                  <c:pt idx="23">
                    <c:v>Pasteurized milk (3% fat)</c:v>
                  </c:pt>
                  <c:pt idx="24">
                    <c:v>Yogurt (3% fat)</c:v>
                  </c:pt>
                </c:lvl>
                <c:lvl>
                  <c:pt idx="0">
                    <c:v>Dairy product</c:v>
                  </c:pt>
                </c:lvl>
              </c:multiLvlStrCache>
              <c:extLst xmlns:c15="http://schemas.microsoft.com/office/drawing/2012/chart"/>
            </c:multiLvlStrRef>
          </c:cat>
          <c:val>
            <c:numRef>
              <c:f>[0]!aaaCO2</c:f>
              <c:numCache>
                <c:formatCode>0.00E+00</c:formatCode>
                <c:ptCount val="27"/>
                <c:pt idx="0">
                  <c:v>2.3818856034324125</c:v>
                </c:pt>
                <c:pt idx="1">
                  <c:v>2.2212941532354926</c:v>
                </c:pt>
                <c:pt idx="2">
                  <c:v>3.4852132790813619</c:v>
                </c:pt>
                <c:pt idx="3">
                  <c:v>2.170176971902301</c:v>
                </c:pt>
                <c:pt idx="4">
                  <c:v>1.205281278608977</c:v>
                </c:pt>
                <c:pt idx="5">
                  <c:v>1.8749630929291297</c:v>
                </c:pt>
                <c:pt idx="6">
                  <c:v>1.1282492331524534</c:v>
                </c:pt>
                <c:pt idx="7">
                  <c:v>2.3490512740937302</c:v>
                </c:pt>
                <c:pt idx="8">
                  <c:v>3.6403309025783956</c:v>
                </c:pt>
                <c:pt idx="9">
                  <c:v>2.1030932496204606</c:v>
                </c:pt>
                <c:pt idx="10">
                  <c:v>2.037647860083764</c:v>
                </c:pt>
                <c:pt idx="11">
                  <c:v>1.6874887850373066</c:v>
                </c:pt>
                <c:pt idx="12">
                  <c:v>2.8691255282761898</c:v>
                </c:pt>
                <c:pt idx="13">
                  <c:v>1.6363716037041152</c:v>
                </c:pt>
                <c:pt idx="14">
                  <c:v>2.7668911656098074</c:v>
                </c:pt>
                <c:pt idx="15">
                  <c:v>2.8332124854600531</c:v>
                </c:pt>
                <c:pt idx="16">
                  <c:v>2.3693335908805895</c:v>
                </c:pt>
                <c:pt idx="17">
                  <c:v>3.8976771009883944</c:v>
                </c:pt>
                <c:pt idx="18">
                  <c:v>2.3182164095473978</c:v>
                </c:pt>
                <c:pt idx="19">
                  <c:v>3.7954427383220115</c:v>
                </c:pt>
                <c:pt idx="20">
                  <c:v>2.3490512740937302</c:v>
                </c:pt>
                <c:pt idx="21">
                  <c:v>3.6403309025783956</c:v>
                </c:pt>
                <c:pt idx="22">
                  <c:v>2.1030932496204606</c:v>
                </c:pt>
                <c:pt idx="23">
                  <c:v>0.31970546028356261</c:v>
                </c:pt>
                <c:pt idx="24">
                  <c:v>0.49873243970917247</c:v>
                </c:pt>
                <c:pt idx="25">
                  <c:v>0.85447177949116015</c:v>
                </c:pt>
                <c:pt idx="26">
                  <c:v>0.39126951415003036</c:v>
                </c:pt>
              </c:numCache>
            </c:numRef>
          </c:val>
          <c:extLst>
            <c:ext xmlns:c16="http://schemas.microsoft.com/office/drawing/2014/chart" uri="{C3380CC4-5D6E-409C-BE32-E72D297353CC}">
              <c16:uniqueId val="{00000000-C001-4394-B5B7-E8DB40ACB299}"/>
            </c:ext>
          </c:extLst>
        </c:ser>
        <c:dLbls>
          <c:showLegendKey val="0"/>
          <c:showVal val="0"/>
          <c:showCatName val="0"/>
          <c:showSerName val="0"/>
          <c:showPercent val="0"/>
          <c:showBubbleSize val="0"/>
        </c:dLbls>
        <c:gapWidth val="219"/>
        <c:axId val="1091172304"/>
        <c:axId val="763919008"/>
      </c:barChart>
      <c:catAx>
        <c:axId val="1091172304"/>
        <c:scaling>
          <c:orientation val="minMax"/>
        </c:scaling>
        <c:delete val="0"/>
        <c:axPos val="l"/>
        <c:numFmt formatCode="@"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sv-SE"/>
          </a:p>
        </c:txPr>
        <c:crossAx val="763919008"/>
        <c:crosses val="autoZero"/>
        <c:auto val="1"/>
        <c:lblAlgn val="ctr"/>
        <c:lblOffset val="100"/>
        <c:noMultiLvlLbl val="0"/>
      </c:catAx>
      <c:valAx>
        <c:axId val="76391900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1172304"/>
        <c:crossesAt val="1"/>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kg CH4 fossil at retail-gate per kg of product</a:t>
            </a:r>
          </a:p>
        </c:rich>
      </c:tx>
      <c:layout>
        <c:manualLayout>
          <c:xMode val="edge"/>
          <c:yMode val="edge"/>
          <c:x val="0.34645478083115788"/>
          <c:y val="3.4825268456714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4.6815054051532308E-2"/>
          <c:y val="8.2036171339979452E-2"/>
          <c:w val="0.93862108257356081"/>
          <c:h val="0.86776967922936854"/>
        </c:manualLayout>
      </c:layout>
      <c:barChart>
        <c:barDir val="bar"/>
        <c:grouping val="clustered"/>
        <c:varyColors val="0"/>
        <c:ser>
          <c:idx val="0"/>
          <c:order val="0"/>
          <c:tx>
            <c:strRef>
              <c:f>'Summary pivot'!$G$9</c:f>
              <c:strCache>
                <c:ptCount val="1"/>
                <c:pt idx="0">
                  <c:v>kg  CH4 fossil at retail-gate per kg of product</c:v>
                </c:pt>
              </c:strCache>
            </c:strRef>
          </c:tx>
          <c:spPr>
            <a:solidFill>
              <a:schemeClr val="accent1"/>
            </a:solidFill>
            <a:ln>
              <a:noFill/>
            </a:ln>
            <a:effectLst/>
          </c:spPr>
          <c:invertIfNegative val="0"/>
          <c:cat>
            <c:multiLvlStrRef>
              <c:f>[0]!Namee</c:f>
              <c:multiLvlStrCache>
                <c:ptCount val="27"/>
                <c:lvl>
                  <c:pt idx="0">
                    <c:v>Average</c:v>
                  </c:pt>
                  <c:pt idx="1">
                    <c:v>Denmark</c:v>
                  </c:pt>
                  <c:pt idx="2">
                    <c:v>Rest of Europe</c:v>
                  </c:pt>
                  <c:pt idx="3">
                    <c:v>Sweden</c:v>
                  </c:pt>
                  <c:pt idx="4">
                    <c:v>Average</c:v>
                  </c:pt>
                  <c:pt idx="5">
                    <c:v>Rest of Europe</c:v>
                  </c:pt>
                  <c:pt idx="6">
                    <c:v>Sweden</c:v>
                  </c:pt>
                  <c:pt idx="7">
                    <c:v>Average</c:v>
                  </c:pt>
                  <c:pt idx="8">
                    <c:v>Rest of Europe</c:v>
                  </c:pt>
                  <c:pt idx="9">
                    <c:v>Sweden</c:v>
                  </c:pt>
                  <c:pt idx="10">
                    <c:v>Average</c:v>
                  </c:pt>
                  <c:pt idx="11">
                    <c:v>Denmark</c:v>
                  </c:pt>
                  <c:pt idx="12">
                    <c:v>Rest of Europe</c:v>
                  </c:pt>
                  <c:pt idx="13">
                    <c:v>Sweden</c:v>
                  </c:pt>
                  <c:pt idx="14">
                    <c:v>The Nederlands</c:v>
                  </c:pt>
                  <c:pt idx="15">
                    <c:v>Average</c:v>
                  </c:pt>
                  <c:pt idx="16">
                    <c:v>Denmark</c:v>
                  </c:pt>
                  <c:pt idx="17">
                    <c:v>Rest of Europe</c:v>
                  </c:pt>
                  <c:pt idx="18">
                    <c:v>Sweden</c:v>
                  </c:pt>
                  <c:pt idx="19">
                    <c:v>The Nederlands</c:v>
                  </c:pt>
                  <c:pt idx="20">
                    <c:v>Average</c:v>
                  </c:pt>
                  <c:pt idx="21">
                    <c:v>Rest of Europe</c:v>
                  </c:pt>
                  <c:pt idx="22">
                    <c:v>Sweden</c:v>
                  </c:pt>
                  <c:pt idx="23">
                    <c:v>Sweden</c:v>
                  </c:pt>
                  <c:pt idx="24">
                    <c:v>Average</c:v>
                  </c:pt>
                  <c:pt idx="25">
                    <c:v>Rest of Europe</c:v>
                  </c:pt>
                  <c:pt idx="26">
                    <c:v>Sweden</c:v>
                  </c:pt>
                </c:lvl>
                <c:lvl>
                  <c:pt idx="0">
                    <c:v>Butter (82% fat)</c:v>
                  </c:pt>
                  <c:pt idx="4">
                    <c:v>Cream (40% fat)</c:v>
                  </c:pt>
                  <c:pt idx="7">
                    <c:v>Crème fraiche (34% fat</c:v>
                  </c:pt>
                  <c:pt idx="10">
                    <c:v>Desert cheese (25% fat)</c:v>
                  </c:pt>
                  <c:pt idx="15">
                    <c:v>Hard cheese (38% fat)</c:v>
                  </c:pt>
                  <c:pt idx="20">
                    <c:v>Milk powder</c:v>
                  </c:pt>
                  <c:pt idx="23">
                    <c:v>Pasteurized milk (3% fat)</c:v>
                  </c:pt>
                  <c:pt idx="24">
                    <c:v>Yogurt (3% fat)</c:v>
                  </c:pt>
                </c:lvl>
                <c:lvl>
                  <c:pt idx="0">
                    <c:v>Dairy product</c:v>
                  </c:pt>
                </c:lvl>
              </c:multiLvlStrCache>
              <c:extLst xmlns:c15="http://schemas.microsoft.com/office/drawing/2012/chart"/>
            </c:multiLvlStrRef>
          </c:cat>
          <c:val>
            <c:numRef>
              <c:f>[0]!aaaCH4fossil</c:f>
              <c:numCache>
                <c:formatCode>0.00E+00</c:formatCode>
                <c:ptCount val="27"/>
                <c:pt idx="0">
                  <c:v>2.1467841133308531E-3</c:v>
                </c:pt>
                <c:pt idx="1">
                  <c:v>2.1408263094701151E-3</c:v>
                </c:pt>
                <c:pt idx="2">
                  <c:v>2.177833437291484E-3</c:v>
                </c:pt>
                <c:pt idx="3">
                  <c:v>2.1408263094701151E-3</c:v>
                </c:pt>
                <c:pt idx="4">
                  <c:v>1.0897581384659706E-3</c:v>
                </c:pt>
                <c:pt idx="5">
                  <c:v>1.1066226815505508E-3</c:v>
                </c:pt>
                <c:pt idx="6">
                  <c:v>1.0878182466819691E-3</c:v>
                </c:pt>
                <c:pt idx="7">
                  <c:v>9.4692081912047324E-4</c:v>
                </c:pt>
                <c:pt idx="8">
                  <c:v>9.5944186490432763E-4</c:v>
                </c:pt>
                <c:pt idx="9">
                  <c:v>9.4313841987326728E-4</c:v>
                </c:pt>
                <c:pt idx="10">
                  <c:v>0</c:v>
                </c:pt>
                <c:pt idx="11">
                  <c:v>0</c:v>
                </c:pt>
                <c:pt idx="12">
                  <c:v>0</c:v>
                </c:pt>
                <c:pt idx="13">
                  <c:v>0</c:v>
                </c:pt>
                <c:pt idx="14">
                  <c:v>0</c:v>
                </c:pt>
                <c:pt idx="15">
                  <c:v>2.0566938704794637E-3</c:v>
                </c:pt>
                <c:pt idx="16">
                  <c:v>2.0450983037621018E-3</c:v>
                </c:pt>
                <c:pt idx="17">
                  <c:v>2.0804506413150351E-3</c:v>
                </c:pt>
                <c:pt idx="18">
                  <c:v>2.0450983037621018E-3</c:v>
                </c:pt>
                <c:pt idx="19">
                  <c:v>2.0804506413150351E-3</c:v>
                </c:pt>
                <c:pt idx="20">
                  <c:v>1.9125473349847549E-3</c:v>
                </c:pt>
                <c:pt idx="21">
                  <c:v>1.9402419863988932E-3</c:v>
                </c:pt>
                <c:pt idx="22">
                  <c:v>1.907272163286824E-3</c:v>
                </c:pt>
                <c:pt idx="23">
                  <c:v>2.1756364933639384E-4</c:v>
                </c:pt>
                <c:pt idx="24">
                  <c:v>2.1843617511429602E-4</c:v>
                </c:pt>
                <c:pt idx="25">
                  <c:v>2.2132453631011016E-4</c:v>
                </c:pt>
                <c:pt idx="26">
                  <c:v>2.1756364933639384E-4</c:v>
                </c:pt>
              </c:numCache>
            </c:numRef>
          </c:val>
          <c:extLst>
            <c:ext xmlns:c16="http://schemas.microsoft.com/office/drawing/2014/chart" uri="{C3380CC4-5D6E-409C-BE32-E72D297353CC}">
              <c16:uniqueId val="{00000000-3C9D-4748-BE4B-596C1B9B7BD4}"/>
            </c:ext>
          </c:extLst>
        </c:ser>
        <c:dLbls>
          <c:showLegendKey val="0"/>
          <c:showVal val="0"/>
          <c:showCatName val="0"/>
          <c:showSerName val="0"/>
          <c:showPercent val="0"/>
          <c:showBubbleSize val="0"/>
        </c:dLbls>
        <c:gapWidth val="219"/>
        <c:axId val="1091172304"/>
        <c:axId val="763919008"/>
      </c:barChart>
      <c:catAx>
        <c:axId val="1091172304"/>
        <c:scaling>
          <c:orientation val="minMax"/>
        </c:scaling>
        <c:delete val="0"/>
        <c:axPos val="l"/>
        <c:numFmt formatCode="@"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sv-SE"/>
          </a:p>
        </c:txPr>
        <c:crossAx val="763919008"/>
        <c:crosses val="autoZero"/>
        <c:auto val="1"/>
        <c:lblAlgn val="ctr"/>
        <c:lblOffset val="100"/>
        <c:noMultiLvlLbl val="0"/>
      </c:catAx>
      <c:valAx>
        <c:axId val="76391900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1172304"/>
        <c:crossesAt val="1"/>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kg N2O at retail-gate per kg of product</a:t>
            </a:r>
          </a:p>
        </c:rich>
      </c:tx>
      <c:layout>
        <c:manualLayout>
          <c:xMode val="edge"/>
          <c:yMode val="edge"/>
          <c:x val="0.34645478083115788"/>
          <c:y val="3.4825268456714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4.6815054051532308E-2"/>
          <c:y val="8.2036171339979452E-2"/>
          <c:w val="0.93862108257356081"/>
          <c:h val="0.86776967922936854"/>
        </c:manualLayout>
      </c:layout>
      <c:barChart>
        <c:barDir val="bar"/>
        <c:grouping val="clustered"/>
        <c:varyColors val="0"/>
        <c:ser>
          <c:idx val="0"/>
          <c:order val="0"/>
          <c:tx>
            <c:strRef>
              <c:f>'Summary pivot'!$G$9</c:f>
              <c:strCache>
                <c:ptCount val="1"/>
                <c:pt idx="0">
                  <c:v>kg  CH4 fossil at retail-gate per kg of product</c:v>
                </c:pt>
              </c:strCache>
            </c:strRef>
          </c:tx>
          <c:spPr>
            <a:solidFill>
              <a:schemeClr val="accent1"/>
            </a:solidFill>
            <a:ln>
              <a:noFill/>
            </a:ln>
            <a:effectLst/>
          </c:spPr>
          <c:invertIfNegative val="0"/>
          <c:cat>
            <c:multiLvlStrRef>
              <c:f>[0]!Namee</c:f>
              <c:multiLvlStrCache>
                <c:ptCount val="27"/>
                <c:lvl>
                  <c:pt idx="0">
                    <c:v>Average</c:v>
                  </c:pt>
                  <c:pt idx="1">
                    <c:v>Denmark</c:v>
                  </c:pt>
                  <c:pt idx="2">
                    <c:v>Rest of Europe</c:v>
                  </c:pt>
                  <c:pt idx="3">
                    <c:v>Sweden</c:v>
                  </c:pt>
                  <c:pt idx="4">
                    <c:v>Average</c:v>
                  </c:pt>
                  <c:pt idx="5">
                    <c:v>Rest of Europe</c:v>
                  </c:pt>
                  <c:pt idx="6">
                    <c:v>Sweden</c:v>
                  </c:pt>
                  <c:pt idx="7">
                    <c:v>Average</c:v>
                  </c:pt>
                  <c:pt idx="8">
                    <c:v>Rest of Europe</c:v>
                  </c:pt>
                  <c:pt idx="9">
                    <c:v>Sweden</c:v>
                  </c:pt>
                  <c:pt idx="10">
                    <c:v>Average</c:v>
                  </c:pt>
                  <c:pt idx="11">
                    <c:v>Denmark</c:v>
                  </c:pt>
                  <c:pt idx="12">
                    <c:v>Rest of Europe</c:v>
                  </c:pt>
                  <c:pt idx="13">
                    <c:v>Sweden</c:v>
                  </c:pt>
                  <c:pt idx="14">
                    <c:v>The Nederlands</c:v>
                  </c:pt>
                  <c:pt idx="15">
                    <c:v>Average</c:v>
                  </c:pt>
                  <c:pt idx="16">
                    <c:v>Denmark</c:v>
                  </c:pt>
                  <c:pt idx="17">
                    <c:v>Rest of Europe</c:v>
                  </c:pt>
                  <c:pt idx="18">
                    <c:v>Sweden</c:v>
                  </c:pt>
                  <c:pt idx="19">
                    <c:v>The Nederlands</c:v>
                  </c:pt>
                  <c:pt idx="20">
                    <c:v>Average</c:v>
                  </c:pt>
                  <c:pt idx="21">
                    <c:v>Rest of Europe</c:v>
                  </c:pt>
                  <c:pt idx="22">
                    <c:v>Sweden</c:v>
                  </c:pt>
                  <c:pt idx="23">
                    <c:v>Sweden</c:v>
                  </c:pt>
                  <c:pt idx="24">
                    <c:v>Average</c:v>
                  </c:pt>
                  <c:pt idx="25">
                    <c:v>Rest of Europe</c:v>
                  </c:pt>
                  <c:pt idx="26">
                    <c:v>Sweden</c:v>
                  </c:pt>
                </c:lvl>
                <c:lvl>
                  <c:pt idx="0">
                    <c:v>Butter (82% fat)</c:v>
                  </c:pt>
                  <c:pt idx="4">
                    <c:v>Cream (40% fat)</c:v>
                  </c:pt>
                  <c:pt idx="7">
                    <c:v>Crème fraiche (34% fat</c:v>
                  </c:pt>
                  <c:pt idx="10">
                    <c:v>Desert cheese (25% fat)</c:v>
                  </c:pt>
                  <c:pt idx="15">
                    <c:v>Hard cheese (38% fat)</c:v>
                  </c:pt>
                  <c:pt idx="20">
                    <c:v>Milk powder</c:v>
                  </c:pt>
                  <c:pt idx="23">
                    <c:v>Pasteurized milk (3% fat)</c:v>
                  </c:pt>
                  <c:pt idx="24">
                    <c:v>Yogurt (3% fat)</c:v>
                  </c:pt>
                </c:lvl>
                <c:lvl>
                  <c:pt idx="0">
                    <c:v>Dairy product</c:v>
                  </c:pt>
                </c:lvl>
              </c:multiLvlStrCache>
              <c:extLst xmlns:c15="http://schemas.microsoft.com/office/drawing/2012/chart"/>
            </c:multiLvlStrRef>
          </c:cat>
          <c:val>
            <c:numRef>
              <c:f>[0]!aaaN2O</c:f>
              <c:numCache>
                <c:formatCode>0.00E+00</c:formatCode>
                <c:ptCount val="27"/>
                <c:pt idx="0">
                  <c:v>1.0062317153270495E-2</c:v>
                </c:pt>
                <c:pt idx="1">
                  <c:v>1.0061761753555032E-2</c:v>
                </c:pt>
                <c:pt idx="2">
                  <c:v>1.0065211640248602E-2</c:v>
                </c:pt>
                <c:pt idx="3">
                  <c:v>1.0061761753555032E-2</c:v>
                </c:pt>
                <c:pt idx="4">
                  <c:v>5.112864658886304E-3</c:v>
                </c:pt>
                <c:pt idx="5">
                  <c:v>5.1144368090694113E-3</c:v>
                </c:pt>
                <c:pt idx="6">
                  <c:v>5.112683817863329E-3</c:v>
                </c:pt>
                <c:pt idx="7">
                  <c:v>8.9645623285463365E-3</c:v>
                </c:pt>
                <c:pt idx="8">
                  <c:v>8.9671440854948315E-3</c:v>
                </c:pt>
                <c:pt idx="9">
                  <c:v>8.9640705653180521E-3</c:v>
                </c:pt>
                <c:pt idx="10">
                  <c:v>6.2484022523522451E-3</c:v>
                </c:pt>
                <c:pt idx="11">
                  <c:v>6.2476996254289879E-3</c:v>
                </c:pt>
                <c:pt idx="12">
                  <c:v>6.2498417806828212E-3</c:v>
                </c:pt>
                <c:pt idx="13">
                  <c:v>6.2476996254289879E-3</c:v>
                </c:pt>
                <c:pt idx="14">
                  <c:v>6.2498417806828212E-3</c:v>
                </c:pt>
                <c:pt idx="15">
                  <c:v>9.6129265420803762E-3</c:v>
                </c:pt>
                <c:pt idx="16">
                  <c:v>9.6118455775830586E-3</c:v>
                </c:pt>
                <c:pt idx="17">
                  <c:v>9.6151412010504946E-3</c:v>
                </c:pt>
                <c:pt idx="18">
                  <c:v>9.6118455775830586E-3</c:v>
                </c:pt>
                <c:pt idx="19">
                  <c:v>9.6151412010504946E-3</c:v>
                </c:pt>
                <c:pt idx="20">
                  <c:v>8.9645623285463365E-3</c:v>
                </c:pt>
                <c:pt idx="21">
                  <c:v>8.9671440854948315E-3</c:v>
                </c:pt>
                <c:pt idx="22">
                  <c:v>8.9640705653180521E-3</c:v>
                </c:pt>
                <c:pt idx="23">
                  <c:v>1.0225367635726659E-3</c:v>
                </c:pt>
                <c:pt idx="24">
                  <c:v>1.0226181023646282E-3</c:v>
                </c:pt>
                <c:pt idx="25">
                  <c:v>1.0228873618138823E-3</c:v>
                </c:pt>
                <c:pt idx="26">
                  <c:v>1.0225367635726659E-3</c:v>
                </c:pt>
              </c:numCache>
            </c:numRef>
          </c:val>
          <c:extLst>
            <c:ext xmlns:c16="http://schemas.microsoft.com/office/drawing/2014/chart" uri="{C3380CC4-5D6E-409C-BE32-E72D297353CC}">
              <c16:uniqueId val="{00000000-D934-4020-8715-37EA950379CC}"/>
            </c:ext>
          </c:extLst>
        </c:ser>
        <c:dLbls>
          <c:showLegendKey val="0"/>
          <c:showVal val="0"/>
          <c:showCatName val="0"/>
          <c:showSerName val="0"/>
          <c:showPercent val="0"/>
          <c:showBubbleSize val="0"/>
        </c:dLbls>
        <c:gapWidth val="219"/>
        <c:axId val="1091172304"/>
        <c:axId val="763919008"/>
      </c:barChart>
      <c:catAx>
        <c:axId val="1091172304"/>
        <c:scaling>
          <c:orientation val="minMax"/>
        </c:scaling>
        <c:delete val="0"/>
        <c:axPos val="l"/>
        <c:numFmt formatCode="@"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sv-SE"/>
          </a:p>
        </c:txPr>
        <c:crossAx val="763919008"/>
        <c:crosses val="autoZero"/>
        <c:auto val="1"/>
        <c:lblAlgn val="ctr"/>
        <c:lblOffset val="100"/>
        <c:noMultiLvlLbl val="0"/>
      </c:catAx>
      <c:valAx>
        <c:axId val="76391900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1172304"/>
        <c:crossesAt val="1"/>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kg CH4 bio at retail-gate per kg of product</a:t>
            </a:r>
          </a:p>
        </c:rich>
      </c:tx>
      <c:layout>
        <c:manualLayout>
          <c:xMode val="edge"/>
          <c:yMode val="edge"/>
          <c:x val="0.34645478083115788"/>
          <c:y val="3.4825268456714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4.6815054051532308E-2"/>
          <c:y val="8.2036171339979452E-2"/>
          <c:w val="0.93862108257356081"/>
          <c:h val="0.86776967922936854"/>
        </c:manualLayout>
      </c:layout>
      <c:barChart>
        <c:barDir val="bar"/>
        <c:grouping val="clustered"/>
        <c:varyColors val="0"/>
        <c:ser>
          <c:idx val="0"/>
          <c:order val="0"/>
          <c:tx>
            <c:strRef>
              <c:f>'Summary pivot'!$G$9</c:f>
              <c:strCache>
                <c:ptCount val="1"/>
                <c:pt idx="0">
                  <c:v>kg  CH4 fossil at retail-gate per kg of product</c:v>
                </c:pt>
              </c:strCache>
            </c:strRef>
          </c:tx>
          <c:spPr>
            <a:solidFill>
              <a:schemeClr val="accent1"/>
            </a:solidFill>
            <a:ln>
              <a:noFill/>
            </a:ln>
            <a:effectLst/>
          </c:spPr>
          <c:invertIfNegative val="0"/>
          <c:cat>
            <c:multiLvlStrRef>
              <c:f>[0]!Namee</c:f>
              <c:multiLvlStrCache>
                <c:ptCount val="27"/>
                <c:lvl>
                  <c:pt idx="0">
                    <c:v>Average</c:v>
                  </c:pt>
                  <c:pt idx="1">
                    <c:v>Denmark</c:v>
                  </c:pt>
                  <c:pt idx="2">
                    <c:v>Rest of Europe</c:v>
                  </c:pt>
                  <c:pt idx="3">
                    <c:v>Sweden</c:v>
                  </c:pt>
                  <c:pt idx="4">
                    <c:v>Average</c:v>
                  </c:pt>
                  <c:pt idx="5">
                    <c:v>Rest of Europe</c:v>
                  </c:pt>
                  <c:pt idx="6">
                    <c:v>Sweden</c:v>
                  </c:pt>
                  <c:pt idx="7">
                    <c:v>Average</c:v>
                  </c:pt>
                  <c:pt idx="8">
                    <c:v>Rest of Europe</c:v>
                  </c:pt>
                  <c:pt idx="9">
                    <c:v>Sweden</c:v>
                  </c:pt>
                  <c:pt idx="10">
                    <c:v>Average</c:v>
                  </c:pt>
                  <c:pt idx="11">
                    <c:v>Denmark</c:v>
                  </c:pt>
                  <c:pt idx="12">
                    <c:v>Rest of Europe</c:v>
                  </c:pt>
                  <c:pt idx="13">
                    <c:v>Sweden</c:v>
                  </c:pt>
                  <c:pt idx="14">
                    <c:v>The Nederlands</c:v>
                  </c:pt>
                  <c:pt idx="15">
                    <c:v>Average</c:v>
                  </c:pt>
                  <c:pt idx="16">
                    <c:v>Denmark</c:v>
                  </c:pt>
                  <c:pt idx="17">
                    <c:v>Rest of Europe</c:v>
                  </c:pt>
                  <c:pt idx="18">
                    <c:v>Sweden</c:v>
                  </c:pt>
                  <c:pt idx="19">
                    <c:v>The Nederlands</c:v>
                  </c:pt>
                  <c:pt idx="20">
                    <c:v>Average</c:v>
                  </c:pt>
                  <c:pt idx="21">
                    <c:v>Rest of Europe</c:v>
                  </c:pt>
                  <c:pt idx="22">
                    <c:v>Sweden</c:v>
                  </c:pt>
                  <c:pt idx="23">
                    <c:v>Sweden</c:v>
                  </c:pt>
                  <c:pt idx="24">
                    <c:v>Average</c:v>
                  </c:pt>
                  <c:pt idx="25">
                    <c:v>Rest of Europe</c:v>
                  </c:pt>
                  <c:pt idx="26">
                    <c:v>Sweden</c:v>
                  </c:pt>
                </c:lvl>
                <c:lvl>
                  <c:pt idx="0">
                    <c:v>Butter (82% fat)</c:v>
                  </c:pt>
                  <c:pt idx="4">
                    <c:v>Cream (40% fat)</c:v>
                  </c:pt>
                  <c:pt idx="7">
                    <c:v>Crème fraiche (34% fat</c:v>
                  </c:pt>
                  <c:pt idx="10">
                    <c:v>Desert cheese (25% fat)</c:v>
                  </c:pt>
                  <c:pt idx="15">
                    <c:v>Hard cheese (38% fat)</c:v>
                  </c:pt>
                  <c:pt idx="20">
                    <c:v>Milk powder</c:v>
                  </c:pt>
                  <c:pt idx="23">
                    <c:v>Pasteurized milk (3% fat)</c:v>
                  </c:pt>
                  <c:pt idx="24">
                    <c:v>Yogurt (3% fat)</c:v>
                  </c:pt>
                </c:lvl>
                <c:lvl>
                  <c:pt idx="0">
                    <c:v>Dairy product</c:v>
                  </c:pt>
                </c:lvl>
              </c:multiLvlStrCache>
              <c:extLst xmlns:c15="http://schemas.microsoft.com/office/drawing/2012/chart"/>
            </c:multiLvlStrRef>
          </c:cat>
          <c:val>
            <c:numRef>
              <c:f>[0]!aaaCH4bio</c:f>
              <c:numCache>
                <c:formatCode>0.00E+00</c:formatCode>
                <c:ptCount val="27"/>
                <c:pt idx="0">
                  <c:v>0.21052782715827184</c:v>
                </c:pt>
                <c:pt idx="1">
                  <c:v>0.21052782715827181</c:v>
                </c:pt>
                <c:pt idx="2">
                  <c:v>0.21052782715827181</c:v>
                </c:pt>
                <c:pt idx="3">
                  <c:v>0.21052782715827181</c:v>
                </c:pt>
                <c:pt idx="4">
                  <c:v>0.10697552193001617</c:v>
                </c:pt>
                <c:pt idx="5">
                  <c:v>0.10697552193001617</c:v>
                </c:pt>
                <c:pt idx="6">
                  <c:v>0.10697552193001617</c:v>
                </c:pt>
                <c:pt idx="7">
                  <c:v>0.18756022502153244</c:v>
                </c:pt>
                <c:pt idx="8">
                  <c:v>0.18756022502153244</c:v>
                </c:pt>
                <c:pt idx="9">
                  <c:v>0.18756022502153244</c:v>
                </c:pt>
                <c:pt idx="10">
                  <c:v>0.13072408779847977</c:v>
                </c:pt>
                <c:pt idx="11">
                  <c:v>0.13072408779847977</c:v>
                </c:pt>
                <c:pt idx="12">
                  <c:v>0.13072408779847977</c:v>
                </c:pt>
                <c:pt idx="13">
                  <c:v>0.13072408779847977</c:v>
                </c:pt>
                <c:pt idx="14">
                  <c:v>0.13072408779847977</c:v>
                </c:pt>
                <c:pt idx="15">
                  <c:v>0.20111398122843038</c:v>
                </c:pt>
                <c:pt idx="16">
                  <c:v>0.20111398122843038</c:v>
                </c:pt>
                <c:pt idx="17">
                  <c:v>0.20111398122843038</c:v>
                </c:pt>
                <c:pt idx="18">
                  <c:v>0.20111398122843038</c:v>
                </c:pt>
                <c:pt idx="19">
                  <c:v>0.20111398122843038</c:v>
                </c:pt>
                <c:pt idx="20">
                  <c:v>0.18756022502153244</c:v>
                </c:pt>
                <c:pt idx="21">
                  <c:v>0.18756022502153244</c:v>
                </c:pt>
                <c:pt idx="22">
                  <c:v>0.18756022502153244</c:v>
                </c:pt>
                <c:pt idx="23">
                  <c:v>2.1395104386003231E-2</c:v>
                </c:pt>
                <c:pt idx="24">
                  <c:v>2.1395104386003231E-2</c:v>
                </c:pt>
                <c:pt idx="25">
                  <c:v>2.1395104386003231E-2</c:v>
                </c:pt>
                <c:pt idx="26">
                  <c:v>2.1395104386003231E-2</c:v>
                </c:pt>
              </c:numCache>
            </c:numRef>
          </c:val>
          <c:extLst>
            <c:ext xmlns:c16="http://schemas.microsoft.com/office/drawing/2014/chart" uri="{C3380CC4-5D6E-409C-BE32-E72D297353CC}">
              <c16:uniqueId val="{00000000-BB80-454D-A0BF-5F3D8C2F7F03}"/>
            </c:ext>
          </c:extLst>
        </c:ser>
        <c:dLbls>
          <c:showLegendKey val="0"/>
          <c:showVal val="0"/>
          <c:showCatName val="0"/>
          <c:showSerName val="0"/>
          <c:showPercent val="0"/>
          <c:showBubbleSize val="0"/>
        </c:dLbls>
        <c:gapWidth val="219"/>
        <c:axId val="1091172304"/>
        <c:axId val="763919008"/>
      </c:barChart>
      <c:catAx>
        <c:axId val="1091172304"/>
        <c:scaling>
          <c:orientation val="minMax"/>
        </c:scaling>
        <c:delete val="0"/>
        <c:axPos val="l"/>
        <c:numFmt formatCode="@"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sv-SE"/>
          </a:p>
        </c:txPr>
        <c:crossAx val="763919008"/>
        <c:crosses val="autoZero"/>
        <c:auto val="1"/>
        <c:lblAlgn val="ctr"/>
        <c:lblOffset val="100"/>
        <c:noMultiLvlLbl val="0"/>
      </c:catAx>
      <c:valAx>
        <c:axId val="76391900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1172304"/>
        <c:crossesAt val="1"/>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kg HCFC-22</a:t>
            </a:r>
            <a:r>
              <a:rPr lang="en-US" baseline="0"/>
              <a:t> </a:t>
            </a:r>
            <a:r>
              <a:rPr lang="en-US"/>
              <a:t>at retail-gate per kg of product</a:t>
            </a:r>
          </a:p>
        </c:rich>
      </c:tx>
      <c:layout>
        <c:manualLayout>
          <c:xMode val="edge"/>
          <c:yMode val="edge"/>
          <c:x val="0.34645478083115788"/>
          <c:y val="3.4825268456714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4.6815054051532308E-2"/>
          <c:y val="8.2036171339979452E-2"/>
          <c:w val="0.93862108257356081"/>
          <c:h val="0.86776967922936854"/>
        </c:manualLayout>
      </c:layout>
      <c:barChart>
        <c:barDir val="bar"/>
        <c:grouping val="clustered"/>
        <c:varyColors val="0"/>
        <c:ser>
          <c:idx val="0"/>
          <c:order val="0"/>
          <c:tx>
            <c:strRef>
              <c:f>'Summary pivot'!$G$9</c:f>
              <c:strCache>
                <c:ptCount val="1"/>
                <c:pt idx="0">
                  <c:v>kg  CH4 fossil at retail-gate per kg of product</c:v>
                </c:pt>
              </c:strCache>
            </c:strRef>
          </c:tx>
          <c:spPr>
            <a:solidFill>
              <a:schemeClr val="accent1"/>
            </a:solidFill>
            <a:ln>
              <a:noFill/>
            </a:ln>
            <a:effectLst/>
          </c:spPr>
          <c:invertIfNegative val="0"/>
          <c:cat>
            <c:multiLvlStrRef>
              <c:f>[0]!Namee</c:f>
              <c:multiLvlStrCache>
                <c:ptCount val="27"/>
                <c:lvl>
                  <c:pt idx="0">
                    <c:v>Average</c:v>
                  </c:pt>
                  <c:pt idx="1">
                    <c:v>Denmark</c:v>
                  </c:pt>
                  <c:pt idx="2">
                    <c:v>Rest of Europe</c:v>
                  </c:pt>
                  <c:pt idx="3">
                    <c:v>Sweden</c:v>
                  </c:pt>
                  <c:pt idx="4">
                    <c:v>Average</c:v>
                  </c:pt>
                  <c:pt idx="5">
                    <c:v>Rest of Europe</c:v>
                  </c:pt>
                  <c:pt idx="6">
                    <c:v>Sweden</c:v>
                  </c:pt>
                  <c:pt idx="7">
                    <c:v>Average</c:v>
                  </c:pt>
                  <c:pt idx="8">
                    <c:v>Rest of Europe</c:v>
                  </c:pt>
                  <c:pt idx="9">
                    <c:v>Sweden</c:v>
                  </c:pt>
                  <c:pt idx="10">
                    <c:v>Average</c:v>
                  </c:pt>
                  <c:pt idx="11">
                    <c:v>Denmark</c:v>
                  </c:pt>
                  <c:pt idx="12">
                    <c:v>Rest of Europe</c:v>
                  </c:pt>
                  <c:pt idx="13">
                    <c:v>Sweden</c:v>
                  </c:pt>
                  <c:pt idx="14">
                    <c:v>The Nederlands</c:v>
                  </c:pt>
                  <c:pt idx="15">
                    <c:v>Average</c:v>
                  </c:pt>
                  <c:pt idx="16">
                    <c:v>Denmark</c:v>
                  </c:pt>
                  <c:pt idx="17">
                    <c:v>Rest of Europe</c:v>
                  </c:pt>
                  <c:pt idx="18">
                    <c:v>Sweden</c:v>
                  </c:pt>
                  <c:pt idx="19">
                    <c:v>The Nederlands</c:v>
                  </c:pt>
                  <c:pt idx="20">
                    <c:v>Average</c:v>
                  </c:pt>
                  <c:pt idx="21">
                    <c:v>Rest of Europe</c:v>
                  </c:pt>
                  <c:pt idx="22">
                    <c:v>Sweden</c:v>
                  </c:pt>
                  <c:pt idx="23">
                    <c:v>Sweden</c:v>
                  </c:pt>
                  <c:pt idx="24">
                    <c:v>Average</c:v>
                  </c:pt>
                  <c:pt idx="25">
                    <c:v>Rest of Europe</c:v>
                  </c:pt>
                  <c:pt idx="26">
                    <c:v>Sweden</c:v>
                  </c:pt>
                </c:lvl>
                <c:lvl>
                  <c:pt idx="0">
                    <c:v>Butter (82% fat)</c:v>
                  </c:pt>
                  <c:pt idx="4">
                    <c:v>Cream (40% fat)</c:v>
                  </c:pt>
                  <c:pt idx="7">
                    <c:v>Crème fraiche (34% fat</c:v>
                  </c:pt>
                  <c:pt idx="10">
                    <c:v>Desert cheese (25% fat)</c:v>
                  </c:pt>
                  <c:pt idx="15">
                    <c:v>Hard cheese (38% fat)</c:v>
                  </c:pt>
                  <c:pt idx="20">
                    <c:v>Milk powder</c:v>
                  </c:pt>
                  <c:pt idx="23">
                    <c:v>Pasteurized milk (3% fat)</c:v>
                  </c:pt>
                  <c:pt idx="24">
                    <c:v>Yogurt (3% fat)</c:v>
                  </c:pt>
                </c:lvl>
                <c:lvl>
                  <c:pt idx="0">
                    <c:v>Dairy product</c:v>
                  </c:pt>
                </c:lvl>
              </c:multiLvlStrCache>
              <c:extLst xmlns:c15="http://schemas.microsoft.com/office/drawing/2012/chart"/>
            </c:multiLvlStrRef>
          </c:cat>
          <c:val>
            <c:numRef>
              <c:f>[0]!aaaHFC</c:f>
              <c:numCache>
                <c:formatCode>0.00E+00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extLst>
            <c:ext xmlns:c16="http://schemas.microsoft.com/office/drawing/2014/chart" uri="{C3380CC4-5D6E-409C-BE32-E72D297353CC}">
              <c16:uniqueId val="{00000000-788D-4DD9-BB35-65F35516A849}"/>
            </c:ext>
          </c:extLst>
        </c:ser>
        <c:dLbls>
          <c:showLegendKey val="0"/>
          <c:showVal val="0"/>
          <c:showCatName val="0"/>
          <c:showSerName val="0"/>
          <c:showPercent val="0"/>
          <c:showBubbleSize val="0"/>
        </c:dLbls>
        <c:gapWidth val="219"/>
        <c:axId val="1091172304"/>
        <c:axId val="763919008"/>
      </c:barChart>
      <c:catAx>
        <c:axId val="1091172304"/>
        <c:scaling>
          <c:orientation val="minMax"/>
        </c:scaling>
        <c:delete val="0"/>
        <c:axPos val="l"/>
        <c:numFmt formatCode="@"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sv-SE"/>
          </a:p>
        </c:txPr>
        <c:crossAx val="763919008"/>
        <c:crosses val="autoZero"/>
        <c:auto val="1"/>
        <c:lblAlgn val="ctr"/>
        <c:lblOffset val="100"/>
        <c:noMultiLvlLbl val="0"/>
      </c:catAx>
      <c:valAx>
        <c:axId val="76391900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1172304"/>
        <c:crossesAt val="1"/>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54473</xdr:colOff>
      <xdr:row>8</xdr:row>
      <xdr:rowOff>32068</xdr:rowOff>
    </xdr:from>
    <xdr:to>
      <xdr:col>20</xdr:col>
      <xdr:colOff>248088</xdr:colOff>
      <xdr:row>19</xdr:row>
      <xdr:rowOff>79693</xdr:rowOff>
    </xdr:to>
    <mc:AlternateContent xmlns:mc="http://schemas.openxmlformats.org/markup-compatibility/2006" xmlns:a14="http://schemas.microsoft.com/office/drawing/2010/main">
      <mc:Choice Requires="a14">
        <xdr:graphicFrame macro="">
          <xdr:nvGraphicFramePr>
            <xdr:cNvPr id="2" name="Product group">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Product group"/>
            </a:graphicData>
          </a:graphic>
        </xdr:graphicFrame>
      </mc:Choice>
      <mc:Fallback xmlns="">
        <xdr:sp macro="" textlink="">
          <xdr:nvSpPr>
            <xdr:cNvPr id="0" name=""/>
            <xdr:cNvSpPr>
              <a:spLocks noTextEdit="1"/>
            </xdr:cNvSpPr>
          </xdr:nvSpPr>
          <xdr:spPr>
            <a:xfrm>
              <a:off x="17553259" y="1474425"/>
              <a:ext cx="16904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38099</xdr:colOff>
      <xdr:row>1</xdr:row>
      <xdr:rowOff>149680</xdr:rowOff>
    </xdr:from>
    <xdr:to>
      <xdr:col>52</xdr:col>
      <xdr:colOff>87406</xdr:colOff>
      <xdr:row>67</xdr:row>
      <xdr:rowOff>6724</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190500</xdr:colOff>
      <xdr:row>1</xdr:row>
      <xdr:rowOff>176894</xdr:rowOff>
    </xdr:from>
    <xdr:to>
      <xdr:col>77</xdr:col>
      <xdr:colOff>139515</xdr:colOff>
      <xdr:row>67</xdr:row>
      <xdr:rowOff>26896</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38100</xdr:colOff>
      <xdr:row>67</xdr:row>
      <xdr:rowOff>152400</xdr:rowOff>
    </xdr:from>
    <xdr:to>
      <xdr:col>52</xdr:col>
      <xdr:colOff>139515</xdr:colOff>
      <xdr:row>131</xdr:row>
      <xdr:rowOff>149678</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190500</xdr:colOff>
      <xdr:row>67</xdr:row>
      <xdr:rowOff>152400</xdr:rowOff>
    </xdr:from>
    <xdr:to>
      <xdr:col>77</xdr:col>
      <xdr:colOff>139515</xdr:colOff>
      <xdr:row>131</xdr:row>
      <xdr:rowOff>176892</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0</xdr:colOff>
      <xdr:row>135</xdr:row>
      <xdr:rowOff>0</xdr:rowOff>
    </xdr:from>
    <xdr:to>
      <xdr:col>52</xdr:col>
      <xdr:colOff>101415</xdr:colOff>
      <xdr:row>198</xdr:row>
      <xdr:rowOff>187778</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0</xdr:colOff>
      <xdr:row>135</xdr:row>
      <xdr:rowOff>0</xdr:rowOff>
    </xdr:from>
    <xdr:to>
      <xdr:col>82</xdr:col>
      <xdr:colOff>101415</xdr:colOff>
      <xdr:row>198</xdr:row>
      <xdr:rowOff>187778</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662214</xdr:colOff>
      <xdr:row>307</xdr:row>
      <xdr:rowOff>99786</xdr:rowOff>
    </xdr:from>
    <xdr:to>
      <xdr:col>24</xdr:col>
      <xdr:colOff>272593</xdr:colOff>
      <xdr:row>319</xdr:row>
      <xdr:rowOff>165572</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0168164" y="36701186"/>
          <a:ext cx="4506229" cy="2574036"/>
        </a:xfrm>
        <a:prstGeom prst="rect">
          <a:avLst/>
        </a:prstGeom>
      </xdr:spPr>
    </xdr:pic>
    <xdr:clientData/>
  </xdr:twoCellAnchor>
  <xdr:oneCellAnchor>
    <xdr:from>
      <xdr:col>0</xdr:col>
      <xdr:colOff>0</xdr:colOff>
      <xdr:row>543</xdr:row>
      <xdr:rowOff>0</xdr:rowOff>
    </xdr:from>
    <xdr:ext cx="11324159" cy="5528421"/>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10680700"/>
          <a:ext cx="11324159" cy="552842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vm-lager/home/eamg0002/Documents/Projekt%201/Artiklar%20och%20rapporter/LUC%20+%20CS/Henders%20et%20al%20-%20SI%20calcula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amg0002/Documents/Projekt%201%20-%20andra%20milj&#246;m&#229;l/Markanv&#228;ndning/Henders%20et%20al%20-%20mina%20brb%20f&#246;r%20soja%202018070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amg0002/Documents/Projekt%201/Artiklar%20och%20rapporter/LUC%20+%20CS/Henders%20et%20al%20-%20SI%20calculation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linro/AppData/Local/Microsoft/Windows/INetCache/Content.Outlook/AB3XRMBK/Gammalt/Gammalt/Supplementary%20materials%20-%20EM%202018042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elinro/AppData/Local/Microsoft/Windows/INetCache/Content.Outlook/AB3XRMBK/Gammalt/Supplementary%20materials%20-%20EM%202018042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eamg0002/Documents/Projekt%201%20-%20andra%20milj&#246;m&#229;l/Allm&#228;nt/Supplementary%20material%20to%20Poore%20and%20Nemecek%20(2018).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personal/elin_roos_slu_se/Documents/Dokument/SLU/Projekt%2042%20-%20Plan'eat/WP3/Env%20ass%20data/Emmas%20data/Projekt%201%20-%20andra%20milj&#246;m&#229;l/Allm&#228;nt/Supplementary%20material%20to%20Poore%20and%20Nemecek%20(2018).xlsx?FF79CBF9" TargetMode="External"/><Relationship Id="rId1" Type="http://schemas.openxmlformats.org/officeDocument/2006/relationships/externalLinkPath" Target="file:///\\FF79CBF9\Supplementary%20material%20to%20Poore%20and%20Nemecek%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case results"/>
      <sheetName val="Top export flows"/>
      <sheetName val="Figures"/>
      <sheetName val="Argentina"/>
      <sheetName val="Bolivia"/>
      <sheetName val="Brazil"/>
      <sheetName val="Paraguay"/>
      <sheetName val="Indonesia"/>
      <sheetName val="Malaysia"/>
      <sheetName val="PNG"/>
      <sheetName val="Trade data"/>
      <sheetName val="Uträknat LUC Emma 2018"/>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case results"/>
      <sheetName val="Top export flows"/>
      <sheetName val="Figures"/>
      <sheetName val="Argentina"/>
      <sheetName val="Bolivia"/>
      <sheetName val="Brazil"/>
      <sheetName val="Paraguay"/>
      <sheetName val="Indonesia"/>
      <sheetName val="Malaysia"/>
      <sheetName val="PNG"/>
      <sheetName val="Trade data"/>
      <sheetName val="Uträknat LUC soja Emma 2018"/>
      <sheetName val="Uträknat LUC palmolja Emma 2018"/>
    </sheetNames>
    <sheetDataSet>
      <sheetData sheetId="0">
        <row r="2">
          <cell r="B2">
            <v>10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case results"/>
      <sheetName val="Top export flows"/>
      <sheetName val="Figures"/>
      <sheetName val="Argentina"/>
      <sheetName val="Bolivia"/>
      <sheetName val="Brazil"/>
      <sheetName val="Paraguay"/>
      <sheetName val="Indonesia"/>
      <sheetName val="Malaysia"/>
      <sheetName val="PNG"/>
      <sheetName val="Trade data"/>
    </sheetNames>
    <sheetDataSet>
      <sheetData sheetId="0">
        <row r="2">
          <cell r="B2">
            <v>10</v>
          </cell>
        </row>
      </sheetData>
      <sheetData sheetId="1"/>
      <sheetData sheetId="2"/>
      <sheetData sheetId="3">
        <row r="10">
          <cell r="X10">
            <v>2497249.9891203446</v>
          </cell>
        </row>
      </sheetData>
      <sheetData sheetId="4">
        <row r="26">
          <cell r="X26">
            <v>1861039.990199435</v>
          </cell>
        </row>
      </sheetData>
      <sheetData sheetId="5">
        <row r="3">
          <cell r="D3">
            <v>1.103</v>
          </cell>
        </row>
      </sheetData>
      <sheetData sheetId="6">
        <row r="3">
          <cell r="D3">
            <v>0.11946570000000022</v>
          </cell>
        </row>
      </sheetData>
      <sheetData sheetId="7">
        <row r="3">
          <cell r="D3">
            <v>1.8410440000000001</v>
          </cell>
        </row>
      </sheetData>
      <sheetData sheetId="8">
        <row r="3">
          <cell r="D3">
            <v>0.1769999999999996</v>
          </cell>
        </row>
      </sheetData>
      <sheetData sheetId="9">
        <row r="3">
          <cell r="D3">
            <v>4.6900000000000122E-2</v>
          </cell>
        </row>
      </sheetData>
      <sheetData sheetId="10">
        <row r="93">
          <cell r="X93">
            <v>9838.2301715812118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ktionella enheter"/>
      <sheetName val="Dairy products wo allocation"/>
      <sheetName val="Table of contents"/>
      <sheetName val="Meat and eggs"/>
      <sheetName val="Dairy products"/>
      <sheetName val="Fish and seafood"/>
      <sheetName val="Grains, oil crops, sugar"/>
      <sheetName val="Vegetables, roots, legumes"/>
      <sheetName val="Fruits, berries, cocoa, coffee"/>
      <sheetName val="Processed products"/>
      <sheetName val="SNI"/>
      <sheetName val="Common input data"/>
      <sheetName val="Input data meat and eggs"/>
      <sheetName val="Input data milk and dairy"/>
      <sheetName val="Input data fish and seafood"/>
      <sheetName val="Input data plant-based products"/>
      <sheetName val="Input data processed products"/>
      <sheetName val="Reference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ktionella enheter"/>
      <sheetName val="Dairy products wo allocation"/>
      <sheetName val="Table of contents"/>
      <sheetName val="Meat and eggs"/>
      <sheetName val="Dairy products"/>
      <sheetName val="Fish and seafood"/>
      <sheetName val="Grains, oil crops, sugar"/>
      <sheetName val="Vegetables, roots, legumes"/>
      <sheetName val="Fruits, berries, cocoa, coffee"/>
      <sheetName val="Processed products"/>
      <sheetName val="SNI"/>
      <sheetName val="Common input data"/>
      <sheetName val="Input data meat and eggs"/>
      <sheetName val="Input data milk and dairy"/>
      <sheetName val="Input data fish and seafood"/>
      <sheetName val="Input data plant-based products"/>
      <sheetName val="Input data processed products"/>
      <sheetName val="Reference list"/>
    </sheetNames>
    <sheetDataSet>
      <sheetData sheetId="0"/>
      <sheetData sheetId="1">
        <row r="1">
          <cell r="A1" t="str">
            <v>Results milk and dairy products</v>
          </cell>
        </row>
        <row r="9">
          <cell r="A9" t="str">
            <v>RAW MILK</v>
          </cell>
        </row>
        <row r="18">
          <cell r="A18" t="str">
            <v>PASTEURIZED MILK (3% FAT)</v>
          </cell>
        </row>
        <row r="23">
          <cell r="A23" t="str">
            <v>BUTTER (82% FAT)</v>
          </cell>
        </row>
        <row r="44">
          <cell r="A44" t="str">
            <v>YOGURT (3% FAT)</v>
          </cell>
        </row>
        <row r="57">
          <cell r="A57" t="str">
            <v>CREAM (40% FAT)</v>
          </cell>
        </row>
        <row r="70">
          <cell r="A70" t="str">
            <v>HARD CHEESE (38% FAT)</v>
          </cell>
        </row>
        <row r="91">
          <cell r="A91" t="str">
            <v>DESSERT CHEESE (25% FAT)</v>
          </cell>
        </row>
        <row r="112">
          <cell r="A112" t="str">
            <v>CRÈME FRAICHE (34% FAT)</v>
          </cell>
        </row>
        <row r="125">
          <cell r="A125" t="str">
            <v>MILK POWDER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atabase"/>
      <sheetName val="Inputs&gt;&gt;"/>
      <sheetName val="Standardisation"/>
      <sheetName val="Spatial Data"/>
      <sheetName val="Processing"/>
      <sheetName val="Packaging"/>
      <sheetName val="Retail"/>
      <sheetName val="Weights"/>
      <sheetName val="References&gt;&gt;"/>
      <sheetName val="Studies Included"/>
      <sheetName val="Studies Excluded"/>
      <sheetName val="Other References"/>
      <sheetName val="Additional Data Provided B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atabase"/>
      <sheetName val="Inputs&gt;&gt;"/>
      <sheetName val="Standardisation"/>
      <sheetName val="Spatial Data"/>
      <sheetName val="Processing"/>
      <sheetName val="Packaging"/>
      <sheetName val="Retail"/>
      <sheetName val="Weights"/>
      <sheetName val="References&gt;&gt;"/>
      <sheetName val="Studies Included"/>
      <sheetName val="Studies Excluded"/>
      <sheetName val="Other References"/>
      <sheetName val="Additional Data Provided B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85.631079513892" createdVersion="6" refreshedVersion="6" minRefreshableVersion="3" recordCount="346" xr:uid="{00000000-000A-0000-FFFF-FFFF00000000}">
  <cacheSource type="worksheet">
    <worksheetSource name="Table1"/>
  </cacheSource>
  <cacheFields count="19">
    <cacheField name="Product group" numFmtId="0">
      <sharedItems count="7">
        <s v="Fruits, berries, cocoa and coffee"/>
        <s v="Vegetables, root crops and legumes"/>
        <s v="Grains, oil crops and sugar"/>
        <s v="Meat and eggs"/>
        <s v="Dairy product"/>
        <s v="Fish and seafood"/>
        <s v="Processed products"/>
      </sharedItems>
    </cacheField>
    <cacheField name="Food product" numFmtId="0">
      <sharedItems count="116">
        <s v="Apple"/>
        <s v="Pear"/>
        <s v="Melon"/>
        <s v="Banana"/>
        <s v="Orange"/>
        <s v="Lemon"/>
        <s v="Avocado"/>
        <s v="Kiwifruit"/>
        <s v="Strawberry"/>
        <s v="Raspberry"/>
        <s v="Cocoa"/>
        <s v="Cocoa powder"/>
        <s v="Cocoa butter"/>
        <s v="Coffee"/>
        <s v="Tea"/>
        <s v="Grapes"/>
        <s v="Plantain"/>
        <s v="Grapefruit and products"/>
        <s v="Pineapples and products"/>
        <s v="Dates"/>
        <s v="Peach"/>
        <s v="Tomato"/>
        <s v="Cucumber"/>
        <s v="Bell Pepper"/>
        <s v="Iceberg Lettuce"/>
        <s v="Potato"/>
        <s v="Carrot"/>
        <s v="Onion"/>
        <s v="Leek"/>
        <s v="Broccoli"/>
        <s v="White cabbage"/>
        <s v="Cauliflower"/>
        <s v="Peas"/>
        <s v="Beans"/>
        <s v="Grains average"/>
        <s v="Wheat"/>
        <s v="Winter wheat"/>
        <s v="Spring wheat"/>
        <s v="Rye"/>
        <s v="Barley"/>
        <s v="Winter barley"/>
        <s v="Spring barley"/>
        <s v="Oats"/>
        <s v="Rice"/>
        <s v="Rapeseed"/>
        <s v="Winter rapeseed"/>
        <s v="Spring rapeseed"/>
        <s v="Rapeseed "/>
        <s v="Rapeseed oil"/>
        <s v="Olive oil"/>
        <s v="Olives"/>
        <s v="Sugar beet"/>
        <s v="Sesame seed"/>
        <s v="Soy bean"/>
        <s v="Soy bean oil"/>
        <s v="Sunflower oil"/>
        <s v="Oil palm fruit/palm oil"/>
        <s v="Coconut"/>
        <s v="Coconut oil"/>
        <s v="Maize"/>
        <s v="Maize germ oil"/>
        <s v="Almonds"/>
        <s v="Peanuts"/>
        <s v="Pork meat"/>
        <s v="Chiken meat"/>
        <s v="Eggs"/>
        <s v="Beef"/>
        <s v="Pasteurized milk (3% fat)"/>
        <s v="Butter (82% fat)"/>
        <s v="Yogurt (3% fat)"/>
        <s v="Cream (40% fat)"/>
        <s v="Hard cheese (38% fat)"/>
        <s v="Desert cheese (25% fat)"/>
        <s v="Crème fraiche (34% fat"/>
        <s v="Milk powder"/>
        <s v="Salmon"/>
        <s v="Cod"/>
        <s v="Roe(from cod fish)"/>
        <s v="Herring"/>
        <s v="Mackerel"/>
        <s v="Saithe"/>
        <s v="Northern Prawn"/>
        <s v="Alaska Pollock"/>
        <s v="Rainbow Trout"/>
        <s v="Pangasius"/>
        <s v="European plaice"/>
        <s v="Hoki"/>
        <s v="Pasta"/>
        <s v="Buns"/>
        <s v="Biscuits"/>
        <s v="Pastry"/>
        <s v="Rusks"/>
        <s v="White bread"/>
        <s v="Wheat-rye bread"/>
        <s v="Crisp bread"/>
        <s v="Follow-up formula"/>
        <s v="Margarine"/>
        <s v="Low fat margarine"/>
        <s v="Cocoa drink powder"/>
        <s v="Soda"/>
        <s v="Cider (non-alcoholic)"/>
        <s v="Beer (regular)"/>
        <s v="Mineral water"/>
        <s v="Juice (average)"/>
        <s v="Orange juice"/>
        <s v="Apple juice"/>
        <s v="Squash drink (average)"/>
        <s v="Strawberry squash drink"/>
        <s v="Raspberry squash drink"/>
        <s v="Milk chocolate"/>
        <s v="Potato crisps"/>
        <s v="Ice cream (dairy based)"/>
        <s v="Sweets"/>
        <s v="Wine"/>
        <s v="Spirits"/>
        <s v="Potato starch"/>
      </sharedItems>
    </cacheField>
    <cacheField name="Production country " numFmtId="0">
      <sharedItems count="52">
        <s v="Average"/>
        <s v="Sweden"/>
        <s v="Italy"/>
        <s v="Poland"/>
        <s v="Rest of Europe"/>
        <s v="Belgium"/>
        <s v="The Nederlands"/>
        <s v="Spain"/>
        <s v="Costa Rica"/>
        <s v="Ecuador"/>
        <s v="Dominican Republic"/>
        <s v="Rest of the world"/>
        <s v="World average"/>
        <s v="Ivory Coast"/>
        <s v="Ghana"/>
        <s v="Indonesia"/>
        <s v="Brazil"/>
        <s v="Peru"/>
        <s v="China"/>
        <s v="India"/>
        <s v="The Netherlands"/>
        <s v="United States"/>
        <s v="Israel"/>
        <s v="South Africa"/>
        <s v="Iran"/>
        <s v="Saudi Arabia"/>
        <s v="France"/>
        <s v="Average of all grains"/>
        <s v="Average of winter wheat and spring wheat"/>
        <s v="Average of winter barley and spring barley"/>
        <s v="Thailand"/>
        <s v="Denmark"/>
        <s v="Greece"/>
        <s v="Guatemala"/>
        <s v="Argentina"/>
        <s v="Malaysia"/>
        <s v="Philippines"/>
        <s v="Russia"/>
        <s v="Lithuania"/>
        <s v="Germany"/>
        <s v="Ireland"/>
        <s v="Germany and Poland"/>
        <s v="Norway"/>
        <s v="Norway, Denmark, Sweden"/>
        <s v="Norway and Iceland"/>
        <s v="Sweden, Norway, Latvia"/>
        <s v="Norway, Denmark"/>
        <s v="Vietnam"/>
        <s v="The Netherlands, Denmark"/>
        <s v="New Zealand"/>
        <s v="Chile"/>
        <s v="United Kingdom"/>
      </sharedItems>
    </cacheField>
    <cacheField name="Production system" numFmtId="0">
      <sharedItems/>
    </cacheField>
    <cacheField name="Share of market" numFmtId="0">
      <sharedItems containsSemiMixedTypes="0" containsString="0" containsNumber="1" minValue="0" maxValue="1.0002036693952803"/>
    </cacheField>
    <cacheField name="Choice of climate metric" numFmtId="0">
      <sharedItems/>
    </cacheField>
    <cacheField name="kg CO2e at retail-gate per kg of product" numFmtId="169">
      <sharedItems containsSemiMixedTypes="0" containsString="0" containsNumber="1" minValue="0" maxValue="22.692902746670832"/>
    </cacheField>
    <cacheField name="kg CO2 at retail-gate per kg of product" numFmtId="169">
      <sharedItems containsString="0" containsBlank="1" containsNumber="1" minValue="0.12218740308541375" maxValue="21.698294947164136"/>
    </cacheField>
    <cacheField name="kg CH4 fossil at retail-gate per kg of product" numFmtId="169">
      <sharedItems containsString="0" containsBlank="1" containsNumber="1" minValue="0" maxValue="0.42319489677279881"/>
    </cacheField>
    <cacheField name="kg CH4 bio at retail-gate per kg of product" numFmtId="169">
      <sharedItems containsString="0" containsBlank="1" containsNumber="1" minValue="0" maxValue="0.95932044825222662"/>
    </cacheField>
    <cacheField name="kg N2O at retail-gate per kg of product" numFmtId="169">
      <sharedItems containsString="0" containsBlank="1" containsNumber="1" minValue="0" maxValue="3.735935185265956E-2"/>
    </cacheField>
    <cacheField name="kg HCFC-22 at retail-gate per kg of product" numFmtId="169">
      <sharedItems containsString="0" containsBlank="1" containsNumber="1" minValue="0" maxValue="7.8327887586948858E-4"/>
    </cacheField>
    <cacheField name="Kg CO2e from CH4 fossil" numFmtId="169">
      <sharedItems containsSemiMixedTypes="0" containsString="0" containsNumber="1" minValue="0" maxValue="12.611207923829404"/>
    </cacheField>
    <cacheField name="Kg CO2e from CH4 bio" numFmtId="169">
      <sharedItems containsSemiMixedTypes="0" containsString="0" containsNumber="1" minValue="0" maxValue="26.093516192460562"/>
    </cacheField>
    <cacheField name="Kg CO2e from N2O" numFmtId="169">
      <sharedItems containsSemiMixedTypes="0" containsString="0" containsNumber="1" minValue="0" maxValue="10.19910305577606"/>
    </cacheField>
    <cacheField name="Kg CO2e from HCFC-22" numFmtId="169">
      <sharedItems containsSemiMixedTypes="0" containsString="0" containsNumber="1" minValue="0" maxValue="1.5352265967041976"/>
    </cacheField>
    <cacheField name="Weighted average CO2e" numFmtId="0" formula="'Share of market'*'kg CO2e at retail-gate per kg of product'" databaseField="0"/>
    <cacheField name="Weighted average CO2e Sweden" numFmtId="0" formula="IF('Production country '=&quot;Sweden&quot;,'Share of market'*'kg CO2e at retail-gate per kg of product',&quot; &quot;)" databaseField="0"/>
    <cacheField name="Weighted CO2e Sweden " numFmtId="0" formula="IF('Production country '=&quot;Sweden&quot;,'Share of market'*'kg CO2e at retail-gate per kg of product', )" databaseField="0"/>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x v="0"/>
    <x v="0"/>
    <x v="0"/>
    <s v="Open-field"/>
    <n v="1"/>
    <s v="GWP100 with fb AR6"/>
    <n v="0.3788781397788929"/>
    <n v="0.35933716683624617"/>
    <n v="4.4897437779195951E-5"/>
    <n v="0"/>
    <n v="6.6677762992039164E-5"/>
    <n v="0"/>
    <n v="1.3379436458200394E-3"/>
    <n v="0"/>
    <n v="1.8203029296826691E-2"/>
    <n v="0"/>
  </r>
  <r>
    <x v="0"/>
    <x v="0"/>
    <x v="1"/>
    <s v="Open-field"/>
    <n v="0.1586294416"/>
    <s v="GWP100 with fb AR6"/>
    <n v="0.15341642890530746"/>
    <n v="0.12218740308541375"/>
    <n v="5.2088245441678957E-5"/>
    <n v="0"/>
    <n v="1.0870621284150795E-4"/>
    <n v="0"/>
    <n v="1.5522297141620329E-3"/>
    <n v="0"/>
    <n v="2.9676796105731672E-2"/>
    <n v="0"/>
  </r>
  <r>
    <x v="0"/>
    <x v="0"/>
    <x v="2"/>
    <s v="Open-field"/>
    <n v="0.30710109028615906"/>
    <s v="GWP100 with fb AR6"/>
    <n v="0.37657963337906025"/>
    <n v="0.3609323711810925"/>
    <n v="2.5559701053895732E-5"/>
    <n v="0"/>
    <n v="5.4525945445280608E-5"/>
    <n v="0"/>
    <n v="7.6167909140609279E-4"/>
    <n v="0"/>
    <n v="1.4885583106561606E-2"/>
    <n v="0"/>
  </r>
  <r>
    <x v="0"/>
    <x v="0"/>
    <x v="3"/>
    <s v="Open-field"/>
    <n v="0.1034854565"/>
    <s v="GWP100 with fb AR6"/>
    <n v="0.49528100174624279"/>
    <n v="0.47219933677121961"/>
    <n v="5.1774911723831004E-5"/>
    <n v="0"/>
    <n v="7.8896602951110005E-5"/>
    <n v="0"/>
    <n v="1.5428923693701639E-3"/>
    <n v="0"/>
    <n v="2.1538772605653032E-2"/>
    <n v="0"/>
  </r>
  <r>
    <x v="0"/>
    <x v="0"/>
    <x v="4"/>
    <s v="Open-field"/>
    <n v="0.43078401161384094"/>
    <s v="GWP100 with fb AR6"/>
    <n v="0.43557647386835008"/>
    <n v="0.41841422573913506"/>
    <n v="5.438304445670018E-5"/>
    <n v="0"/>
    <n v="5.6929060089396956E-5"/>
    <n v="0"/>
    <n v="1.6206147248096655E-3"/>
    <n v="0"/>
    <n v="1.5541633404405369E-2"/>
    <n v="0"/>
  </r>
  <r>
    <x v="0"/>
    <x v="1"/>
    <x v="0"/>
    <s v="Open-field"/>
    <n v="1"/>
    <s v="GWP100 with fb AR6"/>
    <n v="0.3454051855068066"/>
    <n v="0.25374583148579255"/>
    <n v="9.0304093643053498E-5"/>
    <n v="0"/>
    <n v="3.2589117959872166E-4"/>
    <n v="0"/>
    <n v="2.6910619905629943E-3"/>
    <n v="0"/>
    <n v="8.8968292030451021E-2"/>
    <n v="0"/>
  </r>
  <r>
    <x v="0"/>
    <x v="1"/>
    <x v="1"/>
    <s v="Open-field"/>
    <n v="5.5877298484047239E-2"/>
    <s v="GWP100 with fb AR6"/>
    <n v="0.17322280790747796"/>
    <n v="0.13380793567371815"/>
    <n v="5.9396547533024899E-5"/>
    <n v="0"/>
    <n v="1.378932421878229E-4"/>
    <n v="0"/>
    <n v="1.770017116484142E-3"/>
    <n v="0"/>
    <n v="3.7644855117275652E-2"/>
    <n v="0"/>
  </r>
  <r>
    <x v="0"/>
    <x v="1"/>
    <x v="5"/>
    <s v="Open-field"/>
    <n v="0.23061781466398334"/>
    <s v="GWP100 with fb AR6"/>
    <n v="0.19845356041112572"/>
    <n v="0.18698791799326875"/>
    <n v="2.4719196435841129E-5"/>
    <n v="0"/>
    <n v="3.9300404263988672E-5"/>
    <n v="0"/>
    <n v="7.3663205378806567E-4"/>
    <n v="0"/>
    <n v="1.0729010364068908E-2"/>
    <n v="0"/>
  </r>
  <r>
    <x v="0"/>
    <x v="1"/>
    <x v="6"/>
    <s v="Open-field"/>
    <n v="0.4862756560987116"/>
    <s v="GWP100 with fb AR6"/>
    <n v="0.36238091066015576"/>
    <n v="0.23008010996838751"/>
    <n v="1.0649147572007323E-4"/>
    <n v="0"/>
    <n v="4.7299397331615413E-4"/>
    <n v="0"/>
    <n v="3.1734459764581825E-3"/>
    <n v="0"/>
    <n v="0.12912735471531009"/>
    <n v="0"/>
  </r>
  <r>
    <x v="0"/>
    <x v="1"/>
    <x v="4"/>
    <s v="Open-field"/>
    <n v="0.22722923075325785"/>
    <s v="GWP100 with fb AR6"/>
    <n v="0.50056069408344994"/>
    <n v="0.40163804531557779"/>
    <n v="1.2982605997852579E-4"/>
    <n v="0"/>
    <n v="3.4818253545975129E-4"/>
    <n v="0"/>
    <n v="3.8688165873600688E-3"/>
    <n v="0"/>
    <n v="9.505383218051211E-2"/>
    <n v="0"/>
  </r>
  <r>
    <x v="0"/>
    <x v="2"/>
    <x v="0"/>
    <s v="/"/>
    <n v="1"/>
    <s v="GWP100 with fb AR6"/>
    <n v="1.7168736262454045"/>
    <n v="1.5944747042629963"/>
    <n v="2.2401632468959246E-3"/>
    <n v="0"/>
    <n v="2.038170594319034E-4"/>
    <n v="0"/>
    <n v="6.6756864757498549E-2"/>
    <n v="0"/>
    <n v="5.5642057224909627E-2"/>
    <n v="0"/>
  </r>
  <r>
    <x v="0"/>
    <x v="2"/>
    <x v="1"/>
    <s v="Greenhouse"/>
    <n v="0.38"/>
    <s v="GWP100 with fb AR6"/>
    <n v="3.9343247665831971"/>
    <n v="3.663003077600206"/>
    <n v="5.8171736385757818E-3"/>
    <n v="0"/>
    <n v="3.5886415587338063E-4"/>
    <n v="0"/>
    <n v="0.17335177442955829"/>
    <n v="0"/>
    <n v="9.7969914553432916E-2"/>
    <n v="0"/>
  </r>
  <r>
    <x v="0"/>
    <x v="2"/>
    <x v="7"/>
    <s v="Open-field"/>
    <n v="0.34"/>
    <s v="GWP100 with fb AR6"/>
    <n v="0.39609197369246468"/>
    <n v="0.37069840961687428"/>
    <n v="4.8969615357489904E-5"/>
    <n v="0"/>
    <n v="8.7671316988781003E-5"/>
    <n v="0"/>
    <n v="1.4592945376531992E-3"/>
    <n v="0"/>
    <n v="2.3934269537937213E-2"/>
    <n v="0"/>
  </r>
  <r>
    <x v="0"/>
    <x v="2"/>
    <x v="6"/>
    <s v="Open-field"/>
    <n v="0.16"/>
    <s v="GWP100 with fb AR6"/>
    <n v="0.23337569581900902"/>
    <n v="0.19022277895142917"/>
    <n v="4.3651451819399717E-5"/>
    <n v="0"/>
    <n v="1.5330440880352287E-4"/>
    <n v="0"/>
    <n v="1.3008132642181116E-3"/>
    <n v="0"/>
    <n v="4.1852103603361744E-2"/>
    <n v="0"/>
  </r>
  <r>
    <x v="0"/>
    <x v="2"/>
    <x v="4"/>
    <s v="Open-field"/>
    <n v="0.12"/>
    <s v="GWP100 with fb AR6"/>
    <n v="0.41515693797758363"/>
    <n v="0.38383692394126701"/>
    <n v="5.0028022703970326E-5"/>
    <n v="0"/>
    <n v="1.0926439179391323E-4"/>
    <n v="0"/>
    <n v="1.4908350765783158E-3"/>
    <n v="0"/>
    <n v="2.9829178959738311E-2"/>
    <n v="0"/>
  </r>
  <r>
    <x v="0"/>
    <x v="3"/>
    <x v="0"/>
    <s v="Open-field"/>
    <n v="1"/>
    <s v="GWP100 with fb AR6"/>
    <n v="0.71329833398925524"/>
    <n v="0.6398630218222271"/>
    <n v="6.9274602991842142E-5"/>
    <n v="0"/>
    <n v="2.6143197435117674E-4"/>
    <n v="0"/>
    <n v="2.0643831691568959E-3"/>
    <n v="0"/>
    <n v="7.1370928997871244E-2"/>
    <n v="0"/>
  </r>
  <r>
    <x v="0"/>
    <x v="3"/>
    <x v="8"/>
    <s v="Open-field"/>
    <n v="0.22683685539112819"/>
    <s v="GWP100 with fb AR6"/>
    <n v="0.76630946435074954"/>
    <n v="0.63130342900774827"/>
    <n v="1.1879716489547724E-4"/>
    <n v="0"/>
    <n v="4.8155999937405161E-4"/>
    <n v="0"/>
    <n v="3.5401555138852218E-3"/>
    <n v="0"/>
    <n v="0.13146587982911609"/>
    <n v="0"/>
  </r>
  <r>
    <x v="0"/>
    <x v="3"/>
    <x v="9"/>
    <s v="Open-field"/>
    <n v="0.21006030641199946"/>
    <s v="GWP100 with fb AR6"/>
    <n v="0.76542228037992055"/>
    <n v="0.63357912073610301"/>
    <n v="1.1761396372710131E-4"/>
    <n v="0"/>
    <n v="4.7010352939468855E-4"/>
    <n v="0"/>
    <n v="3.504896119067619E-3"/>
    <n v="0"/>
    <n v="0.12833826352474997"/>
    <n v="0"/>
  </r>
  <r>
    <x v="0"/>
    <x v="3"/>
    <x v="10"/>
    <s v="Open-field"/>
    <n v="0.18600802880570008"/>
    <s v="GWP100 with fb AR6"/>
    <n v="0.63586064104874129"/>
    <n v="0.59565195116611236"/>
    <n v="3.8784817178889681E-5"/>
    <n v="0"/>
    <n v="1.4305092428827123E-4"/>
    <n v="0"/>
    <n v="1.1557875519309126E-3"/>
    <n v="0"/>
    <n v="3.9052902330698046E-2"/>
    <n v="0"/>
  </r>
  <r>
    <x v="0"/>
    <x v="3"/>
    <x v="11"/>
    <s v="Open-field"/>
    <n v="0.37709480939117224"/>
    <s v="GWP100 with fb AR6"/>
    <n v="0.69057190702817683"/>
    <n v="0.67032019896490747"/>
    <n v="2.7597078423044893E-5"/>
    <n v="0"/>
    <n v="7.1169652477152449E-5"/>
    <n v="0"/>
    <n v="8.2239293700673785E-4"/>
    <n v="0"/>
    <n v="1.9429315126262618E-2"/>
    <n v="0"/>
  </r>
  <r>
    <x v="0"/>
    <x v="4"/>
    <x v="0"/>
    <s v="Open-field"/>
    <n v="1"/>
    <s v="GWP100 with fb AR6"/>
    <n v="0.64669319118571034"/>
    <n v="0.57932125613392393"/>
    <n v="1.0002485351188757E-4"/>
    <n v="0"/>
    <n v="2.3586518101513629E-4"/>
    <n v="0"/>
    <n v="2.9807406346542497E-3"/>
    <n v="0"/>
    <n v="6.4391194417132203E-2"/>
    <n v="0"/>
  </r>
  <r>
    <x v="0"/>
    <x v="4"/>
    <x v="7"/>
    <s v="Open-field"/>
    <n v="0.44158070666522325"/>
    <s v="GWP100 with fb AR6"/>
    <n v="0.47169576892788617"/>
    <n v="0.40302267970963207"/>
    <n v="1.1032632244692627E-4"/>
    <n v="0"/>
    <n v="2.3950683080342753E-4"/>
    <n v="0"/>
    <n v="3.2877244089184027E-3"/>
    <n v="0"/>
    <n v="6.5385364809335711E-2"/>
    <n v="0"/>
  </r>
  <r>
    <x v="0"/>
    <x v="4"/>
    <x v="11"/>
    <s v="Open-field"/>
    <n v="0.55841929333477669"/>
    <s v="GWP100 with fb AR6"/>
    <n v="0.78507574047717132"/>
    <n v="0.71873271789880244"/>
    <n v="9.1878770476577548E-5"/>
    <n v="0"/>
    <n v="2.329854769896222E-4"/>
    <n v="0"/>
    <n v="2.7379873602020109E-3"/>
    <n v="0"/>
    <n v="6.3605035218166864E-2"/>
    <n v="0"/>
  </r>
  <r>
    <x v="0"/>
    <x v="5"/>
    <x v="0"/>
    <s v="Open-field"/>
    <n v="1"/>
    <s v="GWP100 with fb AR6"/>
    <n v="0.45593275974597319"/>
    <n v="0.39359703692756631"/>
    <n v="8.9226954086736091E-5"/>
    <n v="0"/>
    <n v="2.1859618896198602E-4"/>
    <n v="0"/>
    <n v="2.6589632317847358E-3"/>
    <n v="0"/>
    <n v="5.9676759586622184E-2"/>
    <n v="0"/>
  </r>
  <r>
    <x v="0"/>
    <x v="5"/>
    <x v="7"/>
    <s v="Open-field"/>
    <n v="0.56181410238356744"/>
    <s v="GWP100 with fb AR6"/>
    <n v="0.47169576892788617"/>
    <n v="0.40302267970963207"/>
    <n v="1.1032632244692627E-4"/>
    <n v="0"/>
    <n v="2.3950683080342753E-4"/>
    <n v="0"/>
    <n v="3.2877244089184027E-3"/>
    <n v="0"/>
    <n v="6.5385364809335711E-2"/>
    <n v="0"/>
  </r>
  <r>
    <x v="0"/>
    <x v="5"/>
    <x v="11"/>
    <s v="Open-field"/>
    <n v="0.43818589761643256"/>
    <s v="GWP100 with fb AR6"/>
    <n v="0.43572243142967404"/>
    <n v="0.38151207694186223"/>
    <n v="6.2174685265166529E-5"/>
    <n v="0"/>
    <n v="1.9178589328538415E-4"/>
    <n v="0"/>
    <n v="1.8528056209019626E-3"/>
    <n v="0"/>
    <n v="5.2357548866909874E-2"/>
    <n v="0"/>
  </r>
  <r>
    <x v="0"/>
    <x v="6"/>
    <x v="12"/>
    <s v="Open-field"/>
    <n v="1"/>
    <s v="GWP100 with fb AR6"/>
    <n v="1.0643959724312524"/>
    <n v="0.90762782446248513"/>
    <n v="2.0146218109994566E-4"/>
    <n v="0"/>
    <n v="5.5225119037358606E-4"/>
    <n v="0"/>
    <n v="6.0035729967783807E-3"/>
    <n v="0"/>
    <n v="0.150764574971989"/>
    <n v="0"/>
  </r>
  <r>
    <x v="0"/>
    <x v="7"/>
    <x v="0"/>
    <s v="Open-field"/>
    <n v="1"/>
    <s v="GWP100 with fb AR6"/>
    <n v="0.63217957178328621"/>
    <n v="0.58067426258134103"/>
    <n v="7.8102950705376395E-5"/>
    <n v="0"/>
    <n v="1.8013861271401086E-4"/>
    <n v="0"/>
    <n v="2.3274679310202168E-3"/>
    <n v="0"/>
    <n v="4.9177841270924963E-2"/>
    <n v="0"/>
  </r>
  <r>
    <x v="0"/>
    <x v="7"/>
    <x v="2"/>
    <s v="Open-field"/>
    <n v="0.49"/>
    <s v="GWP100 with fb AR6"/>
    <n v="0.45852520803751606"/>
    <n v="0.40372083905647738"/>
    <n v="6.469386026200841E-5"/>
    <n v="0"/>
    <n v="1.9368678368216434E-4"/>
    <n v="0"/>
    <n v="1.9278770358078508E-3"/>
    <n v="0"/>
    <n v="5.2876491945230863E-2"/>
    <n v="0"/>
  </r>
  <r>
    <x v="0"/>
    <x v="7"/>
    <x v="11"/>
    <s v="Open-field"/>
    <n v="0.51"/>
    <s v="GWP100 with fb AR6"/>
    <n v="0.79902396048020263"/>
    <n v="0.75068833616405317"/>
    <n v="9.0986194464690728E-5"/>
    <n v="0"/>
    <n v="1.6712174256813792E-4"/>
    <n v="0"/>
    <n v="2.711388595047784E-3"/>
    <n v="0"/>
    <n v="4.562423572110165E-2"/>
    <n v="0"/>
  </r>
  <r>
    <x v="0"/>
    <x v="8"/>
    <x v="0"/>
    <s v="Open-field"/>
    <n v="0.99999999999999989"/>
    <s v="GWP100 with fb AR6"/>
    <n v="0.73791113988345658"/>
    <n v="0.64851804413319158"/>
    <n v="1.219915048122248E-3"/>
    <n v="0"/>
    <n v="1.9428434914367054E-4"/>
    <n v="0"/>
    <n v="3.6353468434042989E-2"/>
    <n v="0"/>
    <n v="5.3039627316222061E-2"/>
    <n v="0"/>
  </r>
  <r>
    <x v="0"/>
    <x v="8"/>
    <x v="1"/>
    <s v="Open-field"/>
    <n v="0.69"/>
    <s v="GWP100 with fb AR6"/>
    <n v="0.42387643392589142"/>
    <n v="0.36462364153136878"/>
    <n v="8.7445350789889839E-5"/>
    <n v="0"/>
    <n v="2.0749787890470293E-4"/>
    <n v="0"/>
    <n v="2.6058714535387171E-3"/>
    <n v="0"/>
    <n v="5.6646920940983898E-2"/>
    <n v="0"/>
  </r>
  <r>
    <x v="0"/>
    <x v="8"/>
    <x v="5"/>
    <s v="Open-field"/>
    <n v="0.14000000000000001"/>
    <s v="GWP100 with fb AR6"/>
    <n v="0.41939890835853799"/>
    <n v="0.37682941495919176"/>
    <n v="4.6622801258995475E-5"/>
    <n v="0"/>
    <n v="1.5084298139863799E-4"/>
    <n v="0"/>
    <n v="1.3893594775180652E-3"/>
    <n v="0"/>
    <n v="4.118013392182817E-2"/>
    <n v="0"/>
  </r>
  <r>
    <x v="0"/>
    <x v="8"/>
    <x v="4"/>
    <s v="Greenhouse"/>
    <n v="8.5000000000000006E-2"/>
    <s v="GWP100 with fb AR6"/>
    <n v="3.9582679218551524"/>
    <n v="3.490182745670082"/>
    <n v="1.3490574610732426E-2"/>
    <n v="0"/>
    <n v="2.4200019335254261E-4"/>
    <n v="0"/>
    <n v="0.40201912339982632"/>
    <n v="0"/>
    <n v="6.6066052785244134E-2"/>
    <n v="0"/>
  </r>
  <r>
    <x v="0"/>
    <x v="8"/>
    <x v="4"/>
    <s v="Open-field"/>
    <n v="8.5000000000000006E-2"/>
    <s v="GWP100 with fb AR6"/>
    <n v="0.59138564643186042"/>
    <n v="0.558895058827096"/>
    <n v="7.4726141043626555E-5"/>
    <n v="0"/>
    <n v="1.1085622198411853E-4"/>
    <n v="0"/>
    <n v="2.2268390031000714E-3"/>
    <n v="0"/>
    <n v="3.0263748601664357E-2"/>
    <n v="0"/>
  </r>
  <r>
    <x v="0"/>
    <x v="9"/>
    <x v="0"/>
    <s v="Open-field"/>
    <n v="1"/>
    <s v="GWP100 with fb AR6"/>
    <n v="0.76684374537967004"/>
    <n v="0.5377644475747102"/>
    <n v="2.0773900683329621E-4"/>
    <n v="0"/>
    <n v="8.1644203443709761E-4"/>
    <n v="0"/>
    <n v="6.1906224036322273E-3"/>
    <n v="0"/>
    <n v="0.22288867540132765"/>
    <n v="0"/>
  </r>
  <r>
    <x v="0"/>
    <x v="9"/>
    <x v="1"/>
    <s v="Open-field"/>
    <n v="0.44"/>
    <s v="GWP100 with fb AR6"/>
    <n v="0.88398645178297575"/>
    <n v="0.54006653758722023"/>
    <n v="2.6768024934965855E-4"/>
    <n v="0"/>
    <n v="1.230560596209288E-3"/>
    <n v="0"/>
    <n v="7.9768714306198245E-3"/>
    <n v="0"/>
    <n v="0.33594304276513565"/>
    <n v="0"/>
  </r>
  <r>
    <x v="0"/>
    <x v="9"/>
    <x v="5"/>
    <s v="Open-field"/>
    <n v="0.15"/>
    <s v="GWP100 with fb AR6"/>
    <n v="0.54508324386479323"/>
    <n v="0.44116127852153814"/>
    <n v="1.0676807765076405E-4"/>
    <n v="0"/>
    <n v="3.6901200230499002E-4"/>
    <n v="0"/>
    <n v="3.1816887139927688E-3"/>
    <n v="0"/>
    <n v="0.10074027662926227"/>
    <n v="0"/>
  </r>
  <r>
    <x v="0"/>
    <x v="9"/>
    <x v="6"/>
    <s v="Open-field"/>
    <n v="0.25"/>
    <s v="GWP100 with fb AR6"/>
    <n v="0.63772645430819486"/>
    <n v="0.49086381227934445"/>
    <n v="1.5088477124485392E-4"/>
    <n v="0"/>
    <n v="5.2148818991118613E-4"/>
    <n v="0"/>
    <n v="4.4963661830966471E-3"/>
    <n v="0"/>
    <n v="0.14236627584575381"/>
    <n v="0"/>
  </r>
  <r>
    <x v="0"/>
    <x v="9"/>
    <x v="4"/>
    <s v="Open-field"/>
    <n v="0.16"/>
    <s v="GWP100 with fb AR6"/>
    <n v="0.85434754023995629"/>
    <n v="0.69528141367666507"/>
    <n v="2.2639557912886479E-4"/>
    <n v="0"/>
    <n v="5.5794702675916134E-4"/>
    <n v="0"/>
    <n v="6.7465882580401712E-3"/>
    <n v="0"/>
    <n v="0.15231953830525105"/>
    <n v="0"/>
  </r>
  <r>
    <x v="0"/>
    <x v="10"/>
    <x v="0"/>
    <s v="Open-field"/>
    <n v="1"/>
    <s v="GWP100 with fb AR6"/>
    <n v="2.7774176275672149"/>
    <n v="1.7537203249273987"/>
    <n v="2.1897608802136947E-3"/>
    <n v="0"/>
    <n v="3.5107781260419351E-3"/>
    <n v="0"/>
    <n v="6.5254874230368104E-2"/>
    <n v="0"/>
    <n v="0.95844242840944827"/>
    <n v="0"/>
  </r>
  <r>
    <x v="0"/>
    <x v="10"/>
    <x v="13"/>
    <s v="Open-field"/>
    <n v="0.38538325080000002"/>
    <s v="GWP100 with fb AR6"/>
    <n v="2.3495379434777997"/>
    <n v="1.4848665872837425"/>
    <n v="1.6361001388777022E-3"/>
    <n v="0"/>
    <n v="2.9887017291410317E-3"/>
    <n v="0"/>
    <n v="4.8755784138555525E-2"/>
    <n v="0"/>
    <n v="0.81591557205550169"/>
    <n v="0"/>
  </r>
  <r>
    <x v="0"/>
    <x v="10"/>
    <x v="14"/>
    <s v="Open-field"/>
    <n v="0.16931057129999999"/>
    <s v="GWP100 with fb AR6"/>
    <n v="1.0577013900409122"/>
    <n v="0.71406748257721742"/>
    <n v="0"/>
    <n v="0"/>
    <n v="1.2587322617717755E-3"/>
    <n v="0"/>
    <n v="0"/>
    <n v="0"/>
    <n v="0.34363390746369471"/>
    <n v="0"/>
  </r>
  <r>
    <x v="0"/>
    <x v="10"/>
    <x v="15"/>
    <s v="Open-field"/>
    <n v="0.12500817089999999"/>
    <s v="GWP100 with fb AR6"/>
    <n v="7.4859763357298128"/>
    <n v="4.5496212604619064"/>
    <n v="8.1413561982007204E-3"/>
    <n v="0"/>
    <n v="9.8671892328260971E-3"/>
    <n v="0"/>
    <n v="0.24261241470638148"/>
    <n v="0"/>
    <n v="2.6937426605615244"/>
    <n v="0"/>
  </r>
  <r>
    <x v="0"/>
    <x v="10"/>
    <x v="11"/>
    <s v="Open-field"/>
    <n v="0.32029800700000011"/>
    <s v="GWP100 with fb AR6"/>
    <n v="2.363601411010011"/>
    <n v="1.5355656179143533"/>
    <n v="1.6906107164014431E-3"/>
    <n v="0"/>
    <n v="2.8485552884501648E-3"/>
    <n v="0"/>
    <n v="5.0380199348763005E-2"/>
    <n v="0"/>
    <n v="0.77765559374689497"/>
    <n v="0"/>
  </r>
  <r>
    <x v="0"/>
    <x v="11"/>
    <x v="0"/>
    <s v="Open-field"/>
    <n v="1"/>
    <s v="GWP100 with fb AR6"/>
    <n v="2.2596829109090111"/>
    <n v="1.4619967010598036"/>
    <n v="1.7063071793872947E-3"/>
    <n v="0"/>
    <n v="2.7356712670456641E-3"/>
    <n v="0"/>
    <n v="5.0847953945741382E-2"/>
    <n v="0"/>
    <n v="0.74683825590346631"/>
    <n v="0"/>
  </r>
  <r>
    <x v="0"/>
    <x v="11"/>
    <x v="13"/>
    <s v="Open-field"/>
    <n v="0.38538325080000002"/>
    <s v="GWP100 with fb AR6"/>
    <n v="1.967391780851409"/>
    <n v="1.2936218929079879"/>
    <n v="1.2748832250995081E-3"/>
    <n v="0"/>
    <n v="2.3288584902397651E-3"/>
    <n v="0"/>
    <n v="3.7991520107965346E-2"/>
    <n v="0"/>
    <n v="0.63577836783545583"/>
    <n v="0"/>
  </r>
  <r>
    <x v="0"/>
    <x v="11"/>
    <x v="14"/>
    <s v="Open-field"/>
    <n v="0.16931057129999999"/>
    <s v="GWP100 with fb AR6"/>
    <n v="0.96076589505643151"/>
    <n v="0.69299921391589026"/>
    <n v="0"/>
    <n v="0"/>
    <n v="9.8083033384813666E-4"/>
    <n v="0"/>
    <n v="0"/>
    <n v="0"/>
    <n v="0.26776668114054131"/>
    <n v="0"/>
  </r>
  <r>
    <x v="0"/>
    <x v="11"/>
    <x v="15"/>
    <s v="Open-field"/>
    <n v="0.12500817089999999"/>
    <s v="GWP100 with fb AR6"/>
    <n v="5.9698113072815486"/>
    <n v="3.6817424174624014"/>
    <n v="6.3439139206758859E-3"/>
    <n v="0"/>
    <n v="7.6887188827216334E-3"/>
    <n v="0"/>
    <n v="0.1890486348361414"/>
    <n v="0"/>
    <n v="2.0990202549830057"/>
    <n v="0"/>
  </r>
  <r>
    <x v="0"/>
    <x v="11"/>
    <x v="11"/>
    <s v="Open-field"/>
    <n v="0"/>
    <s v="GWP100 with fb AR6"/>
    <n v="1.8499648550367953"/>
    <n v="1.2047421591181007"/>
    <n v="1.3173589997933324E-3"/>
    <n v="0"/>
    <n v="2.2196534715196092E-3"/>
    <n v="0"/>
    <n v="3.9257298193841307E-2"/>
    <n v="0"/>
    <n v="0.60596539772485336"/>
    <n v="0"/>
  </r>
  <r>
    <x v="0"/>
    <x v="12"/>
    <x v="0"/>
    <s v="Open-field"/>
    <n v="1"/>
    <s v="GWP100 with fb AR6"/>
    <n v="4.1641072685723017"/>
    <n v="2.4579450975059407"/>
    <n v="3.6496014670228246E-3"/>
    <n v="0"/>
    <n v="5.851296876736559E-3"/>
    <n v="0"/>
    <n v="0.10875812371728018"/>
    <n v="0"/>
    <n v="1.5974040473490807"/>
    <n v="0"/>
  </r>
  <r>
    <x v="0"/>
    <x v="12"/>
    <x v="13"/>
    <s v="Open-field"/>
    <n v="0.38538325080000002"/>
    <s v="GWP100 with fb AR6"/>
    <n v="3.5034694933692538"/>
    <n v="2.0623505663791586"/>
    <n v="2.7268335647961705E-3"/>
    <n v="0"/>
    <n v="4.9811695485683866E-3"/>
    <n v="0"/>
    <n v="8.1259640230925884E-2"/>
    <n v="0"/>
    <n v="1.3598592867591694"/>
    <n v="0"/>
  </r>
  <r>
    <x v="0"/>
    <x v="12"/>
    <x v="14"/>
    <s v="Open-field"/>
    <n v="0.16931057129999999"/>
    <s v="GWP100 with fb AR6"/>
    <n v="1.3504085709744409"/>
    <n v="0.77768539186828312"/>
    <n v="0"/>
    <n v="0"/>
    <n v="2.0978871029529588E-3"/>
    <n v="0"/>
    <n v="0"/>
    <n v="0"/>
    <n v="0.57272317910615778"/>
    <n v="0"/>
  </r>
  <r>
    <x v="0"/>
    <x v="12"/>
    <x v="15"/>
    <s v="Open-field"/>
    <n v="0.12500817089999999"/>
    <s v="GWP100 with fb AR6"/>
    <n v="12.064200147122609"/>
    <n v="7.1702750216760993"/>
    <n v="1.3568926997001201E-2"/>
    <n v="0"/>
    <n v="1.6445315388043495E-2"/>
    <n v="0"/>
    <n v="0.40435402451063579"/>
    <n v="0"/>
    <n v="4.4895711009358745"/>
    <n v="0"/>
  </r>
  <r>
    <x v="0"/>
    <x v="12"/>
    <x v="11"/>
    <s v="Open-field"/>
    <n v="0.32029800700000011"/>
    <s v="GWP100 with fb AR6"/>
    <n v="3.3630142623260877"/>
    <n v="1.9829546071666577"/>
    <n v="2.8176845273357389E-3"/>
    <n v="0"/>
    <n v="4.7475921474169416E-3"/>
    <n v="0"/>
    <n v="8.3966998914605018E-2"/>
    <n v="0"/>
    <n v="1.2960926562448252"/>
    <n v="0"/>
  </r>
  <r>
    <x v="0"/>
    <x v="13"/>
    <x v="0"/>
    <s v="Open-field"/>
    <n v="1"/>
    <s v="GWP100 with fb AR6"/>
    <n v="4.7916060207456246"/>
    <n v="3.0959622541250691"/>
    <n v="2.2962561594379958E-3"/>
    <n v="0"/>
    <n v="5.9604957255285831E-3"/>
    <n v="0"/>
    <n v="6.8428433551252277E-2"/>
    <n v="0"/>
    <n v="1.6272153330693031"/>
    <n v="0"/>
  </r>
  <r>
    <x v="0"/>
    <x v="13"/>
    <x v="16"/>
    <s v="Open-field"/>
    <n v="0.3346199434702003"/>
    <s v="GWP100 with fb AR6"/>
    <n v="3.39994165463954"/>
    <n v="2.4454349751661026"/>
    <n v="1.2297423126399153E-3"/>
    <n v="0"/>
    <n v="3.362125855519297E-3"/>
    <n v="0"/>
    <n v="3.6646320916669479E-2"/>
    <n v="0"/>
    <n v="0.91786035855676806"/>
    <n v="0"/>
  </r>
  <r>
    <x v="0"/>
    <x v="13"/>
    <x v="17"/>
    <s v="Open-field"/>
    <n v="0.10329858472884944"/>
    <s v="GWP100 with fb AR6"/>
    <n v="5.1955233024532177"/>
    <n v="3.7045620152009979"/>
    <n v="3.1696890740966674E-3"/>
    <n v="0"/>
    <n v="5.1154012924693754E-3"/>
    <n v="0"/>
    <n v="9.4456734408080695E-2"/>
    <n v="0"/>
    <n v="1.3965045528441395"/>
    <n v="0"/>
  </r>
  <r>
    <x v="0"/>
    <x v="13"/>
    <x v="11"/>
    <s v="Open-field"/>
    <n v="0.56208147180095025"/>
    <s v="GWP100 with fb AR6"/>
    <n v="5.545864236391143"/>
    <n v="3.3713883535294569"/>
    <n v="2.7706578833225264E-3"/>
    <n v="0"/>
    <n v="7.6626750107643762E-3"/>
    <n v="0"/>
    <n v="8.2565604923011293E-2"/>
    <n v="0"/>
    <n v="2.0919102779386747"/>
    <n v="0"/>
  </r>
  <r>
    <x v="0"/>
    <x v="14"/>
    <x v="0"/>
    <s v="Open-field"/>
    <n v="1"/>
    <s v="GWP100 with fb AR6"/>
    <n v="7.2195617147029729"/>
    <n v="6.061824656283668"/>
    <n v="2.065148650443668E-2"/>
    <n v="0"/>
    <n v="1.9865302585607737E-3"/>
    <n v="0"/>
    <n v="0.61541429783221313"/>
    <n v="0"/>
    <n v="0.54232276058709128"/>
    <n v="0"/>
  </r>
  <r>
    <x v="0"/>
    <x v="14"/>
    <x v="18"/>
    <s v="Open-field"/>
    <n v="0.4089632728"/>
    <s v="GWP100 with fb AR6"/>
    <n v="7.1555338438780973"/>
    <n v="5.8227843239902128"/>
    <n v="2.8958712660366752E-2"/>
    <n v="0"/>
    <n v="1.7208054308020307E-3"/>
    <n v="0"/>
    <n v="0.86296963727892928"/>
    <n v="0"/>
    <n v="0.46977988260895437"/>
    <n v="0"/>
  </r>
  <r>
    <x v="0"/>
    <x v="14"/>
    <x v="19"/>
    <s v="Open-field"/>
    <n v="0.2190860208"/>
    <s v="GWP100 with fb AR6"/>
    <n v="7.2638653026153621"/>
    <n v="6.227226757586334"/>
    <n v="1.4903365888119545E-2"/>
    <n v="0"/>
    <n v="2.1703964892419996E-3"/>
    <n v="0"/>
    <n v="0.44412030346596243"/>
    <n v="0"/>
    <n v="0.59251824156306587"/>
    <n v="0"/>
  </r>
  <r>
    <x v="0"/>
    <x v="14"/>
    <x v="11"/>
    <s v="Open-field"/>
    <n v="0.37195070640000005"/>
    <s v="GWP100 with fb AR6"/>
    <n v="7.2638653026153621"/>
    <n v="6.227226757586334"/>
    <n v="1.4903365888119545E-2"/>
    <n v="0"/>
    <n v="2.1703964892419996E-3"/>
    <n v="0"/>
    <n v="0.44412030346596243"/>
    <n v="0"/>
    <n v="0.59251824156306587"/>
    <n v="0"/>
  </r>
  <r>
    <x v="0"/>
    <x v="15"/>
    <x v="0"/>
    <s v="Open-field"/>
    <n v="1"/>
    <s v="GWP100 with fb AR6"/>
    <n v="0.71314397798023854"/>
    <n v="0.66632340709166926"/>
    <n v="5.8761552095162059E-4"/>
    <n v="0"/>
    <n v="1.0736127605938124E-4"/>
    <n v="0"/>
    <n v="1.7510942524358294E-2"/>
    <n v="0"/>
    <n v="2.9309628364211079E-2"/>
    <n v="0"/>
  </r>
  <r>
    <x v="0"/>
    <x v="15"/>
    <x v="7"/>
    <s v="Open-field"/>
    <n v="0.1023019506993665"/>
    <s v="GWP100 with fb AR6"/>
    <n v="0.52950224330455054"/>
    <n v="0.4863304851595282"/>
    <n v="5.4182156841188814E-4"/>
    <n v="0"/>
    <n v="9.8994415407868241E-5"/>
    <n v="0"/>
    <n v="1.6146282738674266E-2"/>
    <n v="0"/>
    <n v="2.7025475406348028E-2"/>
    <n v="0"/>
  </r>
  <r>
    <x v="0"/>
    <x v="15"/>
    <x v="20"/>
    <s v="Open-field"/>
    <n v="0.19118735495201655"/>
    <s v="GWP100 with fb AR6"/>
    <n v="0.35048326729309331"/>
    <n v="0.30731150914807104"/>
    <n v="5.4182156841188814E-4"/>
    <n v="0"/>
    <n v="9.8994415407868241E-5"/>
    <n v="0"/>
    <n v="1.6146282738674266E-2"/>
    <n v="0"/>
    <n v="2.7025475406348028E-2"/>
    <n v="0"/>
  </r>
  <r>
    <x v="0"/>
    <x v="15"/>
    <x v="21"/>
    <s v="Open-field"/>
    <n v="0.13291099542118801"/>
    <s v="GWP100 with fb AR6"/>
    <n v="0.64208939161101997"/>
    <n v="0.59936733928000829"/>
    <n v="5.3617759374093086E-4"/>
    <n v="0"/>
    <n v="9.796322358070294E-5"/>
    <n v="0"/>
    <n v="1.597809229347974E-2"/>
    <n v="0"/>
    <n v="2.6743960037531902E-2"/>
    <n v="0"/>
  </r>
  <r>
    <x v="0"/>
    <x v="15"/>
    <x v="11"/>
    <s v="Open-field"/>
    <n v="0.57359969892742901"/>
    <s v="GWP100 with fb AR6"/>
    <n v="0.88323992763719594"/>
    <n v="0.83360271353417958"/>
    <n v="6.2296543741742266E-4"/>
    <n v="0"/>
    <n v="1.1381994164094186E-4"/>
    <n v="0"/>
    <n v="1.8564370035039197E-2"/>
    <n v="0"/>
    <n v="3.1072844067977126E-2"/>
    <n v="0"/>
  </r>
  <r>
    <x v="0"/>
    <x v="16"/>
    <x v="0"/>
    <s v="Open-field"/>
    <n v="1"/>
    <s v="GWP100 with fb AR6"/>
    <n v="0"/>
    <m/>
    <m/>
    <n v="0"/>
    <m/>
    <n v="0"/>
    <n v="0"/>
    <n v="0"/>
    <n v="0"/>
    <n v="0"/>
  </r>
  <r>
    <x v="0"/>
    <x v="16"/>
    <x v="10"/>
    <s v="Open-field"/>
    <n v="0.1"/>
    <s v="GWP100 with fb AR6"/>
    <n v="0"/>
    <m/>
    <m/>
    <n v="0"/>
    <m/>
    <n v="0"/>
    <n v="0"/>
    <n v="0"/>
    <n v="0"/>
    <n v="0"/>
  </r>
  <r>
    <x v="0"/>
    <x v="16"/>
    <x v="11"/>
    <s v="Open-field"/>
    <n v="0.9"/>
    <s v="GWP100 with fb AR6"/>
    <n v="0"/>
    <m/>
    <m/>
    <n v="0"/>
    <m/>
    <n v="0"/>
    <n v="0"/>
    <n v="0"/>
    <n v="0"/>
    <n v="0"/>
  </r>
  <r>
    <x v="0"/>
    <x v="17"/>
    <x v="0"/>
    <s v="Open-field"/>
    <n v="1"/>
    <s v="GWP100 with fb AR6"/>
    <n v="12.126657026808214"/>
    <n v="0.77055695059010731"/>
    <n v="0.37875637322175398"/>
    <n v="0"/>
    <n v="2.53333898204533E-4"/>
    <n v="0"/>
    <n v="11.286939922008269"/>
    <n v="0"/>
    <n v="6.916015420983751E-2"/>
    <n v="0"/>
  </r>
  <r>
    <x v="0"/>
    <x v="17"/>
    <x v="22"/>
    <s v="Open-field"/>
    <n v="0.17"/>
    <s v="GWP100 with fb AR6"/>
    <n v="0.83274700237233223"/>
    <n v="0.7935678880022291"/>
    <n v="1.6329960003009906E-5"/>
    <n v="0"/>
    <n v="1.417307016923569E-4"/>
    <n v="0"/>
    <n v="4.8663280808969523E-4"/>
    <n v="0"/>
    <n v="3.8692481562013437E-2"/>
    <n v="0"/>
  </r>
  <r>
    <x v="0"/>
    <x v="17"/>
    <x v="23"/>
    <s v="Open-field"/>
    <n v="0.12"/>
    <s v="GWP100 with fb AR6"/>
    <n v="0.98035318654189951"/>
    <n v="0.93960633974260599"/>
    <n v="1.6983395086362243E-5"/>
    <n v="0"/>
    <n v="1.4740198397699574E-4"/>
    <n v="0"/>
    <n v="5.0610517357359481E-4"/>
    <n v="0"/>
    <n v="4.0240741625719841E-2"/>
    <n v="0"/>
  </r>
  <r>
    <x v="0"/>
    <x v="17"/>
    <x v="11"/>
    <s v="Open-field"/>
    <n v="0.71"/>
    <s v="GWP100 with fb AR6"/>
    <n v="1.006505505047778"/>
    <n v="0.78127909306029242"/>
    <n v="5.2692244360283218E-4"/>
    <n v="0"/>
    <n v="7.6748763065245861E-4"/>
    <n v="0"/>
    <n v="1.5702288819364401E-2"/>
    <n v="0"/>
    <n v="0.20952412316812119"/>
    <n v="0"/>
  </r>
  <r>
    <x v="0"/>
    <x v="18"/>
    <x v="0"/>
    <s v="Open-field"/>
    <n v="1"/>
    <s v="GWP100 with fb AR6"/>
    <n v="0.70751824804117636"/>
    <n v="0.66018413633447071"/>
    <n v="1.8941019452391988E-4"/>
    <n v="0"/>
    <n v="1.5270947952341691E-4"/>
    <n v="0"/>
    <n v="5.6444237968128128E-3"/>
    <n v="0"/>
    <n v="4.1689687909892817E-2"/>
    <n v="0"/>
  </r>
  <r>
    <x v="0"/>
    <x v="18"/>
    <x v="8"/>
    <s v="Open-field"/>
    <n v="0.16"/>
    <s v="GWP100 with fb AR6"/>
    <n v="0.65304417111271218"/>
    <n v="0.60085158541513661"/>
    <n v="2.0885166010802466E-4"/>
    <n v="0"/>
    <n v="1.6838390559104936E-4"/>
    <n v="0"/>
    <n v="6.2237794712191354E-3"/>
    <n v="0"/>
    <n v="4.5968806226356476E-2"/>
    <n v="0"/>
  </r>
  <r>
    <x v="0"/>
    <x v="18"/>
    <x v="11"/>
    <s v="Open-field"/>
    <n v="0.84"/>
    <s v="GWP100 with fb AR6"/>
    <n v="0.71789426269421719"/>
    <n v="0.67148557460482006"/>
    <n v="1.8570705822218563E-4"/>
    <n v="0"/>
    <n v="1.4972387455815359E-4"/>
    <n v="0"/>
    <n v="5.5340703350211318E-3"/>
    <n v="0"/>
    <n v="4.0874617754375932E-2"/>
    <n v="0"/>
  </r>
  <r>
    <x v="0"/>
    <x v="19"/>
    <x v="0"/>
    <s v="Open-field"/>
    <n v="1"/>
    <s v="GWP100 with fb AR6"/>
    <n v="2.8879885798389648"/>
    <n v="1.0583457432576138"/>
    <n v="9.0165571706734735E-4"/>
    <n v="0"/>
    <n v="6.6035659201932025E-3"/>
    <n v="0"/>
    <n v="2.6869340368606952E-2"/>
    <n v="0"/>
    <n v="1.8027734962127442"/>
    <n v="0"/>
  </r>
  <r>
    <x v="0"/>
    <x v="19"/>
    <x v="24"/>
    <s v="Open-field"/>
    <n v="0.42"/>
    <s v="GWP100 with fb AR6"/>
    <n v="2.8879885798389648"/>
    <n v="1.0583457432576138"/>
    <n v="9.0165571706734735E-4"/>
    <n v="0"/>
    <n v="6.6035659201932025E-3"/>
    <n v="0"/>
    <n v="2.6869340368606952E-2"/>
    <n v="0"/>
    <n v="1.8027734962127442"/>
    <n v="0"/>
  </r>
  <r>
    <x v="0"/>
    <x v="19"/>
    <x v="25"/>
    <s v="Open-field"/>
    <n v="0.11"/>
    <s v="GWP100 with fb AR6"/>
    <n v="2.8879885798389648"/>
    <n v="1.0583457432576138"/>
    <n v="9.0165571706734735E-4"/>
    <n v="0"/>
    <n v="6.6035659201932025E-3"/>
    <n v="0"/>
    <n v="2.6869340368606952E-2"/>
    <n v="0"/>
    <n v="1.8027734962127442"/>
    <n v="0"/>
  </r>
  <r>
    <x v="0"/>
    <x v="19"/>
    <x v="11"/>
    <s v="Open-field"/>
    <n v="0.47"/>
    <s v="GWP100 with fb AR6"/>
    <n v="2.8879885798389648"/>
    <n v="1.0583457432576138"/>
    <n v="9.0165571706734735E-4"/>
    <n v="0"/>
    <n v="6.6035659201932025E-3"/>
    <n v="0"/>
    <n v="2.6869340368606952E-2"/>
    <n v="0"/>
    <n v="1.8027734962127442"/>
    <n v="0"/>
  </r>
  <r>
    <x v="0"/>
    <x v="20"/>
    <x v="0"/>
    <s v="Open-field"/>
    <n v="1"/>
    <s v="GWP100 with fb AR6"/>
    <n v="0.53673646041742074"/>
    <n v="0.49250966382878802"/>
    <n v="6.5336034839259512E-4"/>
    <n v="0"/>
    <n v="9.068372969426138E-5"/>
    <n v="0"/>
    <n v="1.9470138382099336E-2"/>
    <n v="0"/>
    <n v="2.4756658206533357E-2"/>
    <n v="0"/>
  </r>
  <r>
    <x v="0"/>
    <x v="20"/>
    <x v="7"/>
    <s v="Open-field"/>
    <n v="0.56000000000000005"/>
    <s v="GWP100 with fb AR6"/>
    <n v="0.49454172127387563"/>
    <n v="0.46323208361214785"/>
    <n v="6.561987772543262E-4"/>
    <n v="0"/>
    <n v="4.3058293404940928E-5"/>
    <n v="0"/>
    <n v="1.9554723562178921E-2"/>
    <n v="0"/>
    <n v="1.1754914099548873E-2"/>
    <n v="0"/>
  </r>
  <r>
    <x v="0"/>
    <x v="20"/>
    <x v="2"/>
    <s v="Open-field"/>
    <n v="0.43"/>
    <s v="GWP100 with fb AR6"/>
    <n v="0.57474879406575297"/>
    <n v="0.51610354202007236"/>
    <n v="6.3160053396718E-4"/>
    <n v="0"/>
    <n v="1.45873831990691E-4"/>
    <n v="0"/>
    <n v="1.8821695912221964E-2"/>
    <n v="0"/>
    <n v="3.9823556133458643E-2"/>
    <n v="0"/>
  </r>
  <r>
    <x v="0"/>
    <x v="20"/>
    <x v="11"/>
    <s v="Open-field"/>
    <n v="0.01"/>
    <s v="GWP100 with fb AR6"/>
    <n v="1.2651115055776587"/>
    <n v="1.1175173937354117"/>
    <n v="1.4300803524285087E-3"/>
    <n v="0"/>
    <n v="3.8453376314973373E-4"/>
    <n v="0"/>
    <n v="4.2616394502369558E-2"/>
    <n v="0"/>
    <n v="0.10497771733987731"/>
    <n v="0"/>
  </r>
  <r>
    <x v="1"/>
    <x v="21"/>
    <x v="0"/>
    <s v="/"/>
    <n v="0.9983146089730156"/>
    <s v="GWP100 with fb AR6"/>
    <n v="1.3399311537232841"/>
    <n v="1.193135563819034"/>
    <n v="3.8392468748414941E-3"/>
    <n v="0"/>
    <n v="1.186301576336026E-4"/>
    <n v="0"/>
    <n v="0.11440955687027653"/>
    <n v="0"/>
    <n v="3.2386033033973513E-2"/>
    <n v="0"/>
  </r>
  <r>
    <x v="1"/>
    <x v="21"/>
    <x v="1"/>
    <s v="Greenhouse"/>
    <n v="7.6865671641791034E-2"/>
    <s v="GWP100 with fb AR6"/>
    <n v="0.90517612444073425"/>
    <n v="0.81887190478357508"/>
    <n v="1.5100332089626846E-3"/>
    <n v="0"/>
    <n v="1.5130120890135962E-4"/>
    <n v="0"/>
    <n v="4.4998989627088003E-2"/>
    <n v="0"/>
    <n v="4.130523003007118E-2"/>
    <n v="0"/>
  </r>
  <r>
    <x v="1"/>
    <x v="21"/>
    <x v="6"/>
    <s v="Greenhouse"/>
    <n v="0.56413627883122452"/>
    <s v="GWP100 with fb AR6"/>
    <n v="1.8886286529354999"/>
    <n v="1.6628410990157683"/>
    <n v="6.3503465923727461E-3"/>
    <n v="0"/>
    <n v="1.3387262075832871E-4"/>
    <n v="0"/>
    <n v="0.18924032845270783"/>
    <n v="0"/>
    <n v="3.6547225467023742E-2"/>
    <n v="0"/>
  </r>
  <r>
    <x v="1"/>
    <x v="21"/>
    <x v="7"/>
    <s v="Greenhouse"/>
    <n v="8.2279962400000003E-2"/>
    <s v="GWP100 with fb AR6"/>
    <n v="0.43064929023298115"/>
    <n v="0.40997694567273002"/>
    <n v="2.9599220613836704E-5"/>
    <n v="0"/>
    <n v="7.2491896651863849E-5"/>
    <n v="0"/>
    <n v="8.8205677429233379E-4"/>
    <n v="0"/>
    <n v="1.9790287785958829E-2"/>
    <n v="0"/>
  </r>
  <r>
    <x v="1"/>
    <x v="21"/>
    <x v="7"/>
    <s v="Open-field"/>
    <n v="0.12503269610000001"/>
    <s v="GWP100 with fb AR6"/>
    <n v="0.48712673425400754"/>
    <n v="0.4634433933635006"/>
    <n v="3.2615781455411765E-5"/>
    <n v="0"/>
    <n v="8.3191906971192929E-5"/>
    <n v="0"/>
    <n v="9.7195028737127062E-4"/>
    <n v="0"/>
    <n v="2.2711390603135671E-2"/>
    <n v="0"/>
  </r>
  <r>
    <x v="1"/>
    <x v="21"/>
    <x v="4"/>
    <s v="Greenhouse"/>
    <n v="0.05"/>
    <s v="GWP100 with fb AR6"/>
    <n v="1.2176229012244031"/>
    <n v="1.0926950263586872"/>
    <n v="2.6494783984342238E-3"/>
    <n v="0"/>
    <n v="1.6840080070467373E-4"/>
    <n v="0"/>
    <n v="7.8954456273339871E-2"/>
    <n v="0"/>
    <n v="4.5973418592375928E-2"/>
    <n v="0"/>
  </r>
  <r>
    <x v="1"/>
    <x v="21"/>
    <x v="4"/>
    <s v="Open-field"/>
    <n v="0.1"/>
    <s v="GWP100 with fb AR6"/>
    <n v="0.47688521207629164"/>
    <n v="0.45810219028147714"/>
    <n v="1.7288803517952842E-5"/>
    <n v="0"/>
    <n v="6.6915074908349955E-5"/>
    <n v="0"/>
    <n v="5.1520634483499469E-4"/>
    <n v="0"/>
    <n v="1.8267815449979536E-2"/>
    <n v="0"/>
  </r>
  <r>
    <x v="1"/>
    <x v="22"/>
    <x v="0"/>
    <s v="/"/>
    <n v="1"/>
    <s v="GWP100 with fb AR6"/>
    <n v="0.68008189691846921"/>
    <n v="0.6103278440266604"/>
    <n v="1.323479891516065E-3"/>
    <n v="0"/>
    <n v="1.1104158287410292E-4"/>
    <n v="0"/>
    <n v="3.9439700767178738E-2"/>
    <n v="0"/>
    <n v="3.0314352124630097E-2"/>
    <n v="0"/>
  </r>
  <r>
    <x v="1"/>
    <x v="22"/>
    <x v="1"/>
    <s v="Greenhouse"/>
    <n v="0.35"/>
    <s v="GWP100 with fb AR6"/>
    <n v="0.68649968346585144"/>
    <n v="0.60062075401773263"/>
    <n v="1.4432426275809561E-3"/>
    <n v="0"/>
    <n v="1.5703406280661639E-4"/>
    <n v="0"/>
    <n v="4.3008630301912494E-2"/>
    <n v="0"/>
    <n v="4.2870299146206277E-2"/>
    <n v="0"/>
  </r>
  <r>
    <x v="1"/>
    <x v="22"/>
    <x v="1"/>
    <s v="Open-field"/>
    <n v="0.12"/>
    <s v="GWP100 with fb AR6"/>
    <n v="0.25388042139118183"/>
    <n v="0.21938376857098632"/>
    <n v="1.4578505963015637E-5"/>
    <n v="0"/>
    <n v="1.2477001224358108E-4"/>
    <n v="0"/>
    <n v="4.3443947769786597E-4"/>
    <n v="0"/>
    <n v="3.4062213342497635E-2"/>
    <n v="0"/>
  </r>
  <r>
    <x v="1"/>
    <x v="22"/>
    <x v="6"/>
    <s v="Greenhouse"/>
    <n v="0.17"/>
    <s v="GWP100 with fb AR6"/>
    <n v="1.4694067452165134"/>
    <n v="1.3048813573672999"/>
    <n v="4.7453285920866757E-3"/>
    <n v="0"/>
    <n v="8.4668849102675917E-5"/>
    <n v="0"/>
    <n v="0.14141079204418294"/>
    <n v="0"/>
    <n v="2.3114595805030527E-2"/>
    <n v="0"/>
  </r>
  <r>
    <x v="1"/>
    <x v="22"/>
    <x v="7"/>
    <s v="Greenhouse"/>
    <n v="0.26"/>
    <s v="GWP100 with fb AR6"/>
    <n v="0.42583936482410822"/>
    <n v="0.40786843489890412"/>
    <n v="2.5731262264015418E-5"/>
    <n v="0"/>
    <n v="6.3018821647386127E-5"/>
    <n v="0"/>
    <n v="7.6679161546765943E-4"/>
    <n v="0"/>
    <n v="1.7204138309736414E-2"/>
    <n v="0"/>
  </r>
  <r>
    <x v="1"/>
    <x v="22"/>
    <x v="7"/>
    <s v="Open-field"/>
    <n v="0.05"/>
    <s v="GWP100 with fb AR6"/>
    <n v="0.48678515090653812"/>
    <n v="0.46324039871949702"/>
    <n v="3.2508036455517724E-5"/>
    <n v="0"/>
    <n v="8.2696017218559189E-5"/>
    <n v="0"/>
    <n v="9.6873948637442818E-4"/>
    <n v="0"/>
    <n v="2.257601270066666E-2"/>
    <n v="0"/>
  </r>
  <r>
    <x v="1"/>
    <x v="22"/>
    <x v="4"/>
    <s v="Open-field"/>
    <n v="0.05"/>
    <s v="GWP100 with fb AR6"/>
    <n v="0.48969436104154079"/>
    <n v="0.4549376825960928"/>
    <n v="3.1483209620273542E-5"/>
    <n v="0"/>
    <n v="1.2387721171708361E-4"/>
    <n v="0"/>
    <n v="9.3819964668415156E-4"/>
    <n v="0"/>
    <n v="3.3818478798763825E-2"/>
    <n v="0"/>
  </r>
  <r>
    <x v="1"/>
    <x v="23"/>
    <x v="0"/>
    <s v="/"/>
    <n v="1"/>
    <s v="GWP100 with fb AR6"/>
    <n v="2.2097022916788176"/>
    <n v="1.9503390985292006"/>
    <n v="7.3465627487228624E-3"/>
    <n v="0"/>
    <n v="1.481158360354413E-4"/>
    <n v="0"/>
    <n v="0.21892756991194132"/>
    <n v="0"/>
    <n v="4.0435623237675473E-2"/>
    <n v="0"/>
  </r>
  <r>
    <x v="1"/>
    <x v="23"/>
    <x v="6"/>
    <s v="Greenhouse"/>
    <n v="0.60091427556903521"/>
    <s v="GWP100 with fb AR6"/>
    <n v="3.2700620286285047"/>
    <n v="2.8704635509934686"/>
    <n v="1.1802828017224324E-2"/>
    <n v="0"/>
    <n v="1.7536337993315476E-4"/>
    <n v="0"/>
    <n v="0.35172427491328484"/>
    <n v="0"/>
    <n v="4.7874202721751247E-2"/>
    <n v="0"/>
  </r>
  <r>
    <x v="1"/>
    <x v="23"/>
    <x v="7"/>
    <s v="Greenhouse"/>
    <n v="0.1185948576891951"/>
    <s v="GWP100 with fb AR6"/>
    <n v="0.44174386023283924"/>
    <n v="0.41484043489285655"/>
    <n v="3.8521050168503892E-5"/>
    <n v="0"/>
    <n v="9.4342483681177005E-5"/>
    <n v="0"/>
    <n v="1.1479272950214161E-3"/>
    <n v="0"/>
    <n v="2.5755498044961321E-2"/>
    <n v="0"/>
  </r>
  <r>
    <x v="1"/>
    <x v="23"/>
    <x v="7"/>
    <s v="Open-field"/>
    <n v="0.13598069034833049"/>
    <s v="GWP100 with fb AR6"/>
    <n v="0.50253729534433389"/>
    <n v="0.46983712147326934"/>
    <n v="4.0981844122191782E-5"/>
    <n v="0"/>
    <n v="1.1530738064550645E-4"/>
    <n v="0"/>
    <n v="1.2212589548413152E-3"/>
    <n v="0"/>
    <n v="3.1478914916223261E-2"/>
    <n v="0"/>
  </r>
  <r>
    <x v="1"/>
    <x v="23"/>
    <x v="4"/>
    <s v="Greenhouse"/>
    <n v="4.0879851287850155E-2"/>
    <s v="GWP100 with fb AR6"/>
    <n v="1.9019872212871596"/>
    <n v="1.6965938798284141"/>
    <n v="5.9101611058438039E-3"/>
    <n v="0"/>
    <n v="1.0721809708644719E-4"/>
    <n v="0"/>
    <n v="0.17612280095414537"/>
    <n v="0"/>
    <n v="2.9270540504600082E-2"/>
    <n v="0"/>
  </r>
  <r>
    <x v="1"/>
    <x v="23"/>
    <x v="11"/>
    <s v="Open-field"/>
    <n v="0.10363032510558906"/>
    <s v="GWP100 with fb AR6"/>
    <n v="0.44580062147767169"/>
    <n v="0.41487228010258725"/>
    <n v="2.2457288171564562E-5"/>
    <n v="0"/>
    <n v="1.108392461083217E-4"/>
    <n v="0"/>
    <n v="6.6922718751262391E-4"/>
    <n v="0"/>
    <n v="3.0259114187571823E-2"/>
    <n v="0"/>
  </r>
  <r>
    <x v="1"/>
    <x v="24"/>
    <x v="0"/>
    <s v="Open-field"/>
    <n v="1"/>
    <s v="GWP100 with fb AR6"/>
    <n v="0.3062930841146872"/>
    <n v="0.25988754818850363"/>
    <n v="2.9453905912824842E-5"/>
    <n v="0"/>
    <n v="1.6676853307685485E-4"/>
    <n v="0"/>
    <n v="8.7772639620218034E-4"/>
    <n v="0"/>
    <n v="4.5527809529981374E-2"/>
    <n v="0"/>
  </r>
  <r>
    <x v="1"/>
    <x v="24"/>
    <x v="1"/>
    <s v="Open-field"/>
    <n v="0.82"/>
    <s v="GWP100 with fb AR6"/>
    <n v="0.26313377169074148"/>
    <n v="0.21255489027667482"/>
    <n v="2.7598713622884424E-5"/>
    <n v="0"/>
    <n v="1.8225802105532863E-4"/>
    <n v="0"/>
    <n v="8.2244166596195586E-4"/>
    <n v="0"/>
    <n v="4.9756439748104717E-2"/>
    <n v="0"/>
  </r>
  <r>
    <x v="1"/>
    <x v="24"/>
    <x v="7"/>
    <s v="Open-field"/>
    <n v="0.12"/>
    <s v="GWP100 with fb AR6"/>
    <n v="0.49857545422564853"/>
    <n v="0.4750268623823623"/>
    <n v="3.8056672233618424E-5"/>
    <n v="0"/>
    <n v="8.2104406632690124E-5"/>
    <n v="0"/>
    <n v="1.1340888325618291E-3"/>
    <n v="0"/>
    <n v="2.2414503010724403E-2"/>
    <n v="0"/>
  </r>
  <r>
    <x v="1"/>
    <x v="24"/>
    <x v="4"/>
    <s v="Open-field"/>
    <n v="0.06"/>
    <s v="GWP100 with fb AR6"/>
    <n v="0.511572280353356"/>
    <n v="0.47648857792911375"/>
    <n v="3.7602667900423428E-5"/>
    <n v="0"/>
    <n v="1.2440711692604251E-4"/>
    <n v="0"/>
    <n v="1.1205595034326182E-3"/>
    <n v="0"/>
    <n v="3.3963142920809604E-2"/>
    <n v="0"/>
  </r>
  <r>
    <x v="1"/>
    <x v="25"/>
    <x v="0"/>
    <s v="Open-field"/>
    <n v="1"/>
    <s v="GWP100 with fb AR6"/>
    <n v="0.36801513649343531"/>
    <n v="0.31378934314049217"/>
    <n v="2.9965917339137244E-5"/>
    <n v="0"/>
    <n v="1.9535827478475034E-4"/>
    <n v="0"/>
    <n v="8.929843367062899E-4"/>
    <n v="0"/>
    <n v="5.333280901623684E-2"/>
    <n v="0"/>
  </r>
  <r>
    <x v="1"/>
    <x v="25"/>
    <x v="1"/>
    <s v="Open-field"/>
    <n v="0.83743941840000002"/>
    <s v="GWP100 with fb AR6"/>
    <n v="0.3138883598851574"/>
    <n v="0.26406283045785883"/>
    <n v="2.2517699609343464E-5"/>
    <n v="0"/>
    <n v="1.800531208019784E-4"/>
    <n v="0"/>
    <n v="6.7102744835843527E-4"/>
    <n v="0"/>
    <n v="4.9154501978940106E-2"/>
    <n v="0"/>
  </r>
  <r>
    <x v="1"/>
    <x v="25"/>
    <x v="4"/>
    <s v="Open-field"/>
    <n v="0.16256058159999998"/>
    <s v="GWP100 with fb AR6"/>
    <n v="0.64685208378141812"/>
    <n v="0.56995809850624379"/>
    <n v="6.8335804198320759E-5"/>
    <n v="0"/>
    <n v="2.7420358355334908E-4"/>
    <n v="0"/>
    <n v="2.0364069651099587E-3"/>
    <n v="0"/>
    <n v="7.4857578310064302E-2"/>
    <n v="0"/>
  </r>
  <r>
    <x v="1"/>
    <x v="26"/>
    <x v="0"/>
    <s v="Open-field"/>
    <n v="1"/>
    <s v="GWP100 with fb AR6"/>
    <n v="0.26982776961099303"/>
    <n v="0.24423840814703218"/>
    <n v="1.3716098026305257E-5"/>
    <n v="0"/>
    <n v="9.2236709680501691E-5"/>
    <n v="0"/>
    <n v="4.0873972118389665E-4"/>
    <n v="0"/>
    <n v="2.5180621742776962E-2"/>
    <n v="0"/>
  </r>
  <r>
    <x v="1"/>
    <x v="26"/>
    <x v="1"/>
    <s v="Open-field"/>
    <n v="0.93"/>
    <s v="GWP100 with fb AR6"/>
    <n v="0.24659919765837363"/>
    <n v="0.22333207643891015"/>
    <n v="1.15268521910342E-5"/>
    <n v="0"/>
    <n v="8.3969307780844981E-5"/>
    <n v="0"/>
    <n v="3.4350019529281919E-4"/>
    <n v="0"/>
    <n v="2.2923621024170681E-2"/>
    <n v="0"/>
  </r>
  <r>
    <x v="1"/>
    <x v="26"/>
    <x v="4"/>
    <s v="Open-field"/>
    <n v="7.0000000000000007E-2"/>
    <s v="GWP100 with fb AR6"/>
    <n v="0.57843593983865049"/>
    <n v="0.52199395798351045"/>
    <n v="4.2801792694906439E-5"/>
    <n v="0"/>
    <n v="2.0207504920451201E-4"/>
    <n v="0"/>
    <n v="1.275493422308212E-3"/>
    <n v="0"/>
    <n v="5.5166488432831777E-2"/>
    <n v="0"/>
  </r>
  <r>
    <x v="1"/>
    <x v="27"/>
    <x v="0"/>
    <s v="Open-field"/>
    <n v="1"/>
    <s v="GWP100 with fb AR6"/>
    <n v="0.37382575817350649"/>
    <n v="0.32493529076730793"/>
    <n v="2.7227381873481793E-5"/>
    <n v="0"/>
    <n v="1.7611388800867694E-4"/>
    <n v="0"/>
    <n v="8.113759798297574E-4"/>
    <n v="0"/>
    <n v="4.8079091426368806E-2"/>
    <n v="0"/>
  </r>
  <r>
    <x v="1"/>
    <x v="27"/>
    <x v="1"/>
    <s v="Open-field"/>
    <n v="0.67915690870000001"/>
    <s v="GWP100 with fb AR6"/>
    <n v="0.30865393646134293"/>
    <n v="0.26068539968151161"/>
    <n v="2.1671175679632198E-5"/>
    <n v="0"/>
    <n v="1.7334335437574472E-4"/>
    <n v="0"/>
    <n v="6.4580103525303952E-4"/>
    <n v="0"/>
    <n v="4.7322735744578306E-2"/>
    <n v="0"/>
  </r>
  <r>
    <x v="1"/>
    <x v="27"/>
    <x v="6"/>
    <s v="Open-field"/>
    <n v="0.16522009239351659"/>
    <s v="GWP100 with fb AR6"/>
    <n v="0.4317748391855632"/>
    <n v="0.37649969699739549"/>
    <n v="3.7722074358857778E-5"/>
    <n v="0"/>
    <n v="1.9835540063103932E-4"/>
    <n v="0"/>
    <n v="1.1241178158939618E-3"/>
    <n v="0"/>
    <n v="5.4151024372273739E-2"/>
    <n v="0"/>
  </r>
  <r>
    <x v="1"/>
    <x v="27"/>
    <x v="4"/>
    <s v="Open-field"/>
    <n v="0.15562299890648346"/>
    <s v="GWP100 with fb AR6"/>
    <n v="0.59672045043100153"/>
    <n v="0.55058498071892736"/>
    <n v="4.0333425163811575E-5"/>
    <n v="0"/>
    <n v="1.6459169832304973E-4"/>
    <n v="0"/>
    <n v="1.2019360698815849E-3"/>
    <n v="0"/>
    <n v="4.4933533642192575E-2"/>
    <n v="0"/>
  </r>
  <r>
    <x v="1"/>
    <x v="28"/>
    <x v="0"/>
    <s v="Open-field"/>
    <n v="1"/>
    <s v="GWP100 with fb AR6"/>
    <n v="0.38957963780173704"/>
    <n v="0.31888431280519786"/>
    <n v="4.5142283626766295E-5"/>
    <n v="0"/>
    <n v="2.5402961518117783E-4"/>
    <n v="0"/>
    <n v="1.3452400520776355E-3"/>
    <n v="0"/>
    <n v="6.9350084944461543E-2"/>
    <n v="0"/>
  </r>
  <r>
    <x v="1"/>
    <x v="28"/>
    <x v="1"/>
    <s v="Open-field"/>
    <n v="0.35"/>
    <s v="GWP100 with fb AR6"/>
    <n v="0.33556576542679684"/>
    <n v="0.24626720662933568"/>
    <n v="4.2155939662178267E-5"/>
    <n v="0"/>
    <n v="3.2249931060633049E-4"/>
    <n v="0"/>
    <n v="1.2562470019329124E-3"/>
    <n v="0"/>
    <n v="8.8042311795528225E-2"/>
    <n v="0"/>
  </r>
  <r>
    <x v="1"/>
    <x v="28"/>
    <x v="6"/>
    <s v="Open-field"/>
    <n v="0.54"/>
    <s v="GWP100 with fb AR6"/>
    <n v="0.39314091847174282"/>
    <n v="0.33222126217023529"/>
    <n v="4.4615031362867821E-5"/>
    <n v="0"/>
    <n v="2.1827885848679164E-4"/>
    <n v="0"/>
    <n v="1.3295279346134611E-3"/>
    <n v="0"/>
    <n v="5.9590128366894118E-2"/>
    <n v="0"/>
  </r>
  <r>
    <x v="1"/>
    <x v="28"/>
    <x v="4"/>
    <s v="Open-field"/>
    <n v="0.11"/>
    <s v="GWP100 with fb AR6"/>
    <n v="0.54395930843288176"/>
    <n v="0.48446644466366634"/>
    <n v="5.723261644595713E-5"/>
    <n v="0"/>
    <n v="2.1167520805540597E-4"/>
    <n v="0"/>
    <n v="1.7055319700895225E-3"/>
    <n v="0"/>
    <n v="5.7787331799125832E-2"/>
    <n v="0"/>
  </r>
  <r>
    <x v="1"/>
    <x v="29"/>
    <x v="0"/>
    <s v="Open-field"/>
    <n v="1"/>
    <s v="GWP100 with fb AR6"/>
    <n v="0.60972954822208625"/>
    <n v="0.39330229914542986"/>
    <n v="1.1429968863800529E-4"/>
    <n v="0"/>
    <n v="7.8029713683239502E-4"/>
    <n v="0"/>
    <n v="3.4061307214125576E-3"/>
    <n v="0"/>
    <n v="0.21302111835524384"/>
    <n v="0"/>
  </r>
  <r>
    <x v="1"/>
    <x v="29"/>
    <x v="1"/>
    <s v="Open-field"/>
    <n v="0.66"/>
    <s v="GWP100 with fb AR6"/>
    <n v="0.57013129499460247"/>
    <n v="0.32248085606847327"/>
    <n v="1.0729005586767627E-4"/>
    <n v="0"/>
    <n v="8.9543294967499082E-4"/>
    <n v="0"/>
    <n v="3.1972436648567532E-3"/>
    <n v="0"/>
    <n v="0.24445319526127249"/>
    <n v="0"/>
  </r>
  <r>
    <x v="1"/>
    <x v="29"/>
    <x v="7"/>
    <s v="Open-field"/>
    <n v="0.14000000000000001"/>
    <s v="GWP100 with fb AR6"/>
    <n v="0.67533464756769279"/>
    <n v="0.54446224302177404"/>
    <n v="1.5295056263817594E-4"/>
    <n v="0"/>
    <n v="4.6269039479597502E-4"/>
    <n v="0"/>
    <n v="4.557926766617643E-3"/>
    <n v="0"/>
    <n v="0.12631447777930119"/>
    <n v="0"/>
  </r>
  <r>
    <x v="1"/>
    <x v="29"/>
    <x v="4"/>
    <s v="Open-field"/>
    <n v="0.2"/>
    <s v="GWP100 with fb AR6"/>
    <n v="0.69448021433085771"/>
    <n v="0.52120110058594538"/>
    <n v="1.1037586497997151E-4"/>
    <n v="0"/>
    <n v="6.2267367387732278E-4"/>
    <n v="0"/>
    <n v="3.2892007764031509E-3"/>
    <n v="0"/>
    <n v="0.16998991296850913"/>
    <n v="0"/>
  </r>
  <r>
    <x v="1"/>
    <x v="30"/>
    <x v="0"/>
    <s v="Open-field"/>
    <n v="1"/>
    <s v="GWP100 with fb AR6"/>
    <n v="0.36023975539767616"/>
    <n v="0.30430624211340807"/>
    <n v="3.1011596200333953E-5"/>
    <n v="0"/>
    <n v="2.0149951544871106E-4"/>
    <n v="0"/>
    <n v="9.2414556676995185E-4"/>
    <n v="0"/>
    <n v="5.500936771749812E-2"/>
    <n v="0"/>
  </r>
  <r>
    <x v="1"/>
    <x v="30"/>
    <x v="1"/>
    <s v="Open-field"/>
    <n v="0.43"/>
    <s v="GWP100 with fb AR6"/>
    <n v="0.28988681564288643"/>
    <n v="0.22998041058187216"/>
    <n v="2.58464207245927E-5"/>
    <n v="0"/>
    <n v="2.1661605026894286E-4"/>
    <n v="0"/>
    <n v="7.7022333759286252E-4"/>
    <n v="0"/>
    <n v="5.9136181723421402E-2"/>
    <n v="0"/>
  </r>
  <r>
    <x v="1"/>
    <x v="30"/>
    <x v="7"/>
    <s v="Open-field"/>
    <n v="0.51"/>
    <s v="GWP100 with fb AR6"/>
    <n v="0.40069779646461928"/>
    <n v="0.34702932995686048"/>
    <n v="3.4560606816934199E-5"/>
    <n v="0"/>
    <n v="1.9281523965060133E-4"/>
    <n v="0"/>
    <n v="1.0299060831446391E-3"/>
    <n v="0"/>
    <n v="5.2638560424614164E-2"/>
    <n v="0"/>
  </r>
  <r>
    <x v="1"/>
    <x v="30"/>
    <x v="4"/>
    <s v="Open-field"/>
    <n v="0.06"/>
    <s v="GWP100 with fb AR6"/>
    <n v="0.52054247457131975"/>
    <n v="0.4738284547534039"/>
    <n v="3.7862096868710838E-5"/>
    <n v="0"/>
    <n v="1.6698069352098256E-4"/>
    <n v="0"/>
    <n v="1.1282904866875829E-3"/>
    <n v="0"/>
    <n v="4.5585729331228238E-2"/>
    <n v="0"/>
  </r>
  <r>
    <x v="1"/>
    <x v="31"/>
    <x v="0"/>
    <s v="Open-field"/>
    <n v="1"/>
    <s v="GWP100 with fb AR6"/>
    <n v="0.52056495164696526"/>
    <n v="0.39579092969138691"/>
    <n v="8.4060736358097956E-5"/>
    <n v="0"/>
    <n v="4.4787183887218685E-4"/>
    <n v="0"/>
    <n v="2.5050099434713192E-3"/>
    <n v="0"/>
    <n v="0.12226901201210701"/>
    <n v="0"/>
  </r>
  <r>
    <x v="1"/>
    <x v="31"/>
    <x v="1"/>
    <s v="Open-field"/>
    <n v="0.42"/>
    <s v="GWP100 with fb AR6"/>
    <n v="0.4310810101606084"/>
    <n v="0.27415518495712993"/>
    <n v="6.9249765529233687E-5"/>
    <n v="0"/>
    <n v="5.6726074062530131E-4"/>
    <n v="0"/>
    <n v="2.0636430127711639E-3"/>
    <n v="0"/>
    <n v="0.15486218219070727"/>
    <n v="0"/>
  </r>
  <r>
    <x v="1"/>
    <x v="31"/>
    <x v="7"/>
    <s v="Open-field"/>
    <n v="0.27"/>
    <s v="GWP100 with fb AR6"/>
    <n v="0.57619046500518623"/>
    <n v="0.50924671194226701"/>
    <n v="8.8349418943181813E-5"/>
    <n v="0"/>
    <n v="2.3557121017733516E-4"/>
    <n v="0"/>
    <n v="2.632812684506818E-3"/>
    <n v="0"/>
    <n v="6.4310940378412493E-2"/>
    <n v="0"/>
  </r>
  <r>
    <x v="1"/>
    <x v="31"/>
    <x v="26"/>
    <s v="Open-field"/>
    <n v="0.14000000000000001"/>
    <s v="GWP100 with fb AR6"/>
    <n v="0.54195316326205689"/>
    <n v="0.39619188152074125"/>
    <n v="1.0034852958090961E-4"/>
    <n v="0"/>
    <n v="5.2297031340587763E-4"/>
    <n v="0"/>
    <n v="2.9903861815111063E-3"/>
    <n v="0"/>
    <n v="0.1427708955598046"/>
    <n v="0"/>
  </r>
  <r>
    <x v="1"/>
    <x v="31"/>
    <x v="4"/>
    <s v="Open-field"/>
    <n v="0.17"/>
    <s v="GWP100 with fb AR6"/>
    <n v="0.63568269983189096"/>
    <n v="0.51577809630633231"/>
    <n v="1.0042763282254931E-4"/>
    <n v="0"/>
    <n v="4.2824857167562876E-4"/>
    <n v="0"/>
    <n v="2.9927434581119693E-3"/>
    <n v="0"/>
    <n v="0.11691186006744665"/>
    <n v="0"/>
  </r>
  <r>
    <x v="1"/>
    <x v="32"/>
    <x v="1"/>
    <s v="Open-field"/>
    <n v="1"/>
    <s v="GWP100 with fb AR6"/>
    <n v="0.57291252529912928"/>
    <n v="0.51101220325146979"/>
    <n v="5.1147490227950007E-5"/>
    <n v="0"/>
    <n v="2.2115797376874214E-4"/>
    <n v="0"/>
    <n v="1.5241952087929102E-3"/>
    <n v="0"/>
    <n v="6.0376126838866603E-2"/>
    <n v="0"/>
  </r>
  <r>
    <x v="1"/>
    <x v="33"/>
    <x v="0"/>
    <s v="Open-field"/>
    <n v="1"/>
    <s v="GWP100 with fb AR6"/>
    <n v="1.0060066670198833"/>
    <n v="0.79301648183078854"/>
    <n v="2.0020487107055352E-4"/>
    <n v="0"/>
    <n v="7.5832996348422044E-4"/>
    <n v="0"/>
    <n v="5.9661051579024951E-3"/>
    <n v="0"/>
    <n v="0.20702408003119219"/>
    <n v="0"/>
  </r>
  <r>
    <x v="1"/>
    <x v="33"/>
    <x v="1"/>
    <s v="Open-field"/>
    <n v="0.14285714290000001"/>
    <s v="GWP100 with fb AR6"/>
    <n v="0.59364907833916192"/>
    <n v="0.51916691879947907"/>
    <n v="6.0935758434960999E-5"/>
    <n v="0"/>
    <n v="2.6617682761289761E-4"/>
    <n v="0"/>
    <n v="1.8158856013618379E-3"/>
    <n v="0"/>
    <n v="7.2666273938321049E-2"/>
    <n v="0"/>
  </r>
  <r>
    <x v="1"/>
    <x v="33"/>
    <x v="5"/>
    <s v="Open-field"/>
    <n v="0.45156544984393371"/>
    <s v="GWP100 with fb AR6"/>
    <n v="0.73408102521755758"/>
    <n v="0.62213936075293574"/>
    <n v="6.9580738061309519E-5"/>
    <n v="0"/>
    <n v="4.0244746692452314E-4"/>
    <n v="0"/>
    <n v="2.0735059942270239E-3"/>
    <n v="0"/>
    <n v="0.10986815847039481"/>
    <n v="0"/>
  </r>
  <r>
    <x v="1"/>
    <x v="33"/>
    <x v="6"/>
    <s v="Open-field"/>
    <n v="0.1400984531628944"/>
    <s v="GWP100 with fb AR6"/>
    <n v="0.64847776461018336"/>
    <n v="0.53566690036329856"/>
    <n v="5.3868796919654975E-5"/>
    <n v="0"/>
    <n v="4.073464252698868E-4"/>
    <n v="0"/>
    <n v="1.6052901482057182E-3"/>
    <n v="0"/>
    <n v="0.11120557409867909"/>
    <n v="0"/>
  </r>
  <r>
    <x v="1"/>
    <x v="33"/>
    <x v="11"/>
    <s v="Open-field"/>
    <n v="0.2654789540931719"/>
    <s v="GWP100 with fb AR6"/>
    <n v="1.8791067540569399"/>
    <n v="1.366839175281934"/>
    <n v="5.7455616711989913E-4"/>
    <n v="0"/>
    <n v="1.8137208974169704E-3"/>
    <n v="0"/>
    <n v="1.7121773780172996E-2"/>
    <n v="0"/>
    <n v="0.49514580499483291"/>
    <n v="0"/>
  </r>
  <r>
    <x v="2"/>
    <x v="34"/>
    <x v="27"/>
    <s v="Open-field"/>
    <n v="0.99999999999999978"/>
    <s v="GWP100 with fb AR6"/>
    <n v="0.95588877536174377"/>
    <n v="0.64712239690592077"/>
    <n v="1.5542727348630709E-4"/>
    <n v="0"/>
    <n v="1.1140463212671468E-3"/>
    <n v="0"/>
    <n v="4.631732749891951E-3"/>
    <n v="0"/>
    <n v="0.30413464570593107"/>
    <n v="0"/>
  </r>
  <r>
    <x v="2"/>
    <x v="35"/>
    <x v="28"/>
    <s v="Open-field"/>
    <n v="0.34177640988310881"/>
    <s v="GWP100 with fb AR6"/>
    <n v="1.0057102702501111"/>
    <n v="0.65866800861362307"/>
    <n v="1.7207478617532244E-4"/>
    <n v="0"/>
    <n v="1.2524338205438215E-3"/>
    <n v="0"/>
    <n v="5.127828628024609E-3"/>
    <n v="0"/>
    <n v="0.3419144330084633"/>
    <n v="0"/>
  </r>
  <r>
    <x v="2"/>
    <x v="36"/>
    <x v="1"/>
    <s v="Open-field"/>
    <n v="0.20899264366725692"/>
    <s v="GWP100 with fb AR6"/>
    <n v="0.98743822207048848"/>
    <n v="0.64945788386068315"/>
    <n v="1.6749269601834351E-4"/>
    <n v="0"/>
    <n v="1.2197401313862959E-3"/>
    <n v="0"/>
    <n v="4.9912823413466364E-3"/>
    <n v="0"/>
    <n v="0.33298905586845878"/>
    <n v="0"/>
  </r>
  <r>
    <x v="2"/>
    <x v="37"/>
    <x v="1"/>
    <s v="Open-field"/>
    <n v="0.13278376621585189"/>
    <s v="GWP100 with fb AR6"/>
    <n v="1.0344692350174387"/>
    <n v="0.67316412041612406"/>
    <n v="1.7928668536089037E-4"/>
    <n v="0"/>
    <n v="1.3038914702474729E-3"/>
    <n v="0"/>
    <n v="5.3427432237545336E-3"/>
    <n v="0"/>
    <n v="0.35596237137756009"/>
    <n v="0"/>
  </r>
  <r>
    <x v="2"/>
    <x v="38"/>
    <x v="1"/>
    <s v="Open-field"/>
    <n v="0.19348621637462843"/>
    <s v="GWP100 with fb AR6"/>
    <n v="0.88360353241806799"/>
    <n v="0.62619591081043846"/>
    <n v="1.3445607002378511E-4"/>
    <n v="0"/>
    <n v="9.2820817113890407E-4"/>
    <n v="0"/>
    <n v="4.0067908867087963E-3"/>
    <n v="0"/>
    <n v="0.25340083072092079"/>
    <n v="0"/>
  </r>
  <r>
    <x v="2"/>
    <x v="39"/>
    <x v="29"/>
    <s v="Open-field"/>
    <n v="0.33433150493850516"/>
    <s v="GWP100 with fb AR6"/>
    <n v="0.95643441659405415"/>
    <n v="0.64627317843229759"/>
    <n v="1.5369208247385807E-4"/>
    <n v="0"/>
    <n v="1.119345106608189E-3"/>
    <n v="0"/>
    <n v="4.5800240577209706E-3"/>
    <n v="0"/>
    <n v="0.3055812141040356"/>
    <n v="0"/>
  </r>
  <r>
    <x v="2"/>
    <x v="40"/>
    <x v="1"/>
    <s v="Open-field"/>
    <n v="0.18527174967850224"/>
    <s v="GWP100 with fb AR6"/>
    <n v="0.96113962702041777"/>
    <n v="0.64451535827972983"/>
    <n v="1.5563685641099609E-4"/>
    <n v="0"/>
    <n v="1.1428069246140669E-3"/>
    <n v="0"/>
    <n v="4.6379783210476833E-3"/>
    <n v="0"/>
    <n v="0.31198629041964027"/>
    <n v="0"/>
  </r>
  <r>
    <x v="2"/>
    <x v="41"/>
    <x v="1"/>
    <s v="Open-field"/>
    <n v="0.14905975526000295"/>
    <s v="GWP100 with fb AR6"/>
    <n v="0.95058614073463565"/>
    <n v="0.64845803654318268"/>
    <n v="1.5127485275659317E-4"/>
    <n v="0"/>
    <n v="1.0901835662245657E-3"/>
    <n v="0"/>
    <n v="4.5079906121464767E-3"/>
    <n v="0"/>
    <n v="0.29762011357930646"/>
    <n v="0"/>
  </r>
  <r>
    <x v="2"/>
    <x v="42"/>
    <x v="1"/>
    <s v="Open-field"/>
    <n v="0.13040586880375737"/>
    <s v="GWP100 with fb AR6"/>
    <n v="0.93116566600330231"/>
    <n v="0.65008920653746094"/>
    <n v="1.4736046409612175E-4"/>
    <n v="0"/>
    <n v="1.0134985993984502E-3"/>
    <n v="0"/>
    <n v="4.3913418300644278E-3"/>
    <n v="0"/>
    <n v="0.27668511763577691"/>
    <n v="0"/>
  </r>
  <r>
    <x v="2"/>
    <x v="43"/>
    <x v="0"/>
    <s v="Open-field"/>
    <n v="1"/>
    <s v="GWP100 with fb AR6"/>
    <n v="3.5500440417797376"/>
    <n v="1.8336850834683192"/>
    <n v="4.4141002551712265E-2"/>
    <n v="0"/>
    <n v="1.468707261063712E-3"/>
    <n v="0"/>
    <n v="1.3154018760410255"/>
    <n v="0"/>
    <n v="0.40095708227039339"/>
    <n v="0"/>
  </r>
  <r>
    <x v="2"/>
    <x v="43"/>
    <x v="30"/>
    <s v="Open-field"/>
    <n v="0.16193741936094433"/>
    <s v="GWP100 with fb AR6"/>
    <n v="4.2480657750341884"/>
    <n v="1.7322172557230906"/>
    <n v="6.9411326716598457E-2"/>
    <n v="0"/>
    <n v="1.6387948100969362E-3"/>
    <n v="0"/>
    <n v="2.068457536154634"/>
    <n v="0"/>
    <n v="0.44739098315646358"/>
    <n v="0"/>
  </r>
  <r>
    <x v="2"/>
    <x v="43"/>
    <x v="2"/>
    <s v="Open-field"/>
    <n v="0.13504774463010921"/>
    <s v="GWP100 with fb AR6"/>
    <n v="4.825789418410916"/>
    <n v="1.7527109784193431"/>
    <n v="9.2026161176661236E-2"/>
    <n v="0"/>
    <n v="1.2113510510149026E-3"/>
    <n v="0"/>
    <n v="2.7423796030645051"/>
    <n v="0"/>
    <n v="0.33069883692706842"/>
    <n v="0"/>
  </r>
  <r>
    <x v="2"/>
    <x v="43"/>
    <x v="11"/>
    <s v="Open-field"/>
    <n v="0.70301483600894643"/>
    <s v="GWP100 with fb AR6"/>
    <n v="3.1441886325294872"/>
    <n v="1.872612865688239"/>
    <n v="2.9121413754447982E-2"/>
    <n v="0"/>
    <n v="1.4789657031454152E-3"/>
    <n v="0"/>
    <n v="0.86781812988254992"/>
    <n v="0"/>
    <n v="0.40375763695869837"/>
    <n v="0"/>
  </r>
  <r>
    <x v="2"/>
    <x v="44"/>
    <x v="0"/>
    <s v="Open-field"/>
    <n v="1"/>
    <s v="GWP100 with fb AR6"/>
    <n v="2.1732330261837234"/>
    <n v="1.2541165220348607"/>
    <n v="5.547007000030104E-4"/>
    <n v="0"/>
    <n v="3.3061773746841509E-3"/>
    <n v="0"/>
    <n v="1.653008086008971E-2"/>
    <n v="0"/>
    <n v="0.90258642328877314"/>
    <n v="0"/>
  </r>
  <r>
    <x v="2"/>
    <x v="45"/>
    <x v="1"/>
    <s v="Open-field"/>
    <n v="0.89"/>
    <s v="GWP100 with fb AR6"/>
    <n v="2.135981120996969"/>
    <n v="1.2355794804893441"/>
    <n v="5.3948796902535655E-4"/>
    <n v="0"/>
    <n v="3.2392853444346871E-3"/>
    <n v="0"/>
    <n v="1.6076741476955626E-2"/>
    <n v="0"/>
    <n v="0.88432489903066958"/>
    <n v="0"/>
  </r>
  <r>
    <x v="2"/>
    <x v="46"/>
    <x v="1"/>
    <s v="Open-field"/>
    <n v="0.1"/>
    <s v="GWP100 with fb AR6"/>
    <n v="2.4853235889534466"/>
    <n v="1.38450316659227"/>
    <n v="6.5936562756108163E-4"/>
    <n v="0"/>
    <n v="3.9603345298895839E-3"/>
    <n v="0"/>
    <n v="1.9649095701320233E-2"/>
    <n v="0"/>
    <n v="1.0811713266598564"/>
    <n v="0"/>
  </r>
  <r>
    <x v="2"/>
    <x v="47"/>
    <x v="4"/>
    <s v="Open-field"/>
    <n v="1.0000000000000009E-2"/>
    <s v="GWP100 with fb AR6"/>
    <n v="2.3677469601076022"/>
    <n v="1.6000467740117359"/>
    <n v="8.6198448143348324E-4"/>
    <n v="0"/>
    <n v="2.7179965148320454E-3"/>
    <n v="0"/>
    <n v="2.5687137546717802E-2"/>
    <n v="0"/>
    <n v="0.7420130485491484"/>
    <n v="0"/>
  </r>
  <r>
    <x v="2"/>
    <x v="48"/>
    <x v="0"/>
    <s v="Open-field"/>
    <n v="1"/>
    <s v="GWP100 with fb AR6"/>
    <n v="3.0922404340425391"/>
    <n v="1.7481481609386502"/>
    <n v="9.0378360693423726E-4"/>
    <n v="0"/>
    <n v="4.8247601524441346E-3"/>
    <n v="0"/>
    <n v="2.6932751486640271E-2"/>
    <n v="0"/>
    <n v="1.3171595216172487"/>
    <n v="0"/>
  </r>
  <r>
    <x v="2"/>
    <x v="48"/>
    <x v="1"/>
    <s v="Open-field"/>
    <n v="0.4165535957"/>
    <s v="GWP100 with fb AR6"/>
    <n v="2.1712682389723712"/>
    <n v="1.2506222770653974"/>
    <n v="5.5159682342290463E-4"/>
    <n v="0"/>
    <n v="3.3121185954907372E-3"/>
    <n v="0"/>
    <n v="1.6437585338002558E-2"/>
    <n v="0"/>
    <n v="0.90420837656897124"/>
    <n v="0"/>
  </r>
  <r>
    <x v="2"/>
    <x v="48"/>
    <x v="5"/>
    <s v="Open-field"/>
    <n v="0.22803600359704471"/>
    <s v="GWP100 with fb AR6"/>
    <n v="3.6736792842761581"/>
    <n v="2.133126300139554"/>
    <n v="1.2597089095184963E-3"/>
    <n v="0"/>
    <n v="5.5055445371170421E-3"/>
    <n v="0"/>
    <n v="3.7539325503651189E-2"/>
    <n v="0"/>
    <n v="1.5030136586329526"/>
    <n v="0"/>
  </r>
  <r>
    <x v="2"/>
    <x v="48"/>
    <x v="31"/>
    <s v="Open-field"/>
    <n v="0.2218123860535362"/>
    <s v="GWP100 with fb AR6"/>
    <n v="3.5124530563454459"/>
    <n v="1.6903460620205302"/>
    <n v="7.0526336858635699E-4"/>
    <n v="0"/>
    <n v="6.5973998019818398E-3"/>
    <n v="0"/>
    <n v="2.1016848383873438E-2"/>
    <n v="0"/>
    <n v="1.8010901459410422"/>
    <n v="0"/>
  </r>
  <r>
    <x v="2"/>
    <x v="48"/>
    <x v="4"/>
    <s v="Open-field"/>
    <n v="0.13359801464941912"/>
    <s v="GWP100 with fb AR6"/>
    <n v="4.2736720867825255"/>
    <n v="2.7382717145907929"/>
    <n v="1.7239689628669665E-3"/>
    <n v="0"/>
    <n v="5.4359930296640907E-3"/>
    <n v="0"/>
    <n v="5.1374275093435604E-2"/>
    <n v="0"/>
    <n v="1.4840260970982968"/>
    <n v="0"/>
  </r>
  <r>
    <x v="2"/>
    <x v="49"/>
    <x v="0"/>
    <s v="Open-field"/>
    <n v="0.99999999999999989"/>
    <s v="GWP100 with fb AR6"/>
    <n v="2.5863032619526485"/>
    <n v="1.7583325649358597"/>
    <n v="1.2788861656697213E-3"/>
    <n v="0"/>
    <n v="2.8932596676916897E-3"/>
    <n v="0"/>
    <n v="3.81108077369577E-2"/>
    <n v="0"/>
    <n v="0.78985988927983131"/>
    <n v="0"/>
  </r>
  <r>
    <x v="2"/>
    <x v="49"/>
    <x v="32"/>
    <s v="Open-field"/>
    <n v="0.10204122116204796"/>
    <s v="GWP100 with fb AR6"/>
    <n v="2.2391982914791573"/>
    <n v="1.5626368581367838"/>
    <n v="1.0430035545921409E-3"/>
    <n v="0"/>
    <n v="2.3643953385184169E-3"/>
    <n v="0"/>
    <n v="3.10815059268458E-2"/>
    <n v="0"/>
    <n v="0.64547992741552784"/>
    <n v="0"/>
  </r>
  <r>
    <x v="2"/>
    <x v="49"/>
    <x v="2"/>
    <s v="Open-field"/>
    <n v="0.55981829362639102"/>
    <s v="GWP100 with fb AR6"/>
    <n v="3.0336709928754466"/>
    <n v="1.9015134251176151"/>
    <n v="1.4318323966894856E-3"/>
    <n v="0"/>
    <n v="3.9908020598406046E-3"/>
    <n v="0"/>
    <n v="4.2668605421346671E-2"/>
    <n v="0"/>
    <n v="1.089488962336485"/>
    <n v="0"/>
  </r>
  <r>
    <x v="2"/>
    <x v="49"/>
    <x v="7"/>
    <s v="Open-field"/>
    <n v="0.27450358056773322"/>
    <s v="GWP100 with fb AR6"/>
    <n v="1.9132969269521847"/>
    <n v="1.5725550120293528"/>
    <n v="1.0930074676233925E-3"/>
    <n v="0"/>
    <n v="1.128828909844889E-3"/>
    <n v="0"/>
    <n v="3.2571622535177099E-2"/>
    <n v="0"/>
    <n v="0.3081702923876547"/>
    <n v="0"/>
  </r>
  <r>
    <x v="2"/>
    <x v="49"/>
    <x v="4"/>
    <s v="Open-field"/>
    <n v="6.3636904643827763E-2"/>
    <s v="GWP100 with fb AR6"/>
    <n v="2.1104319706433499"/>
    <n v="1.6139252824250621"/>
    <n v="1.1134478830448493E-3"/>
    <n v="0"/>
    <n v="1.6971646201595291E-3"/>
    <n v="0"/>
    <n v="3.3180746914736513E-2"/>
    <n v="0"/>
    <n v="0.46332594130355143"/>
    <n v="0"/>
  </r>
  <r>
    <x v="2"/>
    <x v="50"/>
    <x v="0"/>
    <s v="Open-field"/>
    <n v="1"/>
    <s v="GWP100 with fb AR6"/>
    <n v="0.88697504441078689"/>
    <n v="0.79760502540093892"/>
    <n v="2.1544156748112036E-4"/>
    <n v="0"/>
    <n v="3.0384564212055168E-4"/>
    <n v="0"/>
    <n v="6.4201587109373867E-3"/>
    <n v="0"/>
    <n v="8.2949860298910605E-2"/>
    <n v="0"/>
  </r>
  <r>
    <x v="2"/>
    <x v="50"/>
    <x v="32"/>
    <s v="Open-field"/>
    <n v="0.31596787651230701"/>
    <s v="GWP100 with fb AR6"/>
    <n v="0.98913780724948286"/>
    <n v="0.85382552058100813"/>
    <n v="2.0860071091842816E-4"/>
    <n v="0"/>
    <n v="4.7287906770368331E-4"/>
    <n v="0"/>
    <n v="6.2163011853691589E-3"/>
    <n v="0"/>
    <n v="0.12909598548310555"/>
    <n v="0"/>
  </r>
  <r>
    <x v="2"/>
    <x v="50"/>
    <x v="7"/>
    <s v="Open-field"/>
    <n v="0.53961549158670563"/>
    <s v="GWP100 with fb AR6"/>
    <n v="0.83803719324033399"/>
    <n v="0.76988881025576772"/>
    <n v="2.1860149352467847E-4"/>
    <n v="0"/>
    <n v="2.257657819689778E-4"/>
    <n v="0"/>
    <n v="6.5143245070354181E-3"/>
    <n v="0"/>
    <n v="6.1634058477530937E-2"/>
    <n v="0"/>
  </r>
  <r>
    <x v="2"/>
    <x v="50"/>
    <x v="4"/>
    <s v="Open-field"/>
    <n v="0.14441663190098741"/>
    <s v="GWP100 with fb AR6"/>
    <n v="0.84631124731947593"/>
    <n v="0.77816286433490967"/>
    <n v="2.1860149352467847E-4"/>
    <n v="0"/>
    <n v="2.257657819689778E-4"/>
    <n v="0"/>
    <n v="6.5143245070354181E-3"/>
    <n v="0"/>
    <n v="6.1634058477530937E-2"/>
    <n v="0"/>
  </r>
  <r>
    <x v="2"/>
    <x v="51"/>
    <x v="1"/>
    <s v="Open-field"/>
    <n v="1"/>
    <s v="GWP100 with fb AR6"/>
    <n v="1.4860877443452241"/>
    <n v="1.2422786877495118"/>
    <n v="3.3226210375845229E-4"/>
    <n v="0"/>
    <n v="8.5680456374985514E-4"/>
    <n v="0"/>
    <n v="9.9014106920018788E-3"/>
    <n v="0"/>
    <n v="0.23390764590371046"/>
    <n v="0"/>
  </r>
  <r>
    <x v="2"/>
    <x v="52"/>
    <x v="0"/>
    <s v="Open-field"/>
    <n v="1"/>
    <s v="GWP100 with fb AR6"/>
    <n v="3.6755397513997967"/>
    <n v="3.2585760904311165"/>
    <n v="3.3553813716988008E-3"/>
    <n v="0"/>
    <n v="1.1610743446595461E-3"/>
    <n v="0"/>
    <n v="9.9990364876624271E-2"/>
    <n v="0"/>
    <n v="0.3169732960920561"/>
    <n v="0"/>
  </r>
  <r>
    <x v="2"/>
    <x v="52"/>
    <x v="19"/>
    <s v="Open-field"/>
    <n v="0.32569947067084365"/>
    <s v="GWP100 with fb AR6"/>
    <n v="3.7035731803493235"/>
    <n v="3.2868138525216848"/>
    <n v="3.3496326681862277E-3"/>
    <n v="0"/>
    <n v="1.1609533857717541E-3"/>
    <n v="0"/>
    <n v="9.9819053511949585E-2"/>
    <n v="0"/>
    <n v="0.31694027431568889"/>
    <n v="0"/>
  </r>
  <r>
    <x v="2"/>
    <x v="52"/>
    <x v="33"/>
    <s v="Open-field"/>
    <n v="0.15804256238522199"/>
    <s v="GWP100 with fb AR6"/>
    <n v="3.5611753676853191"/>
    <n v="3.1437552921959906"/>
    <n v="3.3610384208512742E-3"/>
    <n v="0"/>
    <n v="1.1621286833258628E-3"/>
    <n v="0"/>
    <n v="0.10015894494136797"/>
    <n v="0"/>
    <n v="0.31726113054796057"/>
    <n v="0"/>
  </r>
  <r>
    <x v="2"/>
    <x v="52"/>
    <x v="11"/>
    <s v="Open-field"/>
    <n v="0.51625796694393433"/>
    <s v="GWP100 with fb AR6"/>
    <n v="3.6928643601236844"/>
    <n v="3.2759115110452464"/>
    <n v="3.3572763451619396E-3"/>
    <n v="0"/>
    <n v="1.1608278900828296E-3"/>
    <n v="0"/>
    <n v="0.10004683508582581"/>
    <n v="0"/>
    <n v="0.31690601399261248"/>
    <n v="0"/>
  </r>
  <r>
    <x v="2"/>
    <x v="53"/>
    <x v="0"/>
    <s v="Open-field"/>
    <n v="1"/>
    <s v="GWP100 with fb AR6"/>
    <n v="1.5576267644675263"/>
    <n v="1.2844349521061766"/>
    <n v="3.0294859109132767E-4"/>
    <n v="0"/>
    <n v="9.6763349577592755E-4"/>
    <n v="0"/>
    <n v="9.0278680145215642E-3"/>
    <n v="0"/>
    <n v="0.26416394434682822"/>
    <n v="0"/>
  </r>
  <r>
    <x v="2"/>
    <x v="53"/>
    <x v="21"/>
    <s v="Open-field"/>
    <n v="0.32707280280000001"/>
    <s v="GWP100 with fb AR6"/>
    <n v="1.2544303838811091"/>
    <n v="1.0371565054019214"/>
    <n v="2.5920380772993091E-4"/>
    <n v="0"/>
    <n v="7.6758097072833595E-4"/>
    <n v="0"/>
    <n v="7.7242734703519408E-3"/>
    <n v="0"/>
    <n v="0.20954960500883571"/>
    <n v="0"/>
  </r>
  <r>
    <x v="2"/>
    <x v="53"/>
    <x v="16"/>
    <s v="Open-field"/>
    <n v="0.28777903040000002"/>
    <s v="GWP100 with fb AR6"/>
    <n v="1.414741561345652"/>
    <n v="1.0880236224279971"/>
    <n v="3.6392111143935998E-4"/>
    <n v="0"/>
    <n v="1.1570442849698239E-3"/>
    <n v="0"/>
    <n v="1.0844849120892928E-2"/>
    <n v="0"/>
    <n v="0.31587308979676193"/>
    <n v="0"/>
  </r>
  <r>
    <x v="2"/>
    <x v="53"/>
    <x v="34"/>
    <s v="Open-field"/>
    <n v="0.16764581510000001"/>
    <s v="GWP100 with fb AR6"/>
    <n v="1.2212540185665499"/>
    <n v="1.0316046707641149"/>
    <n v="2.264523784234094E-4"/>
    <n v="0"/>
    <n v="6.6996727811508179E-4"/>
    <n v="0"/>
    <n v="6.7482808770175998E-3"/>
    <n v="0"/>
    <n v="0.18290106692541733"/>
    <n v="0"/>
  </r>
  <r>
    <x v="2"/>
    <x v="53"/>
    <x v="11"/>
    <s v="Open-field"/>
    <n v="0.21750235169999999"/>
    <s v="GWP100 with fb AR6"/>
    <n v="1.3562517918688441"/>
    <n v="1.1131164980926878"/>
    <n v="2.0277104279870563E-4"/>
    <n v="0"/>
    <n v="8.6847148974635556E-4"/>
    <n v="0"/>
    <n v="6.0425770754014277E-3"/>
    <n v="0"/>
    <n v="0.23709271670075507"/>
    <n v="0"/>
  </r>
  <r>
    <x v="2"/>
    <x v="54"/>
    <x v="0"/>
    <s v="Open-field"/>
    <n v="1"/>
    <s v="GWP100 with fb AR6"/>
    <n v="2.4171217003754526"/>
    <n v="1.9314707114005318"/>
    <n v="5.2806124138109244E-4"/>
    <n v="0"/>
    <n v="1.7212995017647035E-3"/>
    <n v="0"/>
    <n v="1.5736224993156554E-2"/>
    <n v="0"/>
    <n v="0.46991476398176407"/>
    <n v="0"/>
  </r>
  <r>
    <x v="2"/>
    <x v="54"/>
    <x v="21"/>
    <s v="Open-field"/>
    <n v="0.32707280280000001"/>
    <s v="GWP100 with fb AR6"/>
    <n v="2.3233925312426256"/>
    <n v="1.9009155453108717"/>
    <n v="5.0400740391931011E-4"/>
    <n v="0"/>
    <n v="1.4925185541939865E-3"/>
    <n v="0"/>
    <n v="1.5019420636795441E-2"/>
    <n v="0"/>
    <n v="0.4074575652949583"/>
    <n v="0"/>
  </r>
  <r>
    <x v="2"/>
    <x v="54"/>
    <x v="16"/>
    <s v="Open-field"/>
    <n v="0.28777903040000002"/>
    <s v="GWP100 with fb AR6"/>
    <n v="2.6276358351556421"/>
    <n v="1.9923509539268687"/>
    <n v="7.0762438335431098E-4"/>
    <n v="0"/>
    <n v="2.2498083318857683E-3"/>
    <n v="0"/>
    <n v="2.1087206623958469E-2"/>
    <n v="0"/>
    <n v="0.61419767460481478"/>
    <n v="0"/>
  </r>
  <r>
    <x v="2"/>
    <x v="54"/>
    <x v="34"/>
    <s v="Open-field"/>
    <n v="0.16764581510000001"/>
    <s v="GWP100 with fb AR6"/>
    <n v="2.2514100575296099"/>
    <n v="1.8826474368026531"/>
    <n v="4.4032406915662939E-4"/>
    <n v="0"/>
    <n v="1.3027141518904368E-3"/>
    <n v="0"/>
    <n v="1.3121657260867557E-2"/>
    <n v="0"/>
    <n v="0.35564096346608925"/>
    <n v="0"/>
  </r>
  <r>
    <x v="2"/>
    <x v="54"/>
    <x v="11"/>
    <s v="Open-field"/>
    <n v="0.21750235169999999"/>
    <s v="GWP100 with fb AR6"/>
    <n v="2.4072623674214109"/>
    <n v="1.9344992961899954"/>
    <n v="3.9427702766414989E-4"/>
    <n v="0"/>
    <n v="1.6886945633956913E-3"/>
    <n v="0"/>
    <n v="1.1749455424391667E-2"/>
    <n v="0"/>
    <n v="0.46101361580702371"/>
    <n v="0"/>
  </r>
  <r>
    <x v="2"/>
    <x v="55"/>
    <x v="0"/>
    <s v="Open-field"/>
    <n v="1"/>
    <s v="GWP100 with fb AR6"/>
    <n v="0"/>
    <m/>
    <m/>
    <m/>
    <m/>
    <m/>
    <n v="0"/>
    <n v="0"/>
    <n v="0"/>
    <n v="0"/>
  </r>
  <r>
    <x v="2"/>
    <x v="55"/>
    <x v="26"/>
    <s v="Open-field"/>
    <n v="0.3295701577155068"/>
    <s v="GWP100 with fb AR6"/>
    <n v="0"/>
    <m/>
    <m/>
    <m/>
    <m/>
    <m/>
    <n v="0"/>
    <n v="0"/>
    <n v="0"/>
    <n v="0"/>
  </r>
  <r>
    <x v="2"/>
    <x v="55"/>
    <x v="11"/>
    <s v="Open-field"/>
    <n v="0.6704298422844932"/>
    <s v="GWP100 with fb AR6"/>
    <n v="0"/>
    <m/>
    <m/>
    <m/>
    <m/>
    <m/>
    <n v="0"/>
    <n v="0"/>
    <n v="0"/>
    <n v="0"/>
  </r>
  <r>
    <x v="2"/>
    <x v="56"/>
    <x v="0"/>
    <s v="Open-field"/>
    <n v="1"/>
    <s v="GWP100 with fb AR6"/>
    <n v="4.0450491176912227"/>
    <n v="3.8230830173482389"/>
    <n v="5.1717732002852024E-4"/>
    <n v="0"/>
    <n v="7.5660885057191843E-4"/>
    <n v="0"/>
    <n v="1.5411884136849904E-2"/>
    <n v="0"/>
    <n v="0.20655421620613373"/>
    <n v="0"/>
  </r>
  <r>
    <x v="2"/>
    <x v="56"/>
    <x v="35"/>
    <s v="Open-field"/>
    <n v="0.51376096997063825"/>
    <s v="GWP100 with fb AR6"/>
    <n v="5.2977986065588212"/>
    <n v="4.9997245836972732"/>
    <n v="7.0257529767786563E-4"/>
    <n v="0"/>
    <n v="1.0151548680979758E-3"/>
    <n v="0"/>
    <n v="2.0936743870800398E-2"/>
    <n v="0"/>
    <n v="0.27713727899074736"/>
    <n v="0"/>
  </r>
  <r>
    <x v="2"/>
    <x v="56"/>
    <x v="15"/>
    <s v="Open-field"/>
    <n v="0.10199698240000001"/>
    <s v="GWP100 with fb AR6"/>
    <n v="5.2587767036562267"/>
    <n v="4.9756876899075984"/>
    <n v="6.5359143135904497E-4"/>
    <n v="0"/>
    <n v="9.6561168166347275E-4"/>
    <n v="0"/>
    <n v="1.947702465449954E-2"/>
    <n v="0"/>
    <n v="0.26361198909412809"/>
    <n v="0"/>
  </r>
  <r>
    <x v="2"/>
    <x v="56"/>
    <x v="11"/>
    <s v="Open-field"/>
    <n v="0.38424204762936176"/>
    <s v="GWP100 with fb AR6"/>
    <n v="4.7655088642042545"/>
    <n v="4.5089733084275707"/>
    <n v="5.9228522814896219E-4"/>
    <n v="0"/>
    <n v="8.7503830028514383E-4"/>
    <n v="0"/>
    <n v="1.7650099798839074E-2"/>
    <n v="0"/>
    <n v="0.23888545597784427"/>
    <n v="0"/>
  </r>
  <r>
    <x v="2"/>
    <x v="57"/>
    <x v="0"/>
    <s v="Open-field"/>
    <n v="1"/>
    <s v="GWP100 with fb AR6"/>
    <n v="0.95148258077011039"/>
    <n v="0.76864503936697948"/>
    <n v="1.0322714414914382E-3"/>
    <n v="0"/>
    <n v="5.5705440456661585E-4"/>
    <n v="0"/>
    <n v="3.076168895644486E-2"/>
    <n v="0"/>
    <n v="0.15207585244668612"/>
    <n v="0"/>
  </r>
  <r>
    <x v="2"/>
    <x v="57"/>
    <x v="36"/>
    <s v="Open-field"/>
    <n v="0.45497399219765922"/>
    <s v="GWP100 with fb AR6"/>
    <n v="1.0409053489522806"/>
    <n v="0.83254565007850079"/>
    <n v="1.2285105755554559E-3"/>
    <n v="0"/>
    <n v="6.2912118579570408E-4"/>
    <n v="0"/>
    <n v="3.6609615151552588E-2"/>
    <n v="0"/>
    <n v="0.17175008372222722"/>
    <n v="0"/>
  </r>
  <r>
    <x v="2"/>
    <x v="57"/>
    <x v="15"/>
    <s v="Open-field"/>
    <n v="0.10955786739999999"/>
    <s v="GWP100 with fb AR6"/>
    <n v="0.84827395579283282"/>
    <n v="0.69169194988249427"/>
    <n v="6.7339359404319874E-4"/>
    <n v="0"/>
    <n v="5.0005449380165288E-4"/>
    <n v="0"/>
    <n v="2.0067129102487324E-2"/>
    <n v="0"/>
    <n v="0.13651487680785124"/>
    <n v="0"/>
  </r>
  <r>
    <x v="2"/>
    <x v="57"/>
    <x v="11"/>
    <s v="Open-field"/>
    <n v="0.43546814040234083"/>
    <s v="GWP100 with fb AR6"/>
    <n v="0.88402020118875213"/>
    <n v="0.72124249100498927"/>
    <n v="9.1753099094821038E-4"/>
    <n v="0"/>
    <n v="4.9609995111174433E-4"/>
    <n v="0"/>
    <n v="2.734242353025667E-2"/>
    <n v="0"/>
    <n v="0.13543528665350621"/>
    <n v="0"/>
  </r>
  <r>
    <x v="2"/>
    <x v="58"/>
    <x v="0"/>
    <s v="Open-field"/>
    <n v="1"/>
    <s v="GWP100 with fb AR6"/>
    <n v="3.0800325755615625"/>
    <n v="2.5076473581905017"/>
    <n v="3.943172877949935E-3"/>
    <n v="0"/>
    <n v="1.6662222183448823E-3"/>
    <n v="0"/>
    <n v="0.11750655176290807"/>
    <n v="0"/>
    <n v="0.45487866560815288"/>
    <n v="0"/>
  </r>
  <r>
    <x v="2"/>
    <x v="58"/>
    <x v="15"/>
    <s v="Open-field"/>
    <n v="0.31"/>
    <s v="GWP100 with fb AR6"/>
    <n v="3.2242350790533552"/>
    <n v="2.6372239587201065"/>
    <n v="4.1403234913362889E-3"/>
    <n v="0"/>
    <n v="1.6982764845839822E-3"/>
    <n v="0"/>
    <n v="0.12338164004182141"/>
    <n v="0"/>
    <n v="0.46362948029142714"/>
    <n v="0"/>
  </r>
  <r>
    <x v="2"/>
    <x v="58"/>
    <x v="36"/>
    <s v="Open-field"/>
    <n v="0.23"/>
    <s v="GWP100 with fb AR6"/>
    <n v="3.2021275329314638"/>
    <n v="2.5685852178454507"/>
    <n v="4.0598630711761886E-3"/>
    <n v="0"/>
    <n v="1.8775032804577397E-3"/>
    <n v="0"/>
    <n v="0.12098391952105042"/>
    <n v="0"/>
    <n v="0.51255839556496297"/>
    <n v="0"/>
  </r>
  <r>
    <x v="2"/>
    <x v="58"/>
    <x v="19"/>
    <s v="Open-field"/>
    <n v="0.18"/>
    <s v="GWP100 with fb AR6"/>
    <n v="2.921805148871274"/>
    <n v="2.3898550671365548"/>
    <n v="3.751965411446003E-3"/>
    <n v="0"/>
    <n v="1.5389798991707992E-3"/>
    <n v="0"/>
    <n v="0.1118085692610909"/>
    <n v="0"/>
    <n v="0.42014151247362819"/>
    <n v="0"/>
  </r>
  <r>
    <x v="2"/>
    <x v="58"/>
    <x v="11"/>
    <s v="Open-field"/>
    <n v="0.28000000000000003"/>
    <s v="GWP100 with fb AR6"/>
    <n v="2.921805148871274"/>
    <n v="2.3898550671365548"/>
    <n v="3.751965411446003E-3"/>
    <n v="0"/>
    <n v="1.5389798991707992E-3"/>
    <n v="0"/>
    <n v="0.1118085692610909"/>
    <n v="0"/>
    <n v="0.42014151247362819"/>
    <n v="0"/>
  </r>
  <r>
    <x v="2"/>
    <x v="59"/>
    <x v="0"/>
    <s v="Open-field"/>
    <n v="1"/>
    <s v="GWP100 with fb AR6"/>
    <n v="1.0753451635950857"/>
    <n v="0.88902936546088385"/>
    <n v="8.2082983535771445E-4"/>
    <n v="0"/>
    <n v="5.9287571077121562E-4"/>
    <n v="0"/>
    <n v="2.4460729093659893E-2"/>
    <n v="0"/>
    <n v="0.16185506904054187"/>
    <n v="0"/>
  </r>
  <r>
    <x v="2"/>
    <x v="59"/>
    <x v="3"/>
    <s v="Open-field"/>
    <n v="0.29812767680000002"/>
    <s v="GWP100 with fb AR6"/>
    <n v="0.86206560545800159"/>
    <n v="0.67516278617312531"/>
    <n v="8.2341600614561851E-4"/>
    <n v="0"/>
    <n v="5.9474367143493359E-4"/>
    <n v="0"/>
    <n v="2.4537796983139432E-2"/>
    <n v="0"/>
    <n v="0.16236502230173688"/>
    <n v="0"/>
  </r>
  <r>
    <x v="2"/>
    <x v="59"/>
    <x v="37"/>
    <s v="Open-field"/>
    <n v="0.18017193170000001"/>
    <s v="GWP100 with fb AR6"/>
    <n v="1.3605899733291031"/>
    <n v="1.1736871540442269"/>
    <n v="8.2341600614561851E-4"/>
    <n v="0"/>
    <n v="5.9474367143493359E-4"/>
    <n v="0"/>
    <n v="2.4537796983139432E-2"/>
    <n v="0"/>
    <n v="0.16236502230173688"/>
    <n v="0"/>
  </r>
  <r>
    <x v="2"/>
    <x v="59"/>
    <x v="38"/>
    <s v="Open-field"/>
    <n v="0.16120290770000001"/>
    <s v="GWP100 with fb AR6"/>
    <n v="0.80271746642572761"/>
    <n v="0.61581464714085132"/>
    <n v="8.2341600614561851E-4"/>
    <n v="0"/>
    <n v="5.9474367143493359E-4"/>
    <n v="0"/>
    <n v="2.4537796983139432E-2"/>
    <n v="0"/>
    <n v="0.16236502230173688"/>
    <n v="0"/>
  </r>
  <r>
    <x v="2"/>
    <x v="59"/>
    <x v="11"/>
    <s v="Open-field"/>
    <n v="0.36049748379999991"/>
    <s v="GWP100 with fb AR6"/>
    <n v="1.2310738741276781"/>
    <n v="1.0457994189148245"/>
    <n v="8.1624211200177256E-4"/>
    <n v="0"/>
    <n v="5.8956205229011231E-4"/>
    <n v="0"/>
    <n v="2.4324014937652821E-2"/>
    <n v="0"/>
    <n v="0.16095044027520067"/>
    <n v="0"/>
  </r>
  <r>
    <x v="2"/>
    <x v="60"/>
    <x v="0"/>
    <s v="Open-field"/>
    <n v="1"/>
    <s v="GWP100 with fb AR6"/>
    <n v="10.064911246229014"/>
    <n v="6.6439489992183844"/>
    <n v="1.5071335367686281E-2"/>
    <n v="0"/>
    <n v="1.0885847813383073E-2"/>
    <n v="0"/>
    <n v="0.44912579395705116"/>
    <n v="0"/>
    <n v="2.9718364530535788"/>
    <n v="0"/>
  </r>
  <r>
    <x v="2"/>
    <x v="60"/>
    <x v="5"/>
    <s v="Open-field"/>
    <n v="0.62041107282879882"/>
    <s v="GWP100 with fb AR6"/>
    <n v="9.8702448304773647"/>
    <n v="6.4879243718954571"/>
    <n v="1.4901095736095674E-2"/>
    <n v="0"/>
    <n v="1.076288573496797E-2"/>
    <n v="0"/>
    <n v="0.4440526529356511"/>
    <n v="0"/>
    <n v="2.9382678056462557"/>
    <n v="0"/>
  </r>
  <r>
    <x v="2"/>
    <x v="60"/>
    <x v="26"/>
    <s v="Open-field"/>
    <n v="0.16288463823214921"/>
    <s v="GWP100 with fb AR6"/>
    <n v="9.8917249157533025"/>
    <n v="6.5094044571713958"/>
    <n v="1.4901095736095674E-2"/>
    <n v="0"/>
    <n v="1.076288573496797E-2"/>
    <n v="0"/>
    <n v="0.4440526529356511"/>
    <n v="0"/>
    <n v="2.9382678056462557"/>
    <n v="0"/>
  </r>
  <r>
    <x v="2"/>
    <x v="60"/>
    <x v="11"/>
    <s v="Open-field"/>
    <n v="0.21670428893905203"/>
    <s v="GWP100 with fb AR6"/>
    <n v="10.752403835120084"/>
    <n v="7.1917676236847994"/>
    <n v="1.5686680702706492E-2"/>
    <n v="0"/>
    <n v="1.1330304492654326E-2"/>
    <n v="0"/>
    <n v="0.46746308494065347"/>
    <n v="0"/>
    <n v="3.0931731264946309"/>
    <n v="0"/>
  </r>
  <r>
    <x v="2"/>
    <x v="61"/>
    <x v="0"/>
    <s v="Open-field"/>
    <n v="1"/>
    <s v="GWP100 with fb AR6"/>
    <n v="3.8375326620143055"/>
    <n v="2.6308695456449085"/>
    <n v="8.6757703307786121E-3"/>
    <n v="0"/>
    <n v="3.4729859359421038E-3"/>
    <n v="0"/>
    <n v="0.25853795585720263"/>
    <n v="0"/>
    <n v="0.94812516051219431"/>
    <n v="0"/>
  </r>
  <r>
    <x v="2"/>
    <x v="61"/>
    <x v="21"/>
    <s v="Open-field"/>
    <n v="0.42976093768132761"/>
    <s v="GWP100 with fb AR6"/>
    <n v="3.512933396339228"/>
    <n v="2.3914827877284619"/>
    <n v="6.669581035803296E-3"/>
    <n v="0"/>
    <n v="3.3798428342264749E-3"/>
    <n v="0"/>
    <n v="0.19875351486693824"/>
    <n v="0"/>
    <n v="0.92269709374382769"/>
    <n v="0"/>
  </r>
  <r>
    <x v="2"/>
    <x v="61"/>
    <x v="11"/>
    <s v="Open-field"/>
    <n v="0.57023906231867239"/>
    <s v="GWP100 with fb AR6"/>
    <n v="4.0821670513526378"/>
    <n v="2.8112834884083941"/>
    <n v="1.018773583708588E-2"/>
    <n v="0"/>
    <n v="3.5431832783849237E-3"/>
    <n v="0"/>
    <n v="0.30359452794515923"/>
    <n v="0"/>
    <n v="0.96728903499908414"/>
    <n v="0"/>
  </r>
  <r>
    <x v="2"/>
    <x v="62"/>
    <x v="0"/>
    <s v="Open-field"/>
    <n v="1"/>
    <s v="GWP100 with fb AR6"/>
    <n v="1.7740806708972041"/>
    <n v="1.3260073599124185"/>
    <n v="7.7518479139634911E-4"/>
    <n v="0"/>
    <n v="1.5566769384658405E-3"/>
    <n v="0"/>
    <n v="2.3100506783611204E-2"/>
    <n v="0"/>
    <n v="0.42497280420117445"/>
    <n v="0"/>
  </r>
  <r>
    <x v="2"/>
    <x v="62"/>
    <x v="21"/>
    <s v="Open-field"/>
    <n v="0.11023176936122103"/>
    <s v="GWP100 with fb AR6"/>
    <n v="1.5841810370332825"/>
    <n v="1.1600177730851697"/>
    <n v="7.3381945146198827E-4"/>
    <n v="0"/>
    <n v="1.4736096860606062E-3"/>
    <n v="0"/>
    <n v="2.1867819653567253E-2"/>
    <n v="0"/>
    <n v="0.4022954442945455"/>
    <n v="0"/>
  </r>
  <r>
    <x v="2"/>
    <x v="62"/>
    <x v="11"/>
    <s v="Open-field"/>
    <n v="0.88976823063877897"/>
    <s v="GWP100 with fb AR6"/>
    <n v="1.7976069914839035"/>
    <n v="1.3465715082169378"/>
    <n v="7.8030946819889065E-4"/>
    <n v="0"/>
    <n v="1.566967989430911E-3"/>
    <n v="0"/>
    <n v="2.3253222152326943E-2"/>
    <n v="0"/>
    <n v="0.42778226111463868"/>
    <n v="0"/>
  </r>
  <r>
    <x v="3"/>
    <x v="63"/>
    <x v="0"/>
    <s v="Conventional indoor"/>
    <n v="1"/>
    <s v="GWP100 with fb AR6"/>
    <n v="6.2146501818759905"/>
    <n v="3.7260347059419328"/>
    <n v="6.7828169907251698E-4"/>
    <n v="3.2666308489011683E-2"/>
    <n v="9.0417680633761779E-3"/>
    <n v="0"/>
    <n v="2.0212794632361007E-2"/>
    <n v="0.88852359090111777"/>
    <n v="2.4684026813016966"/>
    <n v="0"/>
  </r>
  <r>
    <x v="3"/>
    <x v="63"/>
    <x v="1"/>
    <s v="Conventional indoor"/>
    <n v="0.69686847599164914"/>
    <s v="GWP100 with fb AR6"/>
    <n v="5.7665267690515964"/>
    <n v="3.36595649613496"/>
    <n v="6.6942575158289083E-4"/>
    <n v="2.8168008437942139E-2"/>
    <n v="8.7202248553826609E-3"/>
    <n v="0"/>
    <n v="1.9948887397170146E-2"/>
    <n v="0.76616982951202617"/>
    <n v="2.3806213855194662"/>
    <n v="0"/>
  </r>
  <r>
    <x v="3"/>
    <x v="63"/>
    <x v="31"/>
    <s v="Conventional indoor"/>
    <n v="9.6615662056578289E-2"/>
    <s v="GWP100 with fb AR6"/>
    <n v="6.0960306479245787"/>
    <n v="3.5404445562346654"/>
    <n v="6.9359318913223922E-4"/>
    <n v="3.1952459882351604E-2"/>
    <n v="9.2854103100870802E-3"/>
    <n v="0"/>
    <n v="2.066907703614073E-2"/>
    <n v="0.86910690879996355"/>
    <n v="2.5349170146537729"/>
    <n v="0"/>
  </r>
  <r>
    <x v="3"/>
    <x v="63"/>
    <x v="39"/>
    <s v="Conventional indoor"/>
    <n v="0.12471332462161271"/>
    <s v="GWP100 with fb AR6"/>
    <n v="7.8698601887323854"/>
    <n v="5.0163291832686987"/>
    <n v="7.0799646036228835E-4"/>
    <n v="5.4681023303571455E-2"/>
    <n v="1.0375211395402529E-2"/>
    <n v="0"/>
    <n v="2.1098294518796194E-2"/>
    <n v="1.4873238338571435"/>
    <n v="2.8324327109448904"/>
    <n v="0"/>
  </r>
  <r>
    <x v="3"/>
    <x v="63"/>
    <x v="4"/>
    <s v="Conventional indoor"/>
    <n v="8.1802537330159963E-2"/>
    <s v="GWP100 with fb AR6"/>
    <n v="7.6487969147719195"/>
    <n v="5.0455677914151735"/>
    <n v="6.9033846702580613E-4"/>
    <n v="3.8267163874621736E-2"/>
    <n v="9.4602821869574239E-3"/>
    <n v="0"/>
    <n v="2.0572086317369023E-2"/>
    <n v="1.0408668573897113"/>
    <n v="2.5826570370393767"/>
    <n v="0"/>
  </r>
  <r>
    <x v="3"/>
    <x v="64"/>
    <x v="0"/>
    <s v="Conventional indoor"/>
    <n v="1"/>
    <s v="GWP100 with fb AR6"/>
    <n v="3.5594704380081867"/>
    <n v="2.2903343147126658"/>
    <n v="7.2006546597042369E-4"/>
    <n v="2.1106331150715649E-3"/>
    <n v="4.5702497157860886E-3"/>
    <n v="0"/>
    <n v="2.1457950885918627E-2"/>
    <n v="5.7409220729946565E-2"/>
    <n v="1.2476781724096022"/>
    <n v="0"/>
  </r>
  <r>
    <x v="3"/>
    <x v="64"/>
    <x v="1"/>
    <s v="Conventional indoor"/>
    <n v="0.70601336302895323"/>
    <s v="GWP100 with fb AR6"/>
    <n v="3.4025236394022151"/>
    <n v="2.1601233749874695"/>
    <n v="7.1609794335328856E-4"/>
    <n v="1.9497767104314392E-3"/>
    <n v="4.4727492516586729E-3"/>
    <n v="0"/>
    <n v="2.1339718711928E-2"/>
    <n v="5.3033926523735148E-2"/>
    <n v="1.2210605457028176"/>
    <n v="0"/>
  </r>
  <r>
    <x v="3"/>
    <x v="64"/>
    <x v="31"/>
    <s v="Conventional indoor"/>
    <n v="0.19213092759423567"/>
    <s v="GWP100 with fb AR6"/>
    <n v="3.7145661338768385"/>
    <n v="2.3620547887530714"/>
    <n v="7.3279634321574518E-4"/>
    <n v="2.6060506805198167E-3"/>
    <n v="4.8742637878972086E-3"/>
    <n v="0"/>
    <n v="2.1837331027829206E-2"/>
    <n v="7.0884578510139018E-2"/>
    <n v="1.3306740140959379"/>
    <n v="0"/>
  </r>
  <r>
    <x v="3"/>
    <x v="64"/>
    <x v="4"/>
    <s v="Conventional indoor"/>
    <n v="0.1018557093768111"/>
    <s v="GWP100 with fb AR6"/>
    <n v="4.3547901867286694"/>
    <n v="3.0576054154866861"/>
    <n v="7.2355205237542575E-4"/>
    <n v="2.2911014945186901E-3"/>
    <n v="4.6726114288688494E-3"/>
    <n v="0"/>
    <n v="2.1561851160787689E-2"/>
    <n v="6.2317960650908368E-2"/>
    <n v="1.2756229200811959"/>
    <n v="0"/>
  </r>
  <r>
    <x v="3"/>
    <x v="65"/>
    <x v="0"/>
    <s v="Conventional indoor"/>
    <n v="1"/>
    <s v="GWP100 with fb AR6"/>
    <n v="2.2562481717405531"/>
    <n v="1.3599514938952095"/>
    <n v="6.8980642377353422E-4"/>
    <n v="2.2476812293718861E-3"/>
    <n v="3.2078404630655399E-3"/>
    <n v="0"/>
    <n v="2.0556231428451321E-2"/>
    <n v="6.11369294389153E-2"/>
    <n v="0.87574044641689242"/>
    <n v="0"/>
  </r>
  <r>
    <x v="3"/>
    <x v="65"/>
    <x v="1"/>
    <s v="Conventional indoor"/>
    <n v="0.93860561914672225"/>
    <s v="GWP100 with fb AR6"/>
    <n v="2.2310010669486444"/>
    <n v="1.3347043891033006"/>
    <n v="6.8980642377353422E-4"/>
    <n v="2.2476812293718861E-3"/>
    <n v="3.2078404630655399E-3"/>
    <n v="0"/>
    <n v="2.0556231428451321E-2"/>
    <n v="6.11369294389153E-2"/>
    <n v="0.87574044641689242"/>
    <n v="0"/>
  </r>
  <r>
    <x v="3"/>
    <x v="65"/>
    <x v="4"/>
    <s v="Conventional indoor"/>
    <n v="6.1394380853277752E-2"/>
    <s v="GWP100 with fb AR6"/>
    <n v="2.6422293331355"/>
    <n v="1.7459326552901562"/>
    <n v="6.8980642377353422E-4"/>
    <n v="2.2476812293718861E-3"/>
    <n v="3.2078404630655399E-3"/>
    <n v="0"/>
    <n v="2.0556231428451321E-2"/>
    <n v="6.11369294389153E-2"/>
    <n v="0.87574044641689242"/>
    <n v="0"/>
  </r>
  <r>
    <x v="3"/>
    <x v="66"/>
    <x v="0"/>
    <s v="/"/>
    <n v="1.0002036693952803"/>
    <s v="GWP100 with fb AR6"/>
    <n v="18.69799081272026"/>
    <n v="4.9667434358660607"/>
    <n v="0.2312639118485203"/>
    <n v="0.81969525082213945"/>
    <n v="2.5053416863620129E-2"/>
    <n v="0"/>
    <n v="6.8916645730859054"/>
    <n v="22.295710822362192"/>
    <n v="6.8395828037682955"/>
    <n v="0"/>
  </r>
  <r>
    <x v="3"/>
    <x v="66"/>
    <x v="1"/>
    <s v="Average"/>
    <n v="0.54399524379999997"/>
    <s v="GWP100 with fb AR6"/>
    <n v="22.692902746670832"/>
    <n v="3.3481783746205918"/>
    <n v="0.42319489677279881"/>
    <n v="0.95932044825222662"/>
    <n v="2.4664895414728334E-2"/>
    <n v="0"/>
    <n v="12.611207923829404"/>
    <n v="26.093516192460562"/>
    <n v="6.7335164482208354"/>
    <n v="0"/>
  </r>
  <r>
    <x v="3"/>
    <x v="66"/>
    <x v="40"/>
    <s v="Dairy cows"/>
    <n v="1.2039538514853818E-2"/>
    <s v="GWP100 with fb AR6"/>
    <n v="6.6605343036527795"/>
    <n v="2.2966747028319037"/>
    <n v="1.4517596535837478E-3"/>
    <n v="0.35912462092846598"/>
    <n v="1.5826363234959999E-2"/>
    <n v="0"/>
    <n v="4.326243767679569E-2"/>
    <n v="9.7681896892542746"/>
    <n v="4.3205971631440798"/>
    <n v="0"/>
  </r>
  <r>
    <x v="3"/>
    <x v="66"/>
    <x v="40"/>
    <s v="Suckler cows and offsprings"/>
    <n v="0.10770389635713061"/>
    <s v="GWP100 with fb AR6"/>
    <n v="16.727686037753813"/>
    <n v="6.4419541136800662"/>
    <n v="2.9070090032780418E-3"/>
    <n v="0.75183652634876241"/>
    <n v="3.735935185265956E-2"/>
    <n v="0"/>
    <n v="8.6628868297685652E-2"/>
    <n v="20.449953516686335"/>
    <n v="10.19910305577606"/>
    <n v="0"/>
  </r>
  <r>
    <x v="3"/>
    <x v="66"/>
    <x v="41"/>
    <s v="Dairy cows"/>
    <n v="4.7430552938419038E-2"/>
    <s v="GWP100 with fb AR6"/>
    <n v="8.3567693896559145"/>
    <n v="4.4373193811319736"/>
    <n v="3.0125333816554832E-3"/>
    <n v="0.2668728732865589"/>
    <n v="1.4028119097987572E-2"/>
    <n v="0"/>
    <n v="8.9773494773333407E-2"/>
    <n v="7.2589421533944014"/>
    <n v="3.829676513750607"/>
    <n v="0"/>
  </r>
  <r>
    <x v="3"/>
    <x v="66"/>
    <x v="41"/>
    <s v="Heifers"/>
    <n v="1.8085782243082504E-2"/>
    <s v="GWP100 with fb AR6"/>
    <n v="14.00928784984993"/>
    <n v="7.7667874035742885"/>
    <n v="1.8028330515102852E-3"/>
    <n v="0.69088068403910818"/>
    <n v="2.2669509235679983E-2"/>
    <n v="0"/>
    <n v="5.3724424935006503E-2"/>
    <n v="18.791954605863744"/>
    <n v="6.1887760213406358"/>
    <n v="0"/>
  </r>
  <r>
    <x v="3"/>
    <x v="66"/>
    <x v="41"/>
    <s v="Bulls"/>
    <n v="6.793938459758643E-2"/>
    <s v="GWP100 with fb AR6"/>
    <n v="15.660393499160733"/>
    <n v="10.188128383458588"/>
    <n v="1.6918308250093226E-3"/>
    <n v="0.38471080150810155"/>
    <n v="1.9860251124970214E-2"/>
    <n v="0"/>
    <n v="5.0416558585277819E-2"/>
    <n v="10.464133801020362"/>
    <n v="5.421848557116868"/>
    <n v="0"/>
  </r>
  <r>
    <x v="3"/>
    <x v="66"/>
    <x v="41"/>
    <s v="Calves"/>
    <n v="5.8273087194233263E-3"/>
    <s v="GWP100 with fb AR6"/>
    <n v="14.969283652119465"/>
    <n v="10.739731585949345"/>
    <n v="4.7321821494403496E-3"/>
    <n v="0.40855032371059014"/>
    <n v="1.4976311494933317E-2"/>
    <n v="0"/>
    <n v="0.14101902805332242"/>
    <n v="11.112568804928051"/>
    <n v="4.0885330381167959"/>
    <n v="0"/>
  </r>
  <r>
    <x v="3"/>
    <x v="66"/>
    <x v="4"/>
    <s v="Beef from dairy production"/>
    <n v="0.15531116733070377"/>
    <s v="GWP100 with fb AR6"/>
    <n v="13.61446887807271"/>
    <n v="7.5619193430811977"/>
    <n v="1.7151330749377856E-3"/>
    <n v="0.768911557601339"/>
    <n v="2.1983291462851162E-2"/>
    <n v="0"/>
    <n v="5.1110965633146009E-2"/>
    <n v="20.914394366756419"/>
    <n v="6.0014385693583669"/>
    <n v="0"/>
  </r>
  <r>
    <x v="3"/>
    <x v="66"/>
    <x v="11"/>
    <s v="Suckler cows and offsprings"/>
    <n v="4.1870794894080854E-2"/>
    <s v="GWP100 with fb AR6"/>
    <n v="13.277288355658587"/>
    <n v="3.4327865343895909"/>
    <n v="3.1749378042774646E-3"/>
    <n v="0.94191454145756481"/>
    <n v="3.571387792930962E-2"/>
    <n v="0"/>
    <n v="9.4613146567468442E-2"/>
    <n v="25.620075527645763"/>
    <n v="9.749888674701527"/>
    <n v="0"/>
  </r>
  <r>
    <x v="4"/>
    <x v="67"/>
    <x v="1"/>
    <s v="/"/>
    <n v="1"/>
    <s v="GWP100 with fb AR6"/>
    <n v="0.60534139348912497"/>
    <n v="0.31970546028356261"/>
    <n v="2.1756364933639384E-4"/>
    <n v="2.1395104386003231E-2"/>
    <n v="1.0225367635726659E-3"/>
    <n v="0"/>
    <n v="6.4833967502245368E-3"/>
    <n v="0.58194683929928792"/>
    <n v="0.27915253645533777"/>
    <n v="0"/>
  </r>
  <r>
    <x v="4"/>
    <x v="68"/>
    <x v="0"/>
    <s v="/"/>
    <n v="1"/>
    <s v="GWP100 with fb AR6"/>
    <n v="5.1928723528525165"/>
    <n v="2.3818856034324125"/>
    <n v="2.1467841133308531E-3"/>
    <n v="0.21052782715827184"/>
    <n v="1.0062317153270495E-2"/>
    <n v="0"/>
    <n v="6.397416657725942E-2"/>
    <n v="5.726356898704994"/>
    <n v="2.7470125828428449"/>
    <n v="0"/>
  </r>
  <r>
    <x v="4"/>
    <x v="68"/>
    <x v="1"/>
    <s v="/"/>
    <n v="0.83900928789999996"/>
    <s v="GWP100 with fb AR6"/>
    <n v="4.9808345546450337"/>
    <n v="2.170176971902301"/>
    <n v="2.1408263094701151E-3"/>
    <n v="0.21052782715827181"/>
    <n v="1.0061761753555032E-2"/>
    <n v="0"/>
    <n v="6.3796624022209425E-2"/>
    <n v="5.7263568987049931"/>
    <n v="2.7468609587205237"/>
    <n v="0"/>
  </r>
  <r>
    <x v="4"/>
    <x v="68"/>
    <x v="31"/>
    <s v="/"/>
    <n v="0"/>
    <s v="GWP100 with fb AR6"/>
    <n v="5.0319517359782253"/>
    <n v="2.2212941532354926"/>
    <n v="2.1408263094701151E-3"/>
    <n v="0.21052782715827181"/>
    <n v="1.0061761753555032E-2"/>
    <n v="0"/>
    <n v="6.3796624022209425E-2"/>
    <n v="5.7263568987049931"/>
    <n v="2.7468609587205237"/>
    <n v="0"/>
  </r>
  <r>
    <x v="4"/>
    <x v="68"/>
    <x v="4"/>
    <s v="/"/>
    <n v="0.16099071210000004"/>
    <s v="GWP100 with fb AR6"/>
    <n v="6.2979154933005166"/>
    <n v="3.4852132790813619"/>
    <n v="2.177833437291484E-3"/>
    <n v="0.21052782715827181"/>
    <n v="1.0065211640248602E-2"/>
    <n v="0"/>
    <n v="6.489943643128622E-2"/>
    <n v="5.7263568987049931"/>
    <n v="2.7478027777878684"/>
    <n v="0"/>
  </r>
  <r>
    <x v="4"/>
    <x v="69"/>
    <x v="0"/>
    <s v="/"/>
    <n v="1"/>
    <s v="GWP100 with fb AR6"/>
    <n v="0.78441657967312195"/>
    <n v="0.49873243970917247"/>
    <n v="2.1843617511429602E-4"/>
    <n v="2.1395104386003231E-2"/>
    <n v="1.0226181023646282E-3"/>
    <n v="0"/>
    <n v="6.5093980184060219E-3"/>
    <n v="0.58194683929928792"/>
    <n v="0.27917474194554348"/>
    <n v="0"/>
  </r>
  <r>
    <x v="4"/>
    <x v="69"/>
    <x v="1"/>
    <s v="/"/>
    <n v="0.76800000000000002"/>
    <s v="GWP100 with fb AR6"/>
    <n v="0.67690544735559266"/>
    <n v="0.39126951415003036"/>
    <n v="2.1756364933639384E-4"/>
    <n v="2.1395104386003231E-2"/>
    <n v="1.0225367635726659E-3"/>
    <n v="0"/>
    <n v="6.4833967502245368E-3"/>
    <n v="0.58194683929928792"/>
    <n v="0.27915253645533777"/>
    <n v="0"/>
  </r>
  <r>
    <x v="4"/>
    <x v="69"/>
    <x v="4"/>
    <s v="/"/>
    <n v="0.23199999999999998"/>
    <s v="GWP100 with fb AR6"/>
    <n v="1.1403155004483914"/>
    <n v="0.85447177949116015"/>
    <n v="2.2132453631011016E-4"/>
    <n v="2.1395104386003231E-2"/>
    <n v="1.0228873618138823E-3"/>
    <n v="0"/>
    <n v="6.5954711820412825E-3"/>
    <n v="0.58194683929928792"/>
    <n v="0.27924824977518986"/>
    <n v="0"/>
  </r>
  <r>
    <x v="4"/>
    <x v="70"/>
    <x v="0"/>
    <s v="/"/>
    <n v="1"/>
    <s v="GWP100 with fb AR6"/>
    <n v="2.6335681230112238"/>
    <n v="1.205281278608977"/>
    <n v="1.0897581384659706E-3"/>
    <n v="0.10697552193001617"/>
    <n v="5.112864658886304E-3"/>
    <n v="0"/>
    <n v="3.2474792526285927E-2"/>
    <n v="2.9097341964964398"/>
    <n v="1.3958120518759609"/>
    <n v="0"/>
  </r>
  <r>
    <x v="4"/>
    <x v="70"/>
    <x v="1"/>
    <s v="/"/>
    <n v="0.89683860230000001"/>
    <s v="GWP100 with fb AR6"/>
    <n v="2.5564288991802648"/>
    <n v="1.1282492331524534"/>
    <n v="1.0878182466819691E-3"/>
    <n v="0.10697552193001617"/>
    <n v="5.112683817863329E-3"/>
    <n v="0"/>
    <n v="3.2416983751122681E-2"/>
    <n v="2.9097341964964398"/>
    <n v="1.3957626822766889"/>
    <n v="0"/>
  </r>
  <r>
    <x v="4"/>
    <x v="70"/>
    <x v="4"/>
    <s v="/"/>
    <n v="0.10316139769999999"/>
    <s v="GWP100 with fb AR6"/>
    <n v="3.3041816977152854"/>
    <n v="1.8749630929291297"/>
    <n v="1.1066226815505508E-3"/>
    <n v="0.10697552193001617"/>
    <n v="5.1144368090694113E-3"/>
    <n v="0"/>
    <n v="3.2977355910206417E-2"/>
    <n v="2.9097341964964398"/>
    <n v="1.3962412488759492"/>
    <n v="0"/>
  </r>
  <r>
    <x v="4"/>
    <x v="71"/>
    <x v="0"/>
    <s v="/"/>
    <n v="1"/>
    <s v="GWP100 with fb AR6"/>
    <n v="5.5188309087882841"/>
    <n v="2.8332124854600531"/>
    <n v="2.0566938704794637E-3"/>
    <n v="0.20111398122843038"/>
    <n v="9.6129265420803762E-3"/>
    <n v="0"/>
    <n v="6.1289477340288022E-2"/>
    <n v="5.4703002894133066"/>
    <n v="2.6243289459879429"/>
    <n v="0"/>
  </r>
  <r>
    <x v="4"/>
    <x v="71"/>
    <x v="1"/>
    <s v="/"/>
    <n v="0.51200000000000012"/>
    <s v="GWP100 with fb AR6"/>
    <n v="5.0031941816796834"/>
    <n v="2.3182164095473978"/>
    <n v="2.0450983037621018E-3"/>
    <n v="0.20111398122843038"/>
    <n v="9.6118455775830586E-3"/>
    <n v="0"/>
    <n v="6.0943929452110635E-2"/>
    <n v="5.4703002894133066"/>
    <n v="2.6240338426801748"/>
    <n v="0"/>
  </r>
  <r>
    <x v="4"/>
    <x v="71"/>
    <x v="31"/>
    <s v="/"/>
    <n v="0.16"/>
    <s v="GWP100 with fb AR6"/>
    <n v="5.0543113630128751"/>
    <n v="2.3693335908805895"/>
    <n v="2.0450983037621018E-3"/>
    <n v="0.20111398122843038"/>
    <n v="9.6118455775830586E-3"/>
    <n v="0"/>
    <n v="6.0943929452110635E-2"/>
    <n v="5.4703002894133066"/>
    <n v="2.6240338426801748"/>
    <n v="0"/>
  </r>
  <r>
    <x v="4"/>
    <x v="71"/>
    <x v="6"/>
    <s v="/"/>
    <n v="0.11"/>
    <s v="GWP100 with fb AR6"/>
    <n v="6.4823737153199854"/>
    <n v="3.7954427383220115"/>
    <n v="2.0804506413150351E-3"/>
    <n v="0.20111398122843038"/>
    <n v="9.6151412010504946E-3"/>
    <n v="0"/>
    <n v="6.1997429111188045E-2"/>
    <n v="5.4703002894133066"/>
    <n v="2.6249335478867852"/>
    <n v="0"/>
  </r>
  <r>
    <x v="4"/>
    <x v="71"/>
    <x v="4"/>
    <s v="/"/>
    <n v="0.21799999999999986"/>
    <s v="GWP100 with fb AR6"/>
    <n v="6.5846080779863678"/>
    <n v="3.8976771009883944"/>
    <n v="2.0804506413150351E-3"/>
    <n v="0.20111398122843038"/>
    <n v="9.6151412010504946E-3"/>
    <n v="0"/>
    <n v="6.1997429111188045E-2"/>
    <n v="5.4703002894133066"/>
    <n v="2.6249335478867852"/>
    <n v="0"/>
  </r>
  <r>
    <x v="4"/>
    <x v="72"/>
    <x v="0"/>
    <s v="/"/>
    <n v="1"/>
    <s v="GWP100 with fb AR6"/>
    <n v="3.7434616749759266"/>
    <n v="2.037647860083764"/>
    <n v="0"/>
    <n v="0.13072408779847977"/>
    <n v="6.2484022523522451E-3"/>
    <n v="0"/>
    <n v="0"/>
    <n v="3.5556951881186496"/>
    <n v="1.7058138148921629"/>
    <n v="0"/>
  </r>
  <r>
    <x v="4"/>
    <x v="72"/>
    <x v="1"/>
    <s v="/"/>
    <n v="0.51200000000000012"/>
    <s v="GWP100 with fb AR6"/>
    <n v="3.3419936014462288"/>
    <n v="1.6363716037041152"/>
    <n v="0"/>
    <n v="0.13072408779847977"/>
    <n v="6.2476996254289879E-3"/>
    <n v="0"/>
    <n v="0"/>
    <n v="3.5556951881186496"/>
    <n v="1.7056219977421136"/>
    <n v="0"/>
  </r>
  <r>
    <x v="4"/>
    <x v="72"/>
    <x v="31"/>
    <s v="/"/>
    <n v="0.16"/>
    <s v="GWP100 with fb AR6"/>
    <n v="3.39311078277942"/>
    <n v="1.6874887850373066"/>
    <n v="0"/>
    <n v="0.13072408779847977"/>
    <n v="6.2476996254289879E-3"/>
    <n v="0"/>
    <n v="0"/>
    <n v="3.5556951881186496"/>
    <n v="1.7056219977421136"/>
    <n v="0"/>
  </r>
  <r>
    <x v="4"/>
    <x v="72"/>
    <x v="6"/>
    <s v="/"/>
    <n v="0.11"/>
    <s v="GWP100 with fb AR6"/>
    <n v="4.4730979717362178"/>
    <n v="2.7668911656098074"/>
    <n v="0"/>
    <n v="0.13072408779847977"/>
    <n v="6.2498417806828212E-3"/>
    <n v="0"/>
    <n v="0"/>
    <n v="3.5556951881186496"/>
    <n v="1.7062068061264102"/>
    <n v="0"/>
  </r>
  <r>
    <x v="4"/>
    <x v="72"/>
    <x v="4"/>
    <s v="/"/>
    <n v="0.21799999999999986"/>
    <s v="GWP100 with fb AR6"/>
    <n v="4.5753323344026002"/>
    <n v="2.8691255282761898"/>
    <n v="0"/>
    <n v="0.13072408779847977"/>
    <n v="6.2498417806828212E-3"/>
    <n v="0"/>
    <n v="0"/>
    <n v="3.5556951881186496"/>
    <n v="1.7062068061264102"/>
    <n v="0"/>
  </r>
  <r>
    <x v="4"/>
    <x v="73"/>
    <x v="0"/>
    <s v="/"/>
    <n v="1"/>
    <s v="GWP100 with fb AR6"/>
    <n v="4.8245950301966705"/>
    <n v="2.3490512740937302"/>
    <n v="9.4692081912047324E-4"/>
    <n v="0.18756022502153244"/>
    <n v="8.9645623285463365E-3"/>
    <n v="0"/>
    <n v="2.8218240409790103E-2"/>
    <n v="5.1016381205856822"/>
    <n v="2.4473255156931497"/>
    <n v="0"/>
  </r>
  <r>
    <x v="4"/>
    <x v="73"/>
    <x v="1"/>
    <s v="/"/>
    <n v="0.76800000000000002"/>
    <s v="GWP100 with fb AR6"/>
    <n v="4.5783900388645122"/>
    <n v="2.1030932496204606"/>
    <n v="9.4313841987326728E-4"/>
    <n v="0.18756022502153244"/>
    <n v="8.9640705653180521E-3"/>
    <n v="0"/>
    <n v="2.8105524912223366E-2"/>
    <n v="5.1016381205856822"/>
    <n v="2.4471912643318281"/>
    <n v="0"/>
  </r>
  <r>
    <x v="4"/>
    <x v="73"/>
    <x v="4"/>
    <s v="/"/>
    <n v="0.23199999999999998"/>
    <s v="GWP100 with fb AR6"/>
    <n v="6.1169526054926333"/>
    <n v="3.6403309025783956"/>
    <n v="9.5944186490432763E-4"/>
    <n v="0.18756022502153244"/>
    <n v="8.9671440854948315E-3"/>
    <n v="0"/>
    <n v="2.8591367574148964E-2"/>
    <n v="5.1016381205856822"/>
    <n v="2.4480303353400892"/>
    <n v="0"/>
  </r>
  <r>
    <x v="4"/>
    <x v="74"/>
    <x v="0"/>
    <s v="/"/>
    <n v="1"/>
    <s v="GWP100 with fb AR6"/>
    <n v="4.8533707003694255"/>
    <n v="2.3490512740937302"/>
    <n v="1.9125473349847549E-3"/>
    <n v="0.18756022502153244"/>
    <n v="8.9645623285463365E-3"/>
    <n v="0"/>
    <n v="5.6993910582545694E-2"/>
    <n v="5.1016381205856822"/>
    <n v="2.4473255156931497"/>
    <n v="0"/>
  </r>
  <r>
    <x v="4"/>
    <x v="74"/>
    <x v="1"/>
    <s v="/"/>
    <n v="0.84000000000000008"/>
    <s v="GWP100 with fb AR6"/>
    <n v="4.6071212244182362"/>
    <n v="2.1030932496204606"/>
    <n v="1.907272163286824E-3"/>
    <n v="0.18756022502153244"/>
    <n v="8.9640705653180521E-3"/>
    <n v="0"/>
    <n v="5.6836710465947356E-2"/>
    <n v="5.1016381205856822"/>
    <n v="2.4471912643318281"/>
    <n v="0"/>
  </r>
  <r>
    <x v="4"/>
    <x v="74"/>
    <x v="4"/>
    <s v="/"/>
    <n v="0.15999999999999992"/>
    <s v="GWP100 with fb AR6"/>
    <n v="6.1461804491131717"/>
    <n v="3.6403309025783956"/>
    <n v="1.9402419863988932E-3"/>
    <n v="0.18756022502153244"/>
    <n v="8.9671440854948315E-3"/>
    <n v="0"/>
    <n v="5.7819211194687019E-2"/>
    <n v="5.1016381205856822"/>
    <n v="2.4480303353400892"/>
    <n v="0"/>
  </r>
  <r>
    <x v="5"/>
    <x v="75"/>
    <x v="42"/>
    <s v="Farmed"/>
    <n v="1"/>
    <s v="GWP100 with fb AR6"/>
    <n v="5.3835918690885309"/>
    <n v="4.395044742582507"/>
    <n v="1.3052395758826583E-3"/>
    <n v="0"/>
    <n v="3.4785750444861572E-3"/>
    <n v="0"/>
    <n v="3.889613936130322E-2"/>
    <n v="0"/>
    <n v="0.94965098714472096"/>
    <n v="0"/>
  </r>
  <r>
    <x v="5"/>
    <x v="76"/>
    <x v="0"/>
    <s v="/"/>
    <n v="1"/>
    <s v="GWP100 with fb AR6"/>
    <n v="5.9505815738896617"/>
    <n v="5.8439597300552393"/>
    <n v="2.2998565886031422E-3"/>
    <n v="0"/>
    <n v="1.3950958789028873E-4"/>
    <n v="6.332893038944801E-4"/>
    <n v="6.8535726340373637E-2"/>
    <n v="0"/>
    <n v="3.8086117494048825E-2"/>
    <n v="1.2412470356331811"/>
  </r>
  <r>
    <x v="5"/>
    <x v="76"/>
    <x v="43"/>
    <s v="Wild-caught with bottom trawl"/>
    <n v="0.5"/>
    <s v="GWP100 with fb AR6"/>
    <n v="7.6878166227570581"/>
    <n v="7.5462367973375795"/>
    <n v="3.0539079291287624E-3"/>
    <n v="0"/>
    <n v="1.85250436378908E-4"/>
    <n v="6.332893038944801E-4"/>
    <n v="9.1006456288037121E-2"/>
    <n v="0"/>
    <n v="5.0573369131441885E-2"/>
    <n v="1.2412470356331811"/>
  </r>
  <r>
    <x v="5"/>
    <x v="76"/>
    <x v="43"/>
    <s v="Wild-caught with autoline"/>
    <n v="0.5"/>
    <s v="GWP100 with fb AR6"/>
    <n v="4.2133465250222661"/>
    <n v="4.1416826627729"/>
    <n v="1.5458052480775218E-3"/>
    <n v="0"/>
    <n v="9.3768739401669463E-5"/>
    <n v="6.332893038944801E-4"/>
    <n v="4.6064996392710153E-2"/>
    <n v="0"/>
    <n v="2.5598865856655762E-2"/>
    <n v="1.2412470356331811"/>
  </r>
  <r>
    <x v="5"/>
    <x v="77"/>
    <x v="0"/>
    <s v="/"/>
    <n v="1"/>
    <s v="GWP100 with fb AR6"/>
    <n v="1.7069091465390225"/>
    <n v="1.6831717570958853"/>
    <n v="5.1202070367322588E-4"/>
    <n v="0"/>
    <n v="3.1059239830311652E-5"/>
    <n v="1.409901976565079E-4"/>
    <n v="1.5258216969462132E-2"/>
    <n v="0"/>
    <n v="8.4791724736750802E-3"/>
    <n v="0.27634078740675549"/>
  </r>
  <r>
    <x v="5"/>
    <x v="77"/>
    <x v="44"/>
    <s v="Wild-caught with bottom trawl"/>
    <n v="0.5"/>
    <s v="GWP100 with fb AR6"/>
    <n v="2.09367252847108"/>
    <n v="2.0621523883908486"/>
    <n v="6.7989634422182458E-4"/>
    <n v="0"/>
    <n v="4.1242597151725308E-5"/>
    <n v="1.409901976565079E-4"/>
    <n v="2.0260911057810374E-2"/>
    <n v="0"/>
    <n v="1.1259229022421009E-2"/>
    <n v="0.27634078740675549"/>
  </r>
  <r>
    <x v="5"/>
    <x v="77"/>
    <x v="44"/>
    <s v="Wild-caught with autoline"/>
    <n v="0.5"/>
    <s v="GWP100 with fb AR6"/>
    <n v="1.320145764606965"/>
    <n v="1.304191125800922"/>
    <n v="3.4414506312462718E-4"/>
    <n v="0"/>
    <n v="2.0875882508897993E-5"/>
    <n v="1.409901976565079E-4"/>
    <n v="1.025552288111389E-2"/>
    <n v="0"/>
    <n v="5.6991159249291518E-3"/>
    <n v="0.27634078740675549"/>
  </r>
  <r>
    <x v="5"/>
    <x v="78"/>
    <x v="0"/>
    <s v="/"/>
    <n v="1"/>
    <s v="GWP100 with fb AR6"/>
    <n v="1.034609430923181"/>
    <n v="1.0237646144616563"/>
    <n v="2.3392507289558825E-4"/>
    <n v="0"/>
    <n v="1.4189924136396079E-5"/>
    <n v="4.4300198717208771E-5"/>
    <n v="6.9709671722885305E-3"/>
    <n v="0"/>
    <n v="3.8738492892361298E-3"/>
    <n v="8.6828389485729185E-2"/>
  </r>
  <r>
    <x v="5"/>
    <x v="78"/>
    <x v="1"/>
    <s v="Wild-caught with bottom trawl"/>
    <n v="0.5"/>
    <s v="GWP100 with fb AR6"/>
    <n v="1.2565228467858367"/>
    <n v="1.2412125176636843"/>
    <n v="3.3024716173494812E-4"/>
    <n v="0"/>
    <n v="2.0032834074912111E-5"/>
    <n v="4.4300198717208771E-5"/>
    <n v="9.8413654197014536E-3"/>
    <n v="0"/>
    <n v="5.4689637024510065E-3"/>
    <n v="8.6828389485729185E-2"/>
  </r>
  <r>
    <x v="5"/>
    <x v="78"/>
    <x v="1"/>
    <s v="Wild-caught with autoline"/>
    <n v="0.5"/>
    <s v="GWP100 with fb AR6"/>
    <n v="0.81269601506052525"/>
    <n v="0.80631671125962834"/>
    <n v="1.3760298405622839E-4"/>
    <n v="0"/>
    <n v="8.3470141978800473E-6"/>
    <n v="4.4300198717208771E-5"/>
    <n v="4.1005689248756064E-3"/>
    <n v="0"/>
    <n v="2.2787348760212531E-3"/>
    <n v="8.6828389485729185E-2"/>
  </r>
  <r>
    <x v="5"/>
    <x v="79"/>
    <x v="0"/>
    <s v="/"/>
    <n v="1"/>
    <s v="GWP100 with fb AR6"/>
    <n v="0.97712243804995524"/>
    <n v="0.97140658184435158"/>
    <n v="1.2329227371438064E-4"/>
    <n v="0"/>
    <n v="7.4789247213005212E-6"/>
    <n v="4.4300198717208771E-5"/>
    <n v="3.674109756688543E-3"/>
    <n v="0"/>
    <n v="2.0417464489150424E-3"/>
    <n v="8.6828389485729185E-2"/>
  </r>
  <r>
    <x v="5"/>
    <x v="79"/>
    <x v="45"/>
    <s v="Wild-caught with pelagic trawl"/>
    <n v="0.03"/>
    <s v="GWP100 with fb AR6"/>
    <n v="1.580726929196379"/>
    <n v="1.5628648785538679"/>
    <n v="3.8528835535743956E-4"/>
    <n v="0"/>
    <n v="2.3371639754064134E-5"/>
    <n v="4.4300198717208771E-5"/>
    <n v="1.14815929896517E-2"/>
    <n v="0"/>
    <n v="6.3804576528595086E-3"/>
    <n v="8.6828389485729185E-2"/>
  </r>
  <r>
    <x v="5"/>
    <x v="79"/>
    <x v="45"/>
    <s v="Wild-caught with purse seine"/>
    <n v="0.88"/>
    <s v="GWP100 with fb AR6"/>
    <n v="0.94668859816021955"/>
    <n v="0.94158515511950203"/>
    <n v="1.1008238724498271E-4"/>
    <n v="0"/>
    <n v="6.6776113583040367E-6"/>
    <n v="4.4300198717208771E-5"/>
    <n v="3.2804551399004847E-3"/>
    <n v="0"/>
    <n v="1.822987900817002E-3"/>
    <n v="8.6828389485729185E-2"/>
  </r>
  <r>
    <x v="5"/>
    <x v="79"/>
    <x v="45"/>
    <s v="Wild-caught with trolling line"/>
    <n v="0.09"/>
    <s v="GWP100 with fb AR6"/>
    <n v="1.0734962643674515"/>
    <n v="1.0658410998063752"/>
    <n v="1.6512358086747406E-4"/>
    <n v="0"/>
    <n v="1.0016417037456055E-5"/>
    <n v="4.4300198717208771E-5"/>
    <n v="4.9206827098507268E-3"/>
    <n v="0"/>
    <n v="2.7344818512255033E-3"/>
    <n v="8.6828389485729185E-2"/>
  </r>
  <r>
    <x v="5"/>
    <x v="80"/>
    <x v="0"/>
    <s v="/"/>
    <n v="1"/>
    <s v="GWP100 with fb AR6"/>
    <n v="3.6185117814259686"/>
    <n v="3.5527723771083863"/>
    <n v="1.4180133893147589E-3"/>
    <n v="0"/>
    <n v="8.601686928938769E-5"/>
    <n v="5.9995828790003383E-4"/>
    <n v="4.2256799001579817E-2"/>
    <n v="0"/>
    <n v="2.3482605316002839E-2"/>
    <n v="1.1759182442840663"/>
  </r>
  <r>
    <x v="5"/>
    <x v="80"/>
    <x v="46"/>
    <s v="Wild-caught with bottom trawl"/>
    <n v="0.4"/>
    <s v="GWP100 with fb AR6"/>
    <n v="4.0546492121153106"/>
    <n v="3.980133514526111"/>
    <n v="1.6073199626993489E-3"/>
    <n v="0"/>
    <n v="9.7500229673109481E-5"/>
    <n v="5.9995828790003383E-4"/>
    <n v="4.7898134888440601E-2"/>
    <n v="0"/>
    <n v="2.6617562700758889E-2"/>
    <n v="1.1759182442840663"/>
  </r>
  <r>
    <x v="5"/>
    <x v="80"/>
    <x v="46"/>
    <s v="Wild-caught with pelagic trawl"/>
    <n v="0.4"/>
    <s v="GWP100 with fb AR6"/>
    <n v="3.3963285620181916"/>
    <n v="3.3350600995559607"/>
    <n v="1.3215741915527978E-3"/>
    <n v="0"/>
    <n v="8.0166855509001116E-5"/>
    <n v="5.9995828790003383E-4"/>
    <n v="3.9382910908273373E-2"/>
    <n v="0"/>
    <n v="2.1885551553957303E-2"/>
    <n v="1.1759182442840663"/>
  </r>
  <r>
    <x v="5"/>
    <x v="80"/>
    <x v="46"/>
    <s v="Wild-caught with purse seine"/>
    <n v="0.1"/>
    <s v="GWP100 with fb AR6"/>
    <n v="2.7380079119210721"/>
    <n v="2.68998668458581"/>
    <n v="1.0358284204062468E-3"/>
    <n v="0"/>
    <n v="6.2833481344892763E-5"/>
    <n v="5.9995828790003383E-4"/>
    <n v="3.0867686928106156E-2"/>
    <n v="0"/>
    <n v="1.7153540407155724E-2"/>
    <n v="1.1759182442840663"/>
  </r>
  <r>
    <x v="5"/>
    <x v="80"/>
    <x v="46"/>
    <s v="Wild-caught with autoline"/>
    <n v="0.1"/>
    <s v="GWP100 with fb AR6"/>
    <n v="3.6431988058046114"/>
    <n v="3.5769626301697675"/>
    <n v="1.4287288557327546E-3"/>
    <n v="0"/>
    <n v="8.6666870820541761E-5"/>
    <n v="5.9995828790003383E-4"/>
    <n v="4.2576119900836089E-2"/>
    <n v="0"/>
    <n v="2.3660055734007902E-2"/>
    <n v="1.1759182442840663"/>
  </r>
  <r>
    <x v="5"/>
    <x v="81"/>
    <x v="46"/>
    <s v="Wild-caught with bottom trawl"/>
    <n v="1"/>
    <s v="GWP100 with fb AR6"/>
    <n v="12.749348390570201"/>
    <n v="12.500732745218583"/>
    <n v="5.362694073080234E-3"/>
    <n v="0"/>
    <n v="3.2530169221182509E-4"/>
    <n v="7.8327887586948858E-4"/>
    <n v="0.15980828337779099"/>
    <n v="0"/>
    <n v="8.8807361973828242E-2"/>
    <n v="1.5352265967041976"/>
  </r>
  <r>
    <x v="5"/>
    <x v="82"/>
    <x v="21"/>
    <s v="Wild-caught with pelagic trawl"/>
    <n v="1"/>
    <s v="GWP100 with fb AR6"/>
    <n v="2.7256975733658155"/>
    <n v="2.6141135012626346"/>
    <n v="3.685075036432654E-4"/>
    <n v="0"/>
    <n v="3.685075036432654E-4"/>
    <n v="3.7683355674452833E-4"/>
    <n v="1.098152360856931E-2"/>
    <n v="0"/>
    <n v="0.10060254849461145"/>
    <n v="0.7385937712192755"/>
  </r>
  <r>
    <x v="5"/>
    <x v="83"/>
    <x v="1"/>
    <s v="Farmed"/>
    <n v="1"/>
    <s v="GWP100 with fb AR6"/>
    <n v="5.6022696052574403"/>
    <n v="3.4620403177165628"/>
    <n v="5.2310297849358207E-4"/>
    <n v="0"/>
    <n v="7.7825671017647197E-3"/>
    <n v="0"/>
    <n v="1.5588468759108746E-2"/>
    <n v="0"/>
    <n v="2.1246408187817685"/>
    <n v="0"/>
  </r>
  <r>
    <x v="5"/>
    <x v="84"/>
    <x v="47"/>
    <s v="Farmed"/>
    <n v="1"/>
    <s v="GWP100 with fb AR6"/>
    <n v="12.066855917801131"/>
    <n v="7.973330184378014"/>
    <n v="1.0005168680567633E-3"/>
    <n v="0"/>
    <n v="1.4885385826941485E-2"/>
    <n v="0"/>
    <n v="2.9815402668091549E-2"/>
    <n v="0"/>
    <n v="4.0637103307550255"/>
    <n v="0"/>
  </r>
  <r>
    <x v="5"/>
    <x v="85"/>
    <x v="0"/>
    <s v="/"/>
    <n v="1"/>
    <s v="GWP100 with fb AR6"/>
    <n v="22.128728706889142"/>
    <n v="21.698294947164136"/>
    <n v="9.2845507323816804E-3"/>
    <n v="0"/>
    <n v="5.6320200695981646E-4"/>
    <n v="5.7547019451635888E-4"/>
    <n v="0.27667961182497408"/>
    <n v="0"/>
    <n v="0.15375414790002989"/>
    <n v="1.1279215812520633"/>
  </r>
  <r>
    <x v="5"/>
    <x v="85"/>
    <x v="48"/>
    <s v="Wild-caught with bottom trawl"/>
    <n v="0.5"/>
    <s v="GWP100 with fb AR6"/>
    <n v="22.128728706889142"/>
    <n v="21.698294947164136"/>
    <n v="9.2845507323816804E-3"/>
    <n v="0"/>
    <n v="5.6320200695981646E-4"/>
    <n v="5.7547019451635888E-4"/>
    <n v="0.27667961182497408"/>
    <n v="0"/>
    <n v="0.15375414790002989"/>
    <n v="1.1279215812520633"/>
  </r>
  <r>
    <x v="5"/>
    <x v="85"/>
    <x v="48"/>
    <s v="Wild-caught with pelagic trawl"/>
    <n v="0.5"/>
    <s v="GWP100 with fb AR6"/>
    <n v="22.128728706889142"/>
    <n v="21.698294947164136"/>
    <n v="9.2845507323816804E-3"/>
    <n v="0"/>
    <n v="5.6320200695981646E-4"/>
    <n v="5.7547019451635888E-4"/>
    <n v="0.27667961182497408"/>
    <n v="0"/>
    <n v="0.15375414790002989"/>
    <n v="1.1279215812520633"/>
  </r>
  <r>
    <x v="5"/>
    <x v="86"/>
    <x v="0"/>
    <s v="/"/>
    <n v="1"/>
    <s v="GWP100 with fb AR6"/>
    <n v="6.5400896797863837"/>
    <n v="6.4409697424271659"/>
    <n v="2.1380388183076249E-3"/>
    <n v="0"/>
    <n v="1.2969370173498526E-4"/>
    <n v="2.9151275144388038E-4"/>
    <n v="6.3713556785567227E-2"/>
    <n v="0"/>
    <n v="3.5406380573650975E-2"/>
    <n v="0.57136499283000552"/>
  </r>
  <r>
    <x v="5"/>
    <x v="86"/>
    <x v="49"/>
    <s v="Wild-caught with pelagic trawl"/>
    <n v="0.5"/>
    <s v="GWP100 with fb AR6"/>
    <n v="6.5036025682833607"/>
    <n v="6.4052168526823587"/>
    <n v="2.1222014937275682E-3"/>
    <n v="0"/>
    <n v="1.2873300764805945E-4"/>
    <n v="2.9151275144388038E-4"/>
    <n v="6.3241604513081529E-2"/>
    <n v="0"/>
    <n v="3.5144111087920232E-2"/>
    <n v="0.57136499283000552"/>
  </r>
  <r>
    <x v="5"/>
    <x v="86"/>
    <x v="49"/>
    <s v="Wild-caught with pelagic trawl"/>
    <n v="0.5"/>
    <s v="GWP100 with fb AR6"/>
    <n v="6.5765767912894084"/>
    <n v="6.476722632171974"/>
    <n v="2.1538761428876812E-3"/>
    <n v="0"/>
    <n v="1.3065439582191107E-4"/>
    <n v="2.9151275144388038E-4"/>
    <n v="6.4185509058052898E-2"/>
    <n v="0"/>
    <n v="3.5668650059381725E-2"/>
    <n v="0.57136499283000552"/>
  </r>
  <r>
    <x v="6"/>
    <x v="87"/>
    <x v="0"/>
    <s v="/"/>
    <n v="1"/>
    <s v="GWP100 with fb AR6"/>
    <n v="1.5564625995049579"/>
    <n v="1.1530035685549713"/>
    <n v="0"/>
    <n v="0"/>
    <n v="1.4778719082417092E-3"/>
    <n v="0"/>
    <n v="0"/>
    <n v="0"/>
    <n v="0.40345903094998664"/>
    <n v="0"/>
  </r>
  <r>
    <x v="6"/>
    <x v="87"/>
    <x v="1"/>
    <s v="/"/>
    <n v="0.3"/>
    <s v="GWP100 with fb AR6"/>
    <n v="1.2535136199131212"/>
    <n v="0.85005458896313457"/>
    <n v="0"/>
    <n v="0"/>
    <n v="1.4778719082417094E-3"/>
    <n v="0"/>
    <n v="0"/>
    <n v="0"/>
    <n v="0.4034590309499867"/>
    <n v="0"/>
  </r>
  <r>
    <x v="6"/>
    <x v="87"/>
    <x v="2"/>
    <s v="/"/>
    <n v="0.503"/>
    <s v="GWP100 with fb AR6"/>
    <n v="1.5800442321580195"/>
    <n v="1.1765852012080327"/>
    <n v="0"/>
    <n v="0"/>
    <n v="1.4778719082417094E-3"/>
    <n v="0"/>
    <n v="0"/>
    <n v="0"/>
    <n v="0.4034590309499867"/>
    <n v="0"/>
  </r>
  <r>
    <x v="6"/>
    <x v="87"/>
    <x v="11"/>
    <s v="/"/>
    <n v="0.19700000000000001"/>
    <s v="GWP100 with fb AR6"/>
    <n v="1.9575952525661826"/>
    <n v="1.5541362216161958"/>
    <n v="0"/>
    <n v="0"/>
    <n v="1.4778719082417094E-3"/>
    <n v="0"/>
    <n v="0"/>
    <n v="0"/>
    <n v="0.4034590309499867"/>
    <n v="0"/>
  </r>
  <r>
    <x v="6"/>
    <x v="88"/>
    <x v="1"/>
    <s v="/"/>
    <n v="1"/>
    <s v="GWP100 with fb AR6"/>
    <n v="1.0108151845137805"/>
    <n v="0.74555052743979866"/>
    <n v="0"/>
    <n v="0"/>
    <n v="9.7166541052740594E-4"/>
    <n v="0"/>
    <n v="0"/>
    <n v="0"/>
    <n v="0.26526465707398184"/>
    <n v="0"/>
  </r>
  <r>
    <x v="6"/>
    <x v="89"/>
    <x v="1"/>
    <s v="/"/>
    <n v="1"/>
    <s v="GWP100 with fb AR6"/>
    <n v="0.98558505142971609"/>
    <n v="0.76146092904671869"/>
    <n v="0"/>
    <n v="0"/>
    <n v="8.2096748125640075E-4"/>
    <n v="0"/>
    <n v="0"/>
    <n v="0"/>
    <n v="0.22412412238299739"/>
    <n v="0"/>
  </r>
  <r>
    <x v="6"/>
    <x v="90"/>
    <x v="1"/>
    <s v="/"/>
    <n v="1"/>
    <s v="GWP100 with fb AR6"/>
    <n v="1.2574353043295941"/>
    <n v="0.94012727395716933"/>
    <n v="0"/>
    <n v="0"/>
    <n v="1.162300477554669E-3"/>
    <n v="0"/>
    <n v="0"/>
    <n v="0"/>
    <n v="0.31730803037242461"/>
    <n v="0"/>
  </r>
  <r>
    <x v="6"/>
    <x v="91"/>
    <x v="1"/>
    <s v="/"/>
    <n v="1"/>
    <s v="GWP100 with fb AR6"/>
    <n v="1.2792556598174585"/>
    <n v="0.94496669100261543"/>
    <n v="0"/>
    <n v="0"/>
    <n v="1.2245017172704874E-3"/>
    <n v="0"/>
    <n v="0"/>
    <n v="0"/>
    <n v="0.33428896881484305"/>
    <n v="0"/>
  </r>
  <r>
    <x v="6"/>
    <x v="92"/>
    <x v="1"/>
    <s v="/"/>
    <n v="1"/>
    <s v="GWP100 with fb AR6"/>
    <n v="0.92534709787828962"/>
    <n v="0.72640616492261634"/>
    <n v="0"/>
    <n v="0"/>
    <n v="7.2872136613799741E-4"/>
    <n v="0"/>
    <n v="0"/>
    <n v="0"/>
    <n v="0.19894093295567331"/>
    <n v="0"/>
  </r>
  <r>
    <x v="6"/>
    <x v="93"/>
    <x v="1"/>
    <s v="/"/>
    <n v="1"/>
    <s v="GWP100 with fb AR6"/>
    <n v="0.93444698379801872"/>
    <n v="0.74687476023042842"/>
    <n v="0"/>
    <n v="0"/>
    <n v="6.870777420058254E-4"/>
    <n v="0"/>
    <n v="0"/>
    <n v="0"/>
    <n v="0.18757222356759035"/>
    <n v="0"/>
  </r>
  <r>
    <x v="6"/>
    <x v="94"/>
    <x v="1"/>
    <s v="/"/>
    <n v="1"/>
    <s v="GWP100 with fb AR6"/>
    <n v="0.98161509025015403"/>
    <n v="0.79815288880820734"/>
    <n v="0"/>
    <n v="0"/>
    <n v="6.7202271590456652E-4"/>
    <n v="0"/>
    <n v="0"/>
    <n v="0"/>
    <n v="0.18346220144194667"/>
    <n v="0"/>
  </r>
  <r>
    <x v="6"/>
    <x v="95"/>
    <x v="1"/>
    <s v="/"/>
    <n v="1"/>
    <s v="GWP100 with fb AR6"/>
    <n v="1.927241968777881"/>
    <n v="1.2847064405069917"/>
    <m/>
    <n v="4.3197575134926822E-2"/>
    <n v="2.3536099936662617E-3"/>
    <n v="0"/>
    <n v="0"/>
    <n v="1.1749740436700096"/>
    <n v="0.64253552827088944"/>
    <n v="0"/>
  </r>
  <r>
    <x v="6"/>
    <x v="96"/>
    <x v="1"/>
    <s v="/"/>
    <n v="1"/>
    <s v="GWP100 with fb AR6"/>
    <n v="2.4793042491238388"/>
    <n v="1.9930993911570296"/>
    <n v="0"/>
    <n v="0"/>
    <n v="1.7809701757025972E-3"/>
    <n v="0"/>
    <n v="0"/>
    <n v="0"/>
    <n v="0.48620485796680901"/>
    <n v="0"/>
  </r>
  <r>
    <x v="6"/>
    <x v="97"/>
    <x v="1"/>
    <s v="/"/>
    <n v="1"/>
    <s v="GWP100 with fb AR6"/>
    <n v="1.3025430926989903"/>
    <n v="1.0653699912517662"/>
    <n v="0"/>
    <n v="0"/>
    <n v="8.6876593936712073E-4"/>
    <n v="0"/>
    <n v="0"/>
    <n v="0"/>
    <n v="0.23717310144722395"/>
    <n v="0"/>
  </r>
  <r>
    <x v="6"/>
    <x v="98"/>
    <x v="1"/>
    <s v="/"/>
    <n v="1"/>
    <s v="GWP100 with fb AR6"/>
    <n v="1.753593682051483"/>
    <n v="1.3657337045775526"/>
    <n v="0"/>
    <n v="0"/>
    <n v="1.4207325182195255E-3"/>
    <n v="0"/>
    <n v="0"/>
    <n v="0"/>
    <n v="0.38785997747393047"/>
    <n v="0"/>
  </r>
  <r>
    <x v="6"/>
    <x v="99"/>
    <x v="1"/>
    <s v="/"/>
    <n v="1"/>
    <s v="GWP100 with fb AR6"/>
    <n v="0.40091244990951863"/>
    <n v="0.37674199316613521"/>
    <n v="0"/>
    <n v="0"/>
    <n v="8.8536471587485026E-5"/>
    <n v="0"/>
    <n v="0"/>
    <n v="0"/>
    <n v="2.4170456743383414E-2"/>
    <n v="0"/>
  </r>
  <r>
    <x v="6"/>
    <x v="100"/>
    <x v="1"/>
    <s v="/"/>
    <n v="1"/>
    <s v="GWP100 with fb AR6"/>
    <n v="0.48576512181749548"/>
    <n v="0.45792929332701304"/>
    <n v="0"/>
    <n v="0"/>
    <n v="1.0196274172337891E-4"/>
    <n v="0"/>
    <n v="0"/>
    <n v="0"/>
    <n v="2.7835828490482443E-2"/>
    <n v="0"/>
  </r>
  <r>
    <x v="6"/>
    <x v="101"/>
    <x v="0"/>
    <s v="/"/>
    <n v="1"/>
    <s v="GWP100 with fb AR6"/>
    <n v="0.43013148072099466"/>
    <n v="0.38600555340437193"/>
    <n v="0"/>
    <n v="0"/>
    <n v="1.6163343339422253E-4"/>
    <n v="0"/>
    <n v="0"/>
    <n v="0"/>
    <n v="4.4125927316622751E-2"/>
    <n v="0"/>
  </r>
  <r>
    <x v="6"/>
    <x v="101"/>
    <x v="1"/>
    <s v="/"/>
    <n v="0.76"/>
    <s v="GWP100 with fb AR6"/>
    <n v="0.40427006571679175"/>
    <n v="0.34620963503702495"/>
    <n v="0"/>
    <n v="0"/>
    <n v="2.1267557025555594E-4"/>
    <n v="0"/>
    <n v="0"/>
    <n v="0"/>
    <n v="5.8060430679766774E-2"/>
    <n v="0"/>
  </r>
  <r>
    <x v="6"/>
    <x v="101"/>
    <x v="31"/>
    <s v="/"/>
    <n v="0.09"/>
    <s v="GWP100 with fb AR6"/>
    <n v="0.39723004320029026"/>
    <n v="0.39723004320029026"/>
    <n v="0"/>
    <n v="0"/>
    <n v="0"/>
    <n v="0"/>
    <n v="0"/>
    <n v="0"/>
    <n v="0"/>
    <n v="0"/>
  </r>
  <r>
    <x v="6"/>
    <x v="101"/>
    <x v="4"/>
    <s v="/"/>
    <n v="0.15"/>
    <s v="GWP100 with fb AR6"/>
    <n v="0.5809035125880454"/>
    <n v="0.5809035125880454"/>
    <n v="0"/>
    <n v="0"/>
    <n v="0"/>
    <n v="0"/>
    <n v="0"/>
    <n v="0"/>
    <n v="0"/>
    <n v="0"/>
  </r>
  <r>
    <x v="6"/>
    <x v="102"/>
    <x v="0"/>
    <s v="/"/>
    <n v="1"/>
    <s v="GWP100 with fb AR6"/>
    <n v="0.27724057772117233"/>
    <n v="0.27724057772117233"/>
    <n v="0"/>
    <n v="0"/>
    <n v="0"/>
    <n v="0"/>
    <n v="0"/>
    <n v="0"/>
    <n v="0"/>
    <n v="0"/>
  </r>
  <r>
    <x v="6"/>
    <x v="102"/>
    <x v="1"/>
    <s v="/"/>
    <n v="0.62424968014597004"/>
    <s v="GWP100 with fb AR6"/>
    <n v="0.23"/>
    <n v="0.23"/>
    <n v="0"/>
    <n v="0"/>
    <n v="0"/>
    <n v="0"/>
    <n v="0"/>
    <n v="0"/>
    <n v="0"/>
    <n v="0"/>
  </r>
  <r>
    <x v="6"/>
    <x v="102"/>
    <x v="42"/>
    <s v="/"/>
    <n v="0.21767775469585898"/>
    <s v="GWP100 with fb AR6"/>
    <n v="0.28000000000000003"/>
    <n v="0.28000000000000003"/>
    <n v="0"/>
    <n v="0"/>
    <n v="0"/>
    <n v="0"/>
    <n v="0"/>
    <n v="0"/>
    <n v="0"/>
    <n v="0"/>
  </r>
  <r>
    <x v="6"/>
    <x v="102"/>
    <x v="4"/>
    <s v="/"/>
    <n v="0.158072565158171"/>
    <s v="GWP100 with fb AR6"/>
    <n v="0.46"/>
    <n v="0.46"/>
    <n v="0"/>
    <n v="0"/>
    <n v="0"/>
    <n v="0"/>
    <n v="0"/>
    <n v="0"/>
    <n v="0"/>
    <n v="0"/>
  </r>
  <r>
    <x v="6"/>
    <x v="103"/>
    <x v="1"/>
    <s v="/"/>
    <n v="1"/>
    <s v="GWP100 with fb AR6"/>
    <n v="1.0166647197116343"/>
    <n v="0.94776539311095243"/>
    <n v="0"/>
    <n v="0"/>
    <n v="2.5237848571678378E-4"/>
    <n v="0"/>
    <n v="0"/>
    <n v="0"/>
    <n v="6.8899326600681973E-2"/>
    <n v="0"/>
  </r>
  <r>
    <x v="6"/>
    <x v="104"/>
    <x v="1"/>
    <s v="/"/>
    <n v="0.5"/>
    <s v="GWP100 with fb AR6"/>
    <n v="1.3267854427925119"/>
    <n v="1.2116317064197362"/>
    <n v="0"/>
    <n v="0"/>
    <n v="4.218085581420356E-4"/>
    <n v="0"/>
    <n v="0"/>
    <n v="0"/>
    <n v="0.11515373637277572"/>
    <n v="0"/>
  </r>
  <r>
    <x v="6"/>
    <x v="105"/>
    <x v="1"/>
    <s v="/"/>
    <n v="0.5"/>
    <s v="GWP100 with fb AR6"/>
    <n v="0.70654399663075707"/>
    <n v="0.6838990798021688"/>
    <n v="0"/>
    <n v="0"/>
    <n v="8.2948413291531958E-5"/>
    <n v="0"/>
    <n v="0"/>
    <n v="0"/>
    <n v="2.2644916828588223E-2"/>
    <n v="0"/>
  </r>
  <r>
    <x v="6"/>
    <x v="106"/>
    <x v="1"/>
    <s v="/"/>
    <n v="1"/>
    <s v="GWP100 with fb AR6"/>
    <n v="1.0754123680646672"/>
    <n v="0.89170877631447931"/>
    <n v="0"/>
    <n v="0"/>
    <n v="6.7290692948786756E-4"/>
    <n v="0"/>
    <n v="0"/>
    <n v="0"/>
    <n v="0.18370359175018786"/>
    <n v="0"/>
  </r>
  <r>
    <x v="6"/>
    <x v="107"/>
    <x v="1"/>
    <s v="/"/>
    <n v="0.5"/>
    <s v="GWP100 with fb AR6"/>
    <n v="1.0391745911851336"/>
    <n v="0.9596237176003406"/>
    <n v="0"/>
    <n v="0"/>
    <n v="2.9139514133623792E-4"/>
    <n v="0"/>
    <n v="0"/>
    <n v="0"/>
    <n v="7.9550873584792958E-2"/>
    <n v="0"/>
  </r>
  <r>
    <x v="6"/>
    <x v="108"/>
    <x v="1"/>
    <s v="/"/>
    <n v="0.5"/>
    <s v="GWP100 with fb AR6"/>
    <n v="1.1116501449442009"/>
    <n v="0.82379383502861814"/>
    <n v="0"/>
    <n v="0"/>
    <n v="1.0544187176394972E-3"/>
    <n v="0"/>
    <n v="0"/>
    <n v="0"/>
    <n v="0.28785630991558275"/>
    <n v="0"/>
  </r>
  <r>
    <x v="6"/>
    <x v="109"/>
    <x v="1"/>
    <s v="/"/>
    <n v="1"/>
    <s v="GWP100 with fb AR6"/>
    <n v="3.1240891499167369"/>
    <n v="1.9229148311980127"/>
    <m/>
    <n v="5.50717829765838E-2"/>
    <n v="4.3999059293726162E-3"/>
    <n v="0"/>
    <n v="0"/>
    <n v="1.4979524969630793"/>
    <n v="1.2011743187187243"/>
    <n v="0"/>
  </r>
  <r>
    <x v="6"/>
    <x v="110"/>
    <x v="1"/>
    <s v="/"/>
    <n v="1"/>
    <s v="GWP100 with fb AR6"/>
    <n v="2.9111190754725209"/>
    <n v="2.6919770844203721"/>
    <n v="0"/>
    <n v="0"/>
    <n v="8.0271791594193622E-4"/>
    <n v="0"/>
    <n v="0"/>
    <n v="0"/>
    <n v="0.2191419910521486"/>
    <n v="0"/>
  </r>
  <r>
    <x v="6"/>
    <x v="111"/>
    <x v="1"/>
    <s v="/"/>
    <n v="1"/>
    <s v="GWP100 with fb AR6"/>
    <n v="1.8526147161382966"/>
    <n v="1.1458069647989859"/>
    <n v="0"/>
    <n v="4.9888377957315051E-2"/>
    <n v="2.5890393821952776E-3"/>
    <n v="0"/>
    <n v="0"/>
    <n v="1.3569638804389694"/>
    <n v="0.70680775133931084"/>
    <n v="0"/>
  </r>
  <r>
    <x v="6"/>
    <x v="112"/>
    <x v="1"/>
    <s v="/"/>
    <n v="0"/>
    <s v="GWP100 with fb AR6"/>
    <n v="3.0753768844221097"/>
    <n v="3.0753768844221097"/>
    <n v="0"/>
    <n v="0"/>
    <n v="0"/>
    <n v="0"/>
    <n v="0"/>
    <n v="0"/>
    <n v="0"/>
    <n v="0"/>
  </r>
  <r>
    <x v="6"/>
    <x v="113"/>
    <x v="0"/>
    <s v="/"/>
    <n v="1"/>
    <s v="GWP100 with fb AR6"/>
    <n v="1.9842012521040182"/>
    <n v="1.9842012521040182"/>
    <n v="0"/>
    <n v="0"/>
    <n v="0"/>
    <n v="0"/>
    <n v="0"/>
    <n v="0"/>
    <n v="0"/>
    <n v="0"/>
  </r>
  <r>
    <x v="6"/>
    <x v="113"/>
    <x v="2"/>
    <s v="/"/>
    <n v="0.12550094711264553"/>
    <s v="GWP100 with fb AR6"/>
    <n v="1.8199999999999998"/>
    <n v="1.8199999999999998"/>
    <n v="0"/>
    <n v="0"/>
    <n v="0"/>
    <n v="0"/>
    <n v="0"/>
    <n v="0"/>
    <n v="0"/>
    <n v="0"/>
  </r>
  <r>
    <x v="6"/>
    <x v="113"/>
    <x v="23"/>
    <s v="/"/>
    <n v="0.20957728098324416"/>
    <s v="GWP100 with fb AR6"/>
    <n v="2.02"/>
    <n v="2.02"/>
    <n v="0"/>
    <n v="0"/>
    <n v="0"/>
    <n v="0"/>
    <n v="0"/>
    <n v="0"/>
    <n v="0"/>
    <n v="0"/>
  </r>
  <r>
    <x v="6"/>
    <x v="113"/>
    <x v="50"/>
    <s v="/"/>
    <n v="0.10698558473452441"/>
    <s v="GWP100 with fb AR6"/>
    <n v="1.92"/>
    <n v="1.92"/>
    <n v="0"/>
    <n v="0"/>
    <n v="0"/>
    <n v="0"/>
    <n v="0"/>
    <n v="0"/>
    <n v="0"/>
    <n v="0"/>
  </r>
  <r>
    <x v="6"/>
    <x v="113"/>
    <x v="11"/>
    <s v="/"/>
    <n v="0.55793618716958582"/>
    <s v="GWP100 with fb AR6"/>
    <n v="2.02"/>
    <n v="2.02"/>
    <n v="0"/>
    <n v="0"/>
    <n v="0"/>
    <n v="0"/>
    <n v="0"/>
    <n v="0"/>
    <n v="0"/>
    <n v="0"/>
  </r>
  <r>
    <x v="6"/>
    <x v="114"/>
    <x v="0"/>
    <s v="/"/>
    <n v="1"/>
    <s v="GWP100 with fb AR6"/>
    <n v="1.7052568947887989"/>
    <n v="1.7052568947887989"/>
    <n v="0"/>
    <n v="0"/>
    <n v="0"/>
    <n v="0"/>
    <n v="0"/>
    <n v="0"/>
    <n v="0"/>
    <n v="0"/>
  </r>
  <r>
    <x v="6"/>
    <x v="114"/>
    <x v="1"/>
    <s v="/"/>
    <n v="9.1446639135860736E-2"/>
    <s v="GWP100 with fb AR6"/>
    <n v="1.28"/>
    <n v="1.28"/>
    <n v="0"/>
    <n v="0"/>
    <n v="0"/>
    <n v="0"/>
    <n v="0"/>
    <n v="0"/>
    <n v="0"/>
    <n v="0"/>
  </r>
  <r>
    <x v="6"/>
    <x v="114"/>
    <x v="51"/>
    <s v="/"/>
    <n v="0.317035205433574"/>
    <s v="GWP100 with fb AR6"/>
    <n v="1.2639999999999998"/>
    <n v="1.2639999999999998"/>
    <n v="0"/>
    <n v="0"/>
    <n v="0"/>
    <n v="0"/>
    <n v="0"/>
    <n v="0"/>
    <n v="0"/>
    <n v="0"/>
  </r>
  <r>
    <x v="6"/>
    <x v="114"/>
    <x v="11"/>
    <s v="/"/>
    <n v="0.5915181554305653"/>
    <s v="GWP100 with fb AR6"/>
    <n v="2.0074999999999998"/>
    <n v="2.0074999999999998"/>
    <n v="0"/>
    <n v="0"/>
    <n v="0"/>
    <n v="0"/>
    <n v="0"/>
    <n v="0"/>
    <n v="0"/>
    <n v="0"/>
  </r>
  <r>
    <x v="6"/>
    <x v="115"/>
    <x v="0"/>
    <s v="/"/>
    <n v="1"/>
    <s v="GWP100 with fb AR6"/>
    <n v="0.96204838400797255"/>
    <n v="0.76749030598724177"/>
    <n v="1.1074497650830001E-3"/>
    <n v="0"/>
    <n v="5.9178049458336003E-4"/>
    <n v="0"/>
    <n v="3.3002002999473402E-2"/>
    <n v="0"/>
    <n v="0.16155607502125729"/>
    <n v="0"/>
  </r>
  <r>
    <x v="6"/>
    <x v="115"/>
    <x v="1"/>
    <s v="/"/>
    <n v="0.7"/>
    <s v="GWP100 with fb AR6"/>
    <n v="0.80922324465873086"/>
    <n v="0.61466516663800008"/>
    <n v="1.1074497650829999E-3"/>
    <n v="0"/>
    <n v="5.9178049458336003E-4"/>
    <n v="0"/>
    <n v="3.3002002999473395E-2"/>
    <n v="0"/>
    <n v="0.16155607502125729"/>
    <n v="0"/>
  </r>
  <r>
    <x v="6"/>
    <x v="115"/>
    <x v="20"/>
    <s v="/"/>
    <n v="0.27174860650758298"/>
    <s v="GWP100 with fb AR6"/>
    <n v="1.3092232446587304"/>
    <n v="1.1146651666379999"/>
    <n v="1.1074497650829999E-3"/>
    <n v="0"/>
    <n v="5.9178049458336003E-4"/>
    <n v="0"/>
    <n v="3.3002002999473395E-2"/>
    <n v="0"/>
    <n v="0.16155607502125729"/>
    <n v="0"/>
  </r>
  <r>
    <x v="6"/>
    <x v="115"/>
    <x v="4"/>
    <s v="/"/>
    <n v="2.8251393492417121E-2"/>
    <s v="GWP100 with fb AR6"/>
    <n v="1.4092232446587305"/>
    <n v="1.2146651666379999"/>
    <n v="1.1074497650829999E-3"/>
    <n v="0"/>
    <n v="5.9178049458336003E-4"/>
    <n v="0"/>
    <n v="3.3002002999473395E-2"/>
    <n v="0"/>
    <n v="0.1615560750212572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rowGrandTotals="0" colGrandTotals="0" itemPrintTitles="1" createdVersion="6" indent="0" compact="0" compactData="0" multipleFieldFilters="0" chartFormat="2">
  <location ref="A9:N36" firstHeaderRow="0" firstDataRow="1" firstDataCol="3"/>
  <pivotFields count="19">
    <pivotField axis="axisRow" compact="0" outline="0" showAll="0" defaultSubtotal="0">
      <items count="7">
        <item x="4"/>
        <item h="1" x="5"/>
        <item h="1" x="0"/>
        <item h="1" x="2"/>
        <item h="1" x="3"/>
        <item h="1" x="6"/>
        <item h="1" x="1"/>
      </items>
    </pivotField>
    <pivotField axis="axisRow" compact="0" outline="0" showAll="0" defaultSubtotal="0">
      <items count="116">
        <item x="82"/>
        <item x="0"/>
        <item x="105"/>
        <item x="6"/>
        <item x="3"/>
        <item x="39"/>
        <item x="33"/>
        <item x="66"/>
        <item x="101"/>
        <item x="23"/>
        <item x="89"/>
        <item x="29"/>
        <item x="88"/>
        <item x="68"/>
        <item x="26"/>
        <item x="31"/>
        <item x="64"/>
        <item x="100"/>
        <item x="10"/>
        <item x="12"/>
        <item x="98"/>
        <item x="11"/>
        <item x="76"/>
        <item x="13"/>
        <item x="70"/>
        <item x="73"/>
        <item x="94"/>
        <item x="22"/>
        <item x="72"/>
        <item x="65"/>
        <item x="85"/>
        <item x="95"/>
        <item x="34"/>
        <item x="71"/>
        <item x="78"/>
        <item x="86"/>
        <item x="111"/>
        <item x="24"/>
        <item x="103"/>
        <item x="7"/>
        <item x="28"/>
        <item x="5"/>
        <item x="97"/>
        <item x="79"/>
        <item x="96"/>
        <item x="2"/>
        <item x="109"/>
        <item x="74"/>
        <item x="102"/>
        <item x="81"/>
        <item x="42"/>
        <item x="27"/>
        <item x="4"/>
        <item x="104"/>
        <item x="84"/>
        <item x="87"/>
        <item x="67"/>
        <item x="90"/>
        <item x="1"/>
        <item x="32"/>
        <item x="63"/>
        <item x="25"/>
        <item x="110"/>
        <item x="83"/>
        <item x="47"/>
        <item x="9"/>
        <item x="108"/>
        <item x="43"/>
        <item x="77"/>
        <item x="91"/>
        <item x="38"/>
        <item x="80"/>
        <item x="75"/>
        <item x="99"/>
        <item x="41"/>
        <item x="46"/>
        <item x="37"/>
        <item x="106"/>
        <item x="8"/>
        <item x="107"/>
        <item x="51"/>
        <item x="21"/>
        <item x="35"/>
        <item x="93"/>
        <item x="92"/>
        <item x="30"/>
        <item x="40"/>
        <item x="45"/>
        <item x="36"/>
        <item x="69"/>
        <item x="44"/>
        <item x="48"/>
        <item x="49"/>
        <item x="50"/>
        <item x="14"/>
        <item x="15"/>
        <item x="16"/>
        <item x="17"/>
        <item x="18"/>
        <item x="19"/>
        <item x="20"/>
        <item x="52"/>
        <item x="53"/>
        <item x="54"/>
        <item x="55"/>
        <item x="56"/>
        <item x="57"/>
        <item x="58"/>
        <item x="59"/>
        <item x="60"/>
        <item x="61"/>
        <item x="62"/>
        <item x="112"/>
        <item x="113"/>
        <item x="114"/>
        <item x="115"/>
      </items>
    </pivotField>
    <pivotField axis="axisRow" compact="0" outline="0" showAll="0" defaultSubtotal="0">
      <items count="52">
        <item x="0"/>
        <item x="27"/>
        <item x="29"/>
        <item x="28"/>
        <item x="5"/>
        <item x="16"/>
        <item x="8"/>
        <item x="31"/>
        <item x="10"/>
        <item x="9"/>
        <item x="26"/>
        <item x="39"/>
        <item x="41"/>
        <item x="14"/>
        <item x="32"/>
        <item x="15"/>
        <item x="40"/>
        <item x="2"/>
        <item x="13"/>
        <item x="49"/>
        <item x="42"/>
        <item x="44"/>
        <item x="46"/>
        <item x="43"/>
        <item x="17"/>
        <item x="3"/>
        <item x="4"/>
        <item x="11"/>
        <item x="7"/>
        <item x="1"/>
        <item x="45"/>
        <item x="30"/>
        <item x="6"/>
        <item x="48"/>
        <item x="21"/>
        <item x="47"/>
        <item x="12"/>
        <item x="18"/>
        <item x="19"/>
        <item x="20"/>
        <item x="22"/>
        <item x="23"/>
        <item x="24"/>
        <item x="25"/>
        <item x="33"/>
        <item x="34"/>
        <item x="35"/>
        <item x="36"/>
        <item x="37"/>
        <item x="38"/>
        <item x="50"/>
        <item x="51"/>
      </items>
    </pivotField>
    <pivotField compact="0" outline="0" showAll="0" defaultSubtotal="0"/>
    <pivotField dataField="1" compact="0" outline="0" showAll="0" defaultSubtotal="0"/>
    <pivotField compact="0" outline="0" showAll="0" defaultSubtotal="0"/>
    <pivotField dataField="1" compact="0" numFmtId="2" outline="0" showAll="0" defaultSubtotal="0"/>
    <pivotField dataField="1" compact="0" numFmtId="2" outline="0" showAll="0" defaultSubtotal="0"/>
    <pivotField dataField="1" compact="0" outline="0" showAll="0" defaultSubtotal="0"/>
    <pivotField dataField="1" compact="0" outline="0" showAll="0" defaultSubtotal="0"/>
    <pivotField dataField="1" compact="0" numFmtId="11"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3">
    <field x="0"/>
    <field x="1"/>
    <field x="2"/>
  </rowFields>
  <rowItems count="27">
    <i>
      <x/>
      <x v="13"/>
      <x/>
    </i>
    <i r="2">
      <x v="7"/>
    </i>
    <i r="2">
      <x v="26"/>
    </i>
    <i r="2">
      <x v="29"/>
    </i>
    <i r="1">
      <x v="24"/>
      <x/>
    </i>
    <i r="2">
      <x v="26"/>
    </i>
    <i r="2">
      <x v="29"/>
    </i>
    <i r="1">
      <x v="25"/>
      <x/>
    </i>
    <i r="2">
      <x v="26"/>
    </i>
    <i r="2">
      <x v="29"/>
    </i>
    <i r="1">
      <x v="28"/>
      <x/>
    </i>
    <i r="2">
      <x v="7"/>
    </i>
    <i r="2">
      <x v="26"/>
    </i>
    <i r="2">
      <x v="29"/>
    </i>
    <i r="2">
      <x v="32"/>
    </i>
    <i r="1">
      <x v="33"/>
      <x/>
    </i>
    <i r="2">
      <x v="7"/>
    </i>
    <i r="2">
      <x v="26"/>
    </i>
    <i r="2">
      <x v="29"/>
    </i>
    <i r="2">
      <x v="32"/>
    </i>
    <i r="1">
      <x v="47"/>
      <x/>
    </i>
    <i r="2">
      <x v="26"/>
    </i>
    <i r="2">
      <x v="29"/>
    </i>
    <i r="1">
      <x v="56"/>
      <x v="29"/>
    </i>
    <i r="1">
      <x v="89"/>
      <x/>
    </i>
    <i r="2">
      <x v="26"/>
    </i>
    <i r="2">
      <x v="29"/>
    </i>
  </rowItems>
  <colFields count="1">
    <field x="-2"/>
  </colFields>
  <colItems count="11">
    <i>
      <x/>
    </i>
    <i i="1">
      <x v="1"/>
    </i>
    <i i="2">
      <x v="2"/>
    </i>
    <i i="3">
      <x v="3"/>
    </i>
    <i i="4">
      <x v="4"/>
    </i>
    <i i="5">
      <x v="5"/>
    </i>
    <i i="6">
      <x v="6"/>
    </i>
    <i i="7">
      <x v="7"/>
    </i>
    <i i="8">
      <x v="8"/>
    </i>
    <i i="9">
      <x v="9"/>
    </i>
    <i i="10">
      <x v="10"/>
    </i>
  </colItems>
  <dataFields count="11">
    <dataField name="Sum of Share of market" fld="4" baseField="0" baseItem="0" numFmtId="2"/>
    <dataField name="Kg  CO2e at retail-gate per kg of product" fld="6" subtotal="average" baseField="0" baseItem="0" numFmtId="2"/>
    <dataField name="kg  CO2 at retail-gate per kg of product" fld="7" subtotal="average" baseField="0" baseItem="0" numFmtId="2"/>
    <dataField name="kg  CH4 fossil at retail-gate per kg of product" fld="8" subtotal="average" baseField="2" baseItem="33"/>
    <dataField name="kg  CH4 bio at retail-gate per kg of product" fld="9" subtotal="average" baseField="2" baseItem="33"/>
    <dataField name=" kg  N2O at retail-gate per kg of product" fld="10" subtotal="average" baseField="0" baseItem="0" numFmtId="11"/>
    <dataField name="kg  HCFC-22 at retail-gate per kg of product" fld="11" subtotal="average" baseField="2" baseItem="34"/>
    <dataField name="kg  CO2e from CH4 fossil" fld="12" subtotal="average" baseField="2" baseItem="0"/>
    <dataField name="kg  CO2e from CH4 bio" fld="13" subtotal="average" baseField="2" baseItem="34"/>
    <dataField name="kg  CO2e from N2O" fld="14" subtotal="average" baseField="2" baseItem="0" numFmtId="11"/>
    <dataField name="kg  CO2e from HCFC-22" fld="15" subtotal="average" baseField="2" baseItem="34"/>
  </dataFields>
  <formats count="45">
    <format dxfId="46">
      <pivotArea outline="0" collapsedLevelsAreSubtotals="1" fieldPosition="0">
        <references count="1">
          <reference field="4294967294" count="3" selected="0">
            <x v="0"/>
            <x v="1"/>
            <x v="2"/>
          </reference>
        </references>
      </pivotArea>
    </format>
    <format dxfId="45">
      <pivotArea dataOnly="0" labelOnly="1" outline="0" fieldPosition="0">
        <references count="1">
          <reference field="4294967294" count="3">
            <x v="0"/>
            <x v="1"/>
            <x v="2"/>
          </reference>
        </references>
      </pivotArea>
    </format>
    <format dxfId="44">
      <pivotArea outline="0" collapsedLevelsAreSubtotals="1" fieldPosition="0">
        <references count="1">
          <reference field="4294967294" count="1" selected="0">
            <x v="5"/>
          </reference>
        </references>
      </pivotArea>
    </format>
    <format dxfId="43">
      <pivotArea dataOnly="0" labelOnly="1" outline="0" fieldPosition="0">
        <references count="1">
          <reference field="4294967294" count="1">
            <x v="5"/>
          </reference>
        </references>
      </pivotArea>
    </format>
    <format dxfId="42">
      <pivotArea outline="0" collapsedLevelsAreSubtotals="1" fieldPosition="0">
        <references count="1">
          <reference field="4294967294" count="1" selected="0">
            <x v="9"/>
          </reference>
        </references>
      </pivotArea>
    </format>
    <format dxfId="41">
      <pivotArea dataOnly="0" labelOnly="1" outline="0" fieldPosition="0">
        <references count="1">
          <reference field="4294967294" count="1">
            <x v="9"/>
          </reference>
        </references>
      </pivotArea>
    </format>
    <format dxfId="40">
      <pivotArea field="2" type="button" dataOnly="0" labelOnly="1" outline="0" axis="axisRow" fieldPosition="2"/>
    </format>
    <format dxfId="39">
      <pivotArea dataOnly="0" labelOnly="1" outline="0" fieldPosition="0">
        <references count="1">
          <reference field="4294967294" count="10">
            <x v="0"/>
            <x v="1"/>
            <x v="2"/>
            <x v="3"/>
            <x v="4"/>
            <x v="5"/>
            <x v="6"/>
            <x v="8"/>
            <x v="9"/>
            <x v="10"/>
          </reference>
        </references>
      </pivotArea>
    </format>
    <format dxfId="38">
      <pivotArea field="2" type="button" dataOnly="0" labelOnly="1" outline="0" axis="axisRow" fieldPosition="2"/>
    </format>
    <format dxfId="37">
      <pivotArea dataOnly="0" labelOnly="1" outline="0" fieldPosition="0">
        <references count="1">
          <reference field="4294967294" count="10">
            <x v="0"/>
            <x v="1"/>
            <x v="2"/>
            <x v="3"/>
            <x v="4"/>
            <x v="5"/>
            <x v="6"/>
            <x v="8"/>
            <x v="9"/>
            <x v="10"/>
          </reference>
        </references>
      </pivotArea>
    </format>
    <format dxfId="36">
      <pivotArea field="2" type="button" dataOnly="0" labelOnly="1" outline="0" axis="axisRow" fieldPosition="2"/>
    </format>
    <format dxfId="35">
      <pivotArea dataOnly="0" labelOnly="1" outline="0" fieldPosition="0">
        <references count="1">
          <reference field="4294967294" count="10">
            <x v="0"/>
            <x v="1"/>
            <x v="2"/>
            <x v="3"/>
            <x v="4"/>
            <x v="5"/>
            <x v="6"/>
            <x v="8"/>
            <x v="9"/>
            <x v="10"/>
          </reference>
        </references>
      </pivotArea>
    </format>
    <format dxfId="34">
      <pivotArea dataOnly="0" labelOnly="1" outline="0" fieldPosition="0">
        <references count="1">
          <reference field="4294967294" count="1">
            <x v="2"/>
          </reference>
        </references>
      </pivotArea>
    </format>
    <format dxfId="33">
      <pivotArea dataOnly="0" labelOnly="1" outline="0" fieldPosition="0">
        <references count="1">
          <reference field="4294967294" count="1">
            <x v="2"/>
          </reference>
        </references>
      </pivotArea>
    </format>
    <format dxfId="32">
      <pivotArea dataOnly="0" labelOnly="1" outline="0" fieldPosition="0">
        <references count="1">
          <reference field="4294967294" count="1">
            <x v="7"/>
          </reference>
        </references>
      </pivotArea>
    </format>
    <format dxfId="31">
      <pivotArea field="0" type="button" dataOnly="0" labelOnly="1" outline="0" axis="axisRow" fieldPosition="0"/>
    </format>
    <format dxfId="30">
      <pivotArea field="1" type="button" dataOnly="0" labelOnly="1" outline="0" axis="axisRow" fieldPosition="1"/>
    </format>
    <format dxfId="29">
      <pivotArea field="2" type="button" dataOnly="0" labelOnly="1" outline="0" axis="axisRow" fieldPosition="2"/>
    </format>
    <format dxfId="28">
      <pivotArea dataOnly="0" labelOnly="1" outline="0" fieldPosition="0">
        <references count="1">
          <reference field="4294967294" count="11">
            <x v="0"/>
            <x v="1"/>
            <x v="2"/>
            <x v="3"/>
            <x v="4"/>
            <x v="5"/>
            <x v="6"/>
            <x v="7"/>
            <x v="8"/>
            <x v="9"/>
            <x v="10"/>
          </reference>
        </references>
      </pivotArea>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field="1" type="button" dataOnly="0" labelOnly="1" outline="0" axis="axisRow" fieldPosition="1"/>
    </format>
    <format dxfId="23">
      <pivotArea field="2" type="button" dataOnly="0" labelOnly="1" outline="0" axis="axisRow" fieldPosition="2"/>
    </format>
    <format dxfId="22">
      <pivotArea dataOnly="0" labelOnly="1" outline="0" fieldPosition="0">
        <references count="1">
          <reference field="0" count="0"/>
        </references>
      </pivotArea>
    </format>
    <format dxfId="21">
      <pivotArea dataOnly="0" labelOnly="1" outline="0" fieldPosition="0">
        <references count="2">
          <reference field="0" count="0" selected="0"/>
          <reference field="1" count="12">
            <x v="0"/>
            <x v="22"/>
            <x v="30"/>
            <x v="34"/>
            <x v="35"/>
            <x v="43"/>
            <x v="49"/>
            <x v="54"/>
            <x v="63"/>
            <x v="68"/>
            <x v="71"/>
            <x v="72"/>
          </reference>
        </references>
      </pivotArea>
    </format>
    <format dxfId="20">
      <pivotArea dataOnly="0" labelOnly="1" outline="0" fieldPosition="0">
        <references count="3">
          <reference field="0" count="0" selected="0"/>
          <reference field="1" count="1" selected="0">
            <x v="0"/>
          </reference>
          <reference field="2" count="1">
            <x v="34"/>
          </reference>
        </references>
      </pivotArea>
    </format>
    <format dxfId="19">
      <pivotArea dataOnly="0" labelOnly="1" outline="0" fieldPosition="0">
        <references count="3">
          <reference field="0" count="0" selected="0"/>
          <reference field="1" count="1" selected="0">
            <x v="22"/>
          </reference>
          <reference field="2" count="2">
            <x v="0"/>
            <x v="23"/>
          </reference>
        </references>
      </pivotArea>
    </format>
    <format dxfId="18">
      <pivotArea dataOnly="0" labelOnly="1" outline="0" fieldPosition="0">
        <references count="3">
          <reference field="0" count="0" selected="0"/>
          <reference field="1" count="1" selected="0">
            <x v="30"/>
          </reference>
          <reference field="2" count="2">
            <x v="0"/>
            <x v="33"/>
          </reference>
        </references>
      </pivotArea>
    </format>
    <format dxfId="17">
      <pivotArea dataOnly="0" labelOnly="1" outline="0" fieldPosition="0">
        <references count="3">
          <reference field="0" count="0" selected="0"/>
          <reference field="1" count="1" selected="0">
            <x v="34"/>
          </reference>
          <reference field="2" count="2">
            <x v="0"/>
            <x v="29"/>
          </reference>
        </references>
      </pivotArea>
    </format>
    <format dxfId="16">
      <pivotArea dataOnly="0" labelOnly="1" outline="0" fieldPosition="0">
        <references count="3">
          <reference field="0" count="0" selected="0"/>
          <reference field="1" count="1" selected="0">
            <x v="35"/>
          </reference>
          <reference field="2" count="2">
            <x v="0"/>
            <x v="19"/>
          </reference>
        </references>
      </pivotArea>
    </format>
    <format dxfId="15">
      <pivotArea dataOnly="0" labelOnly="1" outline="0" fieldPosition="0">
        <references count="3">
          <reference field="0" count="0" selected="0"/>
          <reference field="1" count="1" selected="0">
            <x v="43"/>
          </reference>
          <reference field="2" count="2">
            <x v="0"/>
            <x v="30"/>
          </reference>
        </references>
      </pivotArea>
    </format>
    <format dxfId="14">
      <pivotArea dataOnly="0" labelOnly="1" outline="0" fieldPosition="0">
        <references count="3">
          <reference field="0" count="0" selected="0"/>
          <reference field="1" count="1" selected="0">
            <x v="49"/>
          </reference>
          <reference field="2" count="1">
            <x v="22"/>
          </reference>
        </references>
      </pivotArea>
    </format>
    <format dxfId="13">
      <pivotArea dataOnly="0" labelOnly="1" outline="0" fieldPosition="0">
        <references count="3">
          <reference field="0" count="0" selected="0"/>
          <reference field="1" count="1" selected="0">
            <x v="54"/>
          </reference>
          <reference field="2" count="1">
            <x v="35"/>
          </reference>
        </references>
      </pivotArea>
    </format>
    <format dxfId="12">
      <pivotArea dataOnly="0" labelOnly="1" outline="0" fieldPosition="0">
        <references count="3">
          <reference field="0" count="0" selected="0"/>
          <reference field="1" count="1" selected="0">
            <x v="63"/>
          </reference>
          <reference field="2" count="1">
            <x v="29"/>
          </reference>
        </references>
      </pivotArea>
    </format>
    <format dxfId="11">
      <pivotArea dataOnly="0" labelOnly="1" outline="0" fieldPosition="0">
        <references count="3">
          <reference field="0" count="0" selected="0"/>
          <reference field="1" count="1" selected="0">
            <x v="68"/>
          </reference>
          <reference field="2" count="2">
            <x v="0"/>
            <x v="21"/>
          </reference>
        </references>
      </pivotArea>
    </format>
    <format dxfId="10">
      <pivotArea dataOnly="0" labelOnly="1" outline="0" fieldPosition="0">
        <references count="3">
          <reference field="0" count="0" selected="0"/>
          <reference field="1" count="1" selected="0">
            <x v="71"/>
          </reference>
          <reference field="2" count="2">
            <x v="0"/>
            <x v="22"/>
          </reference>
        </references>
      </pivotArea>
    </format>
    <format dxfId="9">
      <pivotArea dataOnly="0" labelOnly="1" outline="0" fieldPosition="0">
        <references count="3">
          <reference field="0" count="0" selected="0"/>
          <reference field="1" count="1" selected="0">
            <x v="72"/>
          </reference>
          <reference field="2" count="1">
            <x v="20"/>
          </reference>
        </references>
      </pivotArea>
    </format>
    <format dxfId="8">
      <pivotArea dataOnly="0" labelOnly="1" outline="0" fieldPosition="0">
        <references count="1">
          <reference field="4294967294" count="11">
            <x v="0"/>
            <x v="1"/>
            <x v="2"/>
            <x v="3"/>
            <x v="4"/>
            <x v="5"/>
            <x v="6"/>
            <x v="7"/>
            <x v="8"/>
            <x v="9"/>
            <x v="10"/>
          </reference>
        </references>
      </pivotArea>
    </format>
    <format dxfId="7">
      <pivotArea dataOnly="0" labelOnly="1" outline="0" fieldPosition="0">
        <references count="1">
          <reference field="4294967294" count="10">
            <x v="1"/>
            <x v="2"/>
            <x v="3"/>
            <x v="4"/>
            <x v="5"/>
            <x v="6"/>
            <x v="7"/>
            <x v="8"/>
            <x v="9"/>
            <x v="10"/>
          </reference>
        </references>
      </pivotArea>
    </format>
    <format dxfId="6">
      <pivotArea dataOnly="0" labelOnly="1" outline="0" fieldPosition="0">
        <references count="1">
          <reference field="4294967294" count="10">
            <x v="1"/>
            <x v="2"/>
            <x v="3"/>
            <x v="4"/>
            <x v="5"/>
            <x v="6"/>
            <x v="7"/>
            <x v="8"/>
            <x v="9"/>
            <x v="10"/>
          </reference>
        </references>
      </pivotArea>
    </format>
    <format dxfId="5">
      <pivotArea dataOnly="0" labelOnly="1" outline="0" fieldPosition="0">
        <references count="1">
          <reference field="4294967294" count="10">
            <x v="1"/>
            <x v="2"/>
            <x v="3"/>
            <x v="4"/>
            <x v="5"/>
            <x v="6"/>
            <x v="7"/>
            <x v="8"/>
            <x v="9"/>
            <x v="10"/>
          </reference>
        </references>
      </pivotArea>
    </format>
    <format dxfId="4">
      <pivotArea dataOnly="0" labelOnly="1" outline="0" fieldPosition="0">
        <references count="1">
          <reference field="4294967294" count="10">
            <x v="1"/>
            <x v="2"/>
            <x v="3"/>
            <x v="4"/>
            <x v="5"/>
            <x v="6"/>
            <x v="7"/>
            <x v="8"/>
            <x v="9"/>
            <x v="10"/>
          </reference>
        </references>
      </pivotArea>
    </format>
    <format dxfId="3">
      <pivotArea dataOnly="0" labelOnly="1" outline="0" fieldPosition="0">
        <references count="1">
          <reference field="4294967294" count="11">
            <x v="0"/>
            <x v="1"/>
            <x v="2"/>
            <x v="3"/>
            <x v="4"/>
            <x v="5"/>
            <x v="6"/>
            <x v="7"/>
            <x v="8"/>
            <x v="9"/>
            <x v="10"/>
          </reference>
        </references>
      </pivotArea>
    </format>
    <format dxfId="2">
      <pivotArea dataOnly="0" labelOnly="1" outline="0" fieldPosition="0">
        <references count="1">
          <reference field="4294967294" count="11">
            <x v="0"/>
            <x v="1"/>
            <x v="2"/>
            <x v="3"/>
            <x v="4"/>
            <x v="5"/>
            <x v="6"/>
            <x v="7"/>
            <x v="8"/>
            <x v="9"/>
            <x v="10"/>
          </reference>
        </references>
      </pivotArea>
    </format>
  </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00000000-0013-0000-FFFF-FFFF01000000}" sourceName="Product group">
  <pivotTables>
    <pivotTable tabId="102" name="PivotTable1"/>
  </pivotTables>
  <data>
    <tabular pivotCacheId="3">
      <items count="7">
        <i x="4" s="1"/>
        <i x="5"/>
        <i x="0"/>
        <i x="2"/>
        <i x="3"/>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group" xr10:uid="{00000000-0014-0000-FFFF-FFFF01000000}" cache="Slicer_Product_group" caption="Product grou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347" totalsRowShown="0" headerRowDxfId="61">
  <autoFilter ref="A1:P347" xr:uid="{00000000-0009-0000-0100-000001000000}"/>
  <tableColumns count="16">
    <tableColumn id="1" xr3:uid="{00000000-0010-0000-0000-000001000000}" name="Product group" dataDxfId="60"/>
    <tableColumn id="2" xr3:uid="{00000000-0010-0000-0000-000002000000}" name="Food product" dataDxfId="59"/>
    <tableColumn id="3" xr3:uid="{00000000-0010-0000-0000-000003000000}" name="Production country "/>
    <tableColumn id="4" xr3:uid="{00000000-0010-0000-0000-000004000000}" name="Production system" dataDxfId="58"/>
    <tableColumn id="5" xr3:uid="{00000000-0010-0000-0000-000005000000}" name="Share of market" dataDxfId="57"/>
    <tableColumn id="6" xr3:uid="{00000000-0010-0000-0000-000006000000}" name="Choice of climate metric">
      <calculatedColumnFormula>'Summary pivot'!$C$1</calculatedColumnFormula>
    </tableColumn>
    <tableColumn id="7" xr3:uid="{00000000-0010-0000-0000-000007000000}" name="kg CO2e at retail-gate per kg of product" dataDxfId="56">
      <calculatedColumnFormula>Table1[[#This Row],[kg CO2 at retail-gate per kg of product]]+Table1[[#This Row],[Kg CO2e from CH4 fossil]]+Table1[[#This Row],[Kg CO2e from N2O]]</calculatedColumnFormula>
    </tableColumn>
    <tableColumn id="8" xr3:uid="{00000000-0010-0000-0000-000008000000}" name="kg CO2 at retail-gate per kg of product" dataDxfId="55"/>
    <tableColumn id="9" xr3:uid="{00000000-0010-0000-0000-000009000000}" name="kg CH4 fossil at retail-gate per kg of product" dataDxfId="54"/>
    <tableColumn id="14" xr3:uid="{00000000-0010-0000-0000-00000E000000}" name="kg CH4 bio at retail-gate per kg of product" dataDxfId="53"/>
    <tableColumn id="10" xr3:uid="{00000000-0010-0000-0000-00000A000000}" name="kg N2O at retail-gate per kg of product" dataDxfId="52"/>
    <tableColumn id="15" xr3:uid="{00000000-0010-0000-0000-00000F000000}" name="kg HCFC-22 at retail-gate per kg of product" dataDxfId="51"/>
    <tableColumn id="11" xr3:uid="{00000000-0010-0000-0000-00000B000000}" name="Kg CO2e from CH4 fossil" dataDxfId="50">
      <calculatedColumnFormula>Table1[[#This Row],[kg CH4 fossil at retail-gate per kg of product]]*'Summary pivot'!$D$5</calculatedColumnFormula>
    </tableColumn>
    <tableColumn id="16" xr3:uid="{00000000-0010-0000-0000-000010000000}" name="Kg CO2e from CH4 bio" dataDxfId="49">
      <calculatedColumnFormula>Table1[[#This Row],[kg CH4 bio at retail-gate per kg of product]]*'Summary pivot'!$D$4</calculatedColumnFormula>
    </tableColumn>
    <tableColumn id="12" xr3:uid="{00000000-0010-0000-0000-00000C000000}" name="Kg CO2e from N2O" dataDxfId="48">
      <calculatedColumnFormula>Table1[[#This Row],[kg N2O at retail-gate per kg of product]]*'Summary pivot'!$D$6</calculatedColumnFormula>
    </tableColumn>
    <tableColumn id="17" xr3:uid="{00000000-0010-0000-0000-000011000000}" name="Kg CO2e from HCFC-22" dataDxfId="47">
      <calculatedColumnFormula>Table1[[#This Row],[kg HCFC-22 at retail-gate per kg of product]]*'Summary pivot'!$D$7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5.bin"/><Relationship Id="rId4"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www.gouldings.ie/ni/grass-growth/research-on-grazing/grass-intake-of-dairy-cows/" TargetMode="External"/><Relationship Id="rId1" Type="http://schemas.openxmlformats.org/officeDocument/2006/relationships/hyperlink" Target="http://www/"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defaultColWidth="8.7109375" defaultRowHeight="15"/>
  <cols>
    <col min="1" max="1" width="255.42578125" customWidth="1"/>
  </cols>
  <sheetData>
    <row r="1" spans="1:1" ht="100.5" customHeight="1">
      <c r="A1" s="305" t="s">
        <v>0</v>
      </c>
    </row>
    <row r="2" spans="1:1" ht="409.35" customHeight="1">
      <c r="A2" s="306" t="s">
        <v>1</v>
      </c>
    </row>
    <row r="3" spans="1:1" ht="18.75">
      <c r="A3" s="307"/>
    </row>
    <row r="4" spans="1:1" ht="15.75">
      <c r="A4" s="308"/>
    </row>
    <row r="5" spans="1:1" ht="15.75">
      <c r="A5" s="308"/>
    </row>
    <row r="6" spans="1:1" ht="15.75">
      <c r="A6" s="308"/>
    </row>
    <row r="7" spans="1:1" ht="15.75">
      <c r="A7" s="308"/>
    </row>
    <row r="8" spans="1:1" ht="15.75">
      <c r="A8" s="298"/>
    </row>
    <row r="9" spans="1:1" ht="15.75">
      <c r="A9" s="309"/>
    </row>
    <row r="10" spans="1:1" ht="15.75">
      <c r="A10" s="309"/>
    </row>
    <row r="11" spans="1:1" ht="15.75">
      <c r="A11" s="309"/>
    </row>
    <row r="12" spans="1:1" ht="15.75">
      <c r="A12" s="308"/>
    </row>
    <row r="13" spans="1:1" ht="15.75">
      <c r="A13" s="298"/>
    </row>
    <row r="14" spans="1:1" ht="15.75">
      <c r="A14" s="310"/>
    </row>
    <row r="15" spans="1:1" ht="15.75">
      <c r="A15" s="31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1"/>
  <sheetViews>
    <sheetView workbookViewId="0">
      <selection activeCell="A3" sqref="A3"/>
    </sheetView>
  </sheetViews>
  <sheetFormatPr defaultColWidth="8.7109375" defaultRowHeight="15"/>
  <cols>
    <col min="1" max="1" width="29.42578125" customWidth="1"/>
    <col min="2" max="2" width="19.28515625" bestFit="1" customWidth="1"/>
    <col min="3" max="3" width="19" bestFit="1" customWidth="1"/>
    <col min="4" max="4" width="21.42578125" customWidth="1"/>
    <col min="5" max="7" width="30.42578125" bestFit="1" customWidth="1"/>
    <col min="8" max="8" width="25.42578125" customWidth="1"/>
  </cols>
  <sheetData>
    <row r="1" spans="1:8" ht="18.75">
      <c r="A1" s="312" t="s">
        <v>2</v>
      </c>
      <c r="B1" s="313" t="s">
        <v>3</v>
      </c>
      <c r="C1" s="313" t="s">
        <v>4</v>
      </c>
      <c r="D1" s="313" t="s">
        <v>5</v>
      </c>
      <c r="E1" s="313" t="s">
        <v>6</v>
      </c>
      <c r="F1" s="314" t="s">
        <v>7</v>
      </c>
      <c r="G1" s="314" t="s">
        <v>8</v>
      </c>
      <c r="H1" s="313" t="s">
        <v>9</v>
      </c>
    </row>
    <row r="2" spans="1:8">
      <c r="A2" s="315" t="s">
        <v>10</v>
      </c>
      <c r="B2" s="316" t="s">
        <v>11</v>
      </c>
      <c r="C2" s="215" t="s">
        <v>12</v>
      </c>
      <c r="D2" s="316" t="s">
        <v>13</v>
      </c>
      <c r="E2" s="317" t="s">
        <v>14</v>
      </c>
      <c r="F2" s="215" t="s">
        <v>15</v>
      </c>
      <c r="G2" s="318" t="s">
        <v>16</v>
      </c>
      <c r="H2" s="317" t="s">
        <v>17</v>
      </c>
    </row>
    <row r="3" spans="1:8">
      <c r="A3" s="319" t="s">
        <v>18</v>
      </c>
      <c r="B3" s="316" t="s">
        <v>19</v>
      </c>
      <c r="C3" s="316" t="s">
        <v>19</v>
      </c>
      <c r="D3" s="316" t="s">
        <v>19</v>
      </c>
      <c r="E3" s="316" t="s">
        <v>19</v>
      </c>
      <c r="F3" s="316" t="s">
        <v>19</v>
      </c>
      <c r="G3" s="316" t="s">
        <v>19</v>
      </c>
      <c r="H3" s="316" t="s">
        <v>19</v>
      </c>
    </row>
    <row r="4" spans="1:8">
      <c r="A4" s="320" t="s">
        <v>20</v>
      </c>
      <c r="B4" s="134" t="s">
        <v>21</v>
      </c>
      <c r="C4" s="134" t="s">
        <v>21</v>
      </c>
      <c r="D4" s="134" t="s">
        <v>21</v>
      </c>
      <c r="E4" s="134" t="s">
        <v>21</v>
      </c>
      <c r="F4" s="134" t="s">
        <v>21</v>
      </c>
      <c r="G4" s="134" t="s">
        <v>21</v>
      </c>
      <c r="H4" s="134" t="s">
        <v>21</v>
      </c>
    </row>
    <row r="5" spans="1:8">
      <c r="A5" s="315" t="s">
        <v>22</v>
      </c>
      <c r="B5" s="315" t="s">
        <v>23</v>
      </c>
      <c r="C5" s="315" t="s">
        <v>24</v>
      </c>
      <c r="D5" s="215" t="s">
        <v>25</v>
      </c>
      <c r="E5" s="321" t="s">
        <v>26</v>
      </c>
      <c r="F5" s="322" t="s">
        <v>27</v>
      </c>
      <c r="G5" s="322" t="s">
        <v>28</v>
      </c>
      <c r="H5" s="318" t="s">
        <v>29</v>
      </c>
    </row>
    <row r="6" spans="1:8">
      <c r="B6" s="315" t="s">
        <v>30</v>
      </c>
      <c r="C6" s="315" t="s">
        <v>31</v>
      </c>
      <c r="D6" s="318" t="s">
        <v>32</v>
      </c>
      <c r="E6" s="322" t="s">
        <v>33</v>
      </c>
      <c r="F6" s="322" t="s">
        <v>34</v>
      </c>
      <c r="G6" s="322" t="s">
        <v>35</v>
      </c>
      <c r="H6" s="318" t="s">
        <v>36</v>
      </c>
    </row>
    <row r="7" spans="1:8">
      <c r="B7" s="315" t="s">
        <v>37</v>
      </c>
      <c r="C7" s="315" t="s">
        <v>38</v>
      </c>
      <c r="D7" s="318" t="s">
        <v>39</v>
      </c>
      <c r="E7" s="322" t="s">
        <v>40</v>
      </c>
      <c r="F7" s="322" t="s">
        <v>41</v>
      </c>
      <c r="G7" s="322" t="s">
        <v>42</v>
      </c>
      <c r="H7" s="318" t="s">
        <v>43</v>
      </c>
    </row>
    <row r="8" spans="1:8">
      <c r="B8" s="315" t="s">
        <v>44</v>
      </c>
      <c r="C8" s="315" t="s">
        <v>45</v>
      </c>
      <c r="D8" s="318" t="s">
        <v>46</v>
      </c>
      <c r="E8" s="322" t="s">
        <v>47</v>
      </c>
      <c r="F8" s="322" t="s">
        <v>48</v>
      </c>
      <c r="G8" s="322" t="s">
        <v>49</v>
      </c>
      <c r="H8" s="318" t="s">
        <v>50</v>
      </c>
    </row>
    <row r="9" spans="1:8">
      <c r="C9" s="315" t="s">
        <v>51</v>
      </c>
      <c r="D9" s="318" t="s">
        <v>52</v>
      </c>
      <c r="E9" s="322" t="s">
        <v>53</v>
      </c>
      <c r="F9" s="322" t="s">
        <v>54</v>
      </c>
      <c r="G9" s="322" t="s">
        <v>55</v>
      </c>
      <c r="H9" s="318" t="s">
        <v>56</v>
      </c>
    </row>
    <row r="10" spans="1:8">
      <c r="C10" s="315" t="s">
        <v>57</v>
      </c>
      <c r="D10" s="318" t="s">
        <v>58</v>
      </c>
      <c r="E10" s="322" t="s">
        <v>59</v>
      </c>
      <c r="F10" s="322" t="s">
        <v>60</v>
      </c>
      <c r="G10" s="322" t="s">
        <v>61</v>
      </c>
      <c r="H10" s="318" t="s">
        <v>62</v>
      </c>
    </row>
    <row r="11" spans="1:8">
      <c r="C11" s="315" t="s">
        <v>63</v>
      </c>
      <c r="D11" s="318" t="s">
        <v>64</v>
      </c>
      <c r="E11" s="322" t="s">
        <v>65</v>
      </c>
      <c r="F11" s="322" t="s">
        <v>66</v>
      </c>
      <c r="G11" s="322" t="s">
        <v>67</v>
      </c>
      <c r="H11" s="318" t="s">
        <v>68</v>
      </c>
    </row>
    <row r="12" spans="1:8">
      <c r="C12" s="315" t="s">
        <v>69</v>
      </c>
      <c r="D12" s="318" t="s">
        <v>70</v>
      </c>
      <c r="E12" s="323" t="s">
        <v>71</v>
      </c>
      <c r="F12" s="322" t="s">
        <v>72</v>
      </c>
      <c r="G12" s="322" t="s">
        <v>73</v>
      </c>
      <c r="H12" s="318" t="s">
        <v>74</v>
      </c>
    </row>
    <row r="13" spans="1:8">
      <c r="C13" s="315" t="s">
        <v>75</v>
      </c>
      <c r="D13" s="318" t="s">
        <v>76</v>
      </c>
      <c r="E13" s="322" t="s">
        <v>77</v>
      </c>
      <c r="F13" s="322" t="s">
        <v>78</v>
      </c>
      <c r="G13" s="322" t="s">
        <v>79</v>
      </c>
      <c r="H13" s="318" t="s">
        <v>80</v>
      </c>
    </row>
    <row r="14" spans="1:8">
      <c r="C14" s="24"/>
      <c r="D14" s="318" t="s">
        <v>81</v>
      </c>
      <c r="F14" s="322" t="s">
        <v>82</v>
      </c>
      <c r="G14" s="322" t="s">
        <v>83</v>
      </c>
      <c r="H14" s="318" t="s">
        <v>84</v>
      </c>
    </row>
    <row r="15" spans="1:8">
      <c r="C15" s="24"/>
      <c r="D15" s="318" t="s">
        <v>85</v>
      </c>
      <c r="F15" s="322" t="s">
        <v>86</v>
      </c>
      <c r="G15" s="323" t="s">
        <v>87</v>
      </c>
      <c r="H15" s="318" t="s">
        <v>88</v>
      </c>
    </row>
    <row r="16" spans="1:8">
      <c r="C16" s="24"/>
      <c r="D16" s="318" t="s">
        <v>89</v>
      </c>
      <c r="F16" s="322" t="s">
        <v>90</v>
      </c>
      <c r="G16" s="322" t="s">
        <v>91</v>
      </c>
      <c r="H16" s="318" t="s">
        <v>92</v>
      </c>
    </row>
    <row r="17" spans="2:8">
      <c r="C17" s="14"/>
      <c r="D17" s="318" t="s">
        <v>93</v>
      </c>
      <c r="F17" s="322" t="s">
        <v>94</v>
      </c>
      <c r="H17" s="318" t="s">
        <v>95</v>
      </c>
    </row>
    <row r="18" spans="2:8">
      <c r="B18" s="24"/>
      <c r="C18" s="324"/>
      <c r="H18" s="318" t="s">
        <v>96</v>
      </c>
    </row>
    <row r="19" spans="2:8">
      <c r="B19" s="24"/>
      <c r="C19" s="324"/>
      <c r="E19" s="14"/>
      <c r="F19" s="14"/>
      <c r="G19" s="14"/>
      <c r="H19" s="318" t="s">
        <v>97</v>
      </c>
    </row>
    <row r="20" spans="2:8">
      <c r="B20" s="24"/>
      <c r="C20" s="324"/>
      <c r="D20" s="24"/>
      <c r="E20" s="14"/>
      <c r="F20" s="27"/>
      <c r="G20" s="14"/>
      <c r="H20" s="318" t="s">
        <v>98</v>
      </c>
    </row>
    <row r="21" spans="2:8">
      <c r="B21" s="24"/>
      <c r="C21" s="324"/>
      <c r="E21" s="14"/>
      <c r="F21" s="14"/>
      <c r="G21" s="14"/>
      <c r="H21" s="318" t="s">
        <v>99</v>
      </c>
    </row>
    <row r="22" spans="2:8" ht="30">
      <c r="B22" s="24"/>
      <c r="C22" s="324"/>
      <c r="D22" s="24"/>
      <c r="E22" s="14"/>
      <c r="F22" s="14"/>
      <c r="G22" s="14"/>
      <c r="H22" s="325" t="s">
        <v>100</v>
      </c>
    </row>
    <row r="23" spans="2:8">
      <c r="B23" s="24"/>
      <c r="C23" s="324"/>
      <c r="D23" s="24"/>
      <c r="E23" s="14"/>
      <c r="F23" s="14"/>
      <c r="G23" s="14"/>
      <c r="H23" s="322" t="s">
        <v>101</v>
      </c>
    </row>
    <row r="24" spans="2:8">
      <c r="B24" s="24"/>
      <c r="C24" s="14"/>
      <c r="E24" s="14"/>
      <c r="F24" s="14"/>
      <c r="G24" s="14"/>
      <c r="H24" s="325" t="s">
        <v>102</v>
      </c>
    </row>
    <row r="25" spans="2:8">
      <c r="B25" s="24"/>
      <c r="C25" s="14"/>
      <c r="E25" s="14"/>
      <c r="F25" s="14"/>
      <c r="G25" s="14"/>
      <c r="H25" s="325" t="s">
        <v>103</v>
      </c>
    </row>
    <row r="26" spans="2:8">
      <c r="B26" s="24"/>
      <c r="C26" s="24"/>
      <c r="D26" s="24"/>
      <c r="E26" s="14"/>
      <c r="F26" s="14"/>
      <c r="G26" s="14"/>
    </row>
    <row r="27" spans="2:8">
      <c r="B27" s="24"/>
      <c r="C27" s="14"/>
      <c r="D27" s="24"/>
      <c r="E27" s="14"/>
      <c r="F27" s="14"/>
      <c r="G27" s="14"/>
    </row>
    <row r="28" spans="2:8">
      <c r="B28" s="24"/>
      <c r="C28" s="14"/>
      <c r="E28" s="14"/>
      <c r="F28" s="14"/>
      <c r="G28" s="14"/>
    </row>
    <row r="29" spans="2:8">
      <c r="B29" s="24"/>
      <c r="C29" s="14"/>
      <c r="E29" s="14"/>
      <c r="F29" s="14"/>
      <c r="G29" s="14"/>
      <c r="H29" s="24"/>
    </row>
    <row r="30" spans="2:8">
      <c r="B30" s="24"/>
      <c r="D30" s="14"/>
      <c r="E30" s="14"/>
      <c r="F30" s="14"/>
      <c r="G30" s="14"/>
      <c r="H30" s="24"/>
    </row>
    <row r="31" spans="2:8">
      <c r="B31" s="24"/>
      <c r="D31" s="14"/>
      <c r="E31" s="14"/>
      <c r="F31" s="24"/>
      <c r="G31" s="14"/>
      <c r="H31" s="24"/>
    </row>
    <row r="32" spans="2:8">
      <c r="B32" s="24"/>
      <c r="C32" s="24"/>
      <c r="D32" s="14"/>
      <c r="E32" s="27"/>
      <c r="F32" s="14"/>
      <c r="H32" s="24"/>
    </row>
    <row r="33" spans="1:8">
      <c r="A33" s="27"/>
      <c r="B33" s="27"/>
      <c r="C33" s="27"/>
      <c r="D33" s="24"/>
      <c r="E33" s="14"/>
      <c r="H33" s="24"/>
    </row>
    <row r="34" spans="1:8">
      <c r="B34" s="24"/>
      <c r="C34" s="24"/>
      <c r="D34" s="24"/>
      <c r="E34" s="14"/>
      <c r="H34" s="24"/>
    </row>
    <row r="35" spans="1:8">
      <c r="B35" s="24"/>
      <c r="C35" s="24"/>
      <c r="D35" s="24"/>
      <c r="E35" s="14"/>
      <c r="H35" s="24"/>
    </row>
    <row r="36" spans="1:8">
      <c r="B36" s="24"/>
      <c r="C36" s="24"/>
      <c r="D36" s="24"/>
      <c r="E36" s="14"/>
      <c r="H36" s="24"/>
    </row>
    <row r="37" spans="1:8">
      <c r="B37" s="24"/>
      <c r="C37" s="24"/>
      <c r="D37" s="24"/>
      <c r="E37" s="14"/>
      <c r="H37" s="24"/>
    </row>
    <row r="38" spans="1:8">
      <c r="E38" s="14"/>
    </row>
    <row r="39" spans="1:8">
      <c r="E39" s="14"/>
    </row>
    <row r="40" spans="1:8">
      <c r="E40" s="14"/>
    </row>
    <row r="41" spans="1:8">
      <c r="E41" s="14"/>
    </row>
    <row r="42" spans="1:8">
      <c r="E42" s="14"/>
    </row>
    <row r="43" spans="1:8">
      <c r="E43" s="24"/>
    </row>
    <row r="44" spans="1:8">
      <c r="E44" s="14"/>
    </row>
    <row r="51" spans="5:7">
      <c r="F51" s="14"/>
    </row>
    <row r="52" spans="5:7">
      <c r="F52" s="14"/>
    </row>
    <row r="53" spans="5:7">
      <c r="F53" s="14"/>
    </row>
    <row r="54" spans="5:7">
      <c r="F54" s="14"/>
    </row>
    <row r="55" spans="5:7">
      <c r="F55" s="14"/>
    </row>
    <row r="56" spans="5:7">
      <c r="F56" s="14"/>
    </row>
    <row r="57" spans="5:7">
      <c r="F57" s="14"/>
    </row>
    <row r="63" spans="5:7">
      <c r="E63" s="14"/>
      <c r="G63" s="14"/>
    </row>
    <row r="64" spans="5:7">
      <c r="E64" s="14"/>
      <c r="G64" s="14"/>
    </row>
    <row r="65" spans="5:7">
      <c r="E65" s="14"/>
      <c r="G65" s="14"/>
    </row>
    <row r="66" spans="5:7">
      <c r="E66" s="14"/>
      <c r="G66" s="14"/>
    </row>
    <row r="67" spans="5:7">
      <c r="E67" s="14"/>
      <c r="G67" s="14"/>
    </row>
    <row r="68" spans="5:7">
      <c r="E68" s="14"/>
      <c r="G68" s="14"/>
    </row>
    <row r="69" spans="5:7">
      <c r="E69" s="14"/>
      <c r="G69" s="14"/>
    </row>
    <row r="70" spans="5:7">
      <c r="E70" s="14"/>
      <c r="F70" s="14"/>
      <c r="G70" s="14"/>
    </row>
    <row r="71" spans="5:7">
      <c r="E71" s="14"/>
      <c r="F71" s="14"/>
      <c r="G71" s="14"/>
    </row>
    <row r="72" spans="5:7">
      <c r="E72" s="14"/>
      <c r="F72" s="14"/>
      <c r="G72" s="14"/>
    </row>
    <row r="73" spans="5:7">
      <c r="E73" s="14"/>
      <c r="F73" s="14"/>
      <c r="G73" s="14"/>
    </row>
    <row r="74" spans="5:7">
      <c r="E74" s="14"/>
      <c r="F74" s="14"/>
      <c r="G74" s="14"/>
    </row>
    <row r="75" spans="5:7">
      <c r="E75" s="14"/>
      <c r="F75" s="14"/>
      <c r="G75" s="14"/>
    </row>
    <row r="76" spans="5:7">
      <c r="E76" s="14"/>
      <c r="F76" s="14"/>
      <c r="G76" s="14"/>
    </row>
    <row r="77" spans="5:7">
      <c r="E77" s="14"/>
      <c r="F77" s="14"/>
      <c r="G77" s="14"/>
    </row>
    <row r="78" spans="5:7">
      <c r="E78" s="14"/>
      <c r="F78" s="14"/>
      <c r="G78" s="14"/>
    </row>
    <row r="79" spans="5:7">
      <c r="E79" s="14"/>
      <c r="F79" s="14"/>
      <c r="G79" s="14"/>
    </row>
    <row r="80" spans="5:7">
      <c r="E80" s="14"/>
      <c r="F80" s="14"/>
      <c r="G80" s="14"/>
    </row>
    <row r="81" spans="5:7">
      <c r="E81" s="14"/>
      <c r="F81" s="14"/>
      <c r="G81" s="14"/>
    </row>
  </sheetData>
  <hyperlinks>
    <hyperlink ref="B3" location="'Input data meat and eggs'!A1" display="Input data sheet " xr:uid="{00000000-0004-0000-0100-000000000000}"/>
    <hyperlink ref="C3" location="InputMilkAndDairy" display="Input data sheet " xr:uid="{00000000-0004-0000-0100-000001000000}"/>
    <hyperlink ref="D3" location="InputFishAndSeafood" display="Input data sheet " xr:uid="{00000000-0004-0000-0100-000002000000}"/>
    <hyperlink ref="E3" location="InputPlantBasedProducts" display="Input data sheet " xr:uid="{00000000-0004-0000-0100-000003000000}"/>
    <hyperlink ref="H3" location="InputProcessedProducts" display="Input data sheet " xr:uid="{00000000-0004-0000-0100-000004000000}"/>
    <hyperlink ref="B2" location="MeatAndEggs" display="Results meat and eggs" xr:uid="{00000000-0004-0000-0100-000005000000}"/>
    <hyperlink ref="E2" location="PlantBasedProducts" display="Results plant-based products" xr:uid="{00000000-0004-0000-0100-000006000000}"/>
    <hyperlink ref="H2" location="ProcessedProducts" display="Results processed products" xr:uid="{00000000-0004-0000-0100-000007000000}"/>
    <hyperlink ref="D2" location="FishAndSeafood" display="Results fish and seafood" xr:uid="{00000000-0004-0000-0100-000008000000}"/>
    <hyperlink ref="F3" location="InputPlantBasedProducts" display="Input data sheet " xr:uid="{00000000-0004-0000-0100-000009000000}"/>
    <hyperlink ref="G3" location="InputPlantBasedProducts" display="Input data sheet " xr:uid="{00000000-0004-0000-0100-00000A000000}"/>
    <hyperlink ref="G2" location="FruitsBerriesCocoaAndCoffee" display="Results fruits, berries, cocoa and coffee" xr:uid="{00000000-0004-0000-0100-00000B000000}"/>
    <hyperlink ref="F2" location="'Vegetables, roots, legumes'!PlantBasedProducts" display="Results vegetables, root crops and legumes" xr:uid="{00000000-0004-0000-0100-00000C000000}"/>
    <hyperlink ref="B5" location="PorkMeat" display="Pork meat" xr:uid="{00000000-0004-0000-0100-00000D000000}"/>
    <hyperlink ref="B6" location="ChickenMeat" display="Chicken meat" xr:uid="{00000000-0004-0000-0100-00000E000000}"/>
    <hyperlink ref="B7" location="Eggs" display="Eggs" xr:uid="{00000000-0004-0000-0100-00000F000000}"/>
    <hyperlink ref="D5" location="AverageFishAndSeafood" display="Average of fish and seafood" xr:uid="{00000000-0004-0000-0100-000010000000}"/>
    <hyperlink ref="D12" location="AlaskaPollock" display="Alaska pollock " xr:uid="{00000000-0004-0000-0100-000011000000}"/>
    <hyperlink ref="D7" location="Cod" display="Cod" xr:uid="{00000000-0004-0000-0100-000012000000}"/>
    <hyperlink ref="D6" location="Salmon" display="Salmon" xr:uid="{00000000-0004-0000-0100-000013000000}"/>
    <hyperlink ref="D8" location="Herring" display="Herring" xr:uid="{00000000-0004-0000-0100-000014000000}"/>
    <hyperlink ref="D9" location="Mackerel" display="Mackerel" xr:uid="{00000000-0004-0000-0100-000015000000}"/>
    <hyperlink ref="D10" location="Saithe" display="Saithe" xr:uid="{00000000-0004-0000-0100-000016000000}"/>
    <hyperlink ref="D11" location="NorthernPrawn" display="Northern Prawn " xr:uid="{00000000-0004-0000-0100-000017000000}"/>
    <hyperlink ref="D13" location="RainbowTrout" display="Rainbow trout " xr:uid="{00000000-0004-0000-0100-000018000000}"/>
    <hyperlink ref="D14" location="SaltedRoe" display="Salted roe" xr:uid="{00000000-0004-0000-0100-000019000000}"/>
    <hyperlink ref="D15" location="Pangasius" display="Pangasius " xr:uid="{00000000-0004-0000-0100-00001A000000}"/>
    <hyperlink ref="D16" location="EuropeanPlaice" display="European plaice " xr:uid="{00000000-0004-0000-0100-00001B000000}"/>
    <hyperlink ref="D17" location="Hoki" display="Hoki" xr:uid="{00000000-0004-0000-0100-00001C000000}"/>
    <hyperlink ref="E5" location="GrainsAverage" display="Average grains" xr:uid="{00000000-0004-0000-0100-00001D000000}"/>
    <hyperlink ref="E6" location="Wheat" display="Wheat" xr:uid="{00000000-0004-0000-0100-00001E000000}"/>
    <hyperlink ref="E7" location="Rye" display="Rye" xr:uid="{00000000-0004-0000-0100-00001F000000}"/>
    <hyperlink ref="E8" location="Barley" display="Barley" xr:uid="{00000000-0004-0000-0100-000020000000}"/>
    <hyperlink ref="E9" location="Oats" display="Oats" xr:uid="{00000000-0004-0000-0100-000021000000}"/>
    <hyperlink ref="E10" location="Rice" display="Rice" xr:uid="{00000000-0004-0000-0100-000022000000}"/>
    <hyperlink ref="E11" location="Rapeseed" display="Rapeseed/rapeseed oil" xr:uid="{00000000-0004-0000-0100-000023000000}"/>
    <hyperlink ref="E12" location="Olive" display="Olives/Olive oil" xr:uid="{00000000-0004-0000-0100-000024000000}"/>
    <hyperlink ref="E13" location="Sugar" display="Sugar beet/sugar" xr:uid="{00000000-0004-0000-0100-000025000000}"/>
    <hyperlink ref="F5" location="Tomato" display="Tomato" xr:uid="{00000000-0004-0000-0100-000026000000}"/>
    <hyperlink ref="F6" location="Cucumber" display="Cucumber" xr:uid="{00000000-0004-0000-0100-000027000000}"/>
    <hyperlink ref="F7" location="BellPepper" display="Bell pepper" xr:uid="{00000000-0004-0000-0100-000028000000}"/>
    <hyperlink ref="F8" location="IcebergLettuce" display="Iceberg lettuce" xr:uid="{00000000-0004-0000-0100-000029000000}"/>
    <hyperlink ref="F9" location="Potato" display="Potato" xr:uid="{00000000-0004-0000-0100-00002A000000}"/>
    <hyperlink ref="F10" location="Carrot" display="Carrot" xr:uid="{00000000-0004-0000-0100-00002B000000}"/>
    <hyperlink ref="F11" location="Onion" display="Onion" xr:uid="{00000000-0004-0000-0100-00002C000000}"/>
    <hyperlink ref="F12" location="Leek" display="Leek" xr:uid="{00000000-0004-0000-0100-00002D000000}"/>
    <hyperlink ref="F13" location="Broccoli" display="Broccoli" xr:uid="{00000000-0004-0000-0100-00002E000000}"/>
    <hyperlink ref="F14" location="WhiteCabbage" display="White cabbage" xr:uid="{00000000-0004-0000-0100-00002F000000}"/>
    <hyperlink ref="F15" location="Cauliflower" display="Cauliflower" xr:uid="{00000000-0004-0000-0100-000030000000}"/>
    <hyperlink ref="F16" location="Peas" display="Peas" xr:uid="{00000000-0004-0000-0100-000031000000}"/>
    <hyperlink ref="F17" location="Beans" display="Beans" xr:uid="{00000000-0004-0000-0100-000032000000}"/>
    <hyperlink ref="G5" location="Apple" display="Apple" xr:uid="{00000000-0004-0000-0100-000033000000}"/>
    <hyperlink ref="G6" location="Pear" display="Pear" xr:uid="{00000000-0004-0000-0100-000034000000}"/>
    <hyperlink ref="G7" location="Melon" display="Melon" xr:uid="{00000000-0004-0000-0100-000035000000}"/>
    <hyperlink ref="G8" location="Banana" display="Banana" xr:uid="{00000000-0004-0000-0100-000036000000}"/>
    <hyperlink ref="G9" location="Orange" display="Orange" xr:uid="{00000000-0004-0000-0100-000037000000}"/>
    <hyperlink ref="G10" location="Lemon" display="Lemon" xr:uid="{00000000-0004-0000-0100-000038000000}"/>
    <hyperlink ref="G11" location="Avocado" display="Avocado" xr:uid="{00000000-0004-0000-0100-000039000000}"/>
    <hyperlink ref="G12" location="Kiwifruit" display="Kiwifruit" xr:uid="{00000000-0004-0000-0100-00003A000000}"/>
    <hyperlink ref="G13" location="Strawberry" display="Strawberry" xr:uid="{00000000-0004-0000-0100-00003B000000}"/>
    <hyperlink ref="G14" location="Raspberry" display="Raspberry" xr:uid="{00000000-0004-0000-0100-00003C000000}"/>
    <hyperlink ref="G15" location="Cocoa" display="Cocoa/Cocoa powder/cocoa butter" xr:uid="{00000000-0004-0000-0100-00003D000000}"/>
    <hyperlink ref="G16" location="Coffee" display="Coffee" xr:uid="{00000000-0004-0000-0100-00003E000000}"/>
    <hyperlink ref="H25" location="IceCream" display="Ice cream (dairy-based)" xr:uid="{00000000-0004-0000-0100-00003F000000}"/>
    <hyperlink ref="H24" location="PotatoCrisps" display="Potato crisps" xr:uid="{00000000-0004-0000-0100-000040000000}"/>
    <hyperlink ref="H23" location="MilkChocolate" display="Milk chocolate" xr:uid="{00000000-0004-0000-0100-000041000000}"/>
    <hyperlink ref="H22" location="SquashDrink" display="Squash drink of strawberry and raspberry" xr:uid="{00000000-0004-0000-0100-000042000000}"/>
    <hyperlink ref="H21" location="Juice" display="Juice of orange and apple" xr:uid="{00000000-0004-0000-0100-000043000000}"/>
    <hyperlink ref="H20" location="MineralWater" display="Mineral water" xr:uid="{00000000-0004-0000-0100-000044000000}"/>
    <hyperlink ref="H19" location="Beer" display="Beer" xr:uid="{00000000-0004-0000-0100-000045000000}"/>
    <hyperlink ref="H18" location="Cider" display="Cider (non-alcoholic)" xr:uid="{00000000-0004-0000-0100-000046000000}"/>
    <hyperlink ref="H17" location="Soda" display="Soda" xr:uid="{00000000-0004-0000-0100-000047000000}"/>
    <hyperlink ref="H16" location="CocoaDrinkPowder" display="Cocoa drink powder" xr:uid="{00000000-0004-0000-0100-000048000000}"/>
    <hyperlink ref="H15" location="LowFatMargarine" display="Low fat margarine" xr:uid="{00000000-0004-0000-0100-000049000000}"/>
    <hyperlink ref="H14" location="Margarine" display="Margarine" xr:uid="{00000000-0004-0000-0100-00004A000000}"/>
    <hyperlink ref="H13" location="FollowUpFormula" display="Follow-up formula" xr:uid="{00000000-0004-0000-0100-00004B000000}"/>
    <hyperlink ref="H12" location="CrispBread" display="Crisp bread" xr:uid="{00000000-0004-0000-0100-00004C000000}"/>
    <hyperlink ref="H11" location="WheatRyeBread" display="Wheat-rye bread" xr:uid="{00000000-0004-0000-0100-00004D000000}"/>
    <hyperlink ref="H10" location="WheatBread" display="Wheat bread" xr:uid="{00000000-0004-0000-0100-00004E000000}"/>
    <hyperlink ref="H9" location="Rusks" display="Rusks" xr:uid="{00000000-0004-0000-0100-00004F000000}"/>
    <hyperlink ref="H8" location="Pastries" display="Pastry" xr:uid="{00000000-0004-0000-0100-000050000000}"/>
    <hyperlink ref="H7" location="Biscuits" display="Biscuits" xr:uid="{00000000-0004-0000-0100-000051000000}"/>
    <hyperlink ref="H6" location="Buns" display="Buns" xr:uid="{00000000-0004-0000-0100-000052000000}"/>
    <hyperlink ref="H5" location="Pasta" display="Pasta" xr:uid="{00000000-0004-0000-0100-000053000000}"/>
    <hyperlink ref="B8" location="Beef" display="Beef" xr:uid="{00000000-0004-0000-0100-000054000000}"/>
    <hyperlink ref="A3" location="'Common input data'!A1" display="Common input data sheet" xr:uid="{00000000-0004-0000-0100-000055000000}"/>
    <hyperlink ref="A4" location="'Excluded data'!A1" display="Excluded data " xr:uid="{00000000-0004-0000-0100-000056000000}"/>
    <hyperlink ref="C2" location="'Dairy products'!A1" display="Results dairy products" xr:uid="{00000000-0004-0000-0100-000057000000}"/>
    <hyperlink ref="A2" location="'Reference list'!A1" display="Reference list" xr:uid="{00000000-0004-0000-0100-000058000000}"/>
    <hyperlink ref="C5" location="'Dairy products'!RawMilk" display="Raw milk" xr:uid="{00000000-0004-0000-0100-000059000000}"/>
    <hyperlink ref="C6" location="'Dairy products'!PastMilk" display="Pasteurized milk" xr:uid="{00000000-0004-0000-0100-00005A000000}"/>
    <hyperlink ref="C7" location="'Dairy products'!Butter" display="Butter" xr:uid="{00000000-0004-0000-0100-00005B000000}"/>
    <hyperlink ref="C8" location="'Dairy products'!Yogurt" display="Yogurt" xr:uid="{00000000-0004-0000-0100-00005C000000}"/>
    <hyperlink ref="C9" location="'Dairy products'!Cream" display="Cream" xr:uid="{00000000-0004-0000-0100-00005D000000}"/>
    <hyperlink ref="C10" location="'Dairy products'!HardCheese" display="Hard cheese" xr:uid="{00000000-0004-0000-0100-00005E000000}"/>
    <hyperlink ref="C11" location="'Dairy products'!DessertCheese" display="Dessert cheese" xr:uid="{00000000-0004-0000-0100-00005F000000}"/>
    <hyperlink ref="C12" location="'Dairy products'!CremeFraiche" display="Crème fraiche" xr:uid="{00000000-0004-0000-0100-000060000000}"/>
    <hyperlink ref="C13" location="'Dairy products'!MilkPowder" display="Milk powder" xr:uid="{00000000-0004-0000-0100-000061000000}"/>
    <hyperlink ref="A5" location="Maintenance_of_data" display="Maintenance of data" xr:uid="{00000000-0004-0000-0100-000062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47"/>
  <sheetViews>
    <sheetView workbookViewId="0"/>
  </sheetViews>
  <sheetFormatPr defaultColWidth="8.7109375" defaultRowHeight="15"/>
  <cols>
    <col min="1" max="1" width="22.28515625" bestFit="1" customWidth="1"/>
    <col min="2" max="2" width="21.28515625" bestFit="1" customWidth="1"/>
    <col min="3" max="3" width="28" bestFit="1" customWidth="1"/>
    <col min="4" max="4" width="27.28515625" bestFit="1" customWidth="1"/>
    <col min="5" max="5" width="17.42578125" bestFit="1" customWidth="1"/>
    <col min="6" max="6" width="25.28515625" bestFit="1" customWidth="1"/>
    <col min="7" max="7" width="38.42578125" style="5" bestFit="1" customWidth="1"/>
    <col min="8" max="8" width="37.42578125" style="5" bestFit="1" customWidth="1"/>
    <col min="9" max="9" width="37.28515625" style="183" bestFit="1" customWidth="1"/>
    <col min="10" max="10" width="37.28515625" style="183" customWidth="1"/>
    <col min="11" max="11" width="37.7109375" style="183" bestFit="1" customWidth="1"/>
    <col min="12" max="12" width="27.28515625" customWidth="1"/>
    <col min="13" max="13" width="20.7109375" customWidth="1"/>
    <col min="14" max="14" width="19.7109375" customWidth="1"/>
    <col min="15" max="15" width="14" customWidth="1"/>
    <col min="16" max="16" width="28.28515625" customWidth="1"/>
  </cols>
  <sheetData>
    <row r="1" spans="1:16" ht="30">
      <c r="A1" s="196" t="s">
        <v>104</v>
      </c>
      <c r="B1" s="196" t="s">
        <v>105</v>
      </c>
      <c r="C1" s="196" t="s">
        <v>106</v>
      </c>
      <c r="D1" s="196" t="s">
        <v>107</v>
      </c>
      <c r="E1" s="196" t="s">
        <v>108</v>
      </c>
      <c r="F1" s="196" t="s">
        <v>109</v>
      </c>
      <c r="G1" s="755" t="s">
        <v>110</v>
      </c>
      <c r="H1" s="755" t="s">
        <v>111</v>
      </c>
      <c r="I1" s="752" t="s">
        <v>112</v>
      </c>
      <c r="J1" s="752" t="s">
        <v>113</v>
      </c>
      <c r="K1" s="752" t="s">
        <v>114</v>
      </c>
      <c r="L1" s="752" t="s">
        <v>115</v>
      </c>
      <c r="M1" s="52" t="s">
        <v>116</v>
      </c>
      <c r="N1" s="52" t="s">
        <v>117</v>
      </c>
      <c r="O1" s="52" t="s">
        <v>118</v>
      </c>
      <c r="P1" s="52" t="s">
        <v>119</v>
      </c>
    </row>
    <row r="2" spans="1:16" ht="30">
      <c r="A2" s="52" t="s">
        <v>8</v>
      </c>
      <c r="B2" t="s">
        <v>28</v>
      </c>
      <c r="C2" t="s">
        <v>120</v>
      </c>
      <c r="D2" t="s">
        <v>121</v>
      </c>
      <c r="E2" s="5">
        <f>'Fruits, berries, cocoa, coffee'!C10</f>
        <v>1</v>
      </c>
      <c r="F2" s="750" t="str">
        <f>'Summary pivot'!$C$1</f>
        <v>GWP100 with fb AR6</v>
      </c>
      <c r="G2" s="188">
        <f>Table1[[#This Row],[kg CO2 at retail-gate per kg of product]]+Table1[[#This Row],[Kg CO2e from CH4 fossil]]+Table1[[#This Row],[Kg CO2e from N2O]]</f>
        <v>0.3788781397788929</v>
      </c>
      <c r="H2" s="188">
        <f>'Fruits, berries, cocoa, coffee'!H11</f>
        <v>0.35933716683624617</v>
      </c>
      <c r="I2" s="188">
        <f>'Fruits, berries, cocoa, coffee'!H12</f>
        <v>4.4897437779195951E-5</v>
      </c>
      <c r="J2" s="188">
        <v>0</v>
      </c>
      <c r="K2" s="188">
        <f>'Fruits, berries, cocoa, coffee'!H13</f>
        <v>6.6677762992039164E-5</v>
      </c>
      <c r="L2" s="188">
        <v>0</v>
      </c>
      <c r="M2" s="188">
        <f>Table1[[#This Row],[kg CH4 fossil at retail-gate per kg of product]]*'Summary pivot'!$D$5</f>
        <v>1.3379436458200394E-3</v>
      </c>
      <c r="N2" s="188">
        <f>Table1[[#This Row],[kg CH4 bio at retail-gate per kg of product]]*'Summary pivot'!$D$4</f>
        <v>0</v>
      </c>
      <c r="O2" s="188">
        <f>Table1[[#This Row],[kg N2O at retail-gate per kg of product]]*'Summary pivot'!$D$6</f>
        <v>1.8203029296826691E-2</v>
      </c>
      <c r="P2" s="188">
        <f>Table1[[#This Row],[kg HCFC-22 at retail-gate per kg of product]]*'Summary pivot'!$D$7</f>
        <v>0</v>
      </c>
    </row>
    <row r="3" spans="1:16" ht="30">
      <c r="A3" s="52" t="s">
        <v>8</v>
      </c>
      <c r="B3" t="s">
        <v>28</v>
      </c>
      <c r="C3" t="s">
        <v>122</v>
      </c>
      <c r="D3" t="s">
        <v>121</v>
      </c>
      <c r="E3" s="5">
        <f>'Fruits, berries, cocoa, coffee'!C14</f>
        <v>0.1586294416</v>
      </c>
      <c r="F3" s="750" t="str">
        <f>'Summary pivot'!$C$1</f>
        <v>GWP100 with fb AR6</v>
      </c>
      <c r="G3" s="188">
        <f>Table1[[#This Row],[kg CO2 at retail-gate per kg of product]]+Table1[[#This Row],[Kg CO2e from CH4 fossil]]+Table1[[#This Row],[Kg CO2e from N2O]]</f>
        <v>0.15341642890530746</v>
      </c>
      <c r="H3" s="188">
        <f>'Fruits, berries, cocoa, coffee'!H15</f>
        <v>0.12218740308541375</v>
      </c>
      <c r="I3" s="188">
        <f>'Fruits, berries, cocoa, coffee'!H16</f>
        <v>5.2088245441678957E-5</v>
      </c>
      <c r="J3" s="188">
        <v>0</v>
      </c>
      <c r="K3" s="188">
        <f>'Fruits, berries, cocoa, coffee'!H17</f>
        <v>1.0870621284150795E-4</v>
      </c>
      <c r="L3" s="188">
        <v>0</v>
      </c>
      <c r="M3" s="188">
        <f>Table1[[#This Row],[kg CH4 fossil at retail-gate per kg of product]]*'Summary pivot'!$D$5</f>
        <v>1.5522297141620329E-3</v>
      </c>
      <c r="N3" s="188">
        <f>Table1[[#This Row],[kg CH4 bio at retail-gate per kg of product]]*'Summary pivot'!$D$4</f>
        <v>0</v>
      </c>
      <c r="O3" s="188">
        <f>Table1[[#This Row],[kg N2O at retail-gate per kg of product]]*'Summary pivot'!$D$6</f>
        <v>2.9676796105731672E-2</v>
      </c>
      <c r="P3" s="188">
        <f>Table1[[#This Row],[kg HCFC-22 at retail-gate per kg of product]]*'Summary pivot'!$D$7</f>
        <v>0</v>
      </c>
    </row>
    <row r="4" spans="1:16" ht="34.5" customHeight="1">
      <c r="A4" s="52" t="s">
        <v>8</v>
      </c>
      <c r="B4" t="s">
        <v>28</v>
      </c>
      <c r="C4" t="s">
        <v>123</v>
      </c>
      <c r="D4" t="s">
        <v>121</v>
      </c>
      <c r="E4" s="5">
        <f>'Fruits, berries, cocoa, coffee'!C18</f>
        <v>0.30710109028615906</v>
      </c>
      <c r="F4" s="750" t="str">
        <f>'Summary pivot'!$C$1</f>
        <v>GWP100 with fb AR6</v>
      </c>
      <c r="G4" s="188">
        <f>Table1[[#This Row],[kg CO2 at retail-gate per kg of product]]+Table1[[#This Row],[Kg CO2e from CH4 fossil]]+Table1[[#This Row],[Kg CO2e from N2O]]</f>
        <v>0.37657963337906025</v>
      </c>
      <c r="H4" s="188">
        <f>'Fruits, berries, cocoa, coffee'!H19</f>
        <v>0.3609323711810925</v>
      </c>
      <c r="I4" s="188">
        <f>'Fruits, berries, cocoa, coffee'!H20</f>
        <v>2.5559701053895732E-5</v>
      </c>
      <c r="J4" s="188">
        <v>0</v>
      </c>
      <c r="K4" s="188">
        <f>'Fruits, berries, cocoa, coffee'!H21</f>
        <v>5.4525945445280608E-5</v>
      </c>
      <c r="L4" s="188">
        <v>0</v>
      </c>
      <c r="M4" s="188">
        <f>Table1[[#This Row],[kg CH4 fossil at retail-gate per kg of product]]*'Summary pivot'!$D$5</f>
        <v>7.6167909140609279E-4</v>
      </c>
      <c r="N4" s="188">
        <f>Table1[[#This Row],[kg CH4 bio at retail-gate per kg of product]]*'Summary pivot'!$D$4</f>
        <v>0</v>
      </c>
      <c r="O4" s="188">
        <f>Table1[[#This Row],[kg N2O at retail-gate per kg of product]]*'Summary pivot'!$D$6</f>
        <v>1.4885583106561606E-2</v>
      </c>
      <c r="P4" s="188">
        <f>Table1[[#This Row],[kg HCFC-22 at retail-gate per kg of product]]*'Summary pivot'!$D$7</f>
        <v>0</v>
      </c>
    </row>
    <row r="5" spans="1:16" ht="30">
      <c r="A5" s="52" t="s">
        <v>8</v>
      </c>
      <c r="B5" t="s">
        <v>28</v>
      </c>
      <c r="C5" t="s">
        <v>124</v>
      </c>
      <c r="D5" t="s">
        <v>121</v>
      </c>
      <c r="E5" s="5">
        <f>'Fruits, berries, cocoa, coffee'!C22</f>
        <v>0.1034854565</v>
      </c>
      <c r="F5" s="750" t="str">
        <f>'Summary pivot'!$C$1</f>
        <v>GWP100 with fb AR6</v>
      </c>
      <c r="G5" s="188">
        <f>Table1[[#This Row],[kg CO2 at retail-gate per kg of product]]+Table1[[#This Row],[Kg CO2e from CH4 fossil]]+Table1[[#This Row],[Kg CO2e from N2O]]</f>
        <v>0.49528100174624279</v>
      </c>
      <c r="H5" s="188">
        <f>'Fruits, berries, cocoa, coffee'!H23</f>
        <v>0.47219933677121961</v>
      </c>
      <c r="I5" s="188">
        <f>'Fruits, berries, cocoa, coffee'!H24</f>
        <v>5.1774911723831004E-5</v>
      </c>
      <c r="J5" s="188">
        <v>0</v>
      </c>
      <c r="K5" s="188">
        <f>'Fruits, berries, cocoa, coffee'!H25</f>
        <v>7.8896602951110005E-5</v>
      </c>
      <c r="L5" s="188">
        <v>0</v>
      </c>
      <c r="M5" s="188">
        <f>Table1[[#This Row],[kg CH4 fossil at retail-gate per kg of product]]*'Summary pivot'!$D$5</f>
        <v>1.5428923693701639E-3</v>
      </c>
      <c r="N5" s="188">
        <f>Table1[[#This Row],[kg CH4 bio at retail-gate per kg of product]]*'Summary pivot'!$D$4</f>
        <v>0</v>
      </c>
      <c r="O5" s="188">
        <f>Table1[[#This Row],[kg N2O at retail-gate per kg of product]]*'Summary pivot'!$D$6</f>
        <v>2.1538772605653032E-2</v>
      </c>
      <c r="P5" s="188">
        <f>Table1[[#This Row],[kg HCFC-22 at retail-gate per kg of product]]*'Summary pivot'!$D$7</f>
        <v>0</v>
      </c>
    </row>
    <row r="6" spans="1:16" ht="30">
      <c r="A6" s="52" t="s">
        <v>8</v>
      </c>
      <c r="B6" t="s">
        <v>28</v>
      </c>
      <c r="C6" t="s">
        <v>125</v>
      </c>
      <c r="D6" t="s">
        <v>121</v>
      </c>
      <c r="E6" s="5">
        <f>'Fruits, berries, cocoa, coffee'!C26</f>
        <v>0.43078401161384094</v>
      </c>
      <c r="F6" s="750" t="str">
        <f>'Summary pivot'!$C$1</f>
        <v>GWP100 with fb AR6</v>
      </c>
      <c r="G6" s="188">
        <f>Table1[[#This Row],[kg CO2 at retail-gate per kg of product]]+Table1[[#This Row],[Kg CO2e from CH4 fossil]]+Table1[[#This Row],[Kg CO2e from N2O]]</f>
        <v>0.43557647386835008</v>
      </c>
      <c r="H6" s="188">
        <f>'Fruits, berries, cocoa, coffee'!H27</f>
        <v>0.41841422573913506</v>
      </c>
      <c r="I6" s="188">
        <f>'Fruits, berries, cocoa, coffee'!H28</f>
        <v>5.438304445670018E-5</v>
      </c>
      <c r="J6" s="188">
        <v>0</v>
      </c>
      <c r="K6" s="188">
        <f>'Fruits, berries, cocoa, coffee'!H29</f>
        <v>5.6929060089396956E-5</v>
      </c>
      <c r="L6" s="188">
        <v>0</v>
      </c>
      <c r="M6" s="188">
        <f>Table1[[#This Row],[kg CH4 fossil at retail-gate per kg of product]]*'Summary pivot'!$D$5</f>
        <v>1.6206147248096655E-3</v>
      </c>
      <c r="N6" s="188">
        <f>Table1[[#This Row],[kg CH4 bio at retail-gate per kg of product]]*'Summary pivot'!$D$4</f>
        <v>0</v>
      </c>
      <c r="O6" s="188">
        <f>Table1[[#This Row],[kg N2O at retail-gate per kg of product]]*'Summary pivot'!$D$6</f>
        <v>1.5541633404405369E-2</v>
      </c>
      <c r="P6" s="188">
        <f>Table1[[#This Row],[kg HCFC-22 at retail-gate per kg of product]]*'Summary pivot'!$D$7</f>
        <v>0</v>
      </c>
    </row>
    <row r="7" spans="1:16" ht="30">
      <c r="A7" s="52" t="s">
        <v>8</v>
      </c>
      <c r="B7" t="s">
        <v>35</v>
      </c>
      <c r="C7" t="s">
        <v>120</v>
      </c>
      <c r="D7" t="s">
        <v>121</v>
      </c>
      <c r="E7" s="5">
        <f>'Fruits, berries, cocoa, coffee'!C31</f>
        <v>1</v>
      </c>
      <c r="F7" s="750" t="str">
        <f>'Summary pivot'!$C$1</f>
        <v>GWP100 with fb AR6</v>
      </c>
      <c r="G7" s="188">
        <f>Table1[[#This Row],[kg CO2 at retail-gate per kg of product]]+Table1[[#This Row],[Kg CO2e from CH4 fossil]]+Table1[[#This Row],[Kg CO2e from N2O]]</f>
        <v>0.3454051855068066</v>
      </c>
      <c r="H7" s="188">
        <f>'Fruits, berries, cocoa, coffee'!H32</f>
        <v>0.25374583148579255</v>
      </c>
      <c r="I7" s="188">
        <f>'Fruits, berries, cocoa, coffee'!H33</f>
        <v>9.0304093643053498E-5</v>
      </c>
      <c r="J7" s="188">
        <v>0</v>
      </c>
      <c r="K7" s="188">
        <f>'Fruits, berries, cocoa, coffee'!H34</f>
        <v>3.2589117959872166E-4</v>
      </c>
      <c r="L7" s="188">
        <v>0</v>
      </c>
      <c r="M7" s="188">
        <f>Table1[[#This Row],[kg CH4 fossil at retail-gate per kg of product]]*'Summary pivot'!$D$5</f>
        <v>2.6910619905629943E-3</v>
      </c>
      <c r="N7" s="188">
        <f>Table1[[#This Row],[kg CH4 bio at retail-gate per kg of product]]*'Summary pivot'!$D$4</f>
        <v>0</v>
      </c>
      <c r="O7" s="188">
        <f>Table1[[#This Row],[kg N2O at retail-gate per kg of product]]*'Summary pivot'!$D$6</f>
        <v>8.8968292030451021E-2</v>
      </c>
      <c r="P7" s="188">
        <f>Table1[[#This Row],[kg HCFC-22 at retail-gate per kg of product]]*'Summary pivot'!$D$7</f>
        <v>0</v>
      </c>
    </row>
    <row r="8" spans="1:16" ht="30">
      <c r="A8" s="52" t="s">
        <v>8</v>
      </c>
      <c r="B8" t="s">
        <v>35</v>
      </c>
      <c r="C8" t="s">
        <v>122</v>
      </c>
      <c r="D8" t="s">
        <v>121</v>
      </c>
      <c r="E8" s="5">
        <f>'Fruits, berries, cocoa, coffee'!C35</f>
        <v>5.5877298484047239E-2</v>
      </c>
      <c r="F8" s="750" t="str">
        <f>'Summary pivot'!$C$1</f>
        <v>GWP100 with fb AR6</v>
      </c>
      <c r="G8" s="188">
        <f>Table1[[#This Row],[kg CO2 at retail-gate per kg of product]]+Table1[[#This Row],[Kg CO2e from CH4 fossil]]+Table1[[#This Row],[Kg CO2e from N2O]]</f>
        <v>0.17322280790747796</v>
      </c>
      <c r="H8" s="188">
        <f>'Fruits, berries, cocoa, coffee'!H36</f>
        <v>0.13380793567371815</v>
      </c>
      <c r="I8" s="188">
        <f>'Fruits, berries, cocoa, coffee'!H37</f>
        <v>5.9396547533024899E-5</v>
      </c>
      <c r="J8" s="188">
        <v>0</v>
      </c>
      <c r="K8" s="188">
        <f>'Fruits, berries, cocoa, coffee'!H38</f>
        <v>1.378932421878229E-4</v>
      </c>
      <c r="L8" s="188">
        <v>0</v>
      </c>
      <c r="M8" s="188">
        <f>Table1[[#This Row],[kg CH4 fossil at retail-gate per kg of product]]*'Summary pivot'!$D$5</f>
        <v>1.770017116484142E-3</v>
      </c>
      <c r="N8" s="188">
        <f>Table1[[#This Row],[kg CH4 bio at retail-gate per kg of product]]*'Summary pivot'!$D$4</f>
        <v>0</v>
      </c>
      <c r="O8" s="188">
        <f>Table1[[#This Row],[kg N2O at retail-gate per kg of product]]*'Summary pivot'!$D$6</f>
        <v>3.7644855117275652E-2</v>
      </c>
      <c r="P8" s="188">
        <f>Table1[[#This Row],[kg HCFC-22 at retail-gate per kg of product]]*'Summary pivot'!$D$7</f>
        <v>0</v>
      </c>
    </row>
    <row r="9" spans="1:16" ht="30">
      <c r="A9" s="52" t="s">
        <v>8</v>
      </c>
      <c r="B9" t="s">
        <v>35</v>
      </c>
      <c r="C9" t="s">
        <v>126</v>
      </c>
      <c r="D9" t="s">
        <v>121</v>
      </c>
      <c r="E9" s="5">
        <f>'Fruits, berries, cocoa, coffee'!C39</f>
        <v>0.23061781466398334</v>
      </c>
      <c r="F9" s="750" t="str">
        <f>'Summary pivot'!$C$1</f>
        <v>GWP100 with fb AR6</v>
      </c>
      <c r="G9" s="188">
        <f>Table1[[#This Row],[kg CO2 at retail-gate per kg of product]]+Table1[[#This Row],[Kg CO2e from CH4 fossil]]+Table1[[#This Row],[Kg CO2e from N2O]]</f>
        <v>0.19845356041112572</v>
      </c>
      <c r="H9" s="188">
        <f>'Fruits, berries, cocoa, coffee'!H40</f>
        <v>0.18698791799326875</v>
      </c>
      <c r="I9" s="188">
        <f>'Fruits, berries, cocoa, coffee'!H41</f>
        <v>2.4719196435841129E-5</v>
      </c>
      <c r="J9" s="188">
        <v>0</v>
      </c>
      <c r="K9" s="188">
        <f>'Fruits, berries, cocoa, coffee'!H42</f>
        <v>3.9300404263988672E-5</v>
      </c>
      <c r="L9" s="188">
        <v>0</v>
      </c>
      <c r="M9" s="188">
        <f>Table1[[#This Row],[kg CH4 fossil at retail-gate per kg of product]]*'Summary pivot'!$D$5</f>
        <v>7.3663205378806567E-4</v>
      </c>
      <c r="N9" s="188">
        <f>Table1[[#This Row],[kg CH4 bio at retail-gate per kg of product]]*'Summary pivot'!$D$4</f>
        <v>0</v>
      </c>
      <c r="O9" s="188">
        <f>Table1[[#This Row],[kg N2O at retail-gate per kg of product]]*'Summary pivot'!$D$6</f>
        <v>1.0729010364068908E-2</v>
      </c>
      <c r="P9" s="188">
        <f>Table1[[#This Row],[kg HCFC-22 at retail-gate per kg of product]]*'Summary pivot'!$D$7</f>
        <v>0</v>
      </c>
    </row>
    <row r="10" spans="1:16" ht="30">
      <c r="A10" s="52" t="s">
        <v>8</v>
      </c>
      <c r="B10" t="s">
        <v>35</v>
      </c>
      <c r="C10" t="s">
        <v>127</v>
      </c>
      <c r="D10" t="s">
        <v>121</v>
      </c>
      <c r="E10" s="5">
        <f>'Fruits, berries, cocoa, coffee'!C43</f>
        <v>0.4862756560987116</v>
      </c>
      <c r="F10" s="750" t="str">
        <f>'Summary pivot'!$C$1</f>
        <v>GWP100 with fb AR6</v>
      </c>
      <c r="G10" s="188">
        <f>Table1[[#This Row],[kg CO2 at retail-gate per kg of product]]+Table1[[#This Row],[Kg CO2e from CH4 fossil]]+Table1[[#This Row],[Kg CO2e from N2O]]</f>
        <v>0.36238091066015576</v>
      </c>
      <c r="H10" s="188">
        <f>'Fruits, berries, cocoa, coffee'!H44</f>
        <v>0.23008010996838751</v>
      </c>
      <c r="I10" s="188">
        <f>'Fruits, berries, cocoa, coffee'!H45</f>
        <v>1.0649147572007323E-4</v>
      </c>
      <c r="J10" s="188">
        <v>0</v>
      </c>
      <c r="K10" s="188">
        <f>'Fruits, berries, cocoa, coffee'!H46</f>
        <v>4.7299397331615413E-4</v>
      </c>
      <c r="L10" s="188">
        <v>0</v>
      </c>
      <c r="M10" s="188">
        <f>Table1[[#This Row],[kg CH4 fossil at retail-gate per kg of product]]*'Summary pivot'!$D$5</f>
        <v>3.1734459764581825E-3</v>
      </c>
      <c r="N10" s="188">
        <f>Table1[[#This Row],[kg CH4 bio at retail-gate per kg of product]]*'Summary pivot'!$D$4</f>
        <v>0</v>
      </c>
      <c r="O10" s="188">
        <f>Table1[[#This Row],[kg N2O at retail-gate per kg of product]]*'Summary pivot'!$D$6</f>
        <v>0.12912735471531009</v>
      </c>
      <c r="P10" s="188">
        <f>Table1[[#This Row],[kg HCFC-22 at retail-gate per kg of product]]*'Summary pivot'!$D$7</f>
        <v>0</v>
      </c>
    </row>
    <row r="11" spans="1:16" ht="30">
      <c r="A11" s="52" t="s">
        <v>8</v>
      </c>
      <c r="B11" t="s">
        <v>35</v>
      </c>
      <c r="C11" t="s">
        <v>125</v>
      </c>
      <c r="D11" t="s">
        <v>121</v>
      </c>
      <c r="E11" s="5">
        <f>'Fruits, berries, cocoa, coffee'!C47</f>
        <v>0.22722923075325785</v>
      </c>
      <c r="F11" s="750" t="str">
        <f>'Summary pivot'!$C$1</f>
        <v>GWP100 with fb AR6</v>
      </c>
      <c r="G11" s="188">
        <f>Table1[[#This Row],[kg CO2 at retail-gate per kg of product]]+Table1[[#This Row],[Kg CO2e from CH4 fossil]]+Table1[[#This Row],[Kg CO2e from N2O]]</f>
        <v>0.50056069408344994</v>
      </c>
      <c r="H11" s="188">
        <f>'Fruits, berries, cocoa, coffee'!H48</f>
        <v>0.40163804531557779</v>
      </c>
      <c r="I11" s="188">
        <f>'Fruits, berries, cocoa, coffee'!H49</f>
        <v>1.2982605997852579E-4</v>
      </c>
      <c r="J11" s="188">
        <v>0</v>
      </c>
      <c r="K11" s="188">
        <f>'Fruits, berries, cocoa, coffee'!H50</f>
        <v>3.4818253545975129E-4</v>
      </c>
      <c r="L11" s="188">
        <v>0</v>
      </c>
      <c r="M11" s="188">
        <f>Table1[[#This Row],[kg CH4 fossil at retail-gate per kg of product]]*'Summary pivot'!$D$5</f>
        <v>3.8688165873600688E-3</v>
      </c>
      <c r="N11" s="188">
        <f>Table1[[#This Row],[kg CH4 bio at retail-gate per kg of product]]*'Summary pivot'!$D$4</f>
        <v>0</v>
      </c>
      <c r="O11" s="188">
        <f>Table1[[#This Row],[kg N2O at retail-gate per kg of product]]*'Summary pivot'!$D$6</f>
        <v>9.505383218051211E-2</v>
      </c>
      <c r="P11" s="188">
        <f>Table1[[#This Row],[kg HCFC-22 at retail-gate per kg of product]]*'Summary pivot'!$D$7</f>
        <v>0</v>
      </c>
    </row>
    <row r="12" spans="1:16" ht="30">
      <c r="A12" s="52" t="s">
        <v>8</v>
      </c>
      <c r="B12" t="s">
        <v>42</v>
      </c>
      <c r="C12" t="s">
        <v>120</v>
      </c>
      <c r="D12" t="s">
        <v>128</v>
      </c>
      <c r="E12" s="5">
        <f>'Fruits, berries, cocoa, coffee'!C52</f>
        <v>1</v>
      </c>
      <c r="F12" s="750" t="str">
        <f>'Summary pivot'!$C$1</f>
        <v>GWP100 with fb AR6</v>
      </c>
      <c r="G12" s="188">
        <f>Table1[[#This Row],[kg CO2 at retail-gate per kg of product]]+Table1[[#This Row],[Kg CO2e from CH4 fossil]]+Table1[[#This Row],[Kg CO2e from N2O]]</f>
        <v>1.7168736262454045</v>
      </c>
      <c r="H12" s="188">
        <f>'Fruits, berries, cocoa, coffee'!H53</f>
        <v>1.5944747042629963</v>
      </c>
      <c r="I12" s="188">
        <f>'Fruits, berries, cocoa, coffee'!H54</f>
        <v>2.2401632468959246E-3</v>
      </c>
      <c r="J12" s="188">
        <v>0</v>
      </c>
      <c r="K12" s="188">
        <f>'Fruits, berries, cocoa, coffee'!H55</f>
        <v>2.038170594319034E-4</v>
      </c>
      <c r="L12" s="188">
        <v>0</v>
      </c>
      <c r="M12" s="188">
        <f>Table1[[#This Row],[kg CH4 fossil at retail-gate per kg of product]]*'Summary pivot'!$D$5</f>
        <v>6.6756864757498549E-2</v>
      </c>
      <c r="N12" s="188">
        <f>Table1[[#This Row],[kg CH4 bio at retail-gate per kg of product]]*'Summary pivot'!$D$4</f>
        <v>0</v>
      </c>
      <c r="O12" s="188">
        <f>Table1[[#This Row],[kg N2O at retail-gate per kg of product]]*'Summary pivot'!$D$6</f>
        <v>5.5642057224909627E-2</v>
      </c>
      <c r="P12" s="188">
        <f>Table1[[#This Row],[kg HCFC-22 at retail-gate per kg of product]]*'Summary pivot'!$D$7</f>
        <v>0</v>
      </c>
    </row>
    <row r="13" spans="1:16" ht="30">
      <c r="A13" s="52" t="s">
        <v>8</v>
      </c>
      <c r="B13" t="s">
        <v>42</v>
      </c>
      <c r="C13" t="s">
        <v>122</v>
      </c>
      <c r="D13" t="s">
        <v>129</v>
      </c>
      <c r="E13" s="5">
        <f>'Fruits, berries, cocoa, coffee'!C56</f>
        <v>0.38</v>
      </c>
      <c r="F13" s="750" t="str">
        <f>'Summary pivot'!$C$1</f>
        <v>GWP100 with fb AR6</v>
      </c>
      <c r="G13" s="188">
        <f>Table1[[#This Row],[kg CO2 at retail-gate per kg of product]]+Table1[[#This Row],[Kg CO2e from CH4 fossil]]+Table1[[#This Row],[Kg CO2e from N2O]]</f>
        <v>3.9343247665831971</v>
      </c>
      <c r="H13" s="188">
        <f>'Fruits, berries, cocoa, coffee'!H57</f>
        <v>3.663003077600206</v>
      </c>
      <c r="I13" s="188">
        <f>'Fruits, berries, cocoa, coffee'!H58</f>
        <v>5.8171736385757818E-3</v>
      </c>
      <c r="J13" s="188">
        <v>0</v>
      </c>
      <c r="K13" s="188">
        <f>'Fruits, berries, cocoa, coffee'!H59</f>
        <v>3.5886415587338063E-4</v>
      </c>
      <c r="L13" s="188">
        <v>0</v>
      </c>
      <c r="M13" s="188">
        <f>Table1[[#This Row],[kg CH4 fossil at retail-gate per kg of product]]*'Summary pivot'!$D$5</f>
        <v>0.17335177442955829</v>
      </c>
      <c r="N13" s="188">
        <f>Table1[[#This Row],[kg CH4 bio at retail-gate per kg of product]]*'Summary pivot'!$D$4</f>
        <v>0</v>
      </c>
      <c r="O13" s="188">
        <f>Table1[[#This Row],[kg N2O at retail-gate per kg of product]]*'Summary pivot'!$D$6</f>
        <v>9.7969914553432916E-2</v>
      </c>
      <c r="P13" s="188">
        <f>Table1[[#This Row],[kg HCFC-22 at retail-gate per kg of product]]*'Summary pivot'!$D$7</f>
        <v>0</v>
      </c>
    </row>
    <row r="14" spans="1:16" ht="30">
      <c r="A14" s="52" t="s">
        <v>8</v>
      </c>
      <c r="B14" t="s">
        <v>42</v>
      </c>
      <c r="C14" t="s">
        <v>130</v>
      </c>
      <c r="D14" t="s">
        <v>121</v>
      </c>
      <c r="E14" s="5">
        <f>'Fruits, berries, cocoa, coffee'!C60</f>
        <v>0.34</v>
      </c>
      <c r="F14" s="750" t="str">
        <f>'Summary pivot'!$C$1</f>
        <v>GWP100 with fb AR6</v>
      </c>
      <c r="G14" s="188">
        <f>Table1[[#This Row],[kg CO2 at retail-gate per kg of product]]+Table1[[#This Row],[Kg CO2e from CH4 fossil]]+Table1[[#This Row],[Kg CO2e from N2O]]</f>
        <v>0.39609197369246468</v>
      </c>
      <c r="H14" s="188">
        <f>'Fruits, berries, cocoa, coffee'!H61</f>
        <v>0.37069840961687428</v>
      </c>
      <c r="I14" s="188">
        <f>'Fruits, berries, cocoa, coffee'!H62</f>
        <v>4.8969615357489904E-5</v>
      </c>
      <c r="J14" s="188">
        <v>0</v>
      </c>
      <c r="K14" s="188">
        <f>'Fruits, berries, cocoa, coffee'!H63</f>
        <v>8.7671316988781003E-5</v>
      </c>
      <c r="L14" s="188">
        <v>0</v>
      </c>
      <c r="M14" s="188">
        <f>Table1[[#This Row],[kg CH4 fossil at retail-gate per kg of product]]*'Summary pivot'!$D$5</f>
        <v>1.4592945376531992E-3</v>
      </c>
      <c r="N14" s="188">
        <f>Table1[[#This Row],[kg CH4 bio at retail-gate per kg of product]]*'Summary pivot'!$D$4</f>
        <v>0</v>
      </c>
      <c r="O14" s="188">
        <f>Table1[[#This Row],[kg N2O at retail-gate per kg of product]]*'Summary pivot'!$D$6</f>
        <v>2.3934269537937213E-2</v>
      </c>
      <c r="P14" s="188">
        <f>Table1[[#This Row],[kg HCFC-22 at retail-gate per kg of product]]*'Summary pivot'!$D$7</f>
        <v>0</v>
      </c>
    </row>
    <row r="15" spans="1:16" ht="30">
      <c r="A15" s="52" t="s">
        <v>8</v>
      </c>
      <c r="B15" t="s">
        <v>42</v>
      </c>
      <c r="C15" t="s">
        <v>127</v>
      </c>
      <c r="D15" t="s">
        <v>121</v>
      </c>
      <c r="E15" s="5">
        <f>'Fruits, berries, cocoa, coffee'!C64</f>
        <v>0.16</v>
      </c>
      <c r="F15" s="750" t="str">
        <f>'Summary pivot'!$C$1</f>
        <v>GWP100 with fb AR6</v>
      </c>
      <c r="G15" s="188">
        <f>Table1[[#This Row],[kg CO2 at retail-gate per kg of product]]+Table1[[#This Row],[Kg CO2e from CH4 fossil]]+Table1[[#This Row],[Kg CO2e from N2O]]</f>
        <v>0.23337569581900902</v>
      </c>
      <c r="H15" s="188">
        <f>'Fruits, berries, cocoa, coffee'!H65</f>
        <v>0.19022277895142917</v>
      </c>
      <c r="I15" s="188">
        <f>'Fruits, berries, cocoa, coffee'!H66</f>
        <v>4.3651451819399717E-5</v>
      </c>
      <c r="J15" s="188">
        <v>0</v>
      </c>
      <c r="K15" s="188">
        <f>'Fruits, berries, cocoa, coffee'!H67</f>
        <v>1.5330440880352287E-4</v>
      </c>
      <c r="L15" s="188">
        <v>0</v>
      </c>
      <c r="M15" s="188">
        <f>Table1[[#This Row],[kg CH4 fossil at retail-gate per kg of product]]*'Summary pivot'!$D$5</f>
        <v>1.3008132642181116E-3</v>
      </c>
      <c r="N15" s="188">
        <f>Table1[[#This Row],[kg CH4 bio at retail-gate per kg of product]]*'Summary pivot'!$D$4</f>
        <v>0</v>
      </c>
      <c r="O15" s="188">
        <f>Table1[[#This Row],[kg N2O at retail-gate per kg of product]]*'Summary pivot'!$D$6</f>
        <v>4.1852103603361744E-2</v>
      </c>
      <c r="P15" s="188">
        <f>Table1[[#This Row],[kg HCFC-22 at retail-gate per kg of product]]*'Summary pivot'!$D$7</f>
        <v>0</v>
      </c>
    </row>
    <row r="16" spans="1:16" ht="30">
      <c r="A16" s="52" t="s">
        <v>8</v>
      </c>
      <c r="B16" t="s">
        <v>42</v>
      </c>
      <c r="C16" t="s">
        <v>125</v>
      </c>
      <c r="D16" t="s">
        <v>121</v>
      </c>
      <c r="E16" s="5">
        <f>'Fruits, berries, cocoa, coffee'!C68</f>
        <v>0.12</v>
      </c>
      <c r="F16" s="750" t="str">
        <f>'Summary pivot'!$C$1</f>
        <v>GWP100 with fb AR6</v>
      </c>
      <c r="G16" s="188">
        <f>Table1[[#This Row],[kg CO2 at retail-gate per kg of product]]+Table1[[#This Row],[Kg CO2e from CH4 fossil]]+Table1[[#This Row],[Kg CO2e from N2O]]</f>
        <v>0.41515693797758363</v>
      </c>
      <c r="H16" s="188">
        <f>'Fruits, berries, cocoa, coffee'!H69</f>
        <v>0.38383692394126701</v>
      </c>
      <c r="I16" s="188">
        <f>'Fruits, berries, cocoa, coffee'!H70</f>
        <v>5.0028022703970326E-5</v>
      </c>
      <c r="J16" s="188">
        <v>0</v>
      </c>
      <c r="K16" s="188">
        <f>'Fruits, berries, cocoa, coffee'!H71</f>
        <v>1.0926439179391323E-4</v>
      </c>
      <c r="L16" s="188">
        <v>0</v>
      </c>
      <c r="M16" s="188">
        <f>Table1[[#This Row],[kg CH4 fossil at retail-gate per kg of product]]*'Summary pivot'!$D$5</f>
        <v>1.4908350765783158E-3</v>
      </c>
      <c r="N16" s="188">
        <f>Table1[[#This Row],[kg CH4 bio at retail-gate per kg of product]]*'Summary pivot'!$D$4</f>
        <v>0</v>
      </c>
      <c r="O16" s="188">
        <f>Table1[[#This Row],[kg N2O at retail-gate per kg of product]]*'Summary pivot'!$D$6</f>
        <v>2.9829178959738311E-2</v>
      </c>
      <c r="P16" s="188">
        <f>Table1[[#This Row],[kg HCFC-22 at retail-gate per kg of product]]*'Summary pivot'!$D$7</f>
        <v>0</v>
      </c>
    </row>
    <row r="17" spans="1:16" ht="30">
      <c r="A17" s="52" t="s">
        <v>8</v>
      </c>
      <c r="B17" t="s">
        <v>49</v>
      </c>
      <c r="C17" t="s">
        <v>120</v>
      </c>
      <c r="D17" t="s">
        <v>121</v>
      </c>
      <c r="E17" s="5">
        <f>'Fruits, berries, cocoa, coffee'!C73</f>
        <v>1</v>
      </c>
      <c r="F17" s="750" t="str">
        <f>'Summary pivot'!$C$1</f>
        <v>GWP100 with fb AR6</v>
      </c>
      <c r="G17" s="188">
        <f>Table1[[#This Row],[kg CO2 at retail-gate per kg of product]]+Table1[[#This Row],[Kg CO2e from CH4 fossil]]+Table1[[#This Row],[Kg CO2e from N2O]]</f>
        <v>0.71329833398925524</v>
      </c>
      <c r="H17" s="188">
        <f>'Fruits, berries, cocoa, coffee'!H74</f>
        <v>0.6398630218222271</v>
      </c>
      <c r="I17" s="188">
        <f>'Fruits, berries, cocoa, coffee'!H75</f>
        <v>6.9274602991842142E-5</v>
      </c>
      <c r="J17" s="188">
        <v>0</v>
      </c>
      <c r="K17" s="188">
        <f>'Fruits, berries, cocoa, coffee'!H76</f>
        <v>2.6143197435117674E-4</v>
      </c>
      <c r="L17" s="188">
        <v>0</v>
      </c>
      <c r="M17" s="188">
        <f>Table1[[#This Row],[kg CH4 fossil at retail-gate per kg of product]]*'Summary pivot'!$D$5</f>
        <v>2.0643831691568959E-3</v>
      </c>
      <c r="N17" s="188">
        <f>Table1[[#This Row],[kg CH4 bio at retail-gate per kg of product]]*'Summary pivot'!$D$4</f>
        <v>0</v>
      </c>
      <c r="O17" s="188">
        <f>Table1[[#This Row],[kg N2O at retail-gate per kg of product]]*'Summary pivot'!$D$6</f>
        <v>7.1370928997871244E-2</v>
      </c>
      <c r="P17" s="188">
        <f>Table1[[#This Row],[kg HCFC-22 at retail-gate per kg of product]]*'Summary pivot'!$D$7</f>
        <v>0</v>
      </c>
    </row>
    <row r="18" spans="1:16" ht="30">
      <c r="A18" s="52" t="s">
        <v>8</v>
      </c>
      <c r="B18" t="s">
        <v>49</v>
      </c>
      <c r="C18" t="s">
        <v>131</v>
      </c>
      <c r="D18" t="s">
        <v>121</v>
      </c>
      <c r="E18" s="5">
        <f>'Fruits, berries, cocoa, coffee'!C77</f>
        <v>0.22683685539112819</v>
      </c>
      <c r="F18" s="750" t="str">
        <f>'Summary pivot'!$C$1</f>
        <v>GWP100 with fb AR6</v>
      </c>
      <c r="G18" s="188">
        <f>Table1[[#This Row],[kg CO2 at retail-gate per kg of product]]+Table1[[#This Row],[Kg CO2e from CH4 fossil]]+Table1[[#This Row],[Kg CO2e from N2O]]</f>
        <v>0.76630946435074954</v>
      </c>
      <c r="H18" s="188">
        <f>'Fruits, berries, cocoa, coffee'!H78</f>
        <v>0.63130342900774827</v>
      </c>
      <c r="I18" s="188">
        <f>'Fruits, berries, cocoa, coffee'!H79</f>
        <v>1.1879716489547724E-4</v>
      </c>
      <c r="J18" s="188">
        <v>0</v>
      </c>
      <c r="K18" s="188">
        <f>'Fruits, berries, cocoa, coffee'!H80</f>
        <v>4.8155999937405161E-4</v>
      </c>
      <c r="L18" s="188">
        <v>0</v>
      </c>
      <c r="M18" s="188">
        <f>Table1[[#This Row],[kg CH4 fossil at retail-gate per kg of product]]*'Summary pivot'!$D$5</f>
        <v>3.5401555138852218E-3</v>
      </c>
      <c r="N18" s="188">
        <f>Table1[[#This Row],[kg CH4 bio at retail-gate per kg of product]]*'Summary pivot'!$D$4</f>
        <v>0</v>
      </c>
      <c r="O18" s="188">
        <f>Table1[[#This Row],[kg N2O at retail-gate per kg of product]]*'Summary pivot'!$D$6</f>
        <v>0.13146587982911609</v>
      </c>
      <c r="P18" s="188">
        <f>Table1[[#This Row],[kg HCFC-22 at retail-gate per kg of product]]*'Summary pivot'!$D$7</f>
        <v>0</v>
      </c>
    </row>
    <row r="19" spans="1:16" ht="30">
      <c r="A19" s="52" t="s">
        <v>8</v>
      </c>
      <c r="B19" t="s">
        <v>49</v>
      </c>
      <c r="C19" t="s">
        <v>132</v>
      </c>
      <c r="D19" t="s">
        <v>121</v>
      </c>
      <c r="E19" s="5">
        <f>'Fruits, berries, cocoa, coffee'!C81</f>
        <v>0.21006030641199946</v>
      </c>
      <c r="F19" s="750" t="str">
        <f>'Summary pivot'!$C$1</f>
        <v>GWP100 with fb AR6</v>
      </c>
      <c r="G19" s="188">
        <f>Table1[[#This Row],[kg CO2 at retail-gate per kg of product]]+Table1[[#This Row],[Kg CO2e from CH4 fossil]]+Table1[[#This Row],[Kg CO2e from N2O]]</f>
        <v>0.76542228037992055</v>
      </c>
      <c r="H19" s="188">
        <f>'Fruits, berries, cocoa, coffee'!H82</f>
        <v>0.63357912073610301</v>
      </c>
      <c r="I19" s="188">
        <f>'Fruits, berries, cocoa, coffee'!H83</f>
        <v>1.1761396372710131E-4</v>
      </c>
      <c r="J19" s="188">
        <v>0</v>
      </c>
      <c r="K19" s="188">
        <f>'Fruits, berries, cocoa, coffee'!H84</f>
        <v>4.7010352939468855E-4</v>
      </c>
      <c r="L19" s="188">
        <v>0</v>
      </c>
      <c r="M19" s="188">
        <f>Table1[[#This Row],[kg CH4 fossil at retail-gate per kg of product]]*'Summary pivot'!$D$5</f>
        <v>3.504896119067619E-3</v>
      </c>
      <c r="N19" s="188">
        <f>Table1[[#This Row],[kg CH4 bio at retail-gate per kg of product]]*'Summary pivot'!$D$4</f>
        <v>0</v>
      </c>
      <c r="O19" s="188">
        <f>Table1[[#This Row],[kg N2O at retail-gate per kg of product]]*'Summary pivot'!$D$6</f>
        <v>0.12833826352474997</v>
      </c>
      <c r="P19" s="188">
        <f>Table1[[#This Row],[kg HCFC-22 at retail-gate per kg of product]]*'Summary pivot'!$D$7</f>
        <v>0</v>
      </c>
    </row>
    <row r="20" spans="1:16" ht="30">
      <c r="A20" s="52" t="s">
        <v>8</v>
      </c>
      <c r="B20" t="s">
        <v>49</v>
      </c>
      <c r="C20" t="s">
        <v>133</v>
      </c>
      <c r="D20" t="s">
        <v>121</v>
      </c>
      <c r="E20" s="5">
        <f>'Fruits, berries, cocoa, coffee'!C85</f>
        <v>0.18600802880570008</v>
      </c>
      <c r="F20" s="750" t="str">
        <f>'Summary pivot'!$C$1</f>
        <v>GWP100 with fb AR6</v>
      </c>
      <c r="G20" s="188">
        <f>Table1[[#This Row],[kg CO2 at retail-gate per kg of product]]+Table1[[#This Row],[Kg CO2e from CH4 fossil]]+Table1[[#This Row],[Kg CO2e from N2O]]</f>
        <v>0.63586064104874129</v>
      </c>
      <c r="H20" s="188">
        <f>'Fruits, berries, cocoa, coffee'!H86</f>
        <v>0.59565195116611236</v>
      </c>
      <c r="I20" s="188">
        <f>'Fruits, berries, cocoa, coffee'!H87</f>
        <v>3.8784817178889681E-5</v>
      </c>
      <c r="J20" s="188">
        <v>0</v>
      </c>
      <c r="K20" s="188">
        <f>'Fruits, berries, cocoa, coffee'!H88</f>
        <v>1.4305092428827123E-4</v>
      </c>
      <c r="L20" s="188">
        <v>0</v>
      </c>
      <c r="M20" s="188">
        <f>Table1[[#This Row],[kg CH4 fossil at retail-gate per kg of product]]*'Summary pivot'!$D$5</f>
        <v>1.1557875519309126E-3</v>
      </c>
      <c r="N20" s="188">
        <f>Table1[[#This Row],[kg CH4 bio at retail-gate per kg of product]]*'Summary pivot'!$D$4</f>
        <v>0</v>
      </c>
      <c r="O20" s="188">
        <f>Table1[[#This Row],[kg N2O at retail-gate per kg of product]]*'Summary pivot'!$D$6</f>
        <v>3.9052902330698046E-2</v>
      </c>
      <c r="P20" s="188">
        <f>Table1[[#This Row],[kg HCFC-22 at retail-gate per kg of product]]*'Summary pivot'!$D$7</f>
        <v>0</v>
      </c>
    </row>
    <row r="21" spans="1:16" ht="30">
      <c r="A21" s="52" t="s">
        <v>8</v>
      </c>
      <c r="B21" t="s">
        <v>49</v>
      </c>
      <c r="C21" t="s">
        <v>134</v>
      </c>
      <c r="D21" t="s">
        <v>121</v>
      </c>
      <c r="E21" s="5">
        <f>'Fruits, berries, cocoa, coffee'!C89</f>
        <v>0.37709480939117224</v>
      </c>
      <c r="F21" s="750" t="str">
        <f>'Summary pivot'!$C$1</f>
        <v>GWP100 with fb AR6</v>
      </c>
      <c r="G21" s="188">
        <f>Table1[[#This Row],[kg CO2 at retail-gate per kg of product]]+Table1[[#This Row],[Kg CO2e from CH4 fossil]]+Table1[[#This Row],[Kg CO2e from N2O]]</f>
        <v>0.69057190702817683</v>
      </c>
      <c r="H21" s="188">
        <f>'Fruits, berries, cocoa, coffee'!H90</f>
        <v>0.67032019896490747</v>
      </c>
      <c r="I21" s="188">
        <f>'Fruits, berries, cocoa, coffee'!H91</f>
        <v>2.7597078423044893E-5</v>
      </c>
      <c r="J21" s="188">
        <v>0</v>
      </c>
      <c r="K21" s="188">
        <f>'Fruits, berries, cocoa, coffee'!H92</f>
        <v>7.1169652477152449E-5</v>
      </c>
      <c r="L21" s="188">
        <v>0</v>
      </c>
      <c r="M21" s="188">
        <f>Table1[[#This Row],[kg CH4 fossil at retail-gate per kg of product]]*'Summary pivot'!$D$5</f>
        <v>8.2239293700673785E-4</v>
      </c>
      <c r="N21" s="188">
        <f>Table1[[#This Row],[kg CH4 bio at retail-gate per kg of product]]*'Summary pivot'!$D$4</f>
        <v>0</v>
      </c>
      <c r="O21" s="188">
        <f>Table1[[#This Row],[kg N2O at retail-gate per kg of product]]*'Summary pivot'!$D$6</f>
        <v>1.9429315126262618E-2</v>
      </c>
      <c r="P21" s="188">
        <f>Table1[[#This Row],[kg HCFC-22 at retail-gate per kg of product]]*'Summary pivot'!$D$7</f>
        <v>0</v>
      </c>
    </row>
    <row r="22" spans="1:16" ht="30">
      <c r="A22" s="52" t="s">
        <v>8</v>
      </c>
      <c r="B22" t="s">
        <v>55</v>
      </c>
      <c r="C22" t="s">
        <v>120</v>
      </c>
      <c r="D22" t="s">
        <v>121</v>
      </c>
      <c r="E22" s="5">
        <f>'Fruits, berries, cocoa, coffee'!C94</f>
        <v>1</v>
      </c>
      <c r="F22" s="750" t="str">
        <f>'Summary pivot'!$C$1</f>
        <v>GWP100 with fb AR6</v>
      </c>
      <c r="G22" s="188">
        <f>Table1[[#This Row],[kg CO2 at retail-gate per kg of product]]+Table1[[#This Row],[Kg CO2e from CH4 fossil]]+Table1[[#This Row],[Kg CO2e from N2O]]</f>
        <v>0.64669319118571034</v>
      </c>
      <c r="H22" s="188">
        <f>'Fruits, berries, cocoa, coffee'!H95</f>
        <v>0.57932125613392393</v>
      </c>
      <c r="I22" s="188">
        <f>'Fruits, berries, cocoa, coffee'!H96</f>
        <v>1.0002485351188757E-4</v>
      </c>
      <c r="J22" s="188">
        <v>0</v>
      </c>
      <c r="K22" s="188">
        <f>'Fruits, berries, cocoa, coffee'!H97</f>
        <v>2.3586518101513629E-4</v>
      </c>
      <c r="L22" s="188">
        <v>0</v>
      </c>
      <c r="M22" s="188">
        <f>Table1[[#This Row],[kg CH4 fossil at retail-gate per kg of product]]*'Summary pivot'!$D$5</f>
        <v>2.9807406346542497E-3</v>
      </c>
      <c r="N22" s="188">
        <f>Table1[[#This Row],[kg CH4 bio at retail-gate per kg of product]]*'Summary pivot'!$D$4</f>
        <v>0</v>
      </c>
      <c r="O22" s="188">
        <f>Table1[[#This Row],[kg N2O at retail-gate per kg of product]]*'Summary pivot'!$D$6</f>
        <v>6.4391194417132203E-2</v>
      </c>
      <c r="P22" s="188">
        <f>Table1[[#This Row],[kg HCFC-22 at retail-gate per kg of product]]*'Summary pivot'!$D$7</f>
        <v>0</v>
      </c>
    </row>
    <row r="23" spans="1:16" ht="30">
      <c r="A23" s="52" t="s">
        <v>8</v>
      </c>
      <c r="B23" t="s">
        <v>55</v>
      </c>
      <c r="C23" t="s">
        <v>130</v>
      </c>
      <c r="D23" t="s">
        <v>121</v>
      </c>
      <c r="E23" s="5">
        <f>'Fruits, berries, cocoa, coffee'!C98</f>
        <v>0.44158070666522325</v>
      </c>
      <c r="F23" s="750" t="str">
        <f>'Summary pivot'!$C$1</f>
        <v>GWP100 with fb AR6</v>
      </c>
      <c r="G23" s="188">
        <f>Table1[[#This Row],[kg CO2 at retail-gate per kg of product]]+Table1[[#This Row],[Kg CO2e from CH4 fossil]]+Table1[[#This Row],[Kg CO2e from N2O]]</f>
        <v>0.47169576892788617</v>
      </c>
      <c r="H23" s="188">
        <f>'Fruits, berries, cocoa, coffee'!H99</f>
        <v>0.40302267970963207</v>
      </c>
      <c r="I23" s="188">
        <f>'Fruits, berries, cocoa, coffee'!H100</f>
        <v>1.1032632244692627E-4</v>
      </c>
      <c r="J23" s="188">
        <v>0</v>
      </c>
      <c r="K23" s="188">
        <f>'Fruits, berries, cocoa, coffee'!H101</f>
        <v>2.3950683080342753E-4</v>
      </c>
      <c r="L23" s="188">
        <v>0</v>
      </c>
      <c r="M23" s="188">
        <f>Table1[[#This Row],[kg CH4 fossil at retail-gate per kg of product]]*'Summary pivot'!$D$5</f>
        <v>3.2877244089184027E-3</v>
      </c>
      <c r="N23" s="188">
        <f>Table1[[#This Row],[kg CH4 bio at retail-gate per kg of product]]*'Summary pivot'!$D$4</f>
        <v>0</v>
      </c>
      <c r="O23" s="188">
        <f>Table1[[#This Row],[kg N2O at retail-gate per kg of product]]*'Summary pivot'!$D$6</f>
        <v>6.5385364809335711E-2</v>
      </c>
      <c r="P23" s="188">
        <f>Table1[[#This Row],[kg HCFC-22 at retail-gate per kg of product]]*'Summary pivot'!$D$7</f>
        <v>0</v>
      </c>
    </row>
    <row r="24" spans="1:16" ht="30">
      <c r="A24" s="52" t="s">
        <v>8</v>
      </c>
      <c r="B24" t="s">
        <v>55</v>
      </c>
      <c r="C24" t="s">
        <v>134</v>
      </c>
      <c r="D24" t="s">
        <v>121</v>
      </c>
      <c r="E24" s="5">
        <f>'Fruits, berries, cocoa, coffee'!C102</f>
        <v>0.55841929333477669</v>
      </c>
      <c r="F24" s="750" t="str">
        <f>'Summary pivot'!$C$1</f>
        <v>GWP100 with fb AR6</v>
      </c>
      <c r="G24" s="188">
        <f>Table1[[#This Row],[kg CO2 at retail-gate per kg of product]]+Table1[[#This Row],[Kg CO2e from CH4 fossil]]+Table1[[#This Row],[Kg CO2e from N2O]]</f>
        <v>0.78507574047717132</v>
      </c>
      <c r="H24" s="188">
        <f>'Fruits, berries, cocoa, coffee'!H103</f>
        <v>0.71873271789880244</v>
      </c>
      <c r="I24" s="188">
        <f>'Fruits, berries, cocoa, coffee'!H104</f>
        <v>9.1878770476577548E-5</v>
      </c>
      <c r="J24" s="188">
        <v>0</v>
      </c>
      <c r="K24" s="188">
        <f>'Fruits, berries, cocoa, coffee'!H105</f>
        <v>2.329854769896222E-4</v>
      </c>
      <c r="L24" s="188">
        <v>0</v>
      </c>
      <c r="M24" s="188">
        <f>Table1[[#This Row],[kg CH4 fossil at retail-gate per kg of product]]*'Summary pivot'!$D$5</f>
        <v>2.7379873602020109E-3</v>
      </c>
      <c r="N24" s="188">
        <f>Table1[[#This Row],[kg CH4 bio at retail-gate per kg of product]]*'Summary pivot'!$D$4</f>
        <v>0</v>
      </c>
      <c r="O24" s="188">
        <f>Table1[[#This Row],[kg N2O at retail-gate per kg of product]]*'Summary pivot'!$D$6</f>
        <v>6.3605035218166864E-2</v>
      </c>
      <c r="P24" s="188">
        <f>Table1[[#This Row],[kg HCFC-22 at retail-gate per kg of product]]*'Summary pivot'!$D$7</f>
        <v>0</v>
      </c>
    </row>
    <row r="25" spans="1:16" ht="30">
      <c r="A25" s="52" t="s">
        <v>8</v>
      </c>
      <c r="B25" t="s">
        <v>61</v>
      </c>
      <c r="C25" t="s">
        <v>120</v>
      </c>
      <c r="D25" t="s">
        <v>121</v>
      </c>
      <c r="E25" s="5">
        <f>'Fruits, berries, cocoa, coffee'!C107</f>
        <v>1</v>
      </c>
      <c r="F25" s="750" t="str">
        <f>'Summary pivot'!$C$1</f>
        <v>GWP100 with fb AR6</v>
      </c>
      <c r="G25" s="188">
        <f>Table1[[#This Row],[kg CO2 at retail-gate per kg of product]]+Table1[[#This Row],[Kg CO2e from CH4 fossil]]+Table1[[#This Row],[Kg CO2e from N2O]]</f>
        <v>0.45593275974597319</v>
      </c>
      <c r="H25" s="188">
        <f>'Fruits, berries, cocoa, coffee'!H108</f>
        <v>0.39359703692756631</v>
      </c>
      <c r="I25" s="188">
        <f>'Fruits, berries, cocoa, coffee'!H109</f>
        <v>8.9226954086736091E-5</v>
      </c>
      <c r="J25" s="188">
        <v>0</v>
      </c>
      <c r="K25" s="188">
        <f>'Fruits, berries, cocoa, coffee'!H110</f>
        <v>2.1859618896198602E-4</v>
      </c>
      <c r="L25" s="188">
        <v>0</v>
      </c>
      <c r="M25" s="188">
        <f>Table1[[#This Row],[kg CH4 fossil at retail-gate per kg of product]]*'Summary pivot'!$D$5</f>
        <v>2.6589632317847358E-3</v>
      </c>
      <c r="N25" s="188">
        <f>Table1[[#This Row],[kg CH4 bio at retail-gate per kg of product]]*'Summary pivot'!$D$4</f>
        <v>0</v>
      </c>
      <c r="O25" s="188">
        <f>Table1[[#This Row],[kg N2O at retail-gate per kg of product]]*'Summary pivot'!$D$6</f>
        <v>5.9676759586622184E-2</v>
      </c>
      <c r="P25" s="188">
        <f>Table1[[#This Row],[kg HCFC-22 at retail-gate per kg of product]]*'Summary pivot'!$D$7</f>
        <v>0</v>
      </c>
    </row>
    <row r="26" spans="1:16" ht="30">
      <c r="A26" s="52" t="s">
        <v>8</v>
      </c>
      <c r="B26" t="s">
        <v>61</v>
      </c>
      <c r="C26" t="s">
        <v>130</v>
      </c>
      <c r="D26" t="s">
        <v>121</v>
      </c>
      <c r="E26" s="5">
        <f>'Fruits, berries, cocoa, coffee'!C111</f>
        <v>0.56181410238356744</v>
      </c>
      <c r="F26" s="750" t="str">
        <f>'Summary pivot'!$C$1</f>
        <v>GWP100 with fb AR6</v>
      </c>
      <c r="G26" s="188">
        <f>Table1[[#This Row],[kg CO2 at retail-gate per kg of product]]+Table1[[#This Row],[Kg CO2e from CH4 fossil]]+Table1[[#This Row],[Kg CO2e from N2O]]</f>
        <v>0.47169576892788617</v>
      </c>
      <c r="H26" s="188">
        <f>'Fruits, berries, cocoa, coffee'!H112</f>
        <v>0.40302267970963207</v>
      </c>
      <c r="I26" s="188">
        <f>'Fruits, berries, cocoa, coffee'!H113</f>
        <v>1.1032632244692627E-4</v>
      </c>
      <c r="J26" s="188">
        <v>0</v>
      </c>
      <c r="K26" s="188">
        <f>'Fruits, berries, cocoa, coffee'!H114</f>
        <v>2.3950683080342753E-4</v>
      </c>
      <c r="L26" s="188">
        <v>0</v>
      </c>
      <c r="M26" s="188">
        <f>Table1[[#This Row],[kg CH4 fossil at retail-gate per kg of product]]*'Summary pivot'!$D$5</f>
        <v>3.2877244089184027E-3</v>
      </c>
      <c r="N26" s="188">
        <f>Table1[[#This Row],[kg CH4 bio at retail-gate per kg of product]]*'Summary pivot'!$D$4</f>
        <v>0</v>
      </c>
      <c r="O26" s="188">
        <f>Table1[[#This Row],[kg N2O at retail-gate per kg of product]]*'Summary pivot'!$D$6</f>
        <v>6.5385364809335711E-2</v>
      </c>
      <c r="P26" s="188">
        <f>Table1[[#This Row],[kg HCFC-22 at retail-gate per kg of product]]*'Summary pivot'!$D$7</f>
        <v>0</v>
      </c>
    </row>
    <row r="27" spans="1:16" ht="30">
      <c r="A27" s="52" t="s">
        <v>8</v>
      </c>
      <c r="B27" t="s">
        <v>61</v>
      </c>
      <c r="C27" t="s">
        <v>134</v>
      </c>
      <c r="D27" t="s">
        <v>121</v>
      </c>
      <c r="E27" s="5">
        <f>'Fruits, berries, cocoa, coffee'!C115</f>
        <v>0.43818589761643256</v>
      </c>
      <c r="F27" s="750" t="str">
        <f>'Summary pivot'!$C$1</f>
        <v>GWP100 with fb AR6</v>
      </c>
      <c r="G27" s="188">
        <f>Table1[[#This Row],[kg CO2 at retail-gate per kg of product]]+Table1[[#This Row],[Kg CO2e from CH4 fossil]]+Table1[[#This Row],[Kg CO2e from N2O]]</f>
        <v>0.43572243142967404</v>
      </c>
      <c r="H27" s="188">
        <f>'Fruits, berries, cocoa, coffee'!H116</f>
        <v>0.38151207694186223</v>
      </c>
      <c r="I27" s="188">
        <f>'Fruits, berries, cocoa, coffee'!H117</f>
        <v>6.2174685265166529E-5</v>
      </c>
      <c r="J27" s="188">
        <v>0</v>
      </c>
      <c r="K27" s="188">
        <f>'Fruits, berries, cocoa, coffee'!H118</f>
        <v>1.9178589328538415E-4</v>
      </c>
      <c r="L27" s="188">
        <v>0</v>
      </c>
      <c r="M27" s="188">
        <f>Table1[[#This Row],[kg CH4 fossil at retail-gate per kg of product]]*'Summary pivot'!$D$5</f>
        <v>1.8528056209019626E-3</v>
      </c>
      <c r="N27" s="188">
        <f>Table1[[#This Row],[kg CH4 bio at retail-gate per kg of product]]*'Summary pivot'!$D$4</f>
        <v>0</v>
      </c>
      <c r="O27" s="188">
        <f>Table1[[#This Row],[kg N2O at retail-gate per kg of product]]*'Summary pivot'!$D$6</f>
        <v>5.2357548866909874E-2</v>
      </c>
      <c r="P27" s="188">
        <f>Table1[[#This Row],[kg HCFC-22 at retail-gate per kg of product]]*'Summary pivot'!$D$7</f>
        <v>0</v>
      </c>
    </row>
    <row r="28" spans="1:16" ht="30">
      <c r="A28" s="52" t="s">
        <v>8</v>
      </c>
      <c r="B28" t="s">
        <v>67</v>
      </c>
      <c r="C28" t="s">
        <v>135</v>
      </c>
      <c r="D28" t="s">
        <v>121</v>
      </c>
      <c r="E28" s="5">
        <f>'Fruits, berries, cocoa, coffee'!C120</f>
        <v>1</v>
      </c>
      <c r="F28" s="750" t="str">
        <f>'Summary pivot'!$C$1</f>
        <v>GWP100 with fb AR6</v>
      </c>
      <c r="G28" s="188">
        <f>Table1[[#This Row],[kg CO2 at retail-gate per kg of product]]+Table1[[#This Row],[Kg CO2e from CH4 fossil]]+Table1[[#This Row],[Kg CO2e from N2O]]</f>
        <v>1.0643959724312524</v>
      </c>
      <c r="H28" s="188">
        <f>'Fruits, berries, cocoa, coffee'!H121</f>
        <v>0.90762782446248513</v>
      </c>
      <c r="I28" s="188">
        <f>'Fruits, berries, cocoa, coffee'!H122</f>
        <v>2.0146218109994566E-4</v>
      </c>
      <c r="J28" s="188">
        <v>0</v>
      </c>
      <c r="K28" s="188">
        <f>'Fruits, berries, cocoa, coffee'!H123</f>
        <v>5.5225119037358606E-4</v>
      </c>
      <c r="L28" s="188">
        <v>0</v>
      </c>
      <c r="M28" s="188">
        <f>Table1[[#This Row],[kg CH4 fossil at retail-gate per kg of product]]*'Summary pivot'!$D$5</f>
        <v>6.0035729967783807E-3</v>
      </c>
      <c r="N28" s="188">
        <f>Table1[[#This Row],[kg CH4 bio at retail-gate per kg of product]]*'Summary pivot'!$D$4</f>
        <v>0</v>
      </c>
      <c r="O28" s="188">
        <f>Table1[[#This Row],[kg N2O at retail-gate per kg of product]]*'Summary pivot'!$D$6</f>
        <v>0.150764574971989</v>
      </c>
      <c r="P28" s="188">
        <f>Table1[[#This Row],[kg HCFC-22 at retail-gate per kg of product]]*'Summary pivot'!$D$7</f>
        <v>0</v>
      </c>
    </row>
    <row r="29" spans="1:16" ht="30">
      <c r="A29" s="52" t="s">
        <v>8</v>
      </c>
      <c r="B29" t="s">
        <v>73</v>
      </c>
      <c r="C29" t="s">
        <v>120</v>
      </c>
      <c r="D29" t="s">
        <v>121</v>
      </c>
      <c r="E29" s="5">
        <f>'Fruits, berries, cocoa, coffee'!C125</f>
        <v>1</v>
      </c>
      <c r="F29" s="750" t="str">
        <f>'Summary pivot'!$C$1</f>
        <v>GWP100 with fb AR6</v>
      </c>
      <c r="G29" s="188">
        <f>Table1[[#This Row],[kg CO2 at retail-gate per kg of product]]+Table1[[#This Row],[Kg CO2e from CH4 fossil]]+Table1[[#This Row],[Kg CO2e from N2O]]</f>
        <v>0.63217957178328621</v>
      </c>
      <c r="H29" s="188">
        <f>'Fruits, berries, cocoa, coffee'!H126</f>
        <v>0.58067426258134103</v>
      </c>
      <c r="I29" s="188">
        <f>'Fruits, berries, cocoa, coffee'!H127</f>
        <v>7.8102950705376395E-5</v>
      </c>
      <c r="J29" s="188">
        <v>0</v>
      </c>
      <c r="K29" s="188">
        <f>'Fruits, berries, cocoa, coffee'!H128</f>
        <v>1.8013861271401086E-4</v>
      </c>
      <c r="L29" s="188">
        <v>0</v>
      </c>
      <c r="M29" s="188">
        <f>Table1[[#This Row],[kg CH4 fossil at retail-gate per kg of product]]*'Summary pivot'!$D$5</f>
        <v>2.3274679310202168E-3</v>
      </c>
      <c r="N29" s="188">
        <f>Table1[[#This Row],[kg CH4 bio at retail-gate per kg of product]]*'Summary pivot'!$D$4</f>
        <v>0</v>
      </c>
      <c r="O29" s="188">
        <f>Table1[[#This Row],[kg N2O at retail-gate per kg of product]]*'Summary pivot'!$D$6</f>
        <v>4.9177841270924963E-2</v>
      </c>
      <c r="P29" s="188">
        <f>Table1[[#This Row],[kg HCFC-22 at retail-gate per kg of product]]*'Summary pivot'!$D$7</f>
        <v>0</v>
      </c>
    </row>
    <row r="30" spans="1:16" ht="30">
      <c r="A30" s="52" t="s">
        <v>8</v>
      </c>
      <c r="B30" t="s">
        <v>73</v>
      </c>
      <c r="C30" t="s">
        <v>123</v>
      </c>
      <c r="D30" t="s">
        <v>121</v>
      </c>
      <c r="E30" s="5">
        <f>'Fruits, berries, cocoa, coffee'!C129</f>
        <v>0.49</v>
      </c>
      <c r="F30" s="750" t="str">
        <f>'Summary pivot'!$C$1</f>
        <v>GWP100 with fb AR6</v>
      </c>
      <c r="G30" s="188">
        <f>Table1[[#This Row],[kg CO2 at retail-gate per kg of product]]+Table1[[#This Row],[Kg CO2e from CH4 fossil]]+Table1[[#This Row],[Kg CO2e from N2O]]</f>
        <v>0.45852520803751606</v>
      </c>
      <c r="H30" s="188">
        <f>'Fruits, berries, cocoa, coffee'!H130</f>
        <v>0.40372083905647738</v>
      </c>
      <c r="I30" s="188">
        <f>'Fruits, berries, cocoa, coffee'!H131</f>
        <v>6.469386026200841E-5</v>
      </c>
      <c r="J30" s="188">
        <v>0</v>
      </c>
      <c r="K30" s="188">
        <f>'Fruits, berries, cocoa, coffee'!H132</f>
        <v>1.9368678368216434E-4</v>
      </c>
      <c r="L30" s="188">
        <v>0</v>
      </c>
      <c r="M30" s="188">
        <f>Table1[[#This Row],[kg CH4 fossil at retail-gate per kg of product]]*'Summary pivot'!$D$5</f>
        <v>1.9278770358078508E-3</v>
      </c>
      <c r="N30" s="188">
        <f>Table1[[#This Row],[kg CH4 bio at retail-gate per kg of product]]*'Summary pivot'!$D$4</f>
        <v>0</v>
      </c>
      <c r="O30" s="188">
        <f>Table1[[#This Row],[kg N2O at retail-gate per kg of product]]*'Summary pivot'!$D$6</f>
        <v>5.2876491945230863E-2</v>
      </c>
      <c r="P30" s="188">
        <f>Table1[[#This Row],[kg HCFC-22 at retail-gate per kg of product]]*'Summary pivot'!$D$7</f>
        <v>0</v>
      </c>
    </row>
    <row r="31" spans="1:16" ht="30">
      <c r="A31" s="52" t="s">
        <v>8</v>
      </c>
      <c r="B31" t="s">
        <v>73</v>
      </c>
      <c r="C31" t="s">
        <v>134</v>
      </c>
      <c r="D31" t="s">
        <v>121</v>
      </c>
      <c r="E31" s="5">
        <f>'Fruits, berries, cocoa, coffee'!C133</f>
        <v>0.51</v>
      </c>
      <c r="F31" s="750" t="str">
        <f>'Summary pivot'!$C$1</f>
        <v>GWP100 with fb AR6</v>
      </c>
      <c r="G31" s="188">
        <f>Table1[[#This Row],[kg CO2 at retail-gate per kg of product]]+Table1[[#This Row],[Kg CO2e from CH4 fossil]]+Table1[[#This Row],[Kg CO2e from N2O]]</f>
        <v>0.79902396048020263</v>
      </c>
      <c r="H31" s="188">
        <f>'Fruits, berries, cocoa, coffee'!H134</f>
        <v>0.75068833616405317</v>
      </c>
      <c r="I31" s="188">
        <f>'Fruits, berries, cocoa, coffee'!H135</f>
        <v>9.0986194464690728E-5</v>
      </c>
      <c r="J31" s="188">
        <v>0</v>
      </c>
      <c r="K31" s="188">
        <f>'Fruits, berries, cocoa, coffee'!H136</f>
        <v>1.6712174256813792E-4</v>
      </c>
      <c r="L31" s="188">
        <v>0</v>
      </c>
      <c r="M31" s="188">
        <f>Table1[[#This Row],[kg CH4 fossil at retail-gate per kg of product]]*'Summary pivot'!$D$5</f>
        <v>2.711388595047784E-3</v>
      </c>
      <c r="N31" s="188">
        <f>Table1[[#This Row],[kg CH4 bio at retail-gate per kg of product]]*'Summary pivot'!$D$4</f>
        <v>0</v>
      </c>
      <c r="O31" s="188">
        <f>Table1[[#This Row],[kg N2O at retail-gate per kg of product]]*'Summary pivot'!$D$6</f>
        <v>4.562423572110165E-2</v>
      </c>
      <c r="P31" s="188">
        <f>Table1[[#This Row],[kg HCFC-22 at retail-gate per kg of product]]*'Summary pivot'!$D$7</f>
        <v>0</v>
      </c>
    </row>
    <row r="32" spans="1:16" ht="30">
      <c r="A32" s="52" t="s">
        <v>8</v>
      </c>
      <c r="B32" t="s">
        <v>79</v>
      </c>
      <c r="C32" t="s">
        <v>120</v>
      </c>
      <c r="D32" t="s">
        <v>121</v>
      </c>
      <c r="E32" s="5">
        <f>'Fruits, berries, cocoa, coffee'!C138</f>
        <v>0.99999999999999989</v>
      </c>
      <c r="F32" s="750" t="str">
        <f>'Summary pivot'!$C$1</f>
        <v>GWP100 with fb AR6</v>
      </c>
      <c r="G32" s="188">
        <f>Table1[[#This Row],[kg CO2 at retail-gate per kg of product]]+Table1[[#This Row],[Kg CO2e from CH4 fossil]]+Table1[[#This Row],[Kg CO2e from N2O]]</f>
        <v>0.73791113988345658</v>
      </c>
      <c r="H32" s="188">
        <f>'Fruits, berries, cocoa, coffee'!H139</f>
        <v>0.64851804413319158</v>
      </c>
      <c r="I32" s="188">
        <f>'Fruits, berries, cocoa, coffee'!H140</f>
        <v>1.219915048122248E-3</v>
      </c>
      <c r="J32" s="188">
        <v>0</v>
      </c>
      <c r="K32" s="188">
        <f>'Fruits, berries, cocoa, coffee'!H141</f>
        <v>1.9428434914367054E-4</v>
      </c>
      <c r="L32" s="188">
        <v>0</v>
      </c>
      <c r="M32" s="188">
        <f>Table1[[#This Row],[kg CH4 fossil at retail-gate per kg of product]]*'Summary pivot'!$D$5</f>
        <v>3.6353468434042989E-2</v>
      </c>
      <c r="N32" s="188">
        <f>Table1[[#This Row],[kg CH4 bio at retail-gate per kg of product]]*'Summary pivot'!$D$4</f>
        <v>0</v>
      </c>
      <c r="O32" s="188">
        <f>Table1[[#This Row],[kg N2O at retail-gate per kg of product]]*'Summary pivot'!$D$6</f>
        <v>5.3039627316222061E-2</v>
      </c>
      <c r="P32" s="188">
        <f>Table1[[#This Row],[kg HCFC-22 at retail-gate per kg of product]]*'Summary pivot'!$D$7</f>
        <v>0</v>
      </c>
    </row>
    <row r="33" spans="1:16" ht="30">
      <c r="A33" s="52" t="s">
        <v>8</v>
      </c>
      <c r="B33" t="s">
        <v>79</v>
      </c>
      <c r="C33" t="s">
        <v>122</v>
      </c>
      <c r="D33" t="s">
        <v>121</v>
      </c>
      <c r="E33" s="5">
        <f>'Fruits, berries, cocoa, coffee'!C142</f>
        <v>0.69</v>
      </c>
      <c r="F33" s="750" t="str">
        <f>'Summary pivot'!$C$1</f>
        <v>GWP100 with fb AR6</v>
      </c>
      <c r="G33" s="188">
        <f>Table1[[#This Row],[kg CO2 at retail-gate per kg of product]]+Table1[[#This Row],[Kg CO2e from CH4 fossil]]+Table1[[#This Row],[Kg CO2e from N2O]]</f>
        <v>0.42387643392589142</v>
      </c>
      <c r="H33" s="188">
        <f>'Fruits, berries, cocoa, coffee'!H143</f>
        <v>0.36462364153136878</v>
      </c>
      <c r="I33" s="188">
        <f>'Fruits, berries, cocoa, coffee'!H144</f>
        <v>8.7445350789889839E-5</v>
      </c>
      <c r="J33" s="188">
        <v>0</v>
      </c>
      <c r="K33" s="188">
        <f>'Fruits, berries, cocoa, coffee'!H145</f>
        <v>2.0749787890470293E-4</v>
      </c>
      <c r="L33" s="188">
        <v>0</v>
      </c>
      <c r="M33" s="188">
        <f>Table1[[#This Row],[kg CH4 fossil at retail-gate per kg of product]]*'Summary pivot'!$D$5</f>
        <v>2.6058714535387171E-3</v>
      </c>
      <c r="N33" s="188">
        <f>Table1[[#This Row],[kg CH4 bio at retail-gate per kg of product]]*'Summary pivot'!$D$4</f>
        <v>0</v>
      </c>
      <c r="O33" s="188">
        <f>Table1[[#This Row],[kg N2O at retail-gate per kg of product]]*'Summary pivot'!$D$6</f>
        <v>5.6646920940983898E-2</v>
      </c>
      <c r="P33" s="188">
        <f>Table1[[#This Row],[kg HCFC-22 at retail-gate per kg of product]]*'Summary pivot'!$D$7</f>
        <v>0</v>
      </c>
    </row>
    <row r="34" spans="1:16" ht="30">
      <c r="A34" s="52" t="s">
        <v>8</v>
      </c>
      <c r="B34" t="s">
        <v>79</v>
      </c>
      <c r="C34" t="s">
        <v>126</v>
      </c>
      <c r="D34" t="s">
        <v>121</v>
      </c>
      <c r="E34" s="5">
        <f>'Fruits, berries, cocoa, coffee'!C146</f>
        <v>0.14000000000000001</v>
      </c>
      <c r="F34" s="750" t="str">
        <f>'Summary pivot'!$C$1</f>
        <v>GWP100 with fb AR6</v>
      </c>
      <c r="G34" s="188">
        <f>Table1[[#This Row],[kg CO2 at retail-gate per kg of product]]+Table1[[#This Row],[Kg CO2e from CH4 fossil]]+Table1[[#This Row],[Kg CO2e from N2O]]</f>
        <v>0.41939890835853799</v>
      </c>
      <c r="H34" s="188">
        <f>'Fruits, berries, cocoa, coffee'!H147</f>
        <v>0.37682941495919176</v>
      </c>
      <c r="I34" s="188">
        <f>'Fruits, berries, cocoa, coffee'!H148</f>
        <v>4.6622801258995475E-5</v>
      </c>
      <c r="J34" s="188">
        <v>0</v>
      </c>
      <c r="K34" s="188">
        <f>'Fruits, berries, cocoa, coffee'!H149</f>
        <v>1.5084298139863799E-4</v>
      </c>
      <c r="L34" s="188">
        <v>0</v>
      </c>
      <c r="M34" s="188">
        <f>Table1[[#This Row],[kg CH4 fossil at retail-gate per kg of product]]*'Summary pivot'!$D$5</f>
        <v>1.3893594775180652E-3</v>
      </c>
      <c r="N34" s="188">
        <f>Table1[[#This Row],[kg CH4 bio at retail-gate per kg of product]]*'Summary pivot'!$D$4</f>
        <v>0</v>
      </c>
      <c r="O34" s="188">
        <f>Table1[[#This Row],[kg N2O at retail-gate per kg of product]]*'Summary pivot'!$D$6</f>
        <v>4.118013392182817E-2</v>
      </c>
      <c r="P34" s="188">
        <f>Table1[[#This Row],[kg HCFC-22 at retail-gate per kg of product]]*'Summary pivot'!$D$7</f>
        <v>0</v>
      </c>
    </row>
    <row r="35" spans="1:16" ht="30">
      <c r="A35" s="52" t="s">
        <v>8</v>
      </c>
      <c r="B35" t="s">
        <v>79</v>
      </c>
      <c r="C35" t="s">
        <v>125</v>
      </c>
      <c r="D35" t="s">
        <v>129</v>
      </c>
      <c r="E35" s="5">
        <f>'Fruits, berries, cocoa, coffee'!C150</f>
        <v>8.5000000000000006E-2</v>
      </c>
      <c r="F35" s="750" t="str">
        <f>'Summary pivot'!$C$1</f>
        <v>GWP100 with fb AR6</v>
      </c>
      <c r="G35" s="188">
        <f>Table1[[#This Row],[kg CO2 at retail-gate per kg of product]]+Table1[[#This Row],[Kg CO2e from CH4 fossil]]+Table1[[#This Row],[Kg CO2e from N2O]]</f>
        <v>3.9582679218551524</v>
      </c>
      <c r="H35" s="188">
        <f>'Fruits, berries, cocoa, coffee'!H151</f>
        <v>3.490182745670082</v>
      </c>
      <c r="I35" s="188">
        <f>'Fruits, berries, cocoa, coffee'!H152</f>
        <v>1.3490574610732426E-2</v>
      </c>
      <c r="J35" s="188">
        <v>0</v>
      </c>
      <c r="K35" s="188">
        <f>'Fruits, berries, cocoa, coffee'!H153</f>
        <v>2.4200019335254261E-4</v>
      </c>
      <c r="L35" s="188">
        <v>0</v>
      </c>
      <c r="M35" s="188">
        <f>Table1[[#This Row],[kg CH4 fossil at retail-gate per kg of product]]*'Summary pivot'!$D$5</f>
        <v>0.40201912339982632</v>
      </c>
      <c r="N35" s="188">
        <f>Table1[[#This Row],[kg CH4 bio at retail-gate per kg of product]]*'Summary pivot'!$D$4</f>
        <v>0</v>
      </c>
      <c r="O35" s="188">
        <f>Table1[[#This Row],[kg N2O at retail-gate per kg of product]]*'Summary pivot'!$D$6</f>
        <v>6.6066052785244134E-2</v>
      </c>
      <c r="P35" s="188">
        <f>Table1[[#This Row],[kg HCFC-22 at retail-gate per kg of product]]*'Summary pivot'!$D$7</f>
        <v>0</v>
      </c>
    </row>
    <row r="36" spans="1:16" ht="30">
      <c r="A36" s="52" t="s">
        <v>8</v>
      </c>
      <c r="B36" t="s">
        <v>79</v>
      </c>
      <c r="C36" t="s">
        <v>125</v>
      </c>
      <c r="D36" t="s">
        <v>121</v>
      </c>
      <c r="E36" s="5">
        <f>'Fruits, berries, cocoa, coffee'!C154</f>
        <v>8.5000000000000006E-2</v>
      </c>
      <c r="F36" s="750" t="str">
        <f>'Summary pivot'!$C$1</f>
        <v>GWP100 with fb AR6</v>
      </c>
      <c r="G36" s="188">
        <f>Table1[[#This Row],[kg CO2 at retail-gate per kg of product]]+Table1[[#This Row],[Kg CO2e from CH4 fossil]]+Table1[[#This Row],[Kg CO2e from N2O]]</f>
        <v>0.59138564643186042</v>
      </c>
      <c r="H36" s="188">
        <f>'Fruits, berries, cocoa, coffee'!H155</f>
        <v>0.558895058827096</v>
      </c>
      <c r="I36" s="188">
        <f>'Fruits, berries, cocoa, coffee'!H156</f>
        <v>7.4726141043626555E-5</v>
      </c>
      <c r="J36" s="188">
        <v>0</v>
      </c>
      <c r="K36" s="188">
        <f>'Fruits, berries, cocoa, coffee'!H157</f>
        <v>1.1085622198411853E-4</v>
      </c>
      <c r="L36" s="188">
        <v>0</v>
      </c>
      <c r="M36" s="188">
        <f>Table1[[#This Row],[kg CH4 fossil at retail-gate per kg of product]]*'Summary pivot'!$D$5</f>
        <v>2.2268390031000714E-3</v>
      </c>
      <c r="N36" s="188">
        <f>Table1[[#This Row],[kg CH4 bio at retail-gate per kg of product]]*'Summary pivot'!$D$4</f>
        <v>0</v>
      </c>
      <c r="O36" s="188">
        <f>Table1[[#This Row],[kg N2O at retail-gate per kg of product]]*'Summary pivot'!$D$6</f>
        <v>3.0263748601664357E-2</v>
      </c>
      <c r="P36" s="188">
        <f>Table1[[#This Row],[kg HCFC-22 at retail-gate per kg of product]]*'Summary pivot'!$D$7</f>
        <v>0</v>
      </c>
    </row>
    <row r="37" spans="1:16" ht="30">
      <c r="A37" s="52" t="s">
        <v>8</v>
      </c>
      <c r="B37" t="s">
        <v>83</v>
      </c>
      <c r="C37" t="s">
        <v>120</v>
      </c>
      <c r="D37" t="s">
        <v>121</v>
      </c>
      <c r="E37" s="5">
        <f>'Fruits, berries, cocoa, coffee'!C159</f>
        <v>1</v>
      </c>
      <c r="F37" s="750" t="str">
        <f>'Summary pivot'!$C$1</f>
        <v>GWP100 with fb AR6</v>
      </c>
      <c r="G37" s="188">
        <f>Table1[[#This Row],[kg CO2 at retail-gate per kg of product]]+Table1[[#This Row],[Kg CO2e from CH4 fossil]]+Table1[[#This Row],[Kg CO2e from N2O]]</f>
        <v>0.76684374537967004</v>
      </c>
      <c r="H37" s="188">
        <f>'Fruits, berries, cocoa, coffee'!H160</f>
        <v>0.5377644475747102</v>
      </c>
      <c r="I37" s="188">
        <f>'Fruits, berries, cocoa, coffee'!H161</f>
        <v>2.0773900683329621E-4</v>
      </c>
      <c r="J37" s="188">
        <v>0</v>
      </c>
      <c r="K37" s="188">
        <f>'Fruits, berries, cocoa, coffee'!H162</f>
        <v>8.1644203443709761E-4</v>
      </c>
      <c r="L37" s="188">
        <v>0</v>
      </c>
      <c r="M37" s="188">
        <f>Table1[[#This Row],[kg CH4 fossil at retail-gate per kg of product]]*'Summary pivot'!$D$5</f>
        <v>6.1906224036322273E-3</v>
      </c>
      <c r="N37" s="188">
        <f>Table1[[#This Row],[kg CH4 bio at retail-gate per kg of product]]*'Summary pivot'!$D$4</f>
        <v>0</v>
      </c>
      <c r="O37" s="188">
        <f>Table1[[#This Row],[kg N2O at retail-gate per kg of product]]*'Summary pivot'!$D$6</f>
        <v>0.22288867540132765</v>
      </c>
      <c r="P37" s="188">
        <f>Table1[[#This Row],[kg HCFC-22 at retail-gate per kg of product]]*'Summary pivot'!$D$7</f>
        <v>0</v>
      </c>
    </row>
    <row r="38" spans="1:16" ht="30">
      <c r="A38" s="52" t="s">
        <v>8</v>
      </c>
      <c r="B38" t="s">
        <v>83</v>
      </c>
      <c r="C38" t="s">
        <v>122</v>
      </c>
      <c r="D38" t="s">
        <v>121</v>
      </c>
      <c r="E38" s="5">
        <f>'Fruits, berries, cocoa, coffee'!C163</f>
        <v>0.44</v>
      </c>
      <c r="F38" s="750" t="str">
        <f>'Summary pivot'!$C$1</f>
        <v>GWP100 with fb AR6</v>
      </c>
      <c r="G38" s="188">
        <f>Table1[[#This Row],[kg CO2 at retail-gate per kg of product]]+Table1[[#This Row],[Kg CO2e from CH4 fossil]]+Table1[[#This Row],[Kg CO2e from N2O]]</f>
        <v>0.88398645178297575</v>
      </c>
      <c r="H38" s="188">
        <f>'Fruits, berries, cocoa, coffee'!H164</f>
        <v>0.54006653758722023</v>
      </c>
      <c r="I38" s="188">
        <f>'Fruits, berries, cocoa, coffee'!H165</f>
        <v>2.6768024934965855E-4</v>
      </c>
      <c r="J38" s="188">
        <v>0</v>
      </c>
      <c r="K38" s="188">
        <f>'Fruits, berries, cocoa, coffee'!H166</f>
        <v>1.230560596209288E-3</v>
      </c>
      <c r="L38" s="188">
        <v>0</v>
      </c>
      <c r="M38" s="188">
        <f>Table1[[#This Row],[kg CH4 fossil at retail-gate per kg of product]]*'Summary pivot'!$D$5</f>
        <v>7.9768714306198245E-3</v>
      </c>
      <c r="N38" s="188">
        <f>Table1[[#This Row],[kg CH4 bio at retail-gate per kg of product]]*'Summary pivot'!$D$4</f>
        <v>0</v>
      </c>
      <c r="O38" s="188">
        <f>Table1[[#This Row],[kg N2O at retail-gate per kg of product]]*'Summary pivot'!$D$6</f>
        <v>0.33594304276513565</v>
      </c>
      <c r="P38" s="188">
        <f>Table1[[#This Row],[kg HCFC-22 at retail-gate per kg of product]]*'Summary pivot'!$D$7</f>
        <v>0</v>
      </c>
    </row>
    <row r="39" spans="1:16" ht="30">
      <c r="A39" s="52" t="s">
        <v>8</v>
      </c>
      <c r="B39" t="s">
        <v>83</v>
      </c>
      <c r="C39" t="s">
        <v>126</v>
      </c>
      <c r="D39" t="s">
        <v>121</v>
      </c>
      <c r="E39" s="5">
        <f>'Fruits, berries, cocoa, coffee'!C167</f>
        <v>0.15</v>
      </c>
      <c r="F39" s="750" t="str">
        <f>'Summary pivot'!$C$1</f>
        <v>GWP100 with fb AR6</v>
      </c>
      <c r="G39" s="188">
        <f>Table1[[#This Row],[kg CO2 at retail-gate per kg of product]]+Table1[[#This Row],[Kg CO2e from CH4 fossil]]+Table1[[#This Row],[Kg CO2e from N2O]]</f>
        <v>0.54508324386479323</v>
      </c>
      <c r="H39" s="188">
        <f>'Fruits, berries, cocoa, coffee'!H168</f>
        <v>0.44116127852153814</v>
      </c>
      <c r="I39" s="188">
        <f>'Fruits, berries, cocoa, coffee'!H169</f>
        <v>1.0676807765076405E-4</v>
      </c>
      <c r="J39" s="188">
        <v>0</v>
      </c>
      <c r="K39" s="188">
        <f>'Fruits, berries, cocoa, coffee'!H170</f>
        <v>3.6901200230499002E-4</v>
      </c>
      <c r="L39" s="188">
        <v>0</v>
      </c>
      <c r="M39" s="188">
        <f>Table1[[#This Row],[kg CH4 fossil at retail-gate per kg of product]]*'Summary pivot'!$D$5</f>
        <v>3.1816887139927688E-3</v>
      </c>
      <c r="N39" s="188">
        <f>Table1[[#This Row],[kg CH4 bio at retail-gate per kg of product]]*'Summary pivot'!$D$4</f>
        <v>0</v>
      </c>
      <c r="O39" s="188">
        <f>Table1[[#This Row],[kg N2O at retail-gate per kg of product]]*'Summary pivot'!$D$6</f>
        <v>0.10074027662926227</v>
      </c>
      <c r="P39" s="188">
        <f>Table1[[#This Row],[kg HCFC-22 at retail-gate per kg of product]]*'Summary pivot'!$D$7</f>
        <v>0</v>
      </c>
    </row>
    <row r="40" spans="1:16" ht="30">
      <c r="A40" s="52" t="s">
        <v>8</v>
      </c>
      <c r="B40" t="s">
        <v>83</v>
      </c>
      <c r="C40" t="s">
        <v>127</v>
      </c>
      <c r="D40" t="s">
        <v>121</v>
      </c>
      <c r="E40" s="5">
        <f>'Fruits, berries, cocoa, coffee'!C171</f>
        <v>0.25</v>
      </c>
      <c r="F40" s="750" t="str">
        <f>'Summary pivot'!$C$1</f>
        <v>GWP100 with fb AR6</v>
      </c>
      <c r="G40" s="188">
        <f>Table1[[#This Row],[kg CO2 at retail-gate per kg of product]]+Table1[[#This Row],[Kg CO2e from CH4 fossil]]+Table1[[#This Row],[Kg CO2e from N2O]]</f>
        <v>0.63772645430819486</v>
      </c>
      <c r="H40" s="188">
        <f>'Fruits, berries, cocoa, coffee'!H172</f>
        <v>0.49086381227934445</v>
      </c>
      <c r="I40" s="188">
        <f>'Fruits, berries, cocoa, coffee'!H173</f>
        <v>1.5088477124485392E-4</v>
      </c>
      <c r="J40" s="188">
        <v>0</v>
      </c>
      <c r="K40" s="188">
        <f>'Fruits, berries, cocoa, coffee'!H174</f>
        <v>5.2148818991118613E-4</v>
      </c>
      <c r="L40" s="188">
        <v>0</v>
      </c>
      <c r="M40" s="188">
        <f>Table1[[#This Row],[kg CH4 fossil at retail-gate per kg of product]]*'Summary pivot'!$D$5</f>
        <v>4.4963661830966471E-3</v>
      </c>
      <c r="N40" s="188">
        <f>Table1[[#This Row],[kg CH4 bio at retail-gate per kg of product]]*'Summary pivot'!$D$4</f>
        <v>0</v>
      </c>
      <c r="O40" s="188">
        <f>Table1[[#This Row],[kg N2O at retail-gate per kg of product]]*'Summary pivot'!$D$6</f>
        <v>0.14236627584575381</v>
      </c>
      <c r="P40" s="188">
        <f>Table1[[#This Row],[kg HCFC-22 at retail-gate per kg of product]]*'Summary pivot'!$D$7</f>
        <v>0</v>
      </c>
    </row>
    <row r="41" spans="1:16" ht="30">
      <c r="A41" s="52" t="s">
        <v>8</v>
      </c>
      <c r="B41" t="s">
        <v>83</v>
      </c>
      <c r="C41" t="s">
        <v>125</v>
      </c>
      <c r="D41" t="s">
        <v>121</v>
      </c>
      <c r="E41" s="5">
        <f>'Fruits, berries, cocoa, coffee'!C175</f>
        <v>0.16</v>
      </c>
      <c r="F41" s="750" t="str">
        <f>'Summary pivot'!$C$1</f>
        <v>GWP100 with fb AR6</v>
      </c>
      <c r="G41" s="188">
        <f>Table1[[#This Row],[kg CO2 at retail-gate per kg of product]]+Table1[[#This Row],[Kg CO2e from CH4 fossil]]+Table1[[#This Row],[Kg CO2e from N2O]]</f>
        <v>0.85434754023995629</v>
      </c>
      <c r="H41" s="188">
        <f>'Fruits, berries, cocoa, coffee'!H176</f>
        <v>0.69528141367666507</v>
      </c>
      <c r="I41" s="188">
        <f>'Fruits, berries, cocoa, coffee'!H177</f>
        <v>2.2639557912886479E-4</v>
      </c>
      <c r="J41" s="188">
        <v>0</v>
      </c>
      <c r="K41" s="188">
        <f>'Fruits, berries, cocoa, coffee'!H178</f>
        <v>5.5794702675916134E-4</v>
      </c>
      <c r="L41" s="188">
        <v>0</v>
      </c>
      <c r="M41" s="188">
        <f>Table1[[#This Row],[kg CH4 fossil at retail-gate per kg of product]]*'Summary pivot'!$D$5</f>
        <v>6.7465882580401712E-3</v>
      </c>
      <c r="N41" s="188">
        <f>Table1[[#This Row],[kg CH4 bio at retail-gate per kg of product]]*'Summary pivot'!$D$4</f>
        <v>0</v>
      </c>
      <c r="O41" s="188">
        <f>Table1[[#This Row],[kg N2O at retail-gate per kg of product]]*'Summary pivot'!$D$6</f>
        <v>0.15231953830525105</v>
      </c>
      <c r="P41" s="188">
        <f>Table1[[#This Row],[kg HCFC-22 at retail-gate per kg of product]]*'Summary pivot'!$D$7</f>
        <v>0</v>
      </c>
    </row>
    <row r="42" spans="1:16" ht="30">
      <c r="A42" s="52" t="s">
        <v>8</v>
      </c>
      <c r="B42" t="s">
        <v>136</v>
      </c>
      <c r="C42" t="s">
        <v>120</v>
      </c>
      <c r="D42" t="s">
        <v>121</v>
      </c>
      <c r="E42" s="5">
        <f>'Fruits, berries, cocoa, coffee'!C180</f>
        <v>1</v>
      </c>
      <c r="F42" s="750" t="str">
        <f>'Summary pivot'!$C$1</f>
        <v>GWP100 with fb AR6</v>
      </c>
      <c r="G42" s="188">
        <f>Table1[[#This Row],[kg CO2 at retail-gate per kg of product]]+Table1[[#This Row],[Kg CO2e from CH4 fossil]]+Table1[[#This Row],[Kg CO2e from N2O]]</f>
        <v>2.7774176275672149</v>
      </c>
      <c r="H42" s="188">
        <f>'Fruits, berries, cocoa, coffee'!H181</f>
        <v>1.7537203249273987</v>
      </c>
      <c r="I42" s="188">
        <f>'Fruits, berries, cocoa, coffee'!H182</f>
        <v>2.1897608802136947E-3</v>
      </c>
      <c r="J42" s="188">
        <v>0</v>
      </c>
      <c r="K42" s="188">
        <f>'Fruits, berries, cocoa, coffee'!H183</f>
        <v>3.5107781260419351E-3</v>
      </c>
      <c r="L42" s="188">
        <v>0</v>
      </c>
      <c r="M42" s="188">
        <f>Table1[[#This Row],[kg CH4 fossil at retail-gate per kg of product]]*'Summary pivot'!$D$5</f>
        <v>6.5254874230368104E-2</v>
      </c>
      <c r="N42" s="188">
        <f>Table1[[#This Row],[kg CH4 bio at retail-gate per kg of product]]*'Summary pivot'!$D$4</f>
        <v>0</v>
      </c>
      <c r="O42" s="188">
        <f>Table1[[#This Row],[kg N2O at retail-gate per kg of product]]*'Summary pivot'!$D$6</f>
        <v>0.95844242840944827</v>
      </c>
      <c r="P42" s="188">
        <f>Table1[[#This Row],[kg HCFC-22 at retail-gate per kg of product]]*'Summary pivot'!$D$7</f>
        <v>0</v>
      </c>
    </row>
    <row r="43" spans="1:16" ht="30">
      <c r="A43" s="52" t="s">
        <v>8</v>
      </c>
      <c r="B43" t="s">
        <v>136</v>
      </c>
      <c r="C43" t="s">
        <v>137</v>
      </c>
      <c r="D43" t="s">
        <v>121</v>
      </c>
      <c r="E43" s="5">
        <f>'Fruits, berries, cocoa, coffee'!C184</f>
        <v>0.38538325080000002</v>
      </c>
      <c r="F43" s="750" t="str">
        <f>'Summary pivot'!$C$1</f>
        <v>GWP100 with fb AR6</v>
      </c>
      <c r="G43" s="188">
        <f>Table1[[#This Row],[kg CO2 at retail-gate per kg of product]]+Table1[[#This Row],[Kg CO2e from CH4 fossil]]+Table1[[#This Row],[Kg CO2e from N2O]]</f>
        <v>2.3495379434777997</v>
      </c>
      <c r="H43" s="188">
        <f>'Fruits, berries, cocoa, coffee'!H185</f>
        <v>1.4848665872837425</v>
      </c>
      <c r="I43" s="188">
        <f>'Fruits, berries, cocoa, coffee'!H186</f>
        <v>1.6361001388777022E-3</v>
      </c>
      <c r="J43" s="188">
        <v>0</v>
      </c>
      <c r="K43" s="188">
        <f>'Fruits, berries, cocoa, coffee'!H187</f>
        <v>2.9887017291410317E-3</v>
      </c>
      <c r="L43" s="188">
        <v>0</v>
      </c>
      <c r="M43" s="188">
        <f>Table1[[#This Row],[kg CH4 fossil at retail-gate per kg of product]]*'Summary pivot'!$D$5</f>
        <v>4.8755784138555525E-2</v>
      </c>
      <c r="N43" s="188">
        <f>Table1[[#This Row],[kg CH4 bio at retail-gate per kg of product]]*'Summary pivot'!$D$4</f>
        <v>0</v>
      </c>
      <c r="O43" s="188">
        <f>Table1[[#This Row],[kg N2O at retail-gate per kg of product]]*'Summary pivot'!$D$6</f>
        <v>0.81591557205550169</v>
      </c>
      <c r="P43" s="188">
        <f>Table1[[#This Row],[kg HCFC-22 at retail-gate per kg of product]]*'Summary pivot'!$D$7</f>
        <v>0</v>
      </c>
    </row>
    <row r="44" spans="1:16" ht="30">
      <c r="A44" s="52" t="s">
        <v>8</v>
      </c>
      <c r="B44" t="s">
        <v>136</v>
      </c>
      <c r="C44" t="s">
        <v>138</v>
      </c>
      <c r="D44" t="s">
        <v>121</v>
      </c>
      <c r="E44" s="5">
        <f>'Fruits, berries, cocoa, coffee'!C188</f>
        <v>0.16931057129999999</v>
      </c>
      <c r="F44" s="750" t="str">
        <f>'Summary pivot'!$C$1</f>
        <v>GWP100 with fb AR6</v>
      </c>
      <c r="G44" s="188">
        <f>Table1[[#This Row],[kg CO2 at retail-gate per kg of product]]+Table1[[#This Row],[Kg CO2e from CH4 fossil]]+Table1[[#This Row],[Kg CO2e from N2O]]</f>
        <v>1.0577013900409122</v>
      </c>
      <c r="H44" s="188">
        <f>'Fruits, berries, cocoa, coffee'!H189</f>
        <v>0.71406748257721742</v>
      </c>
      <c r="I44" s="188">
        <f>'Fruits, berries, cocoa, coffee'!H190</f>
        <v>0</v>
      </c>
      <c r="J44" s="188">
        <v>0</v>
      </c>
      <c r="K44" s="188">
        <f>'Fruits, berries, cocoa, coffee'!H191</f>
        <v>1.2587322617717755E-3</v>
      </c>
      <c r="L44" s="188">
        <v>0</v>
      </c>
      <c r="M44" s="188">
        <f>Table1[[#This Row],[kg CH4 fossil at retail-gate per kg of product]]*'Summary pivot'!$D$5</f>
        <v>0</v>
      </c>
      <c r="N44" s="188">
        <f>Table1[[#This Row],[kg CH4 bio at retail-gate per kg of product]]*'Summary pivot'!$D$4</f>
        <v>0</v>
      </c>
      <c r="O44" s="188">
        <f>Table1[[#This Row],[kg N2O at retail-gate per kg of product]]*'Summary pivot'!$D$6</f>
        <v>0.34363390746369471</v>
      </c>
      <c r="P44" s="188">
        <f>Table1[[#This Row],[kg HCFC-22 at retail-gate per kg of product]]*'Summary pivot'!$D$7</f>
        <v>0</v>
      </c>
    </row>
    <row r="45" spans="1:16" ht="30">
      <c r="A45" s="52" t="s">
        <v>8</v>
      </c>
      <c r="B45" t="s">
        <v>136</v>
      </c>
      <c r="C45" t="s">
        <v>139</v>
      </c>
      <c r="D45" t="s">
        <v>121</v>
      </c>
      <c r="E45" s="5">
        <f>'Fruits, berries, cocoa, coffee'!C192</f>
        <v>0.12500817089999999</v>
      </c>
      <c r="F45" s="750" t="str">
        <f>'Summary pivot'!$C$1</f>
        <v>GWP100 with fb AR6</v>
      </c>
      <c r="G45" s="188">
        <f>Table1[[#This Row],[kg CO2 at retail-gate per kg of product]]+Table1[[#This Row],[Kg CO2e from CH4 fossil]]+Table1[[#This Row],[Kg CO2e from N2O]]</f>
        <v>7.4859763357298128</v>
      </c>
      <c r="H45" s="188">
        <f>'Fruits, berries, cocoa, coffee'!H193</f>
        <v>4.5496212604619064</v>
      </c>
      <c r="I45" s="188">
        <f>'Fruits, berries, cocoa, coffee'!H194</f>
        <v>8.1413561982007204E-3</v>
      </c>
      <c r="J45" s="188">
        <v>0</v>
      </c>
      <c r="K45" s="188">
        <f>'Fruits, berries, cocoa, coffee'!H195</f>
        <v>9.8671892328260971E-3</v>
      </c>
      <c r="L45" s="188">
        <v>0</v>
      </c>
      <c r="M45" s="188">
        <f>Table1[[#This Row],[kg CH4 fossil at retail-gate per kg of product]]*'Summary pivot'!$D$5</f>
        <v>0.24261241470638148</v>
      </c>
      <c r="N45" s="188">
        <f>Table1[[#This Row],[kg CH4 bio at retail-gate per kg of product]]*'Summary pivot'!$D$4</f>
        <v>0</v>
      </c>
      <c r="O45" s="188">
        <f>Table1[[#This Row],[kg N2O at retail-gate per kg of product]]*'Summary pivot'!$D$6</f>
        <v>2.6937426605615244</v>
      </c>
      <c r="P45" s="188">
        <f>Table1[[#This Row],[kg HCFC-22 at retail-gate per kg of product]]*'Summary pivot'!$D$7</f>
        <v>0</v>
      </c>
    </row>
    <row r="46" spans="1:16" ht="30">
      <c r="A46" s="52" t="s">
        <v>8</v>
      </c>
      <c r="B46" t="s">
        <v>136</v>
      </c>
      <c r="C46" t="s">
        <v>134</v>
      </c>
      <c r="D46" t="s">
        <v>121</v>
      </c>
      <c r="E46" s="5">
        <f>'Fruits, berries, cocoa, coffee'!C196</f>
        <v>0.32029800700000011</v>
      </c>
      <c r="F46" s="750" t="str">
        <f>'Summary pivot'!$C$1</f>
        <v>GWP100 with fb AR6</v>
      </c>
      <c r="G46" s="188">
        <f>Table1[[#This Row],[kg CO2 at retail-gate per kg of product]]+Table1[[#This Row],[Kg CO2e from CH4 fossil]]+Table1[[#This Row],[Kg CO2e from N2O]]</f>
        <v>2.363601411010011</v>
      </c>
      <c r="H46" s="188">
        <f>'Fruits, berries, cocoa, coffee'!H197</f>
        <v>1.5355656179143533</v>
      </c>
      <c r="I46" s="188">
        <f>'Fruits, berries, cocoa, coffee'!H198</f>
        <v>1.6906107164014431E-3</v>
      </c>
      <c r="J46" s="188">
        <v>0</v>
      </c>
      <c r="K46" s="188">
        <f>'Fruits, berries, cocoa, coffee'!H199</f>
        <v>2.8485552884501648E-3</v>
      </c>
      <c r="L46" s="188">
        <v>0</v>
      </c>
      <c r="M46" s="188">
        <f>Table1[[#This Row],[kg CH4 fossil at retail-gate per kg of product]]*'Summary pivot'!$D$5</f>
        <v>5.0380199348763005E-2</v>
      </c>
      <c r="N46" s="188">
        <f>Table1[[#This Row],[kg CH4 bio at retail-gate per kg of product]]*'Summary pivot'!$D$4</f>
        <v>0</v>
      </c>
      <c r="O46" s="188">
        <f>Table1[[#This Row],[kg N2O at retail-gate per kg of product]]*'Summary pivot'!$D$6</f>
        <v>0.77765559374689497</v>
      </c>
      <c r="P46" s="188">
        <f>Table1[[#This Row],[kg HCFC-22 at retail-gate per kg of product]]*'Summary pivot'!$D$7</f>
        <v>0</v>
      </c>
    </row>
    <row r="47" spans="1:16" ht="30">
      <c r="A47" s="52" t="s">
        <v>8</v>
      </c>
      <c r="B47" t="s">
        <v>140</v>
      </c>
      <c r="C47" t="s">
        <v>120</v>
      </c>
      <c r="D47" t="s">
        <v>121</v>
      </c>
      <c r="E47" s="5">
        <f>'Fruits, berries, cocoa, coffee'!C201</f>
        <v>1</v>
      </c>
      <c r="F47" s="750" t="str">
        <f>'Summary pivot'!$C$1</f>
        <v>GWP100 with fb AR6</v>
      </c>
      <c r="G47" s="188">
        <f>Table1[[#This Row],[kg CO2 at retail-gate per kg of product]]+Table1[[#This Row],[Kg CO2e from CH4 fossil]]+Table1[[#This Row],[Kg CO2e from N2O]]</f>
        <v>2.2596829109090111</v>
      </c>
      <c r="H47" s="188">
        <f>'Fruits, berries, cocoa, coffee'!H202</f>
        <v>1.4619967010598036</v>
      </c>
      <c r="I47" s="188">
        <f>'Fruits, berries, cocoa, coffee'!H203</f>
        <v>1.7063071793872947E-3</v>
      </c>
      <c r="J47" s="188">
        <v>0</v>
      </c>
      <c r="K47" s="188">
        <f>'Fruits, berries, cocoa, coffee'!H204</f>
        <v>2.7356712670456641E-3</v>
      </c>
      <c r="L47" s="188">
        <v>0</v>
      </c>
      <c r="M47" s="188">
        <f>Table1[[#This Row],[kg CH4 fossil at retail-gate per kg of product]]*'Summary pivot'!$D$5</f>
        <v>5.0847953945741382E-2</v>
      </c>
      <c r="N47" s="188">
        <f>Table1[[#This Row],[kg CH4 bio at retail-gate per kg of product]]*'Summary pivot'!$D$4</f>
        <v>0</v>
      </c>
      <c r="O47" s="188">
        <f>Table1[[#This Row],[kg N2O at retail-gate per kg of product]]*'Summary pivot'!$D$6</f>
        <v>0.74683825590346631</v>
      </c>
      <c r="P47" s="188">
        <f>Table1[[#This Row],[kg HCFC-22 at retail-gate per kg of product]]*'Summary pivot'!$D$7</f>
        <v>0</v>
      </c>
    </row>
    <row r="48" spans="1:16" ht="30">
      <c r="A48" s="52" t="s">
        <v>8</v>
      </c>
      <c r="B48" t="s">
        <v>140</v>
      </c>
      <c r="C48" t="s">
        <v>137</v>
      </c>
      <c r="D48" t="s">
        <v>121</v>
      </c>
      <c r="E48" s="5">
        <f>'Fruits, berries, cocoa, coffee'!C205</f>
        <v>0.38538325080000002</v>
      </c>
      <c r="F48" s="750" t="str">
        <f>'Summary pivot'!$C$1</f>
        <v>GWP100 with fb AR6</v>
      </c>
      <c r="G48" s="188">
        <f>Table1[[#This Row],[kg CO2 at retail-gate per kg of product]]+Table1[[#This Row],[Kg CO2e from CH4 fossil]]+Table1[[#This Row],[Kg CO2e from N2O]]</f>
        <v>1.967391780851409</v>
      </c>
      <c r="H48" s="188">
        <f>'Fruits, berries, cocoa, coffee'!H206</f>
        <v>1.2936218929079879</v>
      </c>
      <c r="I48" s="188">
        <f>'Fruits, berries, cocoa, coffee'!H207</f>
        <v>1.2748832250995081E-3</v>
      </c>
      <c r="J48" s="188">
        <v>0</v>
      </c>
      <c r="K48" s="188">
        <f>'Fruits, berries, cocoa, coffee'!H208</f>
        <v>2.3288584902397651E-3</v>
      </c>
      <c r="L48" s="188">
        <v>0</v>
      </c>
      <c r="M48" s="188">
        <f>Table1[[#This Row],[kg CH4 fossil at retail-gate per kg of product]]*'Summary pivot'!$D$5</f>
        <v>3.7991520107965346E-2</v>
      </c>
      <c r="N48" s="188">
        <f>Table1[[#This Row],[kg CH4 bio at retail-gate per kg of product]]*'Summary pivot'!$D$4</f>
        <v>0</v>
      </c>
      <c r="O48" s="188">
        <f>Table1[[#This Row],[kg N2O at retail-gate per kg of product]]*'Summary pivot'!$D$6</f>
        <v>0.63577836783545583</v>
      </c>
      <c r="P48" s="188">
        <f>Table1[[#This Row],[kg HCFC-22 at retail-gate per kg of product]]*'Summary pivot'!$D$7</f>
        <v>0</v>
      </c>
    </row>
    <row r="49" spans="1:16" ht="30">
      <c r="A49" s="52" t="s">
        <v>8</v>
      </c>
      <c r="B49" t="s">
        <v>140</v>
      </c>
      <c r="C49" t="s">
        <v>138</v>
      </c>
      <c r="D49" t="s">
        <v>121</v>
      </c>
      <c r="E49" s="5">
        <f>'Fruits, berries, cocoa, coffee'!C209</f>
        <v>0.16931057129999999</v>
      </c>
      <c r="F49" s="750" t="str">
        <f>'Summary pivot'!$C$1</f>
        <v>GWP100 with fb AR6</v>
      </c>
      <c r="G49" s="188">
        <f>Table1[[#This Row],[kg CO2 at retail-gate per kg of product]]+Table1[[#This Row],[Kg CO2e from CH4 fossil]]+Table1[[#This Row],[Kg CO2e from N2O]]</f>
        <v>0.96076589505643151</v>
      </c>
      <c r="H49" s="188">
        <f>'Fruits, berries, cocoa, coffee'!H210</f>
        <v>0.69299921391589026</v>
      </c>
      <c r="I49" s="188">
        <f>'Fruits, berries, cocoa, coffee'!H211</f>
        <v>0</v>
      </c>
      <c r="J49" s="188">
        <v>0</v>
      </c>
      <c r="K49" s="188">
        <f>'Fruits, berries, cocoa, coffee'!H212</f>
        <v>9.8083033384813666E-4</v>
      </c>
      <c r="L49" s="188">
        <v>0</v>
      </c>
      <c r="M49" s="188">
        <f>Table1[[#This Row],[kg CH4 fossil at retail-gate per kg of product]]*'Summary pivot'!$D$5</f>
        <v>0</v>
      </c>
      <c r="N49" s="188">
        <f>Table1[[#This Row],[kg CH4 bio at retail-gate per kg of product]]*'Summary pivot'!$D$4</f>
        <v>0</v>
      </c>
      <c r="O49" s="188">
        <f>Table1[[#This Row],[kg N2O at retail-gate per kg of product]]*'Summary pivot'!$D$6</f>
        <v>0.26776668114054131</v>
      </c>
      <c r="P49" s="188">
        <f>Table1[[#This Row],[kg HCFC-22 at retail-gate per kg of product]]*'Summary pivot'!$D$7</f>
        <v>0</v>
      </c>
    </row>
    <row r="50" spans="1:16" ht="30">
      <c r="A50" s="52" t="s">
        <v>8</v>
      </c>
      <c r="B50" t="s">
        <v>140</v>
      </c>
      <c r="C50" t="s">
        <v>139</v>
      </c>
      <c r="D50" t="s">
        <v>121</v>
      </c>
      <c r="E50" s="5">
        <f>'Fruits, berries, cocoa, coffee'!C213</f>
        <v>0.12500817089999999</v>
      </c>
      <c r="F50" s="750" t="str">
        <f>'Summary pivot'!$C$1</f>
        <v>GWP100 with fb AR6</v>
      </c>
      <c r="G50" s="188">
        <f>Table1[[#This Row],[kg CO2 at retail-gate per kg of product]]+Table1[[#This Row],[Kg CO2e from CH4 fossil]]+Table1[[#This Row],[Kg CO2e from N2O]]</f>
        <v>5.9698113072815486</v>
      </c>
      <c r="H50" s="188">
        <f>'Fruits, berries, cocoa, coffee'!H214</f>
        <v>3.6817424174624014</v>
      </c>
      <c r="I50" s="188">
        <f>'Fruits, berries, cocoa, coffee'!H215</f>
        <v>6.3439139206758859E-3</v>
      </c>
      <c r="J50" s="188">
        <v>0</v>
      </c>
      <c r="K50" s="188">
        <f>'Fruits, berries, cocoa, coffee'!H216</f>
        <v>7.6887188827216334E-3</v>
      </c>
      <c r="L50" s="188">
        <v>0</v>
      </c>
      <c r="M50" s="188">
        <f>Table1[[#This Row],[kg CH4 fossil at retail-gate per kg of product]]*'Summary pivot'!$D$5</f>
        <v>0.1890486348361414</v>
      </c>
      <c r="N50" s="188">
        <f>Table1[[#This Row],[kg CH4 bio at retail-gate per kg of product]]*'Summary pivot'!$D$4</f>
        <v>0</v>
      </c>
      <c r="O50" s="188">
        <f>Table1[[#This Row],[kg N2O at retail-gate per kg of product]]*'Summary pivot'!$D$6</f>
        <v>2.0990202549830057</v>
      </c>
      <c r="P50" s="188">
        <f>Table1[[#This Row],[kg HCFC-22 at retail-gate per kg of product]]*'Summary pivot'!$D$7</f>
        <v>0</v>
      </c>
    </row>
    <row r="51" spans="1:16" ht="30">
      <c r="A51" s="52" t="s">
        <v>8</v>
      </c>
      <c r="B51" t="s">
        <v>140</v>
      </c>
      <c r="C51" t="s">
        <v>134</v>
      </c>
      <c r="D51" t="s">
        <v>121</v>
      </c>
      <c r="E51" s="5">
        <f>'Fruits, berries, cocoa, coffee'!C214</f>
        <v>0</v>
      </c>
      <c r="F51" s="750" t="str">
        <f>'Summary pivot'!$C$1</f>
        <v>GWP100 with fb AR6</v>
      </c>
      <c r="G51" s="188">
        <f>Table1[[#This Row],[kg CO2 at retail-gate per kg of product]]+Table1[[#This Row],[Kg CO2e from CH4 fossil]]+Table1[[#This Row],[Kg CO2e from N2O]]</f>
        <v>1.8499648550367953</v>
      </c>
      <c r="H51" s="188">
        <f>'Fruits, berries, cocoa, coffee'!H218</f>
        <v>1.2047421591181007</v>
      </c>
      <c r="I51" s="188">
        <f>'Fruits, berries, cocoa, coffee'!H219</f>
        <v>1.3173589997933324E-3</v>
      </c>
      <c r="J51" s="188">
        <v>0</v>
      </c>
      <c r="K51" s="188">
        <f>'Fruits, berries, cocoa, coffee'!H220</f>
        <v>2.2196534715196092E-3</v>
      </c>
      <c r="L51" s="188">
        <v>0</v>
      </c>
      <c r="M51" s="188">
        <f>Table1[[#This Row],[kg CH4 fossil at retail-gate per kg of product]]*'Summary pivot'!$D$5</f>
        <v>3.9257298193841307E-2</v>
      </c>
      <c r="N51" s="188">
        <f>Table1[[#This Row],[kg CH4 bio at retail-gate per kg of product]]*'Summary pivot'!$D$4</f>
        <v>0</v>
      </c>
      <c r="O51" s="188">
        <f>Table1[[#This Row],[kg N2O at retail-gate per kg of product]]*'Summary pivot'!$D$6</f>
        <v>0.60596539772485336</v>
      </c>
      <c r="P51" s="188">
        <f>Table1[[#This Row],[kg HCFC-22 at retail-gate per kg of product]]*'Summary pivot'!$D$7</f>
        <v>0</v>
      </c>
    </row>
    <row r="52" spans="1:16" ht="30">
      <c r="A52" s="52" t="s">
        <v>8</v>
      </c>
      <c r="B52" t="s">
        <v>141</v>
      </c>
      <c r="C52" t="s">
        <v>120</v>
      </c>
      <c r="D52" t="s">
        <v>121</v>
      </c>
      <c r="E52" s="5">
        <f>'Fruits, berries, cocoa, coffee'!C222</f>
        <v>1</v>
      </c>
      <c r="F52" s="750" t="str">
        <f>'Summary pivot'!$C$1</f>
        <v>GWP100 with fb AR6</v>
      </c>
      <c r="G52" s="188">
        <f>Table1[[#This Row],[kg CO2 at retail-gate per kg of product]]+Table1[[#This Row],[Kg CO2e from CH4 fossil]]+Table1[[#This Row],[Kg CO2e from N2O]]</f>
        <v>4.1641072685723017</v>
      </c>
      <c r="H52" s="188">
        <f>'Fruits, berries, cocoa, coffee'!H223</f>
        <v>2.4579450975059407</v>
      </c>
      <c r="I52" s="188">
        <f>'Fruits, berries, cocoa, coffee'!H224</f>
        <v>3.6496014670228246E-3</v>
      </c>
      <c r="J52" s="188">
        <v>0</v>
      </c>
      <c r="K52" s="188">
        <f>'Fruits, berries, cocoa, coffee'!H225</f>
        <v>5.851296876736559E-3</v>
      </c>
      <c r="L52" s="188">
        <v>0</v>
      </c>
      <c r="M52" s="188">
        <f>Table1[[#This Row],[kg CH4 fossil at retail-gate per kg of product]]*'Summary pivot'!$D$5</f>
        <v>0.10875812371728018</v>
      </c>
      <c r="N52" s="188">
        <f>Table1[[#This Row],[kg CH4 bio at retail-gate per kg of product]]*'Summary pivot'!$D$4</f>
        <v>0</v>
      </c>
      <c r="O52" s="188">
        <f>Table1[[#This Row],[kg N2O at retail-gate per kg of product]]*'Summary pivot'!$D$6</f>
        <v>1.5974040473490807</v>
      </c>
      <c r="P52" s="188">
        <f>Table1[[#This Row],[kg HCFC-22 at retail-gate per kg of product]]*'Summary pivot'!$D$7</f>
        <v>0</v>
      </c>
    </row>
    <row r="53" spans="1:16" ht="30">
      <c r="A53" s="52" t="s">
        <v>8</v>
      </c>
      <c r="B53" t="s">
        <v>141</v>
      </c>
      <c r="C53" t="s">
        <v>137</v>
      </c>
      <c r="D53" t="s">
        <v>121</v>
      </c>
      <c r="E53" s="5">
        <f>'Fruits, berries, cocoa, coffee'!C226</f>
        <v>0.38538325080000002</v>
      </c>
      <c r="F53" s="750" t="str">
        <f>'Summary pivot'!$C$1</f>
        <v>GWP100 with fb AR6</v>
      </c>
      <c r="G53" s="188">
        <f>Table1[[#This Row],[kg CO2 at retail-gate per kg of product]]+Table1[[#This Row],[Kg CO2e from CH4 fossil]]+Table1[[#This Row],[Kg CO2e from N2O]]</f>
        <v>3.5034694933692538</v>
      </c>
      <c r="H53" s="188">
        <f>'Fruits, berries, cocoa, coffee'!H227</f>
        <v>2.0623505663791586</v>
      </c>
      <c r="I53" s="188">
        <f>'Fruits, berries, cocoa, coffee'!H228</f>
        <v>2.7268335647961705E-3</v>
      </c>
      <c r="J53" s="188">
        <v>0</v>
      </c>
      <c r="K53" s="188">
        <f>'Fruits, berries, cocoa, coffee'!H229</f>
        <v>4.9811695485683866E-3</v>
      </c>
      <c r="L53" s="188">
        <v>0</v>
      </c>
      <c r="M53" s="188">
        <f>Table1[[#This Row],[kg CH4 fossil at retail-gate per kg of product]]*'Summary pivot'!$D$5</f>
        <v>8.1259640230925884E-2</v>
      </c>
      <c r="N53" s="188">
        <f>Table1[[#This Row],[kg CH4 bio at retail-gate per kg of product]]*'Summary pivot'!$D$4</f>
        <v>0</v>
      </c>
      <c r="O53" s="188">
        <f>Table1[[#This Row],[kg N2O at retail-gate per kg of product]]*'Summary pivot'!$D$6</f>
        <v>1.3598592867591694</v>
      </c>
      <c r="P53" s="188">
        <f>Table1[[#This Row],[kg HCFC-22 at retail-gate per kg of product]]*'Summary pivot'!$D$7</f>
        <v>0</v>
      </c>
    </row>
    <row r="54" spans="1:16" ht="30">
      <c r="A54" s="52" t="s">
        <v>8</v>
      </c>
      <c r="B54" t="s">
        <v>141</v>
      </c>
      <c r="C54" t="s">
        <v>138</v>
      </c>
      <c r="D54" t="s">
        <v>121</v>
      </c>
      <c r="E54" s="5">
        <f>'Fruits, berries, cocoa, coffee'!C230</f>
        <v>0.16931057129999999</v>
      </c>
      <c r="F54" s="750" t="str">
        <f>'Summary pivot'!$C$1</f>
        <v>GWP100 with fb AR6</v>
      </c>
      <c r="G54" s="188">
        <f>Table1[[#This Row],[kg CO2 at retail-gate per kg of product]]+Table1[[#This Row],[Kg CO2e from CH4 fossil]]+Table1[[#This Row],[Kg CO2e from N2O]]</f>
        <v>1.3504085709744409</v>
      </c>
      <c r="H54" s="188">
        <f>'Fruits, berries, cocoa, coffee'!H231</f>
        <v>0.77768539186828312</v>
      </c>
      <c r="I54" s="188">
        <f>'Fruits, berries, cocoa, coffee'!H232</f>
        <v>0</v>
      </c>
      <c r="J54" s="188">
        <v>0</v>
      </c>
      <c r="K54" s="188">
        <f>'Fruits, berries, cocoa, coffee'!H233</f>
        <v>2.0978871029529588E-3</v>
      </c>
      <c r="L54" s="188">
        <v>0</v>
      </c>
      <c r="M54" s="188">
        <f>Table1[[#This Row],[kg CH4 fossil at retail-gate per kg of product]]*'Summary pivot'!$D$5</f>
        <v>0</v>
      </c>
      <c r="N54" s="188">
        <f>Table1[[#This Row],[kg CH4 bio at retail-gate per kg of product]]*'Summary pivot'!$D$4</f>
        <v>0</v>
      </c>
      <c r="O54" s="188">
        <f>Table1[[#This Row],[kg N2O at retail-gate per kg of product]]*'Summary pivot'!$D$6</f>
        <v>0.57272317910615778</v>
      </c>
      <c r="P54" s="188">
        <f>Table1[[#This Row],[kg HCFC-22 at retail-gate per kg of product]]*'Summary pivot'!$D$7</f>
        <v>0</v>
      </c>
    </row>
    <row r="55" spans="1:16" ht="30">
      <c r="A55" s="52" t="s">
        <v>8</v>
      </c>
      <c r="B55" t="s">
        <v>141</v>
      </c>
      <c r="C55" t="s">
        <v>139</v>
      </c>
      <c r="D55" t="s">
        <v>121</v>
      </c>
      <c r="E55" s="5">
        <f>'Fruits, berries, cocoa, coffee'!C234</f>
        <v>0.12500817089999999</v>
      </c>
      <c r="F55" s="750" t="str">
        <f>'Summary pivot'!$C$1</f>
        <v>GWP100 with fb AR6</v>
      </c>
      <c r="G55" s="188">
        <f>Table1[[#This Row],[kg CO2 at retail-gate per kg of product]]+Table1[[#This Row],[Kg CO2e from CH4 fossil]]+Table1[[#This Row],[Kg CO2e from N2O]]</f>
        <v>12.064200147122609</v>
      </c>
      <c r="H55" s="188">
        <f>'Fruits, berries, cocoa, coffee'!H235</f>
        <v>7.1702750216760993</v>
      </c>
      <c r="I55" s="188">
        <f>'Fruits, berries, cocoa, coffee'!H236</f>
        <v>1.3568926997001201E-2</v>
      </c>
      <c r="J55" s="188">
        <v>0</v>
      </c>
      <c r="K55" s="188">
        <f>'Fruits, berries, cocoa, coffee'!H237</f>
        <v>1.6445315388043495E-2</v>
      </c>
      <c r="L55" s="188">
        <v>0</v>
      </c>
      <c r="M55" s="188">
        <f>Table1[[#This Row],[kg CH4 fossil at retail-gate per kg of product]]*'Summary pivot'!$D$5</f>
        <v>0.40435402451063579</v>
      </c>
      <c r="N55" s="188">
        <f>Table1[[#This Row],[kg CH4 bio at retail-gate per kg of product]]*'Summary pivot'!$D$4</f>
        <v>0</v>
      </c>
      <c r="O55" s="188">
        <f>Table1[[#This Row],[kg N2O at retail-gate per kg of product]]*'Summary pivot'!$D$6</f>
        <v>4.4895711009358745</v>
      </c>
      <c r="P55" s="188">
        <f>Table1[[#This Row],[kg HCFC-22 at retail-gate per kg of product]]*'Summary pivot'!$D$7</f>
        <v>0</v>
      </c>
    </row>
    <row r="56" spans="1:16" ht="30">
      <c r="A56" s="52" t="s">
        <v>8</v>
      </c>
      <c r="B56" t="s">
        <v>141</v>
      </c>
      <c r="C56" t="s">
        <v>134</v>
      </c>
      <c r="D56" t="s">
        <v>121</v>
      </c>
      <c r="E56" s="5">
        <f>'Fruits, berries, cocoa, coffee'!C238</f>
        <v>0.32029800700000011</v>
      </c>
      <c r="F56" s="750" t="str">
        <f>'Summary pivot'!$C$1</f>
        <v>GWP100 with fb AR6</v>
      </c>
      <c r="G56" s="188">
        <f>Table1[[#This Row],[kg CO2 at retail-gate per kg of product]]+Table1[[#This Row],[Kg CO2e from CH4 fossil]]+Table1[[#This Row],[Kg CO2e from N2O]]</f>
        <v>3.3630142623260877</v>
      </c>
      <c r="H56" s="188">
        <f>'Fruits, berries, cocoa, coffee'!H239</f>
        <v>1.9829546071666577</v>
      </c>
      <c r="I56" s="188">
        <f>'Fruits, berries, cocoa, coffee'!H240</f>
        <v>2.8176845273357389E-3</v>
      </c>
      <c r="J56" s="188">
        <v>0</v>
      </c>
      <c r="K56" s="188">
        <f>'Fruits, berries, cocoa, coffee'!H241</f>
        <v>4.7475921474169416E-3</v>
      </c>
      <c r="L56" s="188">
        <v>0</v>
      </c>
      <c r="M56" s="188">
        <f>Table1[[#This Row],[kg CH4 fossil at retail-gate per kg of product]]*'Summary pivot'!$D$5</f>
        <v>8.3966998914605018E-2</v>
      </c>
      <c r="N56" s="188">
        <f>Table1[[#This Row],[kg CH4 bio at retail-gate per kg of product]]*'Summary pivot'!$D$4</f>
        <v>0</v>
      </c>
      <c r="O56" s="188">
        <f>Table1[[#This Row],[kg N2O at retail-gate per kg of product]]*'Summary pivot'!$D$6</f>
        <v>1.2960926562448252</v>
      </c>
      <c r="P56" s="188">
        <f>Table1[[#This Row],[kg HCFC-22 at retail-gate per kg of product]]*'Summary pivot'!$D$7</f>
        <v>0</v>
      </c>
    </row>
    <row r="57" spans="1:16" ht="30">
      <c r="A57" s="52" t="s">
        <v>8</v>
      </c>
      <c r="B57" t="s">
        <v>91</v>
      </c>
      <c r="C57" t="s">
        <v>120</v>
      </c>
      <c r="D57" t="s">
        <v>121</v>
      </c>
      <c r="E57" s="5">
        <f>'Fruits, berries, cocoa, coffee'!C243</f>
        <v>1</v>
      </c>
      <c r="F57" s="750" t="str">
        <f>'Summary pivot'!$C$1</f>
        <v>GWP100 with fb AR6</v>
      </c>
      <c r="G57" s="188">
        <f>Table1[[#This Row],[kg CO2 at retail-gate per kg of product]]+Table1[[#This Row],[Kg CO2e from CH4 fossil]]+Table1[[#This Row],[Kg CO2e from N2O]]</f>
        <v>4.7916060207456246</v>
      </c>
      <c r="H57" s="188">
        <f>'Fruits, berries, cocoa, coffee'!H244</f>
        <v>3.0959622541250691</v>
      </c>
      <c r="I57" s="188">
        <f>'Fruits, berries, cocoa, coffee'!H245</f>
        <v>2.2962561594379958E-3</v>
      </c>
      <c r="J57" s="188">
        <v>0</v>
      </c>
      <c r="K57" s="188">
        <f>'Fruits, berries, cocoa, coffee'!H246</f>
        <v>5.9604957255285831E-3</v>
      </c>
      <c r="L57" s="188">
        <v>0</v>
      </c>
      <c r="M57" s="188">
        <f>Table1[[#This Row],[kg CH4 fossil at retail-gate per kg of product]]*'Summary pivot'!$D$5</f>
        <v>6.8428433551252277E-2</v>
      </c>
      <c r="N57" s="188">
        <f>Table1[[#This Row],[kg CH4 bio at retail-gate per kg of product]]*'Summary pivot'!$D$4</f>
        <v>0</v>
      </c>
      <c r="O57" s="188">
        <f>Table1[[#This Row],[kg N2O at retail-gate per kg of product]]*'Summary pivot'!$D$6</f>
        <v>1.6272153330693031</v>
      </c>
      <c r="P57" s="188">
        <f>Table1[[#This Row],[kg HCFC-22 at retail-gate per kg of product]]*'Summary pivot'!$D$7</f>
        <v>0</v>
      </c>
    </row>
    <row r="58" spans="1:16" ht="30">
      <c r="A58" s="52" t="s">
        <v>8</v>
      </c>
      <c r="B58" t="s">
        <v>91</v>
      </c>
      <c r="C58" t="s">
        <v>142</v>
      </c>
      <c r="D58" t="s">
        <v>121</v>
      </c>
      <c r="E58" s="5">
        <f>'Fruits, berries, cocoa, coffee'!C247</f>
        <v>0.3346199434702003</v>
      </c>
      <c r="F58" s="750" t="str">
        <f>'Summary pivot'!$C$1</f>
        <v>GWP100 with fb AR6</v>
      </c>
      <c r="G58" s="188">
        <f>Table1[[#This Row],[kg CO2 at retail-gate per kg of product]]+Table1[[#This Row],[Kg CO2e from CH4 fossil]]+Table1[[#This Row],[Kg CO2e from N2O]]</f>
        <v>3.39994165463954</v>
      </c>
      <c r="H58" s="188">
        <f>'Fruits, berries, cocoa, coffee'!H248</f>
        <v>2.4454349751661026</v>
      </c>
      <c r="I58" s="188">
        <f>'Fruits, berries, cocoa, coffee'!H249</f>
        <v>1.2297423126399153E-3</v>
      </c>
      <c r="J58" s="188">
        <v>0</v>
      </c>
      <c r="K58" s="188">
        <f>'Fruits, berries, cocoa, coffee'!H250</f>
        <v>3.362125855519297E-3</v>
      </c>
      <c r="L58" s="188">
        <v>0</v>
      </c>
      <c r="M58" s="188">
        <f>Table1[[#This Row],[kg CH4 fossil at retail-gate per kg of product]]*'Summary pivot'!$D$5</f>
        <v>3.6646320916669479E-2</v>
      </c>
      <c r="N58" s="188">
        <f>Table1[[#This Row],[kg CH4 bio at retail-gate per kg of product]]*'Summary pivot'!$D$4</f>
        <v>0</v>
      </c>
      <c r="O58" s="188">
        <f>Table1[[#This Row],[kg N2O at retail-gate per kg of product]]*'Summary pivot'!$D$6</f>
        <v>0.91786035855676806</v>
      </c>
      <c r="P58" s="188">
        <f>Table1[[#This Row],[kg HCFC-22 at retail-gate per kg of product]]*'Summary pivot'!$D$7</f>
        <v>0</v>
      </c>
    </row>
    <row r="59" spans="1:16" ht="30">
      <c r="A59" s="52" t="s">
        <v>8</v>
      </c>
      <c r="B59" t="s">
        <v>91</v>
      </c>
      <c r="C59" t="s">
        <v>143</v>
      </c>
      <c r="D59" t="s">
        <v>121</v>
      </c>
      <c r="E59" s="5">
        <f>'Fruits, berries, cocoa, coffee'!C251</f>
        <v>0.10329858472884944</v>
      </c>
      <c r="F59" s="750" t="str">
        <f>'Summary pivot'!$C$1</f>
        <v>GWP100 with fb AR6</v>
      </c>
      <c r="G59" s="188">
        <f>Table1[[#This Row],[kg CO2 at retail-gate per kg of product]]+Table1[[#This Row],[Kg CO2e from CH4 fossil]]+Table1[[#This Row],[Kg CO2e from N2O]]</f>
        <v>5.1955233024532177</v>
      </c>
      <c r="H59" s="188">
        <f>'Fruits, berries, cocoa, coffee'!H252</f>
        <v>3.7045620152009979</v>
      </c>
      <c r="I59" s="188">
        <f>'Fruits, berries, cocoa, coffee'!H253</f>
        <v>3.1696890740966674E-3</v>
      </c>
      <c r="J59" s="188">
        <v>0</v>
      </c>
      <c r="K59" s="188">
        <f>'Fruits, berries, cocoa, coffee'!H254</f>
        <v>5.1154012924693754E-3</v>
      </c>
      <c r="L59" s="188">
        <v>0</v>
      </c>
      <c r="M59" s="188">
        <f>Table1[[#This Row],[kg CH4 fossil at retail-gate per kg of product]]*'Summary pivot'!$D$5</f>
        <v>9.4456734408080695E-2</v>
      </c>
      <c r="N59" s="188">
        <f>Table1[[#This Row],[kg CH4 bio at retail-gate per kg of product]]*'Summary pivot'!$D$4</f>
        <v>0</v>
      </c>
      <c r="O59" s="188">
        <f>Table1[[#This Row],[kg N2O at retail-gate per kg of product]]*'Summary pivot'!$D$6</f>
        <v>1.3965045528441395</v>
      </c>
      <c r="P59" s="188">
        <f>Table1[[#This Row],[kg HCFC-22 at retail-gate per kg of product]]*'Summary pivot'!$D$7</f>
        <v>0</v>
      </c>
    </row>
    <row r="60" spans="1:16" ht="30">
      <c r="A60" s="52" t="s">
        <v>8</v>
      </c>
      <c r="B60" t="s">
        <v>91</v>
      </c>
      <c r="C60" t="s">
        <v>134</v>
      </c>
      <c r="D60" t="s">
        <v>121</v>
      </c>
      <c r="E60" s="5">
        <f>'Fruits, berries, cocoa, coffee'!C255</f>
        <v>0.56208147180095025</v>
      </c>
      <c r="F60" s="750" t="str">
        <f>'Summary pivot'!$C$1</f>
        <v>GWP100 with fb AR6</v>
      </c>
      <c r="G60" s="188">
        <f>Table1[[#This Row],[kg CO2 at retail-gate per kg of product]]+Table1[[#This Row],[Kg CO2e from CH4 fossil]]+Table1[[#This Row],[Kg CO2e from N2O]]</f>
        <v>5.545864236391143</v>
      </c>
      <c r="H60" s="188">
        <f>'Fruits, berries, cocoa, coffee'!H256</f>
        <v>3.3713883535294569</v>
      </c>
      <c r="I60" s="188">
        <f>'Fruits, berries, cocoa, coffee'!H257</f>
        <v>2.7706578833225264E-3</v>
      </c>
      <c r="J60" s="188">
        <v>0</v>
      </c>
      <c r="K60" s="188">
        <f>'Fruits, berries, cocoa, coffee'!H258</f>
        <v>7.6626750107643762E-3</v>
      </c>
      <c r="L60" s="188">
        <v>0</v>
      </c>
      <c r="M60" s="188">
        <f>Table1[[#This Row],[kg CH4 fossil at retail-gate per kg of product]]*'Summary pivot'!$D$5</f>
        <v>8.2565604923011293E-2</v>
      </c>
      <c r="N60" s="188">
        <f>Table1[[#This Row],[kg CH4 bio at retail-gate per kg of product]]*'Summary pivot'!$D$4</f>
        <v>0</v>
      </c>
      <c r="O60" s="188">
        <f>Table1[[#This Row],[kg N2O at retail-gate per kg of product]]*'Summary pivot'!$D$6</f>
        <v>2.0919102779386747</v>
      </c>
      <c r="P60" s="188">
        <f>Table1[[#This Row],[kg HCFC-22 at retail-gate per kg of product]]*'Summary pivot'!$D$7</f>
        <v>0</v>
      </c>
    </row>
    <row r="61" spans="1:16" ht="30">
      <c r="A61" s="52" t="s">
        <v>8</v>
      </c>
      <c r="B61" s="52" t="s">
        <v>144</v>
      </c>
      <c r="C61" t="s">
        <v>120</v>
      </c>
      <c r="D61" t="s">
        <v>121</v>
      </c>
      <c r="E61" s="5">
        <f>'Fruits, berries, cocoa, coffee'!C260</f>
        <v>1</v>
      </c>
      <c r="F61" s="750" t="str">
        <f>'Summary pivot'!$C$1</f>
        <v>GWP100 with fb AR6</v>
      </c>
      <c r="G61" s="188">
        <f>Table1[[#This Row],[kg CO2 at retail-gate per kg of product]]+Table1[[#This Row],[Kg CO2e from CH4 fossil]]+Table1[[#This Row],[Kg CO2e from N2O]]</f>
        <v>7.2195617147029729</v>
      </c>
      <c r="H61" s="188">
        <f>'Fruits, berries, cocoa, coffee'!H261</f>
        <v>6.061824656283668</v>
      </c>
      <c r="I61" s="188">
        <f>'Fruits, berries, cocoa, coffee'!H262</f>
        <v>2.065148650443668E-2</v>
      </c>
      <c r="J61" s="188">
        <v>0</v>
      </c>
      <c r="K61" s="188">
        <f>'Fruits, berries, cocoa, coffee'!H263</f>
        <v>1.9865302585607737E-3</v>
      </c>
      <c r="L61" s="188">
        <v>0</v>
      </c>
      <c r="M61" s="188">
        <f>Table1[[#This Row],[kg CH4 fossil at retail-gate per kg of product]]*'Summary pivot'!$D$5</f>
        <v>0.61541429783221313</v>
      </c>
      <c r="N61" s="188">
        <f>Table1[[#This Row],[kg CH4 bio at retail-gate per kg of product]]*'Summary pivot'!$D$4</f>
        <v>0</v>
      </c>
      <c r="O61" s="188">
        <f>Table1[[#This Row],[kg N2O at retail-gate per kg of product]]*'Summary pivot'!$D$6</f>
        <v>0.54232276058709128</v>
      </c>
      <c r="P61" s="188">
        <f>Table1[[#This Row],[kg HCFC-22 at retail-gate per kg of product]]*'Summary pivot'!$D$7</f>
        <v>0</v>
      </c>
    </row>
    <row r="62" spans="1:16" ht="30">
      <c r="A62" s="52" t="s">
        <v>8</v>
      </c>
      <c r="B62" s="52" t="s">
        <v>144</v>
      </c>
      <c r="C62" t="s">
        <v>145</v>
      </c>
      <c r="D62" s="52" t="s">
        <v>121</v>
      </c>
      <c r="E62" s="5">
        <f>'Fruits, berries, cocoa, coffee'!C264</f>
        <v>0.4089632728</v>
      </c>
      <c r="F62" s="750" t="str">
        <f>'Summary pivot'!$C$1</f>
        <v>GWP100 with fb AR6</v>
      </c>
      <c r="G62" s="188">
        <f>Table1[[#This Row],[kg CO2 at retail-gate per kg of product]]+Table1[[#This Row],[Kg CO2e from CH4 fossil]]+Table1[[#This Row],[Kg CO2e from N2O]]</f>
        <v>7.1555338438780973</v>
      </c>
      <c r="H62" s="188">
        <f>'Fruits, berries, cocoa, coffee'!H265</f>
        <v>5.8227843239902128</v>
      </c>
      <c r="I62" s="188">
        <f>'Fruits, berries, cocoa, coffee'!H266</f>
        <v>2.8958712660366752E-2</v>
      </c>
      <c r="J62" s="188">
        <v>0</v>
      </c>
      <c r="K62" s="188">
        <f>'Fruits, berries, cocoa, coffee'!H267</f>
        <v>1.7208054308020307E-3</v>
      </c>
      <c r="L62" s="188">
        <v>0</v>
      </c>
      <c r="M62" s="188">
        <f>Table1[[#This Row],[kg CH4 fossil at retail-gate per kg of product]]*'Summary pivot'!$D$5</f>
        <v>0.86296963727892928</v>
      </c>
      <c r="N62" s="188">
        <f>Table1[[#This Row],[kg CH4 bio at retail-gate per kg of product]]*'Summary pivot'!$D$4</f>
        <v>0</v>
      </c>
      <c r="O62" s="188">
        <f>Table1[[#This Row],[kg N2O at retail-gate per kg of product]]*'Summary pivot'!$D$6</f>
        <v>0.46977988260895437</v>
      </c>
      <c r="P62" s="188">
        <f>Table1[[#This Row],[kg HCFC-22 at retail-gate per kg of product]]*'Summary pivot'!$D$7</f>
        <v>0</v>
      </c>
    </row>
    <row r="63" spans="1:16" ht="30">
      <c r="A63" s="52" t="s">
        <v>8</v>
      </c>
      <c r="B63" s="52" t="s">
        <v>144</v>
      </c>
      <c r="C63" t="s">
        <v>146</v>
      </c>
      <c r="D63" s="52" t="s">
        <v>121</v>
      </c>
      <c r="E63" s="5">
        <f>'Fruits, berries, cocoa, coffee'!C268</f>
        <v>0.2190860208</v>
      </c>
      <c r="F63" s="750" t="str">
        <f>'Summary pivot'!$C$1</f>
        <v>GWP100 with fb AR6</v>
      </c>
      <c r="G63" s="188">
        <f>Table1[[#This Row],[kg CO2 at retail-gate per kg of product]]+Table1[[#This Row],[Kg CO2e from CH4 fossil]]+Table1[[#This Row],[Kg CO2e from N2O]]</f>
        <v>7.2638653026153621</v>
      </c>
      <c r="H63" s="188">
        <f>'Fruits, berries, cocoa, coffee'!H269</f>
        <v>6.227226757586334</v>
      </c>
      <c r="I63" s="188">
        <f>'Fruits, berries, cocoa, coffee'!H270</f>
        <v>1.4903365888119545E-2</v>
      </c>
      <c r="J63" s="188">
        <v>0</v>
      </c>
      <c r="K63" s="188">
        <f>'Fruits, berries, cocoa, coffee'!H271</f>
        <v>2.1703964892419996E-3</v>
      </c>
      <c r="L63" s="188">
        <v>0</v>
      </c>
      <c r="M63" s="188">
        <f>Table1[[#This Row],[kg CH4 fossil at retail-gate per kg of product]]*'Summary pivot'!$D$5</f>
        <v>0.44412030346596243</v>
      </c>
      <c r="N63" s="188">
        <f>Table1[[#This Row],[kg CH4 bio at retail-gate per kg of product]]*'Summary pivot'!$D$4</f>
        <v>0</v>
      </c>
      <c r="O63" s="188">
        <f>Table1[[#This Row],[kg N2O at retail-gate per kg of product]]*'Summary pivot'!$D$6</f>
        <v>0.59251824156306587</v>
      </c>
      <c r="P63" s="188">
        <f>Table1[[#This Row],[kg HCFC-22 at retail-gate per kg of product]]*'Summary pivot'!$D$7</f>
        <v>0</v>
      </c>
    </row>
    <row r="64" spans="1:16" ht="30">
      <c r="A64" s="52" t="s">
        <v>8</v>
      </c>
      <c r="B64" s="52" t="s">
        <v>144</v>
      </c>
      <c r="C64" t="s">
        <v>134</v>
      </c>
      <c r="D64" t="s">
        <v>121</v>
      </c>
      <c r="E64" s="5">
        <f>'Fruits, berries, cocoa, coffee'!C272</f>
        <v>0.37195070640000005</v>
      </c>
      <c r="F64" s="750" t="str">
        <f>'Summary pivot'!$C$1</f>
        <v>GWP100 with fb AR6</v>
      </c>
      <c r="G64" s="188">
        <f>Table1[[#This Row],[kg CO2 at retail-gate per kg of product]]+Table1[[#This Row],[Kg CO2e from CH4 fossil]]+Table1[[#This Row],[Kg CO2e from N2O]]</f>
        <v>7.2638653026153621</v>
      </c>
      <c r="H64" s="188">
        <f>'Fruits, berries, cocoa, coffee'!H273</f>
        <v>6.227226757586334</v>
      </c>
      <c r="I64" s="188">
        <f>'Fruits, berries, cocoa, coffee'!H274</f>
        <v>1.4903365888119545E-2</v>
      </c>
      <c r="J64" s="188">
        <v>0</v>
      </c>
      <c r="K64" s="188">
        <f>'Fruits, berries, cocoa, coffee'!H275</f>
        <v>2.1703964892419996E-3</v>
      </c>
      <c r="L64" s="188">
        <v>0</v>
      </c>
      <c r="M64" s="188">
        <f>Table1[[#This Row],[kg CH4 fossil at retail-gate per kg of product]]*'Summary pivot'!$D$5</f>
        <v>0.44412030346596243</v>
      </c>
      <c r="N64" s="188">
        <f>Table1[[#This Row],[kg CH4 bio at retail-gate per kg of product]]*'Summary pivot'!$D$4</f>
        <v>0</v>
      </c>
      <c r="O64" s="188">
        <f>Table1[[#This Row],[kg N2O at retail-gate per kg of product]]*'Summary pivot'!$D$6</f>
        <v>0.59251824156306587</v>
      </c>
      <c r="P64" s="188">
        <f>Table1[[#This Row],[kg HCFC-22 at retail-gate per kg of product]]*'Summary pivot'!$D$7</f>
        <v>0</v>
      </c>
    </row>
    <row r="65" spans="1:16" ht="30">
      <c r="A65" s="52" t="s">
        <v>8</v>
      </c>
      <c r="B65" s="52" t="s">
        <v>147</v>
      </c>
      <c r="C65" t="s">
        <v>120</v>
      </c>
      <c r="D65" t="s">
        <v>121</v>
      </c>
      <c r="E65" s="5">
        <f>'Fruits, berries, cocoa, coffee'!C277</f>
        <v>1</v>
      </c>
      <c r="F65" s="750" t="str">
        <f>'Summary pivot'!$C$1</f>
        <v>GWP100 with fb AR6</v>
      </c>
      <c r="G65" s="188">
        <f>Table1[[#This Row],[kg CO2 at retail-gate per kg of product]]+Table1[[#This Row],[Kg CO2e from CH4 fossil]]+Table1[[#This Row],[Kg CO2e from N2O]]</f>
        <v>0.71314397798023854</v>
      </c>
      <c r="H65" s="188">
        <f>'Fruits, berries, cocoa, coffee'!H278</f>
        <v>0.66632340709166926</v>
      </c>
      <c r="I65" s="188">
        <f>'Fruits, berries, cocoa, coffee'!H279</f>
        <v>5.8761552095162059E-4</v>
      </c>
      <c r="J65" s="188">
        <v>0</v>
      </c>
      <c r="K65" s="188">
        <f>'Fruits, berries, cocoa, coffee'!H280</f>
        <v>1.0736127605938124E-4</v>
      </c>
      <c r="L65" s="188">
        <v>0</v>
      </c>
      <c r="M65" s="188">
        <f>Table1[[#This Row],[kg CH4 fossil at retail-gate per kg of product]]*'Summary pivot'!$D$5</f>
        <v>1.7510942524358294E-2</v>
      </c>
      <c r="N65" s="188">
        <f>Table1[[#This Row],[kg CH4 bio at retail-gate per kg of product]]*'Summary pivot'!$D$4</f>
        <v>0</v>
      </c>
      <c r="O65" s="188">
        <f>Table1[[#This Row],[kg N2O at retail-gate per kg of product]]*'Summary pivot'!$D$6</f>
        <v>2.9309628364211079E-2</v>
      </c>
      <c r="P65" s="188">
        <f>Table1[[#This Row],[kg HCFC-22 at retail-gate per kg of product]]*'Summary pivot'!$D$7</f>
        <v>0</v>
      </c>
    </row>
    <row r="66" spans="1:16" ht="30">
      <c r="A66" s="52" t="s">
        <v>8</v>
      </c>
      <c r="B66" s="52" t="s">
        <v>147</v>
      </c>
      <c r="C66" t="s">
        <v>130</v>
      </c>
      <c r="D66" t="s">
        <v>121</v>
      </c>
      <c r="E66" s="5">
        <f>'Fruits, berries, cocoa, coffee'!C281</f>
        <v>0.1023019506993665</v>
      </c>
      <c r="F66" s="750" t="str">
        <f>'Summary pivot'!$C$1</f>
        <v>GWP100 with fb AR6</v>
      </c>
      <c r="G66" s="188">
        <f>Table1[[#This Row],[kg CO2 at retail-gate per kg of product]]+Table1[[#This Row],[Kg CO2e from CH4 fossil]]+Table1[[#This Row],[Kg CO2e from N2O]]</f>
        <v>0.52950224330455054</v>
      </c>
      <c r="H66" s="188">
        <f>'Fruits, berries, cocoa, coffee'!H282</f>
        <v>0.4863304851595282</v>
      </c>
      <c r="I66" s="188">
        <f>'Fruits, berries, cocoa, coffee'!H283</f>
        <v>5.4182156841188814E-4</v>
      </c>
      <c r="J66" s="188">
        <v>0</v>
      </c>
      <c r="K66" s="188">
        <f>'Fruits, berries, cocoa, coffee'!H284</f>
        <v>9.8994415407868241E-5</v>
      </c>
      <c r="L66" s="188">
        <v>0</v>
      </c>
      <c r="M66" s="188">
        <f>Table1[[#This Row],[kg CH4 fossil at retail-gate per kg of product]]*'Summary pivot'!$D$5</f>
        <v>1.6146282738674266E-2</v>
      </c>
      <c r="N66" s="188">
        <f>Table1[[#This Row],[kg CH4 bio at retail-gate per kg of product]]*'Summary pivot'!$D$4</f>
        <v>0</v>
      </c>
      <c r="O66" s="188">
        <f>Table1[[#This Row],[kg N2O at retail-gate per kg of product]]*'Summary pivot'!$D$6</f>
        <v>2.7025475406348028E-2</v>
      </c>
      <c r="P66" s="188">
        <f>Table1[[#This Row],[kg HCFC-22 at retail-gate per kg of product]]*'Summary pivot'!$D$7</f>
        <v>0</v>
      </c>
    </row>
    <row r="67" spans="1:16" ht="30">
      <c r="A67" s="52" t="s">
        <v>8</v>
      </c>
      <c r="B67" s="52" t="s">
        <v>147</v>
      </c>
      <c r="C67" t="s">
        <v>148</v>
      </c>
      <c r="D67" t="s">
        <v>121</v>
      </c>
      <c r="E67" s="5">
        <f>'Fruits, berries, cocoa, coffee'!C285</f>
        <v>0.19118735495201655</v>
      </c>
      <c r="F67" s="750" t="str">
        <f>'Summary pivot'!$C$1</f>
        <v>GWP100 with fb AR6</v>
      </c>
      <c r="G67" s="188">
        <f>Table1[[#This Row],[kg CO2 at retail-gate per kg of product]]+Table1[[#This Row],[Kg CO2e from CH4 fossil]]+Table1[[#This Row],[Kg CO2e from N2O]]</f>
        <v>0.35048326729309331</v>
      </c>
      <c r="H67" s="188">
        <f>'Fruits, berries, cocoa, coffee'!H286</f>
        <v>0.30731150914807104</v>
      </c>
      <c r="I67" s="188">
        <f>'Fruits, berries, cocoa, coffee'!H287</f>
        <v>5.4182156841188814E-4</v>
      </c>
      <c r="J67" s="188">
        <v>0</v>
      </c>
      <c r="K67" s="188">
        <f>'Fruits, berries, cocoa, coffee'!H288</f>
        <v>9.8994415407868241E-5</v>
      </c>
      <c r="L67" s="188">
        <v>0</v>
      </c>
      <c r="M67" s="188">
        <f>Table1[[#This Row],[kg CH4 fossil at retail-gate per kg of product]]*'Summary pivot'!$D$5</f>
        <v>1.6146282738674266E-2</v>
      </c>
      <c r="N67" s="188">
        <f>Table1[[#This Row],[kg CH4 bio at retail-gate per kg of product]]*'Summary pivot'!$D$4</f>
        <v>0</v>
      </c>
      <c r="O67" s="188">
        <f>Table1[[#This Row],[kg N2O at retail-gate per kg of product]]*'Summary pivot'!$D$6</f>
        <v>2.7025475406348028E-2</v>
      </c>
      <c r="P67" s="188">
        <f>Table1[[#This Row],[kg HCFC-22 at retail-gate per kg of product]]*'Summary pivot'!$D$7</f>
        <v>0</v>
      </c>
    </row>
    <row r="68" spans="1:16" ht="30">
      <c r="A68" s="52" t="s">
        <v>8</v>
      </c>
      <c r="B68" s="52" t="s">
        <v>147</v>
      </c>
      <c r="C68" t="s">
        <v>149</v>
      </c>
      <c r="D68" t="s">
        <v>121</v>
      </c>
      <c r="E68" s="5">
        <f>'Fruits, berries, cocoa, coffee'!C289</f>
        <v>0.13291099542118801</v>
      </c>
      <c r="F68" s="750" t="str">
        <f>'Summary pivot'!$C$1</f>
        <v>GWP100 with fb AR6</v>
      </c>
      <c r="G68" s="188">
        <f>Table1[[#This Row],[kg CO2 at retail-gate per kg of product]]+Table1[[#This Row],[Kg CO2e from CH4 fossil]]+Table1[[#This Row],[Kg CO2e from N2O]]</f>
        <v>0.64208939161101997</v>
      </c>
      <c r="H68" s="188">
        <f>'Fruits, berries, cocoa, coffee'!H290</f>
        <v>0.59936733928000829</v>
      </c>
      <c r="I68" s="188">
        <f>'Fruits, berries, cocoa, coffee'!H291</f>
        <v>5.3617759374093086E-4</v>
      </c>
      <c r="J68" s="188">
        <v>0</v>
      </c>
      <c r="K68" s="188">
        <f>'Fruits, berries, cocoa, coffee'!H292</f>
        <v>9.796322358070294E-5</v>
      </c>
      <c r="L68" s="188">
        <v>0</v>
      </c>
      <c r="M68" s="188">
        <f>Table1[[#This Row],[kg CH4 fossil at retail-gate per kg of product]]*'Summary pivot'!$D$5</f>
        <v>1.597809229347974E-2</v>
      </c>
      <c r="N68" s="188">
        <f>Table1[[#This Row],[kg CH4 bio at retail-gate per kg of product]]*'Summary pivot'!$D$4</f>
        <v>0</v>
      </c>
      <c r="O68" s="188">
        <f>Table1[[#This Row],[kg N2O at retail-gate per kg of product]]*'Summary pivot'!$D$6</f>
        <v>2.6743960037531902E-2</v>
      </c>
      <c r="P68" s="188">
        <f>Table1[[#This Row],[kg HCFC-22 at retail-gate per kg of product]]*'Summary pivot'!$D$7</f>
        <v>0</v>
      </c>
    </row>
    <row r="69" spans="1:16" ht="30">
      <c r="A69" s="52" t="s">
        <v>8</v>
      </c>
      <c r="B69" s="52" t="s">
        <v>147</v>
      </c>
      <c r="C69" t="s">
        <v>134</v>
      </c>
      <c r="D69" t="s">
        <v>121</v>
      </c>
      <c r="E69" s="5">
        <f>'Fruits, berries, cocoa, coffee'!C293</f>
        <v>0.57359969892742901</v>
      </c>
      <c r="F69" s="750" t="str">
        <f>'Summary pivot'!$C$1</f>
        <v>GWP100 with fb AR6</v>
      </c>
      <c r="G69" s="188">
        <f>Table1[[#This Row],[kg CO2 at retail-gate per kg of product]]+Table1[[#This Row],[Kg CO2e from CH4 fossil]]+Table1[[#This Row],[Kg CO2e from N2O]]</f>
        <v>0.88323992763719594</v>
      </c>
      <c r="H69" s="188">
        <f>'Fruits, berries, cocoa, coffee'!H294</f>
        <v>0.83360271353417958</v>
      </c>
      <c r="I69" s="188">
        <f>'Fruits, berries, cocoa, coffee'!H295</f>
        <v>6.2296543741742266E-4</v>
      </c>
      <c r="J69" s="188">
        <v>0</v>
      </c>
      <c r="K69" s="188">
        <f>'Fruits, berries, cocoa, coffee'!H296</f>
        <v>1.1381994164094186E-4</v>
      </c>
      <c r="L69" s="188">
        <v>0</v>
      </c>
      <c r="M69" s="188">
        <f>Table1[[#This Row],[kg CH4 fossil at retail-gate per kg of product]]*'Summary pivot'!$D$5</f>
        <v>1.8564370035039197E-2</v>
      </c>
      <c r="N69" s="188">
        <f>Table1[[#This Row],[kg CH4 bio at retail-gate per kg of product]]*'Summary pivot'!$D$4</f>
        <v>0</v>
      </c>
      <c r="O69" s="188">
        <f>Table1[[#This Row],[kg N2O at retail-gate per kg of product]]*'Summary pivot'!$D$6</f>
        <v>3.1072844067977126E-2</v>
      </c>
      <c r="P69" s="188">
        <f>Table1[[#This Row],[kg HCFC-22 at retail-gate per kg of product]]*'Summary pivot'!$D$7</f>
        <v>0</v>
      </c>
    </row>
    <row r="70" spans="1:16" ht="30">
      <c r="A70" s="52" t="s">
        <v>8</v>
      </c>
      <c r="B70" s="1214" t="s">
        <v>150</v>
      </c>
      <c r="C70" t="s">
        <v>120</v>
      </c>
      <c r="D70" t="s">
        <v>121</v>
      </c>
      <c r="E70" s="5">
        <f>'Fruits, berries, cocoa, coffee'!C298</f>
        <v>1</v>
      </c>
      <c r="F70" s="750" t="str">
        <f>'Summary pivot'!$C$1</f>
        <v>GWP100 with fb AR6</v>
      </c>
      <c r="G70" s="188">
        <f>Table1[[#This Row],[kg CO2 at retail-gate per kg of product]]+Table1[[#This Row],[Kg CO2e from CH4 fossil]]+Table1[[#This Row],[Kg CO2e from N2O]]</f>
        <v>0</v>
      </c>
      <c r="H70" s="188"/>
      <c r="I70" s="188"/>
      <c r="J70" s="188">
        <v>0</v>
      </c>
      <c r="K70" s="188"/>
      <c r="L70" s="188">
        <v>0</v>
      </c>
      <c r="M70" s="188">
        <f>Table1[[#This Row],[kg CH4 fossil at retail-gate per kg of product]]*'Summary pivot'!$D$5</f>
        <v>0</v>
      </c>
      <c r="N70" s="188">
        <f>Table1[[#This Row],[kg CH4 bio at retail-gate per kg of product]]*'Summary pivot'!$D$4</f>
        <v>0</v>
      </c>
      <c r="O70" s="188">
        <f>Table1[[#This Row],[kg N2O at retail-gate per kg of product]]*'Summary pivot'!$D$6</f>
        <v>0</v>
      </c>
      <c r="P70" s="188">
        <f>Table1[[#This Row],[kg HCFC-22 at retail-gate per kg of product]]*'Summary pivot'!$D$7</f>
        <v>0</v>
      </c>
    </row>
    <row r="71" spans="1:16" ht="30">
      <c r="A71" s="52" t="s">
        <v>8</v>
      </c>
      <c r="B71" s="1214" t="s">
        <v>150</v>
      </c>
      <c r="C71" t="s">
        <v>133</v>
      </c>
      <c r="D71" t="s">
        <v>121</v>
      </c>
      <c r="E71" s="5">
        <f>'Fruits, berries, cocoa, coffee'!C302</f>
        <v>0.1</v>
      </c>
      <c r="F71" s="750" t="str">
        <f>'Summary pivot'!$C$1</f>
        <v>GWP100 with fb AR6</v>
      </c>
      <c r="G71" s="188">
        <f>Table1[[#This Row],[kg CO2 at retail-gate per kg of product]]+Table1[[#This Row],[Kg CO2e from CH4 fossil]]+Table1[[#This Row],[Kg CO2e from N2O]]</f>
        <v>0</v>
      </c>
      <c r="H71" s="188"/>
      <c r="I71" s="188"/>
      <c r="J71" s="188">
        <v>0</v>
      </c>
      <c r="K71" s="188"/>
      <c r="L71" s="188">
        <v>0</v>
      </c>
      <c r="M71" s="188">
        <f>Table1[[#This Row],[kg CH4 fossil at retail-gate per kg of product]]*'Summary pivot'!$D$5</f>
        <v>0</v>
      </c>
      <c r="N71" s="188">
        <f>Table1[[#This Row],[kg CH4 bio at retail-gate per kg of product]]*'Summary pivot'!$D$4</f>
        <v>0</v>
      </c>
      <c r="O71" s="188">
        <f>Table1[[#This Row],[kg N2O at retail-gate per kg of product]]*'Summary pivot'!$D$6</f>
        <v>0</v>
      </c>
      <c r="P71" s="188">
        <f>Table1[[#This Row],[kg HCFC-22 at retail-gate per kg of product]]*'Summary pivot'!$D$7</f>
        <v>0</v>
      </c>
    </row>
    <row r="72" spans="1:16" ht="30">
      <c r="A72" s="52" t="s">
        <v>8</v>
      </c>
      <c r="B72" s="1214" t="s">
        <v>150</v>
      </c>
      <c r="C72" t="s">
        <v>134</v>
      </c>
      <c r="D72" t="s">
        <v>121</v>
      </c>
      <c r="E72" s="5">
        <f>'Fruits, berries, cocoa, coffee'!C306</f>
        <v>0.9</v>
      </c>
      <c r="F72" s="750" t="str">
        <f>'Summary pivot'!$C$1</f>
        <v>GWP100 with fb AR6</v>
      </c>
      <c r="G72" s="188">
        <f>Table1[[#This Row],[kg CO2 at retail-gate per kg of product]]+Table1[[#This Row],[Kg CO2e from CH4 fossil]]+Table1[[#This Row],[Kg CO2e from N2O]]</f>
        <v>0</v>
      </c>
      <c r="H72" s="188"/>
      <c r="I72" s="188"/>
      <c r="J72" s="188">
        <v>0</v>
      </c>
      <c r="K72" s="188"/>
      <c r="L72" s="188">
        <v>0</v>
      </c>
      <c r="M72" s="188">
        <f>Table1[[#This Row],[kg CH4 fossil at retail-gate per kg of product]]*'Summary pivot'!$D$5</f>
        <v>0</v>
      </c>
      <c r="N72" s="188">
        <f>Table1[[#This Row],[kg CH4 bio at retail-gate per kg of product]]*'Summary pivot'!$D$4</f>
        <v>0</v>
      </c>
      <c r="O72" s="188">
        <f>Table1[[#This Row],[kg N2O at retail-gate per kg of product]]*'Summary pivot'!$D$6</f>
        <v>0</v>
      </c>
      <c r="P72" s="188">
        <f>Table1[[#This Row],[kg HCFC-22 at retail-gate per kg of product]]*'Summary pivot'!$D$7</f>
        <v>0</v>
      </c>
    </row>
    <row r="73" spans="1:16" ht="30">
      <c r="A73" s="52" t="s">
        <v>8</v>
      </c>
      <c r="B73" s="52" t="s">
        <v>151</v>
      </c>
      <c r="C73" t="s">
        <v>120</v>
      </c>
      <c r="D73" t="s">
        <v>121</v>
      </c>
      <c r="E73" s="5">
        <f>'Fruits, berries, cocoa, coffee'!C311</f>
        <v>1</v>
      </c>
      <c r="F73" s="750" t="str">
        <f>'Summary pivot'!$C$1</f>
        <v>GWP100 with fb AR6</v>
      </c>
      <c r="G73" s="188">
        <f>Table1[[#This Row],[kg CO2 at retail-gate per kg of product]]+Table1[[#This Row],[Kg CO2e from CH4 fossil]]+Table1[[#This Row],[Kg CO2e from N2O]]</f>
        <v>12.126293098221586</v>
      </c>
      <c r="H73" s="188">
        <f>'Fruits, berries, cocoa, coffee'!H312</f>
        <v>0.77019302200347872</v>
      </c>
      <c r="I73" s="188">
        <f>'Fruits, berries, cocoa, coffee'!H313</f>
        <v>0.37875637322175398</v>
      </c>
      <c r="J73" s="188">
        <v>0</v>
      </c>
      <c r="K73" s="188">
        <f>'Fruits, berries, cocoa, coffee'!H314</f>
        <v>2.53333898204533E-4</v>
      </c>
      <c r="L73" s="188">
        <v>0</v>
      </c>
      <c r="M73" s="188">
        <f>Table1[[#This Row],[kg CH4 fossil at retail-gate per kg of product]]*'Summary pivot'!$D$5</f>
        <v>11.286939922008269</v>
      </c>
      <c r="N73" s="188">
        <f>Table1[[#This Row],[kg CH4 bio at retail-gate per kg of product]]*'Summary pivot'!$D$4</f>
        <v>0</v>
      </c>
      <c r="O73" s="188">
        <f>Table1[[#This Row],[kg N2O at retail-gate per kg of product]]*'Summary pivot'!$D$6</f>
        <v>6.916015420983751E-2</v>
      </c>
      <c r="P73" s="188">
        <f>Table1[[#This Row],[kg HCFC-22 at retail-gate per kg of product]]*'Summary pivot'!$D$7</f>
        <v>0</v>
      </c>
    </row>
    <row r="74" spans="1:16" ht="30">
      <c r="A74" s="52" t="s">
        <v>8</v>
      </c>
      <c r="B74" s="52" t="s">
        <v>151</v>
      </c>
      <c r="C74" t="s">
        <v>152</v>
      </c>
      <c r="D74" t="s">
        <v>121</v>
      </c>
      <c r="E74" s="5">
        <f>'Fruits, berries, cocoa, coffee'!C315</f>
        <v>0.17</v>
      </c>
      <c r="F74" s="750" t="str">
        <f>'Summary pivot'!$C$1</f>
        <v>GWP100 with fb AR6</v>
      </c>
      <c r="G74" s="188">
        <f>Table1[[#This Row],[kg CO2 at retail-gate per kg of product]]+Table1[[#This Row],[Kg CO2e from CH4 fossil]]+Table1[[#This Row],[Kg CO2e from N2O]]</f>
        <v>0.83274700237233223</v>
      </c>
      <c r="H74" s="188">
        <f>'Fruits, berries, cocoa, coffee'!H316</f>
        <v>0.7935678880022291</v>
      </c>
      <c r="I74" s="188">
        <f>'Fruits, berries, cocoa, coffee'!H317</f>
        <v>1.6329960003009906E-5</v>
      </c>
      <c r="J74" s="188">
        <v>0</v>
      </c>
      <c r="K74" s="188">
        <f>'Fruits, berries, cocoa, coffee'!H318</f>
        <v>1.417307016923569E-4</v>
      </c>
      <c r="L74" s="188">
        <v>0</v>
      </c>
      <c r="M74" s="188">
        <f>Table1[[#This Row],[kg CH4 fossil at retail-gate per kg of product]]*'Summary pivot'!$D$5</f>
        <v>4.8663280808969523E-4</v>
      </c>
      <c r="N74" s="188">
        <f>Table1[[#This Row],[kg CH4 bio at retail-gate per kg of product]]*'Summary pivot'!$D$4</f>
        <v>0</v>
      </c>
      <c r="O74" s="188">
        <f>Table1[[#This Row],[kg N2O at retail-gate per kg of product]]*'Summary pivot'!$D$6</f>
        <v>3.8692481562013437E-2</v>
      </c>
      <c r="P74" s="188">
        <f>Table1[[#This Row],[kg HCFC-22 at retail-gate per kg of product]]*'Summary pivot'!$D$7</f>
        <v>0</v>
      </c>
    </row>
    <row r="75" spans="1:16" ht="30">
      <c r="A75" s="52" t="s">
        <v>8</v>
      </c>
      <c r="B75" s="52" t="s">
        <v>151</v>
      </c>
      <c r="C75" t="s">
        <v>153</v>
      </c>
      <c r="D75" t="s">
        <v>121</v>
      </c>
      <c r="E75" s="5">
        <f>'Fruits, berries, cocoa, coffee'!C319</f>
        <v>0.12</v>
      </c>
      <c r="F75" s="750" t="str">
        <f>'Summary pivot'!$C$1</f>
        <v>GWP100 with fb AR6</v>
      </c>
      <c r="G75" s="188">
        <f>Table1[[#This Row],[kg CO2 at retail-gate per kg of product]]+Table1[[#This Row],[Kg CO2e from CH4 fossil]]+Table1[[#This Row],[Kg CO2e from N2O]]</f>
        <v>0.98035318654189951</v>
      </c>
      <c r="H75" s="188">
        <f>'Fruits, berries, cocoa, coffee'!H320</f>
        <v>0.93960633974260599</v>
      </c>
      <c r="I75" s="188">
        <f>'Fruits, berries, cocoa, coffee'!H321</f>
        <v>1.6983395086362243E-5</v>
      </c>
      <c r="J75" s="188">
        <v>0</v>
      </c>
      <c r="K75" s="188">
        <f>'Fruits, berries, cocoa, coffee'!H322</f>
        <v>1.4740198397699574E-4</v>
      </c>
      <c r="L75" s="188">
        <v>0</v>
      </c>
      <c r="M75" s="188">
        <f>Table1[[#This Row],[kg CH4 fossil at retail-gate per kg of product]]*'Summary pivot'!$D$5</f>
        <v>5.0610517357359481E-4</v>
      </c>
      <c r="N75" s="188">
        <f>Table1[[#This Row],[kg CH4 bio at retail-gate per kg of product]]*'Summary pivot'!$D$4</f>
        <v>0</v>
      </c>
      <c r="O75" s="188">
        <f>Table1[[#This Row],[kg N2O at retail-gate per kg of product]]*'Summary pivot'!$D$6</f>
        <v>4.0240741625719841E-2</v>
      </c>
      <c r="P75" s="188">
        <f>Table1[[#This Row],[kg HCFC-22 at retail-gate per kg of product]]*'Summary pivot'!$D$7</f>
        <v>0</v>
      </c>
    </row>
    <row r="76" spans="1:16" ht="30">
      <c r="A76" s="52" t="s">
        <v>8</v>
      </c>
      <c r="B76" s="52" t="s">
        <v>151</v>
      </c>
      <c r="C76" t="s">
        <v>134</v>
      </c>
      <c r="D76" t="s">
        <v>121</v>
      </c>
      <c r="E76" s="5">
        <f>'Fruits, berries, cocoa, coffee'!C323</f>
        <v>0.71</v>
      </c>
      <c r="F76" s="750" t="str">
        <f>'Summary pivot'!$C$1</f>
        <v>GWP100 with fb AR6</v>
      </c>
      <c r="G76" s="188">
        <f>Table1[[#This Row],[kg CO2 at retail-gate per kg of product]]+Table1[[#This Row],[Kg CO2e from CH4 fossil]]+Table1[[#This Row],[Kg CO2e from N2O]]</f>
        <v>1.006505505047778</v>
      </c>
      <c r="H76" s="188">
        <f>'Fruits, berries, cocoa, coffee'!H324</f>
        <v>0.78127909306029242</v>
      </c>
      <c r="I76" s="188">
        <f>'Fruits, berries, cocoa, coffee'!H325</f>
        <v>5.2692244360283218E-4</v>
      </c>
      <c r="J76" s="188">
        <v>0</v>
      </c>
      <c r="K76" s="188">
        <f>'Fruits, berries, cocoa, coffee'!H326</f>
        <v>7.6748763065245861E-4</v>
      </c>
      <c r="L76" s="188">
        <v>0</v>
      </c>
      <c r="M76" s="188">
        <f>Table1[[#This Row],[kg CH4 fossil at retail-gate per kg of product]]*'Summary pivot'!$D$5</f>
        <v>1.5702288819364401E-2</v>
      </c>
      <c r="N76" s="188">
        <f>Table1[[#This Row],[kg CH4 bio at retail-gate per kg of product]]*'Summary pivot'!$D$4</f>
        <v>0</v>
      </c>
      <c r="O76" s="188">
        <f>Table1[[#This Row],[kg N2O at retail-gate per kg of product]]*'Summary pivot'!$D$6</f>
        <v>0.20952412316812119</v>
      </c>
      <c r="P76" s="188">
        <f>Table1[[#This Row],[kg HCFC-22 at retail-gate per kg of product]]*'Summary pivot'!$D$7</f>
        <v>0</v>
      </c>
    </row>
    <row r="77" spans="1:16" ht="30">
      <c r="A77" s="52" t="s">
        <v>8</v>
      </c>
      <c r="B77" s="52" t="s">
        <v>154</v>
      </c>
      <c r="C77" t="s">
        <v>120</v>
      </c>
      <c r="D77" t="s">
        <v>121</v>
      </c>
      <c r="E77" s="5">
        <f>'Fruits, berries, cocoa, coffee'!C328</f>
        <v>1</v>
      </c>
      <c r="F77" s="750" t="str">
        <f>'Summary pivot'!$C$1</f>
        <v>GWP100 with fb AR6</v>
      </c>
      <c r="G77" s="188">
        <f>Table1[[#This Row],[kg CO2 at retail-gate per kg of product]]+Table1[[#This Row],[Kg CO2e from CH4 fossil]]+Table1[[#This Row],[Kg CO2e from N2O]]</f>
        <v>0.70751824804117636</v>
      </c>
      <c r="H77" s="188">
        <f>'Fruits, berries, cocoa, coffee'!H329</f>
        <v>0.66018413633447071</v>
      </c>
      <c r="I77" s="188">
        <f>'Fruits, berries, cocoa, coffee'!H330</f>
        <v>1.8941019452391988E-4</v>
      </c>
      <c r="J77" s="188">
        <v>0</v>
      </c>
      <c r="K77" s="188">
        <f>'Fruits, berries, cocoa, coffee'!H331</f>
        <v>1.5270947952341691E-4</v>
      </c>
      <c r="L77" s="188">
        <v>0</v>
      </c>
      <c r="M77" s="188">
        <f>Table1[[#This Row],[kg CH4 fossil at retail-gate per kg of product]]*'Summary pivot'!$D$5</f>
        <v>5.6444237968128128E-3</v>
      </c>
      <c r="N77" s="188">
        <f>Table1[[#This Row],[kg CH4 bio at retail-gate per kg of product]]*'Summary pivot'!$D$4</f>
        <v>0</v>
      </c>
      <c r="O77" s="188">
        <f>Table1[[#This Row],[kg N2O at retail-gate per kg of product]]*'Summary pivot'!$D$6</f>
        <v>4.1689687909892817E-2</v>
      </c>
      <c r="P77" s="188">
        <f>Table1[[#This Row],[kg HCFC-22 at retail-gate per kg of product]]*'Summary pivot'!$D$7</f>
        <v>0</v>
      </c>
    </row>
    <row r="78" spans="1:16" ht="30">
      <c r="A78" s="52" t="s">
        <v>8</v>
      </c>
      <c r="B78" s="52" t="s">
        <v>154</v>
      </c>
      <c r="C78" t="s">
        <v>131</v>
      </c>
      <c r="D78" t="s">
        <v>121</v>
      </c>
      <c r="E78" s="5">
        <f>'Fruits, berries, cocoa, coffee'!C332</f>
        <v>0.16</v>
      </c>
      <c r="F78" s="750" t="str">
        <f>'Summary pivot'!$C$1</f>
        <v>GWP100 with fb AR6</v>
      </c>
      <c r="G78" s="188">
        <f>Table1[[#This Row],[kg CO2 at retail-gate per kg of product]]+Table1[[#This Row],[Kg CO2e from CH4 fossil]]+Table1[[#This Row],[Kg CO2e from N2O]]</f>
        <v>0.65304417111271218</v>
      </c>
      <c r="H78" s="188">
        <f>'Fruits, berries, cocoa, coffee'!H333</f>
        <v>0.60085158541513661</v>
      </c>
      <c r="I78" s="188">
        <f>'Fruits, berries, cocoa, coffee'!H334</f>
        <v>2.0885166010802466E-4</v>
      </c>
      <c r="J78" s="188">
        <v>0</v>
      </c>
      <c r="K78" s="188">
        <f>'Fruits, berries, cocoa, coffee'!H335</f>
        <v>1.6838390559104936E-4</v>
      </c>
      <c r="L78" s="188">
        <v>0</v>
      </c>
      <c r="M78" s="188">
        <f>Table1[[#This Row],[kg CH4 fossil at retail-gate per kg of product]]*'Summary pivot'!$D$5</f>
        <v>6.2237794712191354E-3</v>
      </c>
      <c r="N78" s="188">
        <f>Table1[[#This Row],[kg CH4 bio at retail-gate per kg of product]]*'Summary pivot'!$D$4</f>
        <v>0</v>
      </c>
      <c r="O78" s="188">
        <f>Table1[[#This Row],[kg N2O at retail-gate per kg of product]]*'Summary pivot'!$D$6</f>
        <v>4.5968806226356476E-2</v>
      </c>
      <c r="P78" s="188">
        <f>Table1[[#This Row],[kg HCFC-22 at retail-gate per kg of product]]*'Summary pivot'!$D$7</f>
        <v>0</v>
      </c>
    </row>
    <row r="79" spans="1:16" ht="30">
      <c r="A79" s="52" t="s">
        <v>8</v>
      </c>
      <c r="B79" s="52" t="s">
        <v>154</v>
      </c>
      <c r="C79" t="s">
        <v>134</v>
      </c>
      <c r="D79" t="s">
        <v>121</v>
      </c>
      <c r="E79" s="5">
        <f>'Fruits, berries, cocoa, coffee'!C336</f>
        <v>0.84</v>
      </c>
      <c r="F79" s="750" t="str">
        <f>'Summary pivot'!$C$1</f>
        <v>GWP100 with fb AR6</v>
      </c>
      <c r="G79" s="188">
        <f>Table1[[#This Row],[kg CO2 at retail-gate per kg of product]]+Table1[[#This Row],[Kg CO2e from CH4 fossil]]+Table1[[#This Row],[Kg CO2e from N2O]]</f>
        <v>0.71789426269421719</v>
      </c>
      <c r="H79" s="188">
        <f>'Fruits, berries, cocoa, coffee'!H337</f>
        <v>0.67148557460482006</v>
      </c>
      <c r="I79" s="188">
        <f>'Fruits, berries, cocoa, coffee'!H338</f>
        <v>1.8570705822218563E-4</v>
      </c>
      <c r="J79" s="188">
        <v>0</v>
      </c>
      <c r="K79" s="188">
        <f>'Fruits, berries, cocoa, coffee'!H339</f>
        <v>1.4972387455815359E-4</v>
      </c>
      <c r="L79" s="188">
        <v>0</v>
      </c>
      <c r="M79" s="188">
        <f>Table1[[#This Row],[kg CH4 fossil at retail-gate per kg of product]]*'Summary pivot'!$D$5</f>
        <v>5.5340703350211318E-3</v>
      </c>
      <c r="N79" s="188">
        <f>Table1[[#This Row],[kg CH4 bio at retail-gate per kg of product]]*'Summary pivot'!$D$4</f>
        <v>0</v>
      </c>
      <c r="O79" s="188">
        <f>Table1[[#This Row],[kg N2O at retail-gate per kg of product]]*'Summary pivot'!$D$6</f>
        <v>4.0874617754375932E-2</v>
      </c>
      <c r="P79" s="188">
        <f>Table1[[#This Row],[kg HCFC-22 at retail-gate per kg of product]]*'Summary pivot'!$D$7</f>
        <v>0</v>
      </c>
    </row>
    <row r="80" spans="1:16" ht="30">
      <c r="A80" s="52" t="s">
        <v>8</v>
      </c>
      <c r="B80" s="52" t="s">
        <v>155</v>
      </c>
      <c r="C80" t="s">
        <v>120</v>
      </c>
      <c r="D80" t="s">
        <v>121</v>
      </c>
      <c r="E80" s="5">
        <f>'Fruits, berries, cocoa, coffee'!C341</f>
        <v>1</v>
      </c>
      <c r="F80" s="750" t="str">
        <f>'Summary pivot'!$C$1</f>
        <v>GWP100 with fb AR6</v>
      </c>
      <c r="G80" s="188">
        <f>Table1[[#This Row],[kg CO2 at retail-gate per kg of product]]+Table1[[#This Row],[Kg CO2e from CH4 fossil]]+Table1[[#This Row],[Kg CO2e from N2O]]</f>
        <v>2.8879885798389648</v>
      </c>
      <c r="H80" s="188">
        <f>'Fruits, berries, cocoa, coffee'!H342</f>
        <v>1.0583457432576138</v>
      </c>
      <c r="I80" s="188">
        <f>'Fruits, berries, cocoa, coffee'!H343</f>
        <v>9.0165571706734735E-4</v>
      </c>
      <c r="J80" s="188">
        <v>0</v>
      </c>
      <c r="K80" s="188">
        <f>'Fruits, berries, cocoa, coffee'!H344</f>
        <v>6.6035659201932025E-3</v>
      </c>
      <c r="L80" s="188">
        <v>0</v>
      </c>
      <c r="M80" s="188">
        <f>Table1[[#This Row],[kg CH4 fossil at retail-gate per kg of product]]*'Summary pivot'!$D$5</f>
        <v>2.6869340368606952E-2</v>
      </c>
      <c r="N80" s="188">
        <f>Table1[[#This Row],[kg CH4 bio at retail-gate per kg of product]]*'Summary pivot'!$D$4</f>
        <v>0</v>
      </c>
      <c r="O80" s="188">
        <f>Table1[[#This Row],[kg N2O at retail-gate per kg of product]]*'Summary pivot'!$D$6</f>
        <v>1.8027734962127442</v>
      </c>
      <c r="P80" s="188">
        <f>Table1[[#This Row],[kg HCFC-22 at retail-gate per kg of product]]*'Summary pivot'!$D$7</f>
        <v>0</v>
      </c>
    </row>
    <row r="81" spans="1:16" ht="30">
      <c r="A81" s="52" t="s">
        <v>8</v>
      </c>
      <c r="B81" s="52" t="s">
        <v>155</v>
      </c>
      <c r="C81" t="s">
        <v>156</v>
      </c>
      <c r="D81" t="s">
        <v>121</v>
      </c>
      <c r="E81" s="5">
        <f>'Fruits, berries, cocoa, coffee'!C345</f>
        <v>0.42</v>
      </c>
      <c r="F81" s="750" t="str">
        <f>'Summary pivot'!$C$1</f>
        <v>GWP100 with fb AR6</v>
      </c>
      <c r="G81" s="188">
        <f>Table1[[#This Row],[kg CO2 at retail-gate per kg of product]]+Table1[[#This Row],[Kg CO2e from CH4 fossil]]+Table1[[#This Row],[Kg CO2e from N2O]]</f>
        <v>2.8879885798389648</v>
      </c>
      <c r="H81" s="188">
        <f>'Fruits, berries, cocoa, coffee'!H346</f>
        <v>1.0583457432576138</v>
      </c>
      <c r="I81" s="188">
        <f>'Fruits, berries, cocoa, coffee'!H347</f>
        <v>9.0165571706734735E-4</v>
      </c>
      <c r="J81" s="188">
        <v>0</v>
      </c>
      <c r="K81" s="188">
        <f>'Fruits, berries, cocoa, coffee'!H348</f>
        <v>6.6035659201932025E-3</v>
      </c>
      <c r="L81" s="188">
        <v>0</v>
      </c>
      <c r="M81" s="188">
        <f>Table1[[#This Row],[kg CH4 fossil at retail-gate per kg of product]]*'Summary pivot'!$D$5</f>
        <v>2.6869340368606952E-2</v>
      </c>
      <c r="N81" s="188">
        <f>Table1[[#This Row],[kg CH4 bio at retail-gate per kg of product]]*'Summary pivot'!$D$4</f>
        <v>0</v>
      </c>
      <c r="O81" s="188">
        <f>Table1[[#This Row],[kg N2O at retail-gate per kg of product]]*'Summary pivot'!$D$6</f>
        <v>1.8027734962127442</v>
      </c>
      <c r="P81" s="188">
        <f>Table1[[#This Row],[kg HCFC-22 at retail-gate per kg of product]]*'Summary pivot'!$D$7</f>
        <v>0</v>
      </c>
    </row>
    <row r="82" spans="1:16" ht="30">
      <c r="A82" s="52" t="s">
        <v>8</v>
      </c>
      <c r="B82" s="52" t="s">
        <v>155</v>
      </c>
      <c r="C82" t="s">
        <v>157</v>
      </c>
      <c r="D82" t="s">
        <v>121</v>
      </c>
      <c r="E82" s="5">
        <f>'Fruits, berries, cocoa, coffee'!C349</f>
        <v>0.11</v>
      </c>
      <c r="F82" s="750" t="str">
        <f>'Summary pivot'!$C$1</f>
        <v>GWP100 with fb AR6</v>
      </c>
      <c r="G82" s="188">
        <f>Table1[[#This Row],[kg CO2 at retail-gate per kg of product]]+Table1[[#This Row],[Kg CO2e from CH4 fossil]]+Table1[[#This Row],[Kg CO2e from N2O]]</f>
        <v>2.8879885798389648</v>
      </c>
      <c r="H82" s="188">
        <f>'Fruits, berries, cocoa, coffee'!H350</f>
        <v>1.0583457432576138</v>
      </c>
      <c r="I82" s="188">
        <f>'Fruits, berries, cocoa, coffee'!H351</f>
        <v>9.0165571706734735E-4</v>
      </c>
      <c r="J82" s="188">
        <v>0</v>
      </c>
      <c r="K82" s="188">
        <f>'Fruits, berries, cocoa, coffee'!H352</f>
        <v>6.6035659201932025E-3</v>
      </c>
      <c r="L82" s="188">
        <v>0</v>
      </c>
      <c r="M82" s="188">
        <f>Table1[[#This Row],[kg CH4 fossil at retail-gate per kg of product]]*'Summary pivot'!$D$5</f>
        <v>2.6869340368606952E-2</v>
      </c>
      <c r="N82" s="188">
        <f>Table1[[#This Row],[kg CH4 bio at retail-gate per kg of product]]*'Summary pivot'!$D$4</f>
        <v>0</v>
      </c>
      <c r="O82" s="188">
        <f>Table1[[#This Row],[kg N2O at retail-gate per kg of product]]*'Summary pivot'!$D$6</f>
        <v>1.8027734962127442</v>
      </c>
      <c r="P82" s="188">
        <f>Table1[[#This Row],[kg HCFC-22 at retail-gate per kg of product]]*'Summary pivot'!$D$7</f>
        <v>0</v>
      </c>
    </row>
    <row r="83" spans="1:16" ht="30">
      <c r="A83" s="52" t="s">
        <v>8</v>
      </c>
      <c r="B83" s="52" t="s">
        <v>155</v>
      </c>
      <c r="C83" t="s">
        <v>134</v>
      </c>
      <c r="D83" t="s">
        <v>121</v>
      </c>
      <c r="E83" s="5">
        <f>'Fruits, berries, cocoa, coffee'!C353</f>
        <v>0.47</v>
      </c>
      <c r="F83" s="750" t="str">
        <f>'Summary pivot'!$C$1</f>
        <v>GWP100 with fb AR6</v>
      </c>
      <c r="G83" s="188">
        <f>Table1[[#This Row],[kg CO2 at retail-gate per kg of product]]+Table1[[#This Row],[Kg CO2e from CH4 fossil]]+Table1[[#This Row],[Kg CO2e from N2O]]</f>
        <v>2.8879885798389648</v>
      </c>
      <c r="H83" s="188">
        <f>'Fruits, berries, cocoa, coffee'!H354</f>
        <v>1.0583457432576138</v>
      </c>
      <c r="I83" s="188">
        <f>'Fruits, berries, cocoa, coffee'!H355</f>
        <v>9.0165571706734735E-4</v>
      </c>
      <c r="J83" s="188">
        <v>0</v>
      </c>
      <c r="K83" s="188">
        <f>'Fruits, berries, cocoa, coffee'!H356</f>
        <v>6.6035659201932025E-3</v>
      </c>
      <c r="L83" s="188">
        <v>0</v>
      </c>
      <c r="M83" s="188">
        <f>Table1[[#This Row],[kg CH4 fossil at retail-gate per kg of product]]*'Summary pivot'!$D$5</f>
        <v>2.6869340368606952E-2</v>
      </c>
      <c r="N83" s="188">
        <f>Table1[[#This Row],[kg CH4 bio at retail-gate per kg of product]]*'Summary pivot'!$D$4</f>
        <v>0</v>
      </c>
      <c r="O83" s="188">
        <f>Table1[[#This Row],[kg N2O at retail-gate per kg of product]]*'Summary pivot'!$D$6</f>
        <v>1.8027734962127442</v>
      </c>
      <c r="P83" s="188">
        <f>Table1[[#This Row],[kg HCFC-22 at retail-gate per kg of product]]*'Summary pivot'!$D$7</f>
        <v>0</v>
      </c>
    </row>
    <row r="84" spans="1:16" ht="30">
      <c r="A84" s="52" t="s">
        <v>8</v>
      </c>
      <c r="B84" s="52" t="s">
        <v>158</v>
      </c>
      <c r="C84" t="s">
        <v>120</v>
      </c>
      <c r="D84" t="s">
        <v>121</v>
      </c>
      <c r="E84" s="5">
        <f>'Fruits, berries, cocoa, coffee'!C358</f>
        <v>1</v>
      </c>
      <c r="F84" s="750" t="str">
        <f>'Summary pivot'!$C$1</f>
        <v>GWP100 with fb AR6</v>
      </c>
      <c r="G84" s="188">
        <f>Table1[[#This Row],[kg CO2 at retail-gate per kg of product]]+Table1[[#This Row],[Kg CO2e from CH4 fossil]]+Table1[[#This Row],[Kg CO2e from N2O]]</f>
        <v>0.53673646041742074</v>
      </c>
      <c r="H84" s="188">
        <f>'Fruits, berries, cocoa, coffee'!H359</f>
        <v>0.49250966382878802</v>
      </c>
      <c r="I84" s="188">
        <f>'Fruits, berries, cocoa, coffee'!H360</f>
        <v>6.5336034839259512E-4</v>
      </c>
      <c r="J84" s="188">
        <v>0</v>
      </c>
      <c r="K84" s="188">
        <f>'Fruits, berries, cocoa, coffee'!H361</f>
        <v>9.068372969426138E-5</v>
      </c>
      <c r="L84" s="188">
        <v>0</v>
      </c>
      <c r="M84" s="188">
        <f>Table1[[#This Row],[kg CH4 fossil at retail-gate per kg of product]]*'Summary pivot'!$D$5</f>
        <v>1.9470138382099336E-2</v>
      </c>
      <c r="N84" s="188">
        <f>Table1[[#This Row],[kg CH4 bio at retail-gate per kg of product]]*'Summary pivot'!$D$4</f>
        <v>0</v>
      </c>
      <c r="O84" s="188">
        <f>Table1[[#This Row],[kg N2O at retail-gate per kg of product]]*'Summary pivot'!$D$6</f>
        <v>2.4756658206533357E-2</v>
      </c>
      <c r="P84" s="188">
        <f>Table1[[#This Row],[kg HCFC-22 at retail-gate per kg of product]]*'Summary pivot'!$D$7</f>
        <v>0</v>
      </c>
    </row>
    <row r="85" spans="1:16" ht="30">
      <c r="A85" s="52" t="s">
        <v>8</v>
      </c>
      <c r="B85" s="52" t="s">
        <v>158</v>
      </c>
      <c r="C85" t="s">
        <v>130</v>
      </c>
      <c r="D85" t="s">
        <v>121</v>
      </c>
      <c r="E85" s="5">
        <f>'Fruits, berries, cocoa, coffee'!C362</f>
        <v>0.56000000000000005</v>
      </c>
      <c r="F85" s="750" t="str">
        <f>'Summary pivot'!$C$1</f>
        <v>GWP100 with fb AR6</v>
      </c>
      <c r="G85" s="188">
        <f>Table1[[#This Row],[kg CO2 at retail-gate per kg of product]]+Table1[[#This Row],[Kg CO2e from CH4 fossil]]+Table1[[#This Row],[Kg CO2e from N2O]]</f>
        <v>0.49454172127387563</v>
      </c>
      <c r="H85" s="188">
        <f>'Fruits, berries, cocoa, coffee'!H363</f>
        <v>0.46323208361214785</v>
      </c>
      <c r="I85" s="188">
        <f>'Fruits, berries, cocoa, coffee'!H364</f>
        <v>6.561987772543262E-4</v>
      </c>
      <c r="J85" s="188">
        <v>0</v>
      </c>
      <c r="K85" s="188">
        <f>'Fruits, berries, cocoa, coffee'!H365</f>
        <v>4.3058293404940928E-5</v>
      </c>
      <c r="L85" s="188">
        <v>0</v>
      </c>
      <c r="M85" s="188">
        <f>Table1[[#This Row],[kg CH4 fossil at retail-gate per kg of product]]*'Summary pivot'!$D$5</f>
        <v>1.9554723562178921E-2</v>
      </c>
      <c r="N85" s="188">
        <f>Table1[[#This Row],[kg CH4 bio at retail-gate per kg of product]]*'Summary pivot'!$D$4</f>
        <v>0</v>
      </c>
      <c r="O85" s="188">
        <f>Table1[[#This Row],[kg N2O at retail-gate per kg of product]]*'Summary pivot'!$D$6</f>
        <v>1.1754914099548873E-2</v>
      </c>
      <c r="P85" s="188">
        <f>Table1[[#This Row],[kg HCFC-22 at retail-gate per kg of product]]*'Summary pivot'!$D$7</f>
        <v>0</v>
      </c>
    </row>
    <row r="86" spans="1:16" ht="30">
      <c r="A86" s="52" t="s">
        <v>8</v>
      </c>
      <c r="B86" s="52" t="s">
        <v>158</v>
      </c>
      <c r="C86" t="s">
        <v>123</v>
      </c>
      <c r="D86" t="s">
        <v>121</v>
      </c>
      <c r="E86" s="5">
        <f>'Fruits, berries, cocoa, coffee'!C366</f>
        <v>0.43</v>
      </c>
      <c r="F86" s="750" t="str">
        <f>'Summary pivot'!$C$1</f>
        <v>GWP100 with fb AR6</v>
      </c>
      <c r="G86" s="188">
        <f>Table1[[#This Row],[kg CO2 at retail-gate per kg of product]]+Table1[[#This Row],[Kg CO2e from CH4 fossil]]+Table1[[#This Row],[Kg CO2e from N2O]]</f>
        <v>0.57474879406575297</v>
      </c>
      <c r="H86" s="188">
        <f>'Fruits, berries, cocoa, coffee'!H367</f>
        <v>0.51610354202007236</v>
      </c>
      <c r="I86" s="188">
        <f>'Fruits, berries, cocoa, coffee'!H368</f>
        <v>6.3160053396718E-4</v>
      </c>
      <c r="J86" s="188">
        <v>0</v>
      </c>
      <c r="K86" s="188">
        <f>'Fruits, berries, cocoa, coffee'!H369</f>
        <v>1.45873831990691E-4</v>
      </c>
      <c r="L86" s="188">
        <v>0</v>
      </c>
      <c r="M86" s="188">
        <f>Table1[[#This Row],[kg CH4 fossil at retail-gate per kg of product]]*'Summary pivot'!$D$5</f>
        <v>1.8821695912221964E-2</v>
      </c>
      <c r="N86" s="188">
        <f>Table1[[#This Row],[kg CH4 bio at retail-gate per kg of product]]*'Summary pivot'!$D$4</f>
        <v>0</v>
      </c>
      <c r="O86" s="188">
        <f>Table1[[#This Row],[kg N2O at retail-gate per kg of product]]*'Summary pivot'!$D$6</f>
        <v>3.9823556133458643E-2</v>
      </c>
      <c r="P86" s="188">
        <f>Table1[[#This Row],[kg HCFC-22 at retail-gate per kg of product]]*'Summary pivot'!$D$7</f>
        <v>0</v>
      </c>
    </row>
    <row r="87" spans="1:16" ht="30">
      <c r="A87" s="52" t="s">
        <v>8</v>
      </c>
      <c r="B87" s="52" t="s">
        <v>158</v>
      </c>
      <c r="C87" t="s">
        <v>134</v>
      </c>
      <c r="D87" t="s">
        <v>121</v>
      </c>
      <c r="E87" s="5">
        <f>'Fruits, berries, cocoa, coffee'!C370</f>
        <v>0.01</v>
      </c>
      <c r="F87" s="750" t="str">
        <f>'Summary pivot'!$C$1</f>
        <v>GWP100 with fb AR6</v>
      </c>
      <c r="G87" s="188">
        <f>Table1[[#This Row],[kg CO2 at retail-gate per kg of product]]+Table1[[#This Row],[Kg CO2e from CH4 fossil]]+Table1[[#This Row],[Kg CO2e from N2O]]</f>
        <v>1.2651115055776587</v>
      </c>
      <c r="H87" s="188">
        <f>'Fruits, berries, cocoa, coffee'!H371</f>
        <v>1.1175173937354117</v>
      </c>
      <c r="I87" s="188">
        <f>'Fruits, berries, cocoa, coffee'!H372</f>
        <v>1.4300803524285087E-3</v>
      </c>
      <c r="J87" s="188">
        <v>0</v>
      </c>
      <c r="K87" s="188">
        <f>'Fruits, berries, cocoa, coffee'!H373</f>
        <v>3.8453376314973373E-4</v>
      </c>
      <c r="L87" s="188">
        <v>0</v>
      </c>
      <c r="M87" s="188">
        <f>Table1[[#This Row],[kg CH4 fossil at retail-gate per kg of product]]*'Summary pivot'!$D$5</f>
        <v>4.2616394502369558E-2</v>
      </c>
      <c r="N87" s="188">
        <f>Table1[[#This Row],[kg CH4 bio at retail-gate per kg of product]]*'Summary pivot'!$D$4</f>
        <v>0</v>
      </c>
      <c r="O87" s="188">
        <f>Table1[[#This Row],[kg N2O at retail-gate per kg of product]]*'Summary pivot'!$D$6</f>
        <v>0.10497771733987731</v>
      </c>
      <c r="P87" s="188">
        <f>Table1[[#This Row],[kg HCFC-22 at retail-gate per kg of product]]*'Summary pivot'!$D$7</f>
        <v>0</v>
      </c>
    </row>
    <row r="88" spans="1:16" ht="30">
      <c r="A88" s="52" t="s">
        <v>7</v>
      </c>
      <c r="B88" t="s">
        <v>27</v>
      </c>
      <c r="C88" t="s">
        <v>120</v>
      </c>
      <c r="D88" t="s">
        <v>128</v>
      </c>
      <c r="E88" s="5">
        <f>'Vegetables, roots, legumes'!C10</f>
        <v>0.9983146089730156</v>
      </c>
      <c r="F88" s="750" t="str">
        <f>'Summary pivot'!$C$1</f>
        <v>GWP100 with fb AR6</v>
      </c>
      <c r="G88" s="188">
        <f>Table1[[#This Row],[kg CO2 at retail-gate per kg of product]]+Table1[[#This Row],[Kg CO2e from CH4 fossil]]+Table1[[#This Row],[Kg CO2e from N2O]]</f>
        <v>1.3399311537232841</v>
      </c>
      <c r="H88" s="188">
        <f>'Vegetables, roots, legumes'!H11</f>
        <v>1.193135563819034</v>
      </c>
      <c r="I88" s="188">
        <f>'Vegetables, roots, legumes'!H12</f>
        <v>3.8392468748414941E-3</v>
      </c>
      <c r="J88" s="188">
        <v>0</v>
      </c>
      <c r="K88" s="188">
        <f>'Vegetables, roots, legumes'!H13</f>
        <v>1.186301576336026E-4</v>
      </c>
      <c r="L88" s="188">
        <v>0</v>
      </c>
      <c r="M88" s="188">
        <f>Table1[[#This Row],[kg CH4 fossil at retail-gate per kg of product]]*'Summary pivot'!$D$5</f>
        <v>0.11440955687027653</v>
      </c>
      <c r="N88" s="188">
        <f>Table1[[#This Row],[kg CH4 bio at retail-gate per kg of product]]*'Summary pivot'!$D$4</f>
        <v>0</v>
      </c>
      <c r="O88" s="188">
        <f>Table1[[#This Row],[kg N2O at retail-gate per kg of product]]*'Summary pivot'!$D$6</f>
        <v>3.2386033033973513E-2</v>
      </c>
      <c r="P88" s="188">
        <f>Table1[[#This Row],[kg HCFC-22 at retail-gate per kg of product]]*'Summary pivot'!$D$7</f>
        <v>0</v>
      </c>
    </row>
    <row r="89" spans="1:16" ht="30">
      <c r="A89" s="52" t="s">
        <v>7</v>
      </c>
      <c r="B89" t="s">
        <v>27</v>
      </c>
      <c r="C89" t="s">
        <v>122</v>
      </c>
      <c r="D89" t="s">
        <v>129</v>
      </c>
      <c r="E89" s="5">
        <f>'Vegetables, roots, legumes'!C14</f>
        <v>7.6865671641791034E-2</v>
      </c>
      <c r="F89" s="750" t="str">
        <f>'Summary pivot'!$C$1</f>
        <v>GWP100 with fb AR6</v>
      </c>
      <c r="G89" s="188">
        <f>Table1[[#This Row],[kg CO2 at retail-gate per kg of product]]+Table1[[#This Row],[Kg CO2e from CH4 fossil]]+Table1[[#This Row],[Kg CO2e from N2O]]</f>
        <v>0.90517612444073425</v>
      </c>
      <c r="H89" s="188">
        <f>'Vegetables, roots, legumes'!H15</f>
        <v>0.81887190478357508</v>
      </c>
      <c r="I89" s="188">
        <f>'Vegetables, roots, legumes'!H16</f>
        <v>1.5100332089626846E-3</v>
      </c>
      <c r="J89" s="188">
        <v>0</v>
      </c>
      <c r="K89" s="188">
        <f>'Vegetables, roots, legumes'!H17</f>
        <v>1.5130120890135962E-4</v>
      </c>
      <c r="L89" s="188">
        <v>0</v>
      </c>
      <c r="M89" s="188">
        <f>Table1[[#This Row],[kg CH4 fossil at retail-gate per kg of product]]*'Summary pivot'!$D$5</f>
        <v>4.4998989627088003E-2</v>
      </c>
      <c r="N89" s="188">
        <f>Table1[[#This Row],[kg CH4 bio at retail-gate per kg of product]]*'Summary pivot'!$D$4</f>
        <v>0</v>
      </c>
      <c r="O89" s="188">
        <f>Table1[[#This Row],[kg N2O at retail-gate per kg of product]]*'Summary pivot'!$D$6</f>
        <v>4.130523003007118E-2</v>
      </c>
      <c r="P89" s="188">
        <f>Table1[[#This Row],[kg HCFC-22 at retail-gate per kg of product]]*'Summary pivot'!$D$7</f>
        <v>0</v>
      </c>
    </row>
    <row r="90" spans="1:16" ht="30">
      <c r="A90" s="52" t="s">
        <v>7</v>
      </c>
      <c r="B90" t="s">
        <v>27</v>
      </c>
      <c r="C90" t="s">
        <v>127</v>
      </c>
      <c r="D90" t="s">
        <v>129</v>
      </c>
      <c r="E90" s="5">
        <f>'Vegetables, roots, legumes'!C18</f>
        <v>0.56413627883122452</v>
      </c>
      <c r="F90" s="750" t="str">
        <f>'Summary pivot'!$C$1</f>
        <v>GWP100 with fb AR6</v>
      </c>
      <c r="G90" s="188">
        <f>Table1[[#This Row],[kg CO2 at retail-gate per kg of product]]+Table1[[#This Row],[Kg CO2e from CH4 fossil]]+Table1[[#This Row],[Kg CO2e from N2O]]</f>
        <v>1.8886286529354999</v>
      </c>
      <c r="H90" s="188">
        <f>'Vegetables, roots, legumes'!H19</f>
        <v>1.6628410990157683</v>
      </c>
      <c r="I90" s="188">
        <f>'Vegetables, roots, legumes'!H20</f>
        <v>6.3503465923727461E-3</v>
      </c>
      <c r="J90" s="188">
        <v>0</v>
      </c>
      <c r="K90" s="188">
        <f>'Vegetables, roots, legumes'!H21</f>
        <v>1.3387262075832871E-4</v>
      </c>
      <c r="L90" s="188">
        <v>0</v>
      </c>
      <c r="M90" s="188">
        <f>Table1[[#This Row],[kg CH4 fossil at retail-gate per kg of product]]*'Summary pivot'!$D$5</f>
        <v>0.18924032845270783</v>
      </c>
      <c r="N90" s="188">
        <f>Table1[[#This Row],[kg CH4 bio at retail-gate per kg of product]]*'Summary pivot'!$D$4</f>
        <v>0</v>
      </c>
      <c r="O90" s="188">
        <f>Table1[[#This Row],[kg N2O at retail-gate per kg of product]]*'Summary pivot'!$D$6</f>
        <v>3.6547225467023742E-2</v>
      </c>
      <c r="P90" s="188">
        <f>Table1[[#This Row],[kg HCFC-22 at retail-gate per kg of product]]*'Summary pivot'!$D$7</f>
        <v>0</v>
      </c>
    </row>
    <row r="91" spans="1:16" ht="30">
      <c r="A91" s="52" t="s">
        <v>7</v>
      </c>
      <c r="B91" t="s">
        <v>27</v>
      </c>
      <c r="C91" t="s">
        <v>130</v>
      </c>
      <c r="D91" t="s">
        <v>129</v>
      </c>
      <c r="E91" s="5">
        <f>'Vegetables, roots, legumes'!C22</f>
        <v>8.2279962400000003E-2</v>
      </c>
      <c r="F91" s="750" t="str">
        <f>'Summary pivot'!$C$1</f>
        <v>GWP100 with fb AR6</v>
      </c>
      <c r="G91" s="188">
        <f>Table1[[#This Row],[kg CO2 at retail-gate per kg of product]]+Table1[[#This Row],[Kg CO2e from CH4 fossil]]+Table1[[#This Row],[Kg CO2e from N2O]]</f>
        <v>0.43064929023298115</v>
      </c>
      <c r="H91" s="188">
        <f>'Vegetables, roots, legumes'!H23</f>
        <v>0.40997694567273002</v>
      </c>
      <c r="I91" s="188">
        <f>'Vegetables, roots, legumes'!H24</f>
        <v>2.9599220613836704E-5</v>
      </c>
      <c r="J91" s="188">
        <v>0</v>
      </c>
      <c r="K91" s="188">
        <f>'Vegetables, roots, legumes'!H25</f>
        <v>7.2491896651863849E-5</v>
      </c>
      <c r="L91" s="188">
        <v>0</v>
      </c>
      <c r="M91" s="188">
        <f>Table1[[#This Row],[kg CH4 fossil at retail-gate per kg of product]]*'Summary pivot'!$D$5</f>
        <v>8.8205677429233379E-4</v>
      </c>
      <c r="N91" s="188">
        <f>Table1[[#This Row],[kg CH4 bio at retail-gate per kg of product]]*'Summary pivot'!$D$4</f>
        <v>0</v>
      </c>
      <c r="O91" s="188">
        <f>Table1[[#This Row],[kg N2O at retail-gate per kg of product]]*'Summary pivot'!$D$6</f>
        <v>1.9790287785958829E-2</v>
      </c>
      <c r="P91" s="188">
        <f>Table1[[#This Row],[kg HCFC-22 at retail-gate per kg of product]]*'Summary pivot'!$D$7</f>
        <v>0</v>
      </c>
    </row>
    <row r="92" spans="1:16" ht="30">
      <c r="A92" s="52" t="s">
        <v>7</v>
      </c>
      <c r="B92" t="s">
        <v>27</v>
      </c>
      <c r="C92" t="s">
        <v>130</v>
      </c>
      <c r="D92" t="s">
        <v>121</v>
      </c>
      <c r="E92" s="5">
        <f>'Vegetables, roots, legumes'!C26</f>
        <v>0.12503269610000001</v>
      </c>
      <c r="F92" s="750" t="str">
        <f>'Summary pivot'!$C$1</f>
        <v>GWP100 with fb AR6</v>
      </c>
      <c r="G92" s="188">
        <f>Table1[[#This Row],[kg CO2 at retail-gate per kg of product]]+Table1[[#This Row],[Kg CO2e from CH4 fossil]]+Table1[[#This Row],[Kg CO2e from N2O]]</f>
        <v>0.48712673425400754</v>
      </c>
      <c r="H92" s="188">
        <f>'Vegetables, roots, legumes'!H27</f>
        <v>0.4634433933635006</v>
      </c>
      <c r="I92" s="188">
        <f>'Vegetables, roots, legumes'!H28</f>
        <v>3.2615781455411765E-5</v>
      </c>
      <c r="J92" s="188">
        <v>0</v>
      </c>
      <c r="K92" s="188">
        <f>'Vegetables, roots, legumes'!H29</f>
        <v>8.3191906971192929E-5</v>
      </c>
      <c r="L92" s="188">
        <v>0</v>
      </c>
      <c r="M92" s="188">
        <f>Table1[[#This Row],[kg CH4 fossil at retail-gate per kg of product]]*'Summary pivot'!$D$5</f>
        <v>9.7195028737127062E-4</v>
      </c>
      <c r="N92" s="188">
        <f>Table1[[#This Row],[kg CH4 bio at retail-gate per kg of product]]*'Summary pivot'!$D$4</f>
        <v>0</v>
      </c>
      <c r="O92" s="188">
        <f>Table1[[#This Row],[kg N2O at retail-gate per kg of product]]*'Summary pivot'!$D$6</f>
        <v>2.2711390603135671E-2</v>
      </c>
      <c r="P92" s="188">
        <f>Table1[[#This Row],[kg HCFC-22 at retail-gate per kg of product]]*'Summary pivot'!$D$7</f>
        <v>0</v>
      </c>
    </row>
    <row r="93" spans="1:16" ht="30">
      <c r="A93" s="52" t="s">
        <v>7</v>
      </c>
      <c r="B93" t="s">
        <v>27</v>
      </c>
      <c r="C93" t="s">
        <v>125</v>
      </c>
      <c r="D93" t="s">
        <v>129</v>
      </c>
      <c r="E93" s="5">
        <f>'Vegetables, roots, legumes'!C30</f>
        <v>0.05</v>
      </c>
      <c r="F93" s="750" t="str">
        <f>'Summary pivot'!$C$1</f>
        <v>GWP100 with fb AR6</v>
      </c>
      <c r="G93" s="188">
        <f>Table1[[#This Row],[kg CO2 at retail-gate per kg of product]]+Table1[[#This Row],[Kg CO2e from CH4 fossil]]+Table1[[#This Row],[Kg CO2e from N2O]]</f>
        <v>1.2176229012244031</v>
      </c>
      <c r="H93" s="188">
        <f>'Vegetables, roots, legumes'!H31</f>
        <v>1.0926950263586872</v>
      </c>
      <c r="I93" s="188">
        <f>'Vegetables, roots, legumes'!H32</f>
        <v>2.6494783984342238E-3</v>
      </c>
      <c r="J93" s="188">
        <v>0</v>
      </c>
      <c r="K93" s="188">
        <f>'Vegetables, roots, legumes'!H33</f>
        <v>1.6840080070467373E-4</v>
      </c>
      <c r="L93" s="188">
        <v>0</v>
      </c>
      <c r="M93" s="188">
        <f>Table1[[#This Row],[kg CH4 fossil at retail-gate per kg of product]]*'Summary pivot'!$D$5</f>
        <v>7.8954456273339871E-2</v>
      </c>
      <c r="N93" s="188">
        <f>Table1[[#This Row],[kg CH4 bio at retail-gate per kg of product]]*'Summary pivot'!$D$4</f>
        <v>0</v>
      </c>
      <c r="O93" s="188">
        <f>Table1[[#This Row],[kg N2O at retail-gate per kg of product]]*'Summary pivot'!$D$6</f>
        <v>4.5973418592375928E-2</v>
      </c>
      <c r="P93" s="188">
        <f>Table1[[#This Row],[kg HCFC-22 at retail-gate per kg of product]]*'Summary pivot'!$D$7</f>
        <v>0</v>
      </c>
    </row>
    <row r="94" spans="1:16" ht="30">
      <c r="A94" s="52" t="s">
        <v>7</v>
      </c>
      <c r="B94" t="s">
        <v>27</v>
      </c>
      <c r="C94" t="s">
        <v>125</v>
      </c>
      <c r="D94" t="s">
        <v>121</v>
      </c>
      <c r="E94" s="5">
        <f>'Vegetables, roots, legumes'!C34</f>
        <v>0.1</v>
      </c>
      <c r="F94" s="750" t="str">
        <f>'Summary pivot'!$C$1</f>
        <v>GWP100 with fb AR6</v>
      </c>
      <c r="G94" s="188">
        <f>Table1[[#This Row],[kg CO2 at retail-gate per kg of product]]+Table1[[#This Row],[Kg CO2e from CH4 fossil]]+Table1[[#This Row],[Kg CO2e from N2O]]</f>
        <v>0.47688521207629164</v>
      </c>
      <c r="H94" s="188">
        <f>'Vegetables, roots, legumes'!H35</f>
        <v>0.45810219028147714</v>
      </c>
      <c r="I94" s="188">
        <f>'Vegetables, roots, legumes'!H36</f>
        <v>1.7288803517952842E-5</v>
      </c>
      <c r="J94" s="188">
        <v>0</v>
      </c>
      <c r="K94" s="188">
        <f>'Vegetables, roots, legumes'!H37</f>
        <v>6.6915074908349955E-5</v>
      </c>
      <c r="L94" s="188">
        <v>0</v>
      </c>
      <c r="M94" s="188">
        <f>Table1[[#This Row],[kg CH4 fossil at retail-gate per kg of product]]*'Summary pivot'!$D$5</f>
        <v>5.1520634483499469E-4</v>
      </c>
      <c r="N94" s="188">
        <f>Table1[[#This Row],[kg CH4 bio at retail-gate per kg of product]]*'Summary pivot'!$D$4</f>
        <v>0</v>
      </c>
      <c r="O94" s="188">
        <f>Table1[[#This Row],[kg N2O at retail-gate per kg of product]]*'Summary pivot'!$D$6</f>
        <v>1.8267815449979536E-2</v>
      </c>
      <c r="P94" s="188">
        <f>Table1[[#This Row],[kg HCFC-22 at retail-gate per kg of product]]*'Summary pivot'!$D$7</f>
        <v>0</v>
      </c>
    </row>
    <row r="95" spans="1:16" ht="30">
      <c r="A95" s="52" t="s">
        <v>7</v>
      </c>
      <c r="B95" t="s">
        <v>34</v>
      </c>
      <c r="C95" t="s">
        <v>120</v>
      </c>
      <c r="D95" t="s">
        <v>128</v>
      </c>
      <c r="E95" s="5">
        <f>'Vegetables, roots, legumes'!C39</f>
        <v>1</v>
      </c>
      <c r="F95" s="750" t="str">
        <f>'Summary pivot'!$C$1</f>
        <v>GWP100 with fb AR6</v>
      </c>
      <c r="G95" s="188">
        <f>Table1[[#This Row],[kg CO2 at retail-gate per kg of product]]+Table1[[#This Row],[Kg CO2e from CH4 fossil]]+Table1[[#This Row],[Kg CO2e from N2O]]</f>
        <v>0.68008189691846921</v>
      </c>
      <c r="H95" s="188">
        <f>'Vegetables, roots, legumes'!H40</f>
        <v>0.6103278440266604</v>
      </c>
      <c r="I95" s="188">
        <f>'Vegetables, roots, legumes'!H41</f>
        <v>1.323479891516065E-3</v>
      </c>
      <c r="J95" s="188">
        <v>0</v>
      </c>
      <c r="K95" s="188">
        <f>'Vegetables, roots, legumes'!H42</f>
        <v>1.1104158287410292E-4</v>
      </c>
      <c r="L95" s="188">
        <v>0</v>
      </c>
      <c r="M95" s="188">
        <f>Table1[[#This Row],[kg CH4 fossil at retail-gate per kg of product]]*'Summary pivot'!$D$5</f>
        <v>3.9439700767178738E-2</v>
      </c>
      <c r="N95" s="188">
        <f>Table1[[#This Row],[kg CH4 bio at retail-gate per kg of product]]*'Summary pivot'!$D$4</f>
        <v>0</v>
      </c>
      <c r="O95" s="188">
        <f>Table1[[#This Row],[kg N2O at retail-gate per kg of product]]*'Summary pivot'!$D$6</f>
        <v>3.0314352124630097E-2</v>
      </c>
      <c r="P95" s="188">
        <f>Table1[[#This Row],[kg HCFC-22 at retail-gate per kg of product]]*'Summary pivot'!$D$7</f>
        <v>0</v>
      </c>
    </row>
    <row r="96" spans="1:16" ht="30">
      <c r="A96" s="52" t="s">
        <v>7</v>
      </c>
      <c r="B96" t="s">
        <v>34</v>
      </c>
      <c r="C96" t="s">
        <v>122</v>
      </c>
      <c r="D96" t="s">
        <v>129</v>
      </c>
      <c r="E96" s="5">
        <f>'Vegetables, roots, legumes'!C43</f>
        <v>0.35</v>
      </c>
      <c r="F96" s="750" t="str">
        <f>'Summary pivot'!$C$1</f>
        <v>GWP100 with fb AR6</v>
      </c>
      <c r="G96" s="188">
        <f>Table1[[#This Row],[kg CO2 at retail-gate per kg of product]]+Table1[[#This Row],[Kg CO2e from CH4 fossil]]+Table1[[#This Row],[Kg CO2e from N2O]]</f>
        <v>0.68649968346585144</v>
      </c>
      <c r="H96" s="188">
        <f>'Vegetables, roots, legumes'!H44</f>
        <v>0.60062075401773263</v>
      </c>
      <c r="I96" s="188">
        <f>'Vegetables, roots, legumes'!H45</f>
        <v>1.4432426275809561E-3</v>
      </c>
      <c r="J96" s="188">
        <v>0</v>
      </c>
      <c r="K96" s="188">
        <f>'Vegetables, roots, legumes'!H46</f>
        <v>1.5703406280661639E-4</v>
      </c>
      <c r="L96" s="188">
        <v>0</v>
      </c>
      <c r="M96" s="188">
        <f>Table1[[#This Row],[kg CH4 fossil at retail-gate per kg of product]]*'Summary pivot'!$D$5</f>
        <v>4.3008630301912494E-2</v>
      </c>
      <c r="N96" s="188">
        <f>Table1[[#This Row],[kg CH4 bio at retail-gate per kg of product]]*'Summary pivot'!$D$4</f>
        <v>0</v>
      </c>
      <c r="O96" s="188">
        <f>Table1[[#This Row],[kg N2O at retail-gate per kg of product]]*'Summary pivot'!$D$6</f>
        <v>4.2870299146206277E-2</v>
      </c>
      <c r="P96" s="188">
        <f>Table1[[#This Row],[kg HCFC-22 at retail-gate per kg of product]]*'Summary pivot'!$D$7</f>
        <v>0</v>
      </c>
    </row>
    <row r="97" spans="1:16" ht="30">
      <c r="A97" s="52" t="s">
        <v>7</v>
      </c>
      <c r="B97" t="s">
        <v>34</v>
      </c>
      <c r="C97" t="s">
        <v>122</v>
      </c>
      <c r="D97" t="s">
        <v>121</v>
      </c>
      <c r="E97" s="5">
        <f>'Vegetables, roots, legumes'!C47</f>
        <v>0.12</v>
      </c>
      <c r="F97" s="750" t="str">
        <f>'Summary pivot'!$C$1</f>
        <v>GWP100 with fb AR6</v>
      </c>
      <c r="G97" s="188">
        <f>Table1[[#This Row],[kg CO2 at retail-gate per kg of product]]+Table1[[#This Row],[Kg CO2e from CH4 fossil]]+Table1[[#This Row],[Kg CO2e from N2O]]</f>
        <v>0.25388042139118183</v>
      </c>
      <c r="H97" s="188">
        <f>'Vegetables, roots, legumes'!H48</f>
        <v>0.21938376857098632</v>
      </c>
      <c r="I97" s="188">
        <f>'Vegetables, roots, legumes'!H49</f>
        <v>1.4578505963015637E-5</v>
      </c>
      <c r="J97" s="188">
        <v>0</v>
      </c>
      <c r="K97" s="188">
        <f>'Vegetables, roots, legumes'!H50</f>
        <v>1.2477001224358108E-4</v>
      </c>
      <c r="L97" s="188">
        <v>0</v>
      </c>
      <c r="M97" s="188">
        <f>Table1[[#This Row],[kg CH4 fossil at retail-gate per kg of product]]*'Summary pivot'!$D$5</f>
        <v>4.3443947769786597E-4</v>
      </c>
      <c r="N97" s="188">
        <f>Table1[[#This Row],[kg CH4 bio at retail-gate per kg of product]]*'Summary pivot'!$D$4</f>
        <v>0</v>
      </c>
      <c r="O97" s="188">
        <f>Table1[[#This Row],[kg N2O at retail-gate per kg of product]]*'Summary pivot'!$D$6</f>
        <v>3.4062213342497635E-2</v>
      </c>
      <c r="P97" s="188">
        <f>Table1[[#This Row],[kg HCFC-22 at retail-gate per kg of product]]*'Summary pivot'!$D$7</f>
        <v>0</v>
      </c>
    </row>
    <row r="98" spans="1:16" ht="30">
      <c r="A98" s="52" t="s">
        <v>7</v>
      </c>
      <c r="B98" t="s">
        <v>34</v>
      </c>
      <c r="C98" t="s">
        <v>127</v>
      </c>
      <c r="D98" t="s">
        <v>129</v>
      </c>
      <c r="E98" s="5">
        <f>'Vegetables, roots, legumes'!C51</f>
        <v>0.17</v>
      </c>
      <c r="F98" s="750" t="str">
        <f>'Summary pivot'!$C$1</f>
        <v>GWP100 with fb AR6</v>
      </c>
      <c r="G98" s="188">
        <f>Table1[[#This Row],[kg CO2 at retail-gate per kg of product]]+Table1[[#This Row],[Kg CO2e from CH4 fossil]]+Table1[[#This Row],[Kg CO2e from N2O]]</f>
        <v>1.4694067452165134</v>
      </c>
      <c r="H98" s="188">
        <f>'Vegetables, roots, legumes'!H52</f>
        <v>1.3048813573672999</v>
      </c>
      <c r="I98" s="188">
        <f>'Vegetables, roots, legumes'!H53</f>
        <v>4.7453285920866757E-3</v>
      </c>
      <c r="J98" s="188">
        <v>0</v>
      </c>
      <c r="K98" s="188">
        <f>'Vegetables, roots, legumes'!H54</f>
        <v>8.4668849102675917E-5</v>
      </c>
      <c r="L98" s="188">
        <v>0</v>
      </c>
      <c r="M98" s="188">
        <f>Table1[[#This Row],[kg CH4 fossil at retail-gate per kg of product]]*'Summary pivot'!$D$5</f>
        <v>0.14141079204418294</v>
      </c>
      <c r="N98" s="188">
        <f>Table1[[#This Row],[kg CH4 bio at retail-gate per kg of product]]*'Summary pivot'!$D$4</f>
        <v>0</v>
      </c>
      <c r="O98" s="188">
        <f>Table1[[#This Row],[kg N2O at retail-gate per kg of product]]*'Summary pivot'!$D$6</f>
        <v>2.3114595805030527E-2</v>
      </c>
      <c r="P98" s="188">
        <f>Table1[[#This Row],[kg HCFC-22 at retail-gate per kg of product]]*'Summary pivot'!$D$7</f>
        <v>0</v>
      </c>
    </row>
    <row r="99" spans="1:16" ht="30">
      <c r="A99" s="52" t="s">
        <v>7</v>
      </c>
      <c r="B99" t="s">
        <v>34</v>
      </c>
      <c r="C99" t="s">
        <v>130</v>
      </c>
      <c r="D99" t="s">
        <v>129</v>
      </c>
      <c r="E99" s="5">
        <f>'Vegetables, roots, legumes'!C55</f>
        <v>0.26</v>
      </c>
      <c r="F99" s="750" t="str">
        <f>'Summary pivot'!$C$1</f>
        <v>GWP100 with fb AR6</v>
      </c>
      <c r="G99" s="188">
        <f>Table1[[#This Row],[kg CO2 at retail-gate per kg of product]]+Table1[[#This Row],[Kg CO2e from CH4 fossil]]+Table1[[#This Row],[Kg CO2e from N2O]]</f>
        <v>0.42583936482410822</v>
      </c>
      <c r="H99" s="188">
        <f>'Vegetables, roots, legumes'!H56</f>
        <v>0.40786843489890412</v>
      </c>
      <c r="I99" s="188">
        <f>'Vegetables, roots, legumes'!H57</f>
        <v>2.5731262264015418E-5</v>
      </c>
      <c r="J99" s="188">
        <v>0</v>
      </c>
      <c r="K99" s="188">
        <f>'Vegetables, roots, legumes'!H58</f>
        <v>6.3018821647386127E-5</v>
      </c>
      <c r="L99" s="188">
        <v>0</v>
      </c>
      <c r="M99" s="188">
        <f>Table1[[#This Row],[kg CH4 fossil at retail-gate per kg of product]]*'Summary pivot'!$D$5</f>
        <v>7.6679161546765943E-4</v>
      </c>
      <c r="N99" s="188">
        <f>Table1[[#This Row],[kg CH4 bio at retail-gate per kg of product]]*'Summary pivot'!$D$4</f>
        <v>0</v>
      </c>
      <c r="O99" s="188">
        <f>Table1[[#This Row],[kg N2O at retail-gate per kg of product]]*'Summary pivot'!$D$6</f>
        <v>1.7204138309736414E-2</v>
      </c>
      <c r="P99" s="188">
        <f>Table1[[#This Row],[kg HCFC-22 at retail-gate per kg of product]]*'Summary pivot'!$D$7</f>
        <v>0</v>
      </c>
    </row>
    <row r="100" spans="1:16" ht="30">
      <c r="A100" s="52" t="s">
        <v>7</v>
      </c>
      <c r="B100" t="s">
        <v>34</v>
      </c>
      <c r="C100" t="s">
        <v>130</v>
      </c>
      <c r="D100" t="s">
        <v>121</v>
      </c>
      <c r="E100" s="5">
        <f>'Vegetables, roots, legumes'!C59</f>
        <v>0.05</v>
      </c>
      <c r="F100" s="750" t="str">
        <f>'Summary pivot'!$C$1</f>
        <v>GWP100 with fb AR6</v>
      </c>
      <c r="G100" s="188">
        <f>Table1[[#This Row],[kg CO2 at retail-gate per kg of product]]+Table1[[#This Row],[Kg CO2e from CH4 fossil]]+Table1[[#This Row],[Kg CO2e from N2O]]</f>
        <v>0.48678515090653812</v>
      </c>
      <c r="H100" s="188">
        <f>'Vegetables, roots, legumes'!H60</f>
        <v>0.46324039871949702</v>
      </c>
      <c r="I100" s="188">
        <f>'Vegetables, roots, legumes'!H61</f>
        <v>3.2508036455517724E-5</v>
      </c>
      <c r="J100" s="188">
        <v>0</v>
      </c>
      <c r="K100" s="188">
        <f>'Vegetables, roots, legumes'!H62</f>
        <v>8.2696017218559189E-5</v>
      </c>
      <c r="L100" s="188">
        <v>0</v>
      </c>
      <c r="M100" s="188">
        <f>Table1[[#This Row],[kg CH4 fossil at retail-gate per kg of product]]*'Summary pivot'!$D$5</f>
        <v>9.6873948637442818E-4</v>
      </c>
      <c r="N100" s="188">
        <f>Table1[[#This Row],[kg CH4 bio at retail-gate per kg of product]]*'Summary pivot'!$D$4</f>
        <v>0</v>
      </c>
      <c r="O100" s="188">
        <f>Table1[[#This Row],[kg N2O at retail-gate per kg of product]]*'Summary pivot'!$D$6</f>
        <v>2.257601270066666E-2</v>
      </c>
      <c r="P100" s="188">
        <f>Table1[[#This Row],[kg HCFC-22 at retail-gate per kg of product]]*'Summary pivot'!$D$7</f>
        <v>0</v>
      </c>
    </row>
    <row r="101" spans="1:16" ht="30">
      <c r="A101" s="52" t="s">
        <v>7</v>
      </c>
      <c r="B101" t="s">
        <v>34</v>
      </c>
      <c r="C101" t="s">
        <v>125</v>
      </c>
      <c r="D101" t="s">
        <v>121</v>
      </c>
      <c r="E101" s="5">
        <f>'Vegetables, roots, legumes'!C63</f>
        <v>0.05</v>
      </c>
      <c r="F101" s="750" t="str">
        <f>'Summary pivot'!$C$1</f>
        <v>GWP100 with fb AR6</v>
      </c>
      <c r="G101" s="188">
        <f>Table1[[#This Row],[kg CO2 at retail-gate per kg of product]]+Table1[[#This Row],[Kg CO2e from CH4 fossil]]+Table1[[#This Row],[Kg CO2e from N2O]]</f>
        <v>0.48969436104154079</v>
      </c>
      <c r="H101" s="188">
        <f>'Vegetables, roots, legumes'!H64</f>
        <v>0.4549376825960928</v>
      </c>
      <c r="I101" s="188">
        <f>'Vegetables, roots, legumes'!H65</f>
        <v>3.1483209620273542E-5</v>
      </c>
      <c r="J101" s="188">
        <v>0</v>
      </c>
      <c r="K101" s="188">
        <f>'Vegetables, roots, legumes'!H66</f>
        <v>1.2387721171708361E-4</v>
      </c>
      <c r="L101" s="188">
        <v>0</v>
      </c>
      <c r="M101" s="188">
        <f>Table1[[#This Row],[kg CH4 fossil at retail-gate per kg of product]]*'Summary pivot'!$D$5</f>
        <v>9.3819964668415156E-4</v>
      </c>
      <c r="N101" s="188">
        <f>Table1[[#This Row],[kg CH4 bio at retail-gate per kg of product]]*'Summary pivot'!$D$4</f>
        <v>0</v>
      </c>
      <c r="O101" s="188">
        <f>Table1[[#This Row],[kg N2O at retail-gate per kg of product]]*'Summary pivot'!$D$6</f>
        <v>3.3818478798763825E-2</v>
      </c>
      <c r="P101" s="188">
        <f>Table1[[#This Row],[kg HCFC-22 at retail-gate per kg of product]]*'Summary pivot'!$D$7</f>
        <v>0</v>
      </c>
    </row>
    <row r="102" spans="1:16" ht="30">
      <c r="A102" s="52" t="s">
        <v>7</v>
      </c>
      <c r="B102" t="s">
        <v>159</v>
      </c>
      <c r="C102" t="s">
        <v>120</v>
      </c>
      <c r="D102" t="s">
        <v>128</v>
      </c>
      <c r="E102" s="5">
        <f>'Vegetables, roots, legumes'!C68</f>
        <v>1</v>
      </c>
      <c r="F102" s="750" t="str">
        <f>'Summary pivot'!$C$1</f>
        <v>GWP100 with fb AR6</v>
      </c>
      <c r="G102" s="188">
        <f>Table1[[#This Row],[kg CO2 at retail-gate per kg of product]]+Table1[[#This Row],[Kg CO2e from CH4 fossil]]+Table1[[#This Row],[Kg CO2e from N2O]]</f>
        <v>2.2146481366898891</v>
      </c>
      <c r="H102" s="188">
        <f>'Vegetables, roots, legumes'!H69</f>
        <v>1.9552849435402722</v>
      </c>
      <c r="I102" s="188">
        <f>'Vegetables, roots, legumes'!H70</f>
        <v>7.3465627487228624E-3</v>
      </c>
      <c r="J102" s="188">
        <v>0</v>
      </c>
      <c r="K102" s="188">
        <f>'Vegetables, roots, legumes'!H71</f>
        <v>1.481158360354413E-4</v>
      </c>
      <c r="L102" s="188">
        <v>0</v>
      </c>
      <c r="M102" s="188">
        <f>Table1[[#This Row],[kg CH4 fossil at retail-gate per kg of product]]*'Summary pivot'!$D$5</f>
        <v>0.21892756991194132</v>
      </c>
      <c r="N102" s="188">
        <f>Table1[[#This Row],[kg CH4 bio at retail-gate per kg of product]]*'Summary pivot'!$D$4</f>
        <v>0</v>
      </c>
      <c r="O102" s="188">
        <f>Table1[[#This Row],[kg N2O at retail-gate per kg of product]]*'Summary pivot'!$D$6</f>
        <v>4.0435623237675473E-2</v>
      </c>
      <c r="P102" s="188">
        <f>Table1[[#This Row],[kg HCFC-22 at retail-gate per kg of product]]*'Summary pivot'!$D$7</f>
        <v>0</v>
      </c>
    </row>
    <row r="103" spans="1:16" ht="30">
      <c r="A103" s="52" t="s">
        <v>7</v>
      </c>
      <c r="B103" t="s">
        <v>159</v>
      </c>
      <c r="C103" t="s">
        <v>127</v>
      </c>
      <c r="D103" t="s">
        <v>129</v>
      </c>
      <c r="E103" s="5">
        <f>'Vegetables, roots, legumes'!C72</f>
        <v>0.60091427556903521</v>
      </c>
      <c r="F103" s="750" t="str">
        <f>'Summary pivot'!$C$1</f>
        <v>GWP100 with fb AR6</v>
      </c>
      <c r="G103" s="188">
        <f>Table1[[#This Row],[kg CO2 at retail-gate per kg of product]]+Table1[[#This Row],[Kg CO2e from CH4 fossil]]+Table1[[#This Row],[Kg CO2e from N2O]]</f>
        <v>3.2700620286285047</v>
      </c>
      <c r="H103" s="188">
        <f>'Vegetables, roots, legumes'!H73</f>
        <v>2.8704635509934686</v>
      </c>
      <c r="I103" s="188">
        <f>'Vegetables, roots, legumes'!H74</f>
        <v>1.1802828017224324E-2</v>
      </c>
      <c r="J103" s="188">
        <v>0</v>
      </c>
      <c r="K103" s="188">
        <f>'Vegetables, roots, legumes'!H75</f>
        <v>1.7536337993315476E-4</v>
      </c>
      <c r="L103" s="188">
        <v>0</v>
      </c>
      <c r="M103" s="188">
        <f>Table1[[#This Row],[kg CH4 fossil at retail-gate per kg of product]]*'Summary pivot'!$D$5</f>
        <v>0.35172427491328484</v>
      </c>
      <c r="N103" s="188">
        <f>Table1[[#This Row],[kg CH4 bio at retail-gate per kg of product]]*'Summary pivot'!$D$4</f>
        <v>0</v>
      </c>
      <c r="O103" s="188">
        <f>Table1[[#This Row],[kg N2O at retail-gate per kg of product]]*'Summary pivot'!$D$6</f>
        <v>4.7874202721751247E-2</v>
      </c>
      <c r="P103" s="188">
        <f>Table1[[#This Row],[kg HCFC-22 at retail-gate per kg of product]]*'Summary pivot'!$D$7</f>
        <v>0</v>
      </c>
    </row>
    <row r="104" spans="1:16" ht="30">
      <c r="A104" s="52" t="s">
        <v>7</v>
      </c>
      <c r="B104" t="s">
        <v>159</v>
      </c>
      <c r="C104" t="s">
        <v>130</v>
      </c>
      <c r="D104" t="s">
        <v>129</v>
      </c>
      <c r="E104" s="5">
        <f>'Vegetables, roots, legumes'!C76</f>
        <v>0.1185948576891951</v>
      </c>
      <c r="F104" s="750" t="str">
        <f>'Summary pivot'!$C$1</f>
        <v>GWP100 with fb AR6</v>
      </c>
      <c r="G104" s="188">
        <f>Table1[[#This Row],[kg CO2 at retail-gate per kg of product]]+Table1[[#This Row],[Kg CO2e from CH4 fossil]]+Table1[[#This Row],[Kg CO2e from N2O]]</f>
        <v>0.44174386023283924</v>
      </c>
      <c r="H104" s="188">
        <f>'Vegetables, roots, legumes'!H77</f>
        <v>0.41484043489285655</v>
      </c>
      <c r="I104" s="188">
        <f>'Vegetables, roots, legumes'!H78</f>
        <v>3.8521050168503892E-5</v>
      </c>
      <c r="J104" s="188">
        <v>0</v>
      </c>
      <c r="K104" s="188">
        <f>'Vegetables, roots, legumes'!H79</f>
        <v>9.4342483681177005E-5</v>
      </c>
      <c r="L104" s="188">
        <v>0</v>
      </c>
      <c r="M104" s="188">
        <f>Table1[[#This Row],[kg CH4 fossil at retail-gate per kg of product]]*'Summary pivot'!$D$5</f>
        <v>1.1479272950214161E-3</v>
      </c>
      <c r="N104" s="188">
        <f>Table1[[#This Row],[kg CH4 bio at retail-gate per kg of product]]*'Summary pivot'!$D$4</f>
        <v>0</v>
      </c>
      <c r="O104" s="188">
        <f>Table1[[#This Row],[kg N2O at retail-gate per kg of product]]*'Summary pivot'!$D$6</f>
        <v>2.5755498044961321E-2</v>
      </c>
      <c r="P104" s="188">
        <f>Table1[[#This Row],[kg HCFC-22 at retail-gate per kg of product]]*'Summary pivot'!$D$7</f>
        <v>0</v>
      </c>
    </row>
    <row r="105" spans="1:16" ht="30">
      <c r="A105" s="52" t="s">
        <v>7</v>
      </c>
      <c r="B105" t="s">
        <v>159</v>
      </c>
      <c r="C105" t="s">
        <v>130</v>
      </c>
      <c r="D105" t="s">
        <v>121</v>
      </c>
      <c r="E105" s="5">
        <f>'Vegetables, roots, legumes'!C80</f>
        <v>0.13598069034833049</v>
      </c>
      <c r="F105" s="750" t="str">
        <f>'Summary pivot'!$C$1</f>
        <v>GWP100 with fb AR6</v>
      </c>
      <c r="G105" s="188">
        <f>Table1[[#This Row],[kg CO2 at retail-gate per kg of product]]+Table1[[#This Row],[Kg CO2e from CH4 fossil]]+Table1[[#This Row],[Kg CO2e from N2O]]</f>
        <v>0.50253729534433389</v>
      </c>
      <c r="H105" s="188">
        <f>'Vegetables, roots, legumes'!H81</f>
        <v>0.46983712147326934</v>
      </c>
      <c r="I105" s="188">
        <f>'Vegetables, roots, legumes'!H82</f>
        <v>4.0981844122191782E-5</v>
      </c>
      <c r="J105" s="188">
        <v>0</v>
      </c>
      <c r="K105" s="188">
        <f>'Vegetables, roots, legumes'!H83</f>
        <v>1.1530738064550645E-4</v>
      </c>
      <c r="L105" s="188">
        <v>0</v>
      </c>
      <c r="M105" s="188">
        <f>Table1[[#This Row],[kg CH4 fossil at retail-gate per kg of product]]*'Summary pivot'!$D$5</f>
        <v>1.2212589548413152E-3</v>
      </c>
      <c r="N105" s="188">
        <f>Table1[[#This Row],[kg CH4 bio at retail-gate per kg of product]]*'Summary pivot'!$D$4</f>
        <v>0</v>
      </c>
      <c r="O105" s="188">
        <f>Table1[[#This Row],[kg N2O at retail-gate per kg of product]]*'Summary pivot'!$D$6</f>
        <v>3.1478914916223261E-2</v>
      </c>
      <c r="P105" s="188">
        <f>Table1[[#This Row],[kg HCFC-22 at retail-gate per kg of product]]*'Summary pivot'!$D$7</f>
        <v>0</v>
      </c>
    </row>
    <row r="106" spans="1:16" ht="30">
      <c r="A106" s="52" t="s">
        <v>7</v>
      </c>
      <c r="B106" t="s">
        <v>159</v>
      </c>
      <c r="C106" t="s">
        <v>125</v>
      </c>
      <c r="D106" t="s">
        <v>129</v>
      </c>
      <c r="E106" s="5">
        <f>'Vegetables, roots, legumes'!C84</f>
        <v>4.0879851287850155E-2</v>
      </c>
      <c r="F106" s="750" t="str">
        <f>'Summary pivot'!$C$1</f>
        <v>GWP100 with fb AR6</v>
      </c>
      <c r="G106" s="188">
        <f>Table1[[#This Row],[kg CO2 at retail-gate per kg of product]]+Table1[[#This Row],[Kg CO2e from CH4 fossil]]+Table1[[#This Row],[Kg CO2e from N2O]]</f>
        <v>1.9019872212871596</v>
      </c>
      <c r="H106" s="188">
        <f>'Vegetables, roots, legumes'!H85</f>
        <v>1.6965938798284141</v>
      </c>
      <c r="I106" s="188">
        <f>'Vegetables, roots, legumes'!H86</f>
        <v>5.9101611058438039E-3</v>
      </c>
      <c r="J106" s="188">
        <v>0</v>
      </c>
      <c r="K106" s="188">
        <f>'Vegetables, roots, legumes'!H87</f>
        <v>1.0721809708644719E-4</v>
      </c>
      <c r="L106" s="188">
        <v>0</v>
      </c>
      <c r="M106" s="188">
        <f>Table1[[#This Row],[kg CH4 fossil at retail-gate per kg of product]]*'Summary pivot'!$D$5</f>
        <v>0.17612280095414537</v>
      </c>
      <c r="N106" s="188">
        <f>Table1[[#This Row],[kg CH4 bio at retail-gate per kg of product]]*'Summary pivot'!$D$4</f>
        <v>0</v>
      </c>
      <c r="O106" s="188">
        <f>Table1[[#This Row],[kg N2O at retail-gate per kg of product]]*'Summary pivot'!$D$6</f>
        <v>2.9270540504600082E-2</v>
      </c>
      <c r="P106" s="188">
        <f>Table1[[#This Row],[kg HCFC-22 at retail-gate per kg of product]]*'Summary pivot'!$D$7</f>
        <v>0</v>
      </c>
    </row>
    <row r="107" spans="1:16" ht="30">
      <c r="A107" s="52" t="s">
        <v>7</v>
      </c>
      <c r="B107" t="s">
        <v>159</v>
      </c>
      <c r="C107" t="s">
        <v>134</v>
      </c>
      <c r="D107" t="s">
        <v>121</v>
      </c>
      <c r="E107" s="5">
        <f>'Vegetables, roots, legumes'!C88</f>
        <v>0.10363032510558906</v>
      </c>
      <c r="F107" s="750" t="str">
        <f>'Summary pivot'!$C$1</f>
        <v>GWP100 with fb AR6</v>
      </c>
      <c r="G107" s="188">
        <f>Table1[[#This Row],[kg CO2 at retail-gate per kg of product]]+Table1[[#This Row],[Kg CO2e from CH4 fossil]]+Table1[[#This Row],[Kg CO2e from N2O]]</f>
        <v>0.49352646819321905</v>
      </c>
      <c r="H107" s="188">
        <f>'Vegetables, roots, legumes'!H89</f>
        <v>0.46259812681813461</v>
      </c>
      <c r="I107" s="188">
        <f>'Vegetables, roots, legumes'!H90</f>
        <v>2.2457288171564562E-5</v>
      </c>
      <c r="J107" s="188">
        <v>0</v>
      </c>
      <c r="K107" s="188">
        <f>'Vegetables, roots, legumes'!H91</f>
        <v>1.108392461083217E-4</v>
      </c>
      <c r="L107" s="188">
        <v>0</v>
      </c>
      <c r="M107" s="188">
        <f>Table1[[#This Row],[kg CH4 fossil at retail-gate per kg of product]]*'Summary pivot'!$D$5</f>
        <v>6.6922718751262391E-4</v>
      </c>
      <c r="N107" s="188">
        <f>Table1[[#This Row],[kg CH4 bio at retail-gate per kg of product]]*'Summary pivot'!$D$4</f>
        <v>0</v>
      </c>
      <c r="O107" s="188">
        <f>Table1[[#This Row],[kg N2O at retail-gate per kg of product]]*'Summary pivot'!$D$6</f>
        <v>3.0259114187571823E-2</v>
      </c>
      <c r="P107" s="188">
        <f>Table1[[#This Row],[kg HCFC-22 at retail-gate per kg of product]]*'Summary pivot'!$D$7</f>
        <v>0</v>
      </c>
    </row>
    <row r="108" spans="1:16" ht="30">
      <c r="A108" s="52" t="s">
        <v>7</v>
      </c>
      <c r="B108" t="s">
        <v>160</v>
      </c>
      <c r="C108" t="s">
        <v>120</v>
      </c>
      <c r="D108" t="s">
        <v>121</v>
      </c>
      <c r="E108" s="5">
        <f>'Vegetables, roots, legumes'!C93</f>
        <v>1</v>
      </c>
      <c r="F108" s="750" t="str">
        <f>'Summary pivot'!$C$1</f>
        <v>GWP100 with fb AR6</v>
      </c>
      <c r="G108" s="188">
        <f>Table1[[#This Row],[kg CO2 at retail-gate per kg of product]]+Table1[[#This Row],[Kg CO2e from CH4 fossil]]+Table1[[#This Row],[Kg CO2e from N2O]]</f>
        <v>0.3062930841146872</v>
      </c>
      <c r="H108" s="188">
        <f>'Vegetables, roots, legumes'!H94</f>
        <v>0.25988754818850363</v>
      </c>
      <c r="I108" s="188">
        <f>'Vegetables, roots, legumes'!H95</f>
        <v>2.9453905912824842E-5</v>
      </c>
      <c r="J108" s="188">
        <v>0</v>
      </c>
      <c r="K108" s="188">
        <f>'Vegetables, roots, legumes'!H96</f>
        <v>1.6676853307685485E-4</v>
      </c>
      <c r="L108" s="188">
        <v>0</v>
      </c>
      <c r="M108" s="188">
        <f>Table1[[#This Row],[kg CH4 fossil at retail-gate per kg of product]]*'Summary pivot'!$D$5</f>
        <v>8.7772639620218034E-4</v>
      </c>
      <c r="N108" s="188">
        <f>Table1[[#This Row],[kg CH4 bio at retail-gate per kg of product]]*'Summary pivot'!$D$4</f>
        <v>0</v>
      </c>
      <c r="O108" s="188">
        <f>Table1[[#This Row],[kg N2O at retail-gate per kg of product]]*'Summary pivot'!$D$6</f>
        <v>4.5527809529981374E-2</v>
      </c>
      <c r="P108" s="188">
        <f>Table1[[#This Row],[kg HCFC-22 at retail-gate per kg of product]]*'Summary pivot'!$D$7</f>
        <v>0</v>
      </c>
    </row>
    <row r="109" spans="1:16" ht="30">
      <c r="A109" s="52" t="s">
        <v>7</v>
      </c>
      <c r="B109" t="s">
        <v>160</v>
      </c>
      <c r="C109" t="s">
        <v>122</v>
      </c>
      <c r="D109" t="s">
        <v>121</v>
      </c>
      <c r="E109" s="5">
        <f>'Vegetables, roots, legumes'!C97</f>
        <v>0.82</v>
      </c>
      <c r="F109" s="750" t="str">
        <f>'Summary pivot'!$C$1</f>
        <v>GWP100 with fb AR6</v>
      </c>
      <c r="G109" s="188">
        <f>Table1[[#This Row],[kg CO2 at retail-gate per kg of product]]+Table1[[#This Row],[Kg CO2e from CH4 fossil]]+Table1[[#This Row],[Kg CO2e from N2O]]</f>
        <v>0.26313377169074148</v>
      </c>
      <c r="H109" s="188">
        <f>'Vegetables, roots, legumes'!H98</f>
        <v>0.21255489027667482</v>
      </c>
      <c r="I109" s="188">
        <f>'Vegetables, roots, legumes'!H99</f>
        <v>2.7598713622884424E-5</v>
      </c>
      <c r="J109" s="188">
        <v>0</v>
      </c>
      <c r="K109" s="188">
        <f>'Vegetables, roots, legumes'!H100</f>
        <v>1.8225802105532863E-4</v>
      </c>
      <c r="L109" s="188">
        <v>0</v>
      </c>
      <c r="M109" s="188">
        <f>Table1[[#This Row],[kg CH4 fossil at retail-gate per kg of product]]*'Summary pivot'!$D$5</f>
        <v>8.2244166596195586E-4</v>
      </c>
      <c r="N109" s="188">
        <f>Table1[[#This Row],[kg CH4 bio at retail-gate per kg of product]]*'Summary pivot'!$D$4</f>
        <v>0</v>
      </c>
      <c r="O109" s="188">
        <f>Table1[[#This Row],[kg N2O at retail-gate per kg of product]]*'Summary pivot'!$D$6</f>
        <v>4.9756439748104717E-2</v>
      </c>
      <c r="P109" s="188">
        <f>Table1[[#This Row],[kg HCFC-22 at retail-gate per kg of product]]*'Summary pivot'!$D$7</f>
        <v>0</v>
      </c>
    </row>
    <row r="110" spans="1:16" ht="30">
      <c r="A110" s="52" t="s">
        <v>7</v>
      </c>
      <c r="B110" t="s">
        <v>160</v>
      </c>
      <c r="C110" t="s">
        <v>130</v>
      </c>
      <c r="D110" t="s">
        <v>121</v>
      </c>
      <c r="E110" s="5">
        <f>'Vegetables, roots, legumes'!C101</f>
        <v>0.12</v>
      </c>
      <c r="F110" s="750" t="str">
        <f>'Summary pivot'!$C$1</f>
        <v>GWP100 with fb AR6</v>
      </c>
      <c r="G110" s="188">
        <f>Table1[[#This Row],[kg CO2 at retail-gate per kg of product]]+Table1[[#This Row],[Kg CO2e from CH4 fossil]]+Table1[[#This Row],[Kg CO2e from N2O]]</f>
        <v>0.49857545422564853</v>
      </c>
      <c r="H110" s="188">
        <f>'Vegetables, roots, legumes'!H102</f>
        <v>0.4750268623823623</v>
      </c>
      <c r="I110" s="188">
        <f>'Vegetables, roots, legumes'!H103</f>
        <v>3.8056672233618424E-5</v>
      </c>
      <c r="J110" s="188">
        <v>0</v>
      </c>
      <c r="K110" s="188">
        <f>'Vegetables, roots, legumes'!H104</f>
        <v>8.2104406632690124E-5</v>
      </c>
      <c r="L110" s="188">
        <v>0</v>
      </c>
      <c r="M110" s="188">
        <f>Table1[[#This Row],[kg CH4 fossil at retail-gate per kg of product]]*'Summary pivot'!$D$5</f>
        <v>1.1340888325618291E-3</v>
      </c>
      <c r="N110" s="188">
        <f>Table1[[#This Row],[kg CH4 bio at retail-gate per kg of product]]*'Summary pivot'!$D$4</f>
        <v>0</v>
      </c>
      <c r="O110" s="188">
        <f>Table1[[#This Row],[kg N2O at retail-gate per kg of product]]*'Summary pivot'!$D$6</f>
        <v>2.2414503010724403E-2</v>
      </c>
      <c r="P110" s="188">
        <f>Table1[[#This Row],[kg HCFC-22 at retail-gate per kg of product]]*'Summary pivot'!$D$7</f>
        <v>0</v>
      </c>
    </row>
    <row r="111" spans="1:16" ht="30">
      <c r="A111" s="52" t="s">
        <v>7</v>
      </c>
      <c r="B111" t="s">
        <v>160</v>
      </c>
      <c r="C111" t="s">
        <v>125</v>
      </c>
      <c r="D111" t="s">
        <v>121</v>
      </c>
      <c r="E111" s="5">
        <f>'Vegetables, roots, legumes'!C105</f>
        <v>0.06</v>
      </c>
      <c r="F111" s="750" t="str">
        <f>'Summary pivot'!$C$1</f>
        <v>GWP100 with fb AR6</v>
      </c>
      <c r="G111" s="188">
        <f>Table1[[#This Row],[kg CO2 at retail-gate per kg of product]]+Table1[[#This Row],[Kg CO2e from CH4 fossil]]+Table1[[#This Row],[Kg CO2e from N2O]]</f>
        <v>0.511572280353356</v>
      </c>
      <c r="H111" s="188">
        <f>'Vegetables, roots, legumes'!H106</f>
        <v>0.47648857792911375</v>
      </c>
      <c r="I111" s="188">
        <f>'Vegetables, roots, legumes'!H107</f>
        <v>3.7602667900423428E-5</v>
      </c>
      <c r="J111" s="188">
        <v>0</v>
      </c>
      <c r="K111" s="188">
        <f>'Vegetables, roots, legumes'!H108</f>
        <v>1.2440711692604251E-4</v>
      </c>
      <c r="L111" s="188">
        <v>0</v>
      </c>
      <c r="M111" s="188">
        <f>Table1[[#This Row],[kg CH4 fossil at retail-gate per kg of product]]*'Summary pivot'!$D$5</f>
        <v>1.1205595034326182E-3</v>
      </c>
      <c r="N111" s="188">
        <f>Table1[[#This Row],[kg CH4 bio at retail-gate per kg of product]]*'Summary pivot'!$D$4</f>
        <v>0</v>
      </c>
      <c r="O111" s="188">
        <f>Table1[[#This Row],[kg N2O at retail-gate per kg of product]]*'Summary pivot'!$D$6</f>
        <v>3.3963142920809604E-2</v>
      </c>
      <c r="P111" s="188">
        <f>Table1[[#This Row],[kg HCFC-22 at retail-gate per kg of product]]*'Summary pivot'!$D$7</f>
        <v>0</v>
      </c>
    </row>
    <row r="112" spans="1:16" ht="30">
      <c r="A112" s="52" t="s">
        <v>7</v>
      </c>
      <c r="B112" t="s">
        <v>54</v>
      </c>
      <c r="C112" t="s">
        <v>120</v>
      </c>
      <c r="D112" t="s">
        <v>121</v>
      </c>
      <c r="E112" s="5">
        <f>'Vegetables, roots, legumes'!C110</f>
        <v>1</v>
      </c>
      <c r="F112" s="750" t="str">
        <f>'Summary pivot'!$C$1</f>
        <v>GWP100 with fb AR6</v>
      </c>
      <c r="G112" s="188">
        <f>Table1[[#This Row],[kg CO2 at retail-gate per kg of product]]+Table1[[#This Row],[Kg CO2e from CH4 fossil]]+Table1[[#This Row],[Kg CO2e from N2O]]</f>
        <v>0.36801513649343531</v>
      </c>
      <c r="H112" s="188">
        <f>'Vegetables, roots, legumes'!H111</f>
        <v>0.31378934314049217</v>
      </c>
      <c r="I112" s="188">
        <f>'Vegetables, roots, legumes'!H112</f>
        <v>2.9965917339137244E-5</v>
      </c>
      <c r="J112" s="188">
        <v>0</v>
      </c>
      <c r="K112" s="188">
        <f>'Vegetables, roots, legumes'!H113</f>
        <v>1.9535827478475034E-4</v>
      </c>
      <c r="L112" s="188">
        <v>0</v>
      </c>
      <c r="M112" s="188">
        <f>Table1[[#This Row],[kg CH4 fossil at retail-gate per kg of product]]*'Summary pivot'!$D$5</f>
        <v>8.929843367062899E-4</v>
      </c>
      <c r="N112" s="188">
        <f>Table1[[#This Row],[kg CH4 bio at retail-gate per kg of product]]*'Summary pivot'!$D$4</f>
        <v>0</v>
      </c>
      <c r="O112" s="188">
        <f>Table1[[#This Row],[kg N2O at retail-gate per kg of product]]*'Summary pivot'!$D$6</f>
        <v>5.333280901623684E-2</v>
      </c>
      <c r="P112" s="188">
        <f>Table1[[#This Row],[kg HCFC-22 at retail-gate per kg of product]]*'Summary pivot'!$D$7</f>
        <v>0</v>
      </c>
    </row>
    <row r="113" spans="1:16" ht="30">
      <c r="A113" s="52" t="s">
        <v>7</v>
      </c>
      <c r="B113" t="s">
        <v>54</v>
      </c>
      <c r="C113" t="s">
        <v>122</v>
      </c>
      <c r="D113" t="s">
        <v>121</v>
      </c>
      <c r="E113" s="5">
        <f>'Vegetables, roots, legumes'!C114</f>
        <v>0.83743941840000002</v>
      </c>
      <c r="F113" s="750" t="str">
        <f>'Summary pivot'!$C$1</f>
        <v>GWP100 with fb AR6</v>
      </c>
      <c r="G113" s="188">
        <f>Table1[[#This Row],[kg CO2 at retail-gate per kg of product]]+Table1[[#This Row],[Kg CO2e from CH4 fossil]]+Table1[[#This Row],[Kg CO2e from N2O]]</f>
        <v>0.3138883598851574</v>
      </c>
      <c r="H113" s="188">
        <f>'Vegetables, roots, legumes'!H115</f>
        <v>0.26406283045785883</v>
      </c>
      <c r="I113" s="188">
        <f>'Vegetables, roots, legumes'!H116</f>
        <v>2.2517699609343464E-5</v>
      </c>
      <c r="J113" s="188">
        <v>0</v>
      </c>
      <c r="K113" s="188">
        <f>'Vegetables, roots, legumes'!H117</f>
        <v>1.800531208019784E-4</v>
      </c>
      <c r="L113" s="188">
        <v>0</v>
      </c>
      <c r="M113" s="188">
        <f>Table1[[#This Row],[kg CH4 fossil at retail-gate per kg of product]]*'Summary pivot'!$D$5</f>
        <v>6.7102744835843527E-4</v>
      </c>
      <c r="N113" s="188">
        <f>Table1[[#This Row],[kg CH4 bio at retail-gate per kg of product]]*'Summary pivot'!$D$4</f>
        <v>0</v>
      </c>
      <c r="O113" s="188">
        <f>Table1[[#This Row],[kg N2O at retail-gate per kg of product]]*'Summary pivot'!$D$6</f>
        <v>4.9154501978940106E-2</v>
      </c>
      <c r="P113" s="188">
        <f>Table1[[#This Row],[kg HCFC-22 at retail-gate per kg of product]]*'Summary pivot'!$D$7</f>
        <v>0</v>
      </c>
    </row>
    <row r="114" spans="1:16" ht="30">
      <c r="A114" s="52" t="s">
        <v>7</v>
      </c>
      <c r="B114" t="s">
        <v>54</v>
      </c>
      <c r="C114" t="s">
        <v>125</v>
      </c>
      <c r="D114" t="s">
        <v>121</v>
      </c>
      <c r="E114" s="5">
        <f>'Vegetables, roots, legumes'!C118</f>
        <v>0.16256058159999998</v>
      </c>
      <c r="F114" s="750" t="str">
        <f>'Summary pivot'!$C$1</f>
        <v>GWP100 with fb AR6</v>
      </c>
      <c r="G114" s="188">
        <f>Table1[[#This Row],[kg CO2 at retail-gate per kg of product]]+Table1[[#This Row],[Kg CO2e from CH4 fossil]]+Table1[[#This Row],[Kg CO2e from N2O]]</f>
        <v>0.64685208378141812</v>
      </c>
      <c r="H114" s="188">
        <f>'Vegetables, roots, legumes'!H119</f>
        <v>0.56995809850624379</v>
      </c>
      <c r="I114" s="188">
        <f>'Vegetables, roots, legumes'!H120</f>
        <v>6.8335804198320759E-5</v>
      </c>
      <c r="J114" s="188">
        <v>0</v>
      </c>
      <c r="K114" s="188">
        <f>'Vegetables, roots, legumes'!H121</f>
        <v>2.7420358355334908E-4</v>
      </c>
      <c r="L114" s="188">
        <v>0</v>
      </c>
      <c r="M114" s="188">
        <f>Table1[[#This Row],[kg CH4 fossil at retail-gate per kg of product]]*'Summary pivot'!$D$5</f>
        <v>2.0364069651099587E-3</v>
      </c>
      <c r="N114" s="188">
        <f>Table1[[#This Row],[kg CH4 bio at retail-gate per kg of product]]*'Summary pivot'!$D$4</f>
        <v>0</v>
      </c>
      <c r="O114" s="188">
        <f>Table1[[#This Row],[kg N2O at retail-gate per kg of product]]*'Summary pivot'!$D$6</f>
        <v>7.4857578310064302E-2</v>
      </c>
      <c r="P114" s="188">
        <f>Table1[[#This Row],[kg HCFC-22 at retail-gate per kg of product]]*'Summary pivot'!$D$7</f>
        <v>0</v>
      </c>
    </row>
    <row r="115" spans="1:16" ht="30">
      <c r="A115" s="52" t="s">
        <v>7</v>
      </c>
      <c r="B115" t="s">
        <v>60</v>
      </c>
      <c r="C115" t="s">
        <v>120</v>
      </c>
      <c r="D115" t="s">
        <v>121</v>
      </c>
      <c r="E115" s="5">
        <f>'Vegetables, roots, legumes'!C123</f>
        <v>1</v>
      </c>
      <c r="F115" s="750" t="str">
        <f>'Summary pivot'!$C$1</f>
        <v>GWP100 with fb AR6</v>
      </c>
      <c r="G115" s="188">
        <f>Table1[[#This Row],[kg CO2 at retail-gate per kg of product]]+Table1[[#This Row],[Kg CO2e from CH4 fossil]]+Table1[[#This Row],[Kg CO2e from N2O]]</f>
        <v>0.26982776961099303</v>
      </c>
      <c r="H115" s="188">
        <f>'Vegetables, roots, legumes'!H124</f>
        <v>0.24423840814703218</v>
      </c>
      <c r="I115" s="188">
        <f>'Vegetables, roots, legumes'!H125</f>
        <v>1.3716098026305257E-5</v>
      </c>
      <c r="J115" s="188">
        <v>0</v>
      </c>
      <c r="K115" s="188">
        <f>'Vegetables, roots, legumes'!H126</f>
        <v>9.2236709680501691E-5</v>
      </c>
      <c r="L115" s="188">
        <v>0</v>
      </c>
      <c r="M115" s="188">
        <f>Table1[[#This Row],[kg CH4 fossil at retail-gate per kg of product]]*'Summary pivot'!$D$5</f>
        <v>4.0873972118389665E-4</v>
      </c>
      <c r="N115" s="188">
        <f>Table1[[#This Row],[kg CH4 bio at retail-gate per kg of product]]*'Summary pivot'!$D$4</f>
        <v>0</v>
      </c>
      <c r="O115" s="188">
        <f>Table1[[#This Row],[kg N2O at retail-gate per kg of product]]*'Summary pivot'!$D$6</f>
        <v>2.5180621742776962E-2</v>
      </c>
      <c r="P115" s="188">
        <f>Table1[[#This Row],[kg HCFC-22 at retail-gate per kg of product]]*'Summary pivot'!$D$7</f>
        <v>0</v>
      </c>
    </row>
    <row r="116" spans="1:16" ht="30">
      <c r="A116" s="52" t="s">
        <v>7</v>
      </c>
      <c r="B116" t="s">
        <v>60</v>
      </c>
      <c r="C116" t="s">
        <v>122</v>
      </c>
      <c r="D116" t="s">
        <v>121</v>
      </c>
      <c r="E116" s="5">
        <f>'Vegetables, roots, legumes'!C127</f>
        <v>0.93</v>
      </c>
      <c r="F116" s="750" t="str">
        <f>'Summary pivot'!$C$1</f>
        <v>GWP100 with fb AR6</v>
      </c>
      <c r="G116" s="188">
        <f>Table1[[#This Row],[kg CO2 at retail-gate per kg of product]]+Table1[[#This Row],[Kg CO2e from CH4 fossil]]+Table1[[#This Row],[Kg CO2e from N2O]]</f>
        <v>0.24659919765837363</v>
      </c>
      <c r="H116" s="188">
        <f>'Vegetables, roots, legumes'!H128</f>
        <v>0.22333207643891015</v>
      </c>
      <c r="I116" s="188">
        <f>'Vegetables, roots, legumes'!H129</f>
        <v>1.15268521910342E-5</v>
      </c>
      <c r="J116" s="188">
        <v>0</v>
      </c>
      <c r="K116" s="188">
        <f>'Vegetables, roots, legumes'!H130</f>
        <v>8.3969307780844981E-5</v>
      </c>
      <c r="L116" s="188">
        <v>0</v>
      </c>
      <c r="M116" s="188">
        <f>Table1[[#This Row],[kg CH4 fossil at retail-gate per kg of product]]*'Summary pivot'!$D$5</f>
        <v>3.4350019529281919E-4</v>
      </c>
      <c r="N116" s="188">
        <f>Table1[[#This Row],[kg CH4 bio at retail-gate per kg of product]]*'Summary pivot'!$D$4</f>
        <v>0</v>
      </c>
      <c r="O116" s="188">
        <f>Table1[[#This Row],[kg N2O at retail-gate per kg of product]]*'Summary pivot'!$D$6</f>
        <v>2.2923621024170681E-2</v>
      </c>
      <c r="P116" s="188">
        <f>Table1[[#This Row],[kg HCFC-22 at retail-gate per kg of product]]*'Summary pivot'!$D$7</f>
        <v>0</v>
      </c>
    </row>
    <row r="117" spans="1:16" ht="30">
      <c r="A117" s="52" t="s">
        <v>7</v>
      </c>
      <c r="B117" t="s">
        <v>60</v>
      </c>
      <c r="C117" t="s">
        <v>125</v>
      </c>
      <c r="D117" t="s">
        <v>121</v>
      </c>
      <c r="E117" s="5">
        <f>'Vegetables, roots, legumes'!C131</f>
        <v>7.0000000000000007E-2</v>
      </c>
      <c r="F117" s="750" t="str">
        <f>'Summary pivot'!$C$1</f>
        <v>GWP100 with fb AR6</v>
      </c>
      <c r="G117" s="188">
        <f>Table1[[#This Row],[kg CO2 at retail-gate per kg of product]]+Table1[[#This Row],[Kg CO2e from CH4 fossil]]+Table1[[#This Row],[Kg CO2e from N2O]]</f>
        <v>0.57843593983865049</v>
      </c>
      <c r="H117" s="188">
        <f>'Vegetables, roots, legumes'!H132</f>
        <v>0.52199395798351045</v>
      </c>
      <c r="I117" s="188">
        <f>'Vegetables, roots, legumes'!H133</f>
        <v>4.2801792694906439E-5</v>
      </c>
      <c r="J117" s="188">
        <v>0</v>
      </c>
      <c r="K117" s="188">
        <f>'Vegetables, roots, legumes'!H134</f>
        <v>2.0207504920451201E-4</v>
      </c>
      <c r="L117" s="188">
        <v>0</v>
      </c>
      <c r="M117" s="188">
        <f>Table1[[#This Row],[kg CH4 fossil at retail-gate per kg of product]]*'Summary pivot'!$D$5</f>
        <v>1.275493422308212E-3</v>
      </c>
      <c r="N117" s="188">
        <f>Table1[[#This Row],[kg CH4 bio at retail-gate per kg of product]]*'Summary pivot'!$D$4</f>
        <v>0</v>
      </c>
      <c r="O117" s="188">
        <f>Table1[[#This Row],[kg N2O at retail-gate per kg of product]]*'Summary pivot'!$D$6</f>
        <v>5.5166488432831777E-2</v>
      </c>
      <c r="P117" s="188">
        <f>Table1[[#This Row],[kg HCFC-22 at retail-gate per kg of product]]*'Summary pivot'!$D$7</f>
        <v>0</v>
      </c>
    </row>
    <row r="118" spans="1:16" ht="30">
      <c r="A118" s="52" t="s">
        <v>7</v>
      </c>
      <c r="B118" s="52" t="s">
        <v>66</v>
      </c>
      <c r="C118" t="s">
        <v>120</v>
      </c>
      <c r="D118" t="s">
        <v>121</v>
      </c>
      <c r="E118" s="5">
        <f>'Vegetables, roots, legumes'!C136</f>
        <v>1</v>
      </c>
      <c r="F118" s="750" t="str">
        <f>'Summary pivot'!$C$1</f>
        <v>GWP100 with fb AR6</v>
      </c>
      <c r="G118" s="188">
        <f>Table1[[#This Row],[kg CO2 at retail-gate per kg of product]]+Table1[[#This Row],[Kg CO2e from CH4 fossil]]+Table1[[#This Row],[Kg CO2e from N2O]]</f>
        <v>0.37382575817350649</v>
      </c>
      <c r="H118" s="188">
        <f>'Vegetables, roots, legumes'!H137</f>
        <v>0.32493529076730793</v>
      </c>
      <c r="I118" s="188">
        <f>'Vegetables, roots, legumes'!H138</f>
        <v>2.7227381873481793E-5</v>
      </c>
      <c r="J118" s="188">
        <v>0</v>
      </c>
      <c r="K118" s="188">
        <f>'Vegetables, roots, legumes'!H139</f>
        <v>1.7611388800867694E-4</v>
      </c>
      <c r="L118" s="188">
        <v>0</v>
      </c>
      <c r="M118" s="188">
        <f>Table1[[#This Row],[kg CH4 fossil at retail-gate per kg of product]]*'Summary pivot'!$D$5</f>
        <v>8.113759798297574E-4</v>
      </c>
      <c r="N118" s="188">
        <f>Table1[[#This Row],[kg CH4 bio at retail-gate per kg of product]]*'Summary pivot'!$D$4</f>
        <v>0</v>
      </c>
      <c r="O118" s="188">
        <f>Table1[[#This Row],[kg N2O at retail-gate per kg of product]]*'Summary pivot'!$D$6</f>
        <v>4.8079091426368806E-2</v>
      </c>
      <c r="P118" s="188">
        <f>Table1[[#This Row],[kg HCFC-22 at retail-gate per kg of product]]*'Summary pivot'!$D$7</f>
        <v>0</v>
      </c>
    </row>
    <row r="119" spans="1:16" ht="30">
      <c r="A119" s="52" t="s">
        <v>7</v>
      </c>
      <c r="B119" s="52" t="s">
        <v>66</v>
      </c>
      <c r="C119" t="s">
        <v>122</v>
      </c>
      <c r="D119" t="s">
        <v>121</v>
      </c>
      <c r="E119" s="5">
        <f>'Vegetables, roots, legumes'!C140</f>
        <v>0.67915690870000001</v>
      </c>
      <c r="F119" s="750" t="str">
        <f>'Summary pivot'!$C$1</f>
        <v>GWP100 with fb AR6</v>
      </c>
      <c r="G119" s="188">
        <f>Table1[[#This Row],[kg CO2 at retail-gate per kg of product]]+Table1[[#This Row],[Kg CO2e from CH4 fossil]]+Table1[[#This Row],[Kg CO2e from N2O]]</f>
        <v>0.30865393646134293</v>
      </c>
      <c r="H119" s="188">
        <f>'Vegetables, roots, legumes'!H141</f>
        <v>0.26068539968151161</v>
      </c>
      <c r="I119" s="188">
        <f>'Vegetables, roots, legumes'!H142</f>
        <v>2.1671175679632198E-5</v>
      </c>
      <c r="J119" s="188">
        <v>0</v>
      </c>
      <c r="K119" s="188">
        <f>'Vegetables, roots, legumes'!H143</f>
        <v>1.7334335437574472E-4</v>
      </c>
      <c r="L119" s="188">
        <v>0</v>
      </c>
      <c r="M119" s="188">
        <f>Table1[[#This Row],[kg CH4 fossil at retail-gate per kg of product]]*'Summary pivot'!$D$5</f>
        <v>6.4580103525303952E-4</v>
      </c>
      <c r="N119" s="188">
        <f>Table1[[#This Row],[kg CH4 bio at retail-gate per kg of product]]*'Summary pivot'!$D$4</f>
        <v>0</v>
      </c>
      <c r="O119" s="188">
        <f>Table1[[#This Row],[kg N2O at retail-gate per kg of product]]*'Summary pivot'!$D$6</f>
        <v>4.7322735744578306E-2</v>
      </c>
      <c r="P119" s="188">
        <f>Table1[[#This Row],[kg HCFC-22 at retail-gate per kg of product]]*'Summary pivot'!$D$7</f>
        <v>0</v>
      </c>
    </row>
    <row r="120" spans="1:16" ht="30">
      <c r="A120" s="52" t="s">
        <v>7</v>
      </c>
      <c r="B120" s="52" t="s">
        <v>66</v>
      </c>
      <c r="C120" t="s">
        <v>127</v>
      </c>
      <c r="D120" t="s">
        <v>121</v>
      </c>
      <c r="E120" s="5">
        <f>'Vegetables, roots, legumes'!C144</f>
        <v>0.16522009239351659</v>
      </c>
      <c r="F120" s="750" t="str">
        <f>'Summary pivot'!$C$1</f>
        <v>GWP100 with fb AR6</v>
      </c>
      <c r="G120" s="188">
        <f>Table1[[#This Row],[kg CO2 at retail-gate per kg of product]]+Table1[[#This Row],[Kg CO2e from CH4 fossil]]+Table1[[#This Row],[Kg CO2e from N2O]]</f>
        <v>0.4317748391855632</v>
      </c>
      <c r="H120" s="188">
        <f>'Vegetables, roots, legumes'!H145</f>
        <v>0.37649969699739549</v>
      </c>
      <c r="I120" s="188">
        <f>'Vegetables, roots, legumes'!H146</f>
        <v>3.7722074358857778E-5</v>
      </c>
      <c r="J120" s="188">
        <v>0</v>
      </c>
      <c r="K120" s="188">
        <f>'Vegetables, roots, legumes'!H147</f>
        <v>1.9835540063103932E-4</v>
      </c>
      <c r="L120" s="188">
        <v>0</v>
      </c>
      <c r="M120" s="188">
        <f>Table1[[#This Row],[kg CH4 fossil at retail-gate per kg of product]]*'Summary pivot'!$D$5</f>
        <v>1.1241178158939618E-3</v>
      </c>
      <c r="N120" s="188">
        <f>Table1[[#This Row],[kg CH4 bio at retail-gate per kg of product]]*'Summary pivot'!$D$4</f>
        <v>0</v>
      </c>
      <c r="O120" s="188">
        <f>Table1[[#This Row],[kg N2O at retail-gate per kg of product]]*'Summary pivot'!$D$6</f>
        <v>5.4151024372273739E-2</v>
      </c>
      <c r="P120" s="188">
        <f>Table1[[#This Row],[kg HCFC-22 at retail-gate per kg of product]]*'Summary pivot'!$D$7</f>
        <v>0</v>
      </c>
    </row>
    <row r="121" spans="1:16" ht="30">
      <c r="A121" s="52" t="s">
        <v>7</v>
      </c>
      <c r="B121" s="52" t="s">
        <v>66</v>
      </c>
      <c r="C121" t="s">
        <v>125</v>
      </c>
      <c r="D121" t="s">
        <v>121</v>
      </c>
      <c r="E121" s="5">
        <f>'Vegetables, roots, legumes'!C148</f>
        <v>0.15562299890648346</v>
      </c>
      <c r="F121" s="750" t="str">
        <f>'Summary pivot'!$C$1</f>
        <v>GWP100 with fb AR6</v>
      </c>
      <c r="G121" s="188">
        <f>Table1[[#This Row],[kg CO2 at retail-gate per kg of product]]+Table1[[#This Row],[Kg CO2e from CH4 fossil]]+Table1[[#This Row],[Kg CO2e from N2O]]</f>
        <v>0.59672045043100153</v>
      </c>
      <c r="H121" s="188">
        <f>'Vegetables, roots, legumes'!H149</f>
        <v>0.55058498071892736</v>
      </c>
      <c r="I121" s="188">
        <f>'Vegetables, roots, legumes'!H150</f>
        <v>4.0333425163811575E-5</v>
      </c>
      <c r="J121" s="188">
        <v>0</v>
      </c>
      <c r="K121" s="188">
        <f>'Vegetables, roots, legumes'!H151</f>
        <v>1.6459169832304973E-4</v>
      </c>
      <c r="L121" s="188">
        <v>0</v>
      </c>
      <c r="M121" s="188">
        <f>Table1[[#This Row],[kg CH4 fossil at retail-gate per kg of product]]*'Summary pivot'!$D$5</f>
        <v>1.2019360698815849E-3</v>
      </c>
      <c r="N121" s="188">
        <f>Table1[[#This Row],[kg CH4 bio at retail-gate per kg of product]]*'Summary pivot'!$D$4</f>
        <v>0</v>
      </c>
      <c r="O121" s="188">
        <f>Table1[[#This Row],[kg N2O at retail-gate per kg of product]]*'Summary pivot'!$D$6</f>
        <v>4.4933533642192575E-2</v>
      </c>
      <c r="P121" s="188">
        <f>Table1[[#This Row],[kg HCFC-22 at retail-gate per kg of product]]*'Summary pivot'!$D$7</f>
        <v>0</v>
      </c>
    </row>
    <row r="122" spans="1:16" ht="30">
      <c r="A122" s="52" t="s">
        <v>7</v>
      </c>
      <c r="B122" s="52" t="s">
        <v>72</v>
      </c>
      <c r="C122" t="s">
        <v>120</v>
      </c>
      <c r="D122" t="s">
        <v>121</v>
      </c>
      <c r="E122" s="5">
        <f>'Vegetables, roots, legumes'!C153</f>
        <v>1</v>
      </c>
      <c r="F122" s="750" t="str">
        <f>'Summary pivot'!$C$1</f>
        <v>GWP100 with fb AR6</v>
      </c>
      <c r="G122" s="188">
        <f>Table1[[#This Row],[kg CO2 at retail-gate per kg of product]]+Table1[[#This Row],[Kg CO2e from CH4 fossil]]+Table1[[#This Row],[Kg CO2e from N2O]]</f>
        <v>0.38957963780173704</v>
      </c>
      <c r="H122" s="188">
        <f>'Vegetables, roots, legumes'!H154</f>
        <v>0.31888431280519786</v>
      </c>
      <c r="I122" s="188">
        <f>'Vegetables, roots, legumes'!H155</f>
        <v>4.5142283626766295E-5</v>
      </c>
      <c r="J122" s="188">
        <v>0</v>
      </c>
      <c r="K122" s="188">
        <f>'Vegetables, roots, legumes'!H156</f>
        <v>2.5402961518117783E-4</v>
      </c>
      <c r="L122" s="188">
        <v>0</v>
      </c>
      <c r="M122" s="188">
        <f>Table1[[#This Row],[kg CH4 fossil at retail-gate per kg of product]]*'Summary pivot'!$D$5</f>
        <v>1.3452400520776355E-3</v>
      </c>
      <c r="N122" s="188">
        <f>Table1[[#This Row],[kg CH4 bio at retail-gate per kg of product]]*'Summary pivot'!$D$4</f>
        <v>0</v>
      </c>
      <c r="O122" s="188">
        <f>Table1[[#This Row],[kg N2O at retail-gate per kg of product]]*'Summary pivot'!$D$6</f>
        <v>6.9350084944461543E-2</v>
      </c>
      <c r="P122" s="188">
        <f>Table1[[#This Row],[kg HCFC-22 at retail-gate per kg of product]]*'Summary pivot'!$D$7</f>
        <v>0</v>
      </c>
    </row>
    <row r="123" spans="1:16" ht="30">
      <c r="A123" s="52" t="s">
        <v>7</v>
      </c>
      <c r="B123" s="52" t="s">
        <v>72</v>
      </c>
      <c r="C123" t="s">
        <v>122</v>
      </c>
      <c r="D123" t="s">
        <v>121</v>
      </c>
      <c r="E123" s="5">
        <f>'Vegetables, roots, legumes'!C157</f>
        <v>0.35</v>
      </c>
      <c r="F123" s="750" t="str">
        <f>'Summary pivot'!$C$1</f>
        <v>GWP100 with fb AR6</v>
      </c>
      <c r="G123" s="188">
        <f>Table1[[#This Row],[kg CO2 at retail-gate per kg of product]]+Table1[[#This Row],[Kg CO2e from CH4 fossil]]+Table1[[#This Row],[Kg CO2e from N2O]]</f>
        <v>0.33556576542679684</v>
      </c>
      <c r="H123" s="188">
        <f>'Vegetables, roots, legumes'!H158</f>
        <v>0.24626720662933568</v>
      </c>
      <c r="I123" s="188">
        <f>'Vegetables, roots, legumes'!H159</f>
        <v>4.2155939662178267E-5</v>
      </c>
      <c r="J123" s="188">
        <v>0</v>
      </c>
      <c r="K123" s="188">
        <f>'Vegetables, roots, legumes'!H160</f>
        <v>3.2249931060633049E-4</v>
      </c>
      <c r="L123" s="188">
        <v>0</v>
      </c>
      <c r="M123" s="188">
        <f>Table1[[#This Row],[kg CH4 fossil at retail-gate per kg of product]]*'Summary pivot'!$D$5</f>
        <v>1.2562470019329124E-3</v>
      </c>
      <c r="N123" s="188">
        <f>Table1[[#This Row],[kg CH4 bio at retail-gate per kg of product]]*'Summary pivot'!$D$4</f>
        <v>0</v>
      </c>
      <c r="O123" s="188">
        <f>Table1[[#This Row],[kg N2O at retail-gate per kg of product]]*'Summary pivot'!$D$6</f>
        <v>8.8042311795528225E-2</v>
      </c>
      <c r="P123" s="188">
        <f>Table1[[#This Row],[kg HCFC-22 at retail-gate per kg of product]]*'Summary pivot'!$D$7</f>
        <v>0</v>
      </c>
    </row>
    <row r="124" spans="1:16" ht="30">
      <c r="A124" s="52" t="s">
        <v>7</v>
      </c>
      <c r="B124" s="52" t="s">
        <v>72</v>
      </c>
      <c r="C124" t="s">
        <v>127</v>
      </c>
      <c r="D124" t="s">
        <v>121</v>
      </c>
      <c r="E124" s="5">
        <f>'Vegetables, roots, legumes'!C161</f>
        <v>0.54</v>
      </c>
      <c r="F124" s="750" t="str">
        <f>'Summary pivot'!$C$1</f>
        <v>GWP100 with fb AR6</v>
      </c>
      <c r="G124" s="188">
        <f>Table1[[#This Row],[kg CO2 at retail-gate per kg of product]]+Table1[[#This Row],[Kg CO2e from CH4 fossil]]+Table1[[#This Row],[Kg CO2e from N2O]]</f>
        <v>0.39314091847174282</v>
      </c>
      <c r="H124" s="188">
        <f>'Vegetables, roots, legumes'!H162</f>
        <v>0.33222126217023529</v>
      </c>
      <c r="I124" s="188">
        <f>'Vegetables, roots, legumes'!H163</f>
        <v>4.4615031362867821E-5</v>
      </c>
      <c r="J124" s="188">
        <v>0</v>
      </c>
      <c r="K124" s="188">
        <f>'Vegetables, roots, legumes'!H164</f>
        <v>2.1827885848679164E-4</v>
      </c>
      <c r="L124" s="188">
        <v>0</v>
      </c>
      <c r="M124" s="188">
        <f>Table1[[#This Row],[kg CH4 fossil at retail-gate per kg of product]]*'Summary pivot'!$D$5</f>
        <v>1.3295279346134611E-3</v>
      </c>
      <c r="N124" s="188">
        <f>Table1[[#This Row],[kg CH4 bio at retail-gate per kg of product]]*'Summary pivot'!$D$4</f>
        <v>0</v>
      </c>
      <c r="O124" s="188">
        <f>Table1[[#This Row],[kg N2O at retail-gate per kg of product]]*'Summary pivot'!$D$6</f>
        <v>5.9590128366894118E-2</v>
      </c>
      <c r="P124" s="188">
        <f>Table1[[#This Row],[kg HCFC-22 at retail-gate per kg of product]]*'Summary pivot'!$D$7</f>
        <v>0</v>
      </c>
    </row>
    <row r="125" spans="1:16" ht="30">
      <c r="A125" s="52" t="s">
        <v>7</v>
      </c>
      <c r="B125" s="52" t="s">
        <v>72</v>
      </c>
      <c r="C125" t="s">
        <v>125</v>
      </c>
      <c r="D125" t="s">
        <v>121</v>
      </c>
      <c r="E125" s="5">
        <f>'Vegetables, roots, legumes'!C165</f>
        <v>0.11</v>
      </c>
      <c r="F125" s="750" t="str">
        <f>'Summary pivot'!$C$1</f>
        <v>GWP100 with fb AR6</v>
      </c>
      <c r="G125" s="188">
        <f>Table1[[#This Row],[kg CO2 at retail-gate per kg of product]]+Table1[[#This Row],[Kg CO2e from CH4 fossil]]+Table1[[#This Row],[Kg CO2e from N2O]]</f>
        <v>0.54395930843288176</v>
      </c>
      <c r="H125" s="188">
        <f>'Vegetables, roots, legumes'!H166</f>
        <v>0.48446644466366634</v>
      </c>
      <c r="I125" s="188">
        <f>'Vegetables, roots, legumes'!H167</f>
        <v>5.723261644595713E-5</v>
      </c>
      <c r="J125" s="188">
        <v>0</v>
      </c>
      <c r="K125" s="188">
        <f>'Vegetables, roots, legumes'!H168</f>
        <v>2.1167520805540597E-4</v>
      </c>
      <c r="L125" s="188">
        <v>0</v>
      </c>
      <c r="M125" s="188">
        <f>Table1[[#This Row],[kg CH4 fossil at retail-gate per kg of product]]*'Summary pivot'!$D$5</f>
        <v>1.7055319700895225E-3</v>
      </c>
      <c r="N125" s="188">
        <f>Table1[[#This Row],[kg CH4 bio at retail-gate per kg of product]]*'Summary pivot'!$D$4</f>
        <v>0</v>
      </c>
      <c r="O125" s="188">
        <f>Table1[[#This Row],[kg N2O at retail-gate per kg of product]]*'Summary pivot'!$D$6</f>
        <v>5.7787331799125832E-2</v>
      </c>
      <c r="P125" s="188">
        <f>Table1[[#This Row],[kg HCFC-22 at retail-gate per kg of product]]*'Summary pivot'!$D$7</f>
        <v>0</v>
      </c>
    </row>
    <row r="126" spans="1:16" ht="30">
      <c r="A126" s="52" t="s">
        <v>7</v>
      </c>
      <c r="B126" s="52" t="s">
        <v>78</v>
      </c>
      <c r="C126" t="s">
        <v>120</v>
      </c>
      <c r="D126" t="s">
        <v>121</v>
      </c>
      <c r="E126" s="5">
        <f>'Vegetables, roots, legumes'!C170</f>
        <v>1</v>
      </c>
      <c r="F126" s="750" t="str">
        <f>'Summary pivot'!$C$1</f>
        <v>GWP100 with fb AR6</v>
      </c>
      <c r="G126" s="188">
        <f>Table1[[#This Row],[kg CO2 at retail-gate per kg of product]]+Table1[[#This Row],[Kg CO2e from CH4 fossil]]+Table1[[#This Row],[Kg CO2e from N2O]]</f>
        <v>0.60972954822208625</v>
      </c>
      <c r="H126" s="188">
        <f>'Vegetables, roots, legumes'!H171</f>
        <v>0.39330229914542986</v>
      </c>
      <c r="I126" s="188">
        <f>'Vegetables, roots, legumes'!H172</f>
        <v>1.1429968863800529E-4</v>
      </c>
      <c r="J126" s="188">
        <v>0</v>
      </c>
      <c r="K126" s="188">
        <f>'Vegetables, roots, legumes'!H173</f>
        <v>7.8029713683239502E-4</v>
      </c>
      <c r="L126" s="188">
        <v>0</v>
      </c>
      <c r="M126" s="188">
        <f>Table1[[#This Row],[kg CH4 fossil at retail-gate per kg of product]]*'Summary pivot'!$D$5</f>
        <v>3.4061307214125576E-3</v>
      </c>
      <c r="N126" s="188">
        <f>Table1[[#This Row],[kg CH4 bio at retail-gate per kg of product]]*'Summary pivot'!$D$4</f>
        <v>0</v>
      </c>
      <c r="O126" s="188">
        <f>Table1[[#This Row],[kg N2O at retail-gate per kg of product]]*'Summary pivot'!$D$6</f>
        <v>0.21302111835524384</v>
      </c>
      <c r="P126" s="188">
        <f>Table1[[#This Row],[kg HCFC-22 at retail-gate per kg of product]]*'Summary pivot'!$D$7</f>
        <v>0</v>
      </c>
    </row>
    <row r="127" spans="1:16" ht="30">
      <c r="A127" s="52" t="s">
        <v>7</v>
      </c>
      <c r="B127" s="52" t="s">
        <v>78</v>
      </c>
      <c r="C127" t="s">
        <v>122</v>
      </c>
      <c r="D127" t="s">
        <v>121</v>
      </c>
      <c r="E127" s="5">
        <f>'Vegetables, roots, legumes'!C174</f>
        <v>0.66</v>
      </c>
      <c r="F127" s="750" t="str">
        <f>'Summary pivot'!$C$1</f>
        <v>GWP100 with fb AR6</v>
      </c>
      <c r="G127" s="188">
        <f>Table1[[#This Row],[kg CO2 at retail-gate per kg of product]]+Table1[[#This Row],[Kg CO2e from CH4 fossil]]+Table1[[#This Row],[Kg CO2e from N2O]]</f>
        <v>0.57013129499460247</v>
      </c>
      <c r="H127" s="188">
        <f>'Vegetables, roots, legumes'!H175</f>
        <v>0.32248085606847327</v>
      </c>
      <c r="I127" s="188">
        <f>'Vegetables, roots, legumes'!H176</f>
        <v>1.0729005586767627E-4</v>
      </c>
      <c r="J127" s="188">
        <v>0</v>
      </c>
      <c r="K127" s="188">
        <f>'Vegetables, roots, legumes'!H177</f>
        <v>8.9543294967499082E-4</v>
      </c>
      <c r="L127" s="188">
        <v>0</v>
      </c>
      <c r="M127" s="188">
        <f>Table1[[#This Row],[kg CH4 fossil at retail-gate per kg of product]]*'Summary pivot'!$D$5</f>
        <v>3.1972436648567532E-3</v>
      </c>
      <c r="N127" s="188">
        <f>Table1[[#This Row],[kg CH4 bio at retail-gate per kg of product]]*'Summary pivot'!$D$4</f>
        <v>0</v>
      </c>
      <c r="O127" s="188">
        <f>Table1[[#This Row],[kg N2O at retail-gate per kg of product]]*'Summary pivot'!$D$6</f>
        <v>0.24445319526127249</v>
      </c>
      <c r="P127" s="188">
        <f>Table1[[#This Row],[kg HCFC-22 at retail-gate per kg of product]]*'Summary pivot'!$D$7</f>
        <v>0</v>
      </c>
    </row>
    <row r="128" spans="1:16" ht="30">
      <c r="A128" s="52" t="s">
        <v>7</v>
      </c>
      <c r="B128" s="52" t="s">
        <v>78</v>
      </c>
      <c r="C128" t="s">
        <v>130</v>
      </c>
      <c r="D128" t="s">
        <v>121</v>
      </c>
      <c r="E128" s="5">
        <f>'Vegetables, roots, legumes'!C178</f>
        <v>0.14000000000000001</v>
      </c>
      <c r="F128" s="750" t="str">
        <f>'Summary pivot'!$C$1</f>
        <v>GWP100 with fb AR6</v>
      </c>
      <c r="G128" s="188">
        <f>Table1[[#This Row],[kg CO2 at retail-gate per kg of product]]+Table1[[#This Row],[Kg CO2e from CH4 fossil]]+Table1[[#This Row],[Kg CO2e from N2O]]</f>
        <v>0.67533464756769279</v>
      </c>
      <c r="H128" s="188">
        <f>'Vegetables, roots, legumes'!H179</f>
        <v>0.54446224302177404</v>
      </c>
      <c r="I128" s="188">
        <f>'Vegetables, roots, legumes'!H180</f>
        <v>1.5295056263817594E-4</v>
      </c>
      <c r="J128" s="188">
        <v>0</v>
      </c>
      <c r="K128" s="188">
        <f>'Vegetables, roots, legumes'!H181</f>
        <v>4.6269039479597502E-4</v>
      </c>
      <c r="L128" s="188">
        <v>0</v>
      </c>
      <c r="M128" s="188">
        <f>Table1[[#This Row],[kg CH4 fossil at retail-gate per kg of product]]*'Summary pivot'!$D$5</f>
        <v>4.557926766617643E-3</v>
      </c>
      <c r="N128" s="188">
        <f>Table1[[#This Row],[kg CH4 bio at retail-gate per kg of product]]*'Summary pivot'!$D$4</f>
        <v>0</v>
      </c>
      <c r="O128" s="188">
        <f>Table1[[#This Row],[kg N2O at retail-gate per kg of product]]*'Summary pivot'!$D$6</f>
        <v>0.12631447777930119</v>
      </c>
      <c r="P128" s="188">
        <f>Table1[[#This Row],[kg HCFC-22 at retail-gate per kg of product]]*'Summary pivot'!$D$7</f>
        <v>0</v>
      </c>
    </row>
    <row r="129" spans="1:16" ht="30">
      <c r="A129" s="52" t="s">
        <v>7</v>
      </c>
      <c r="B129" s="52" t="s">
        <v>78</v>
      </c>
      <c r="C129" t="s">
        <v>125</v>
      </c>
      <c r="D129" t="s">
        <v>121</v>
      </c>
      <c r="E129" s="5">
        <f>'Vegetables, roots, legumes'!C182</f>
        <v>0.2</v>
      </c>
      <c r="F129" s="750" t="str">
        <f>'Summary pivot'!$C$1</f>
        <v>GWP100 with fb AR6</v>
      </c>
      <c r="G129" s="188">
        <f>Table1[[#This Row],[kg CO2 at retail-gate per kg of product]]+Table1[[#This Row],[Kg CO2e from CH4 fossil]]+Table1[[#This Row],[Kg CO2e from N2O]]</f>
        <v>0.69448021433085771</v>
      </c>
      <c r="H129" s="188">
        <f>'Vegetables, roots, legumes'!H183</f>
        <v>0.52120110058594538</v>
      </c>
      <c r="I129" s="188">
        <f>'Vegetables, roots, legumes'!H184</f>
        <v>1.1037586497997151E-4</v>
      </c>
      <c r="J129" s="188">
        <v>0</v>
      </c>
      <c r="K129" s="188">
        <f>'Vegetables, roots, legumes'!H185</f>
        <v>6.2267367387732278E-4</v>
      </c>
      <c r="L129" s="188">
        <v>0</v>
      </c>
      <c r="M129" s="188">
        <f>Table1[[#This Row],[kg CH4 fossil at retail-gate per kg of product]]*'Summary pivot'!$D$5</f>
        <v>3.2892007764031509E-3</v>
      </c>
      <c r="N129" s="188">
        <f>Table1[[#This Row],[kg CH4 bio at retail-gate per kg of product]]*'Summary pivot'!$D$4</f>
        <v>0</v>
      </c>
      <c r="O129" s="188">
        <f>Table1[[#This Row],[kg N2O at retail-gate per kg of product]]*'Summary pivot'!$D$6</f>
        <v>0.16998991296850913</v>
      </c>
      <c r="P129" s="188">
        <f>Table1[[#This Row],[kg HCFC-22 at retail-gate per kg of product]]*'Summary pivot'!$D$7</f>
        <v>0</v>
      </c>
    </row>
    <row r="130" spans="1:16" ht="30">
      <c r="A130" s="52" t="s">
        <v>7</v>
      </c>
      <c r="B130" s="52" t="s">
        <v>82</v>
      </c>
      <c r="C130" t="s">
        <v>120</v>
      </c>
      <c r="D130" t="s">
        <v>121</v>
      </c>
      <c r="E130" s="5">
        <f>'Vegetables, roots, legumes'!C187</f>
        <v>1</v>
      </c>
      <c r="F130" s="750" t="str">
        <f>'Summary pivot'!$C$1</f>
        <v>GWP100 with fb AR6</v>
      </c>
      <c r="G130" s="188">
        <f>Table1[[#This Row],[kg CO2 at retail-gate per kg of product]]+Table1[[#This Row],[Kg CO2e from CH4 fossil]]+Table1[[#This Row],[Kg CO2e from N2O]]</f>
        <v>0.36023975539767616</v>
      </c>
      <c r="H130" s="188">
        <f>'Vegetables, roots, legumes'!H188</f>
        <v>0.30430624211340807</v>
      </c>
      <c r="I130" s="188">
        <f>'Vegetables, roots, legumes'!H189</f>
        <v>3.1011596200333953E-5</v>
      </c>
      <c r="J130" s="188">
        <v>0</v>
      </c>
      <c r="K130" s="188">
        <f>'Vegetables, roots, legumes'!H190</f>
        <v>2.0149951544871106E-4</v>
      </c>
      <c r="L130" s="188">
        <v>0</v>
      </c>
      <c r="M130" s="188">
        <f>Table1[[#This Row],[kg CH4 fossil at retail-gate per kg of product]]*'Summary pivot'!$D$5</f>
        <v>9.2414556676995185E-4</v>
      </c>
      <c r="N130" s="188">
        <f>Table1[[#This Row],[kg CH4 bio at retail-gate per kg of product]]*'Summary pivot'!$D$4</f>
        <v>0</v>
      </c>
      <c r="O130" s="188">
        <f>Table1[[#This Row],[kg N2O at retail-gate per kg of product]]*'Summary pivot'!$D$6</f>
        <v>5.500936771749812E-2</v>
      </c>
      <c r="P130" s="188">
        <f>Table1[[#This Row],[kg HCFC-22 at retail-gate per kg of product]]*'Summary pivot'!$D$7</f>
        <v>0</v>
      </c>
    </row>
    <row r="131" spans="1:16" ht="30">
      <c r="A131" s="52" t="s">
        <v>7</v>
      </c>
      <c r="B131" s="52" t="s">
        <v>82</v>
      </c>
      <c r="C131" t="s">
        <v>122</v>
      </c>
      <c r="D131" t="s">
        <v>121</v>
      </c>
      <c r="E131" s="5">
        <f>'Vegetables, roots, legumes'!C191</f>
        <v>0.43</v>
      </c>
      <c r="F131" s="750" t="str">
        <f>'Summary pivot'!$C$1</f>
        <v>GWP100 with fb AR6</v>
      </c>
      <c r="G131" s="188">
        <f>Table1[[#This Row],[kg CO2 at retail-gate per kg of product]]+Table1[[#This Row],[Kg CO2e from CH4 fossil]]+Table1[[#This Row],[Kg CO2e from N2O]]</f>
        <v>0.28988681564288643</v>
      </c>
      <c r="H131" s="188">
        <f>'Vegetables, roots, legumes'!H192</f>
        <v>0.22998041058187216</v>
      </c>
      <c r="I131" s="188">
        <f>'Vegetables, roots, legumes'!H193</f>
        <v>2.58464207245927E-5</v>
      </c>
      <c r="J131" s="188">
        <v>0</v>
      </c>
      <c r="K131" s="188">
        <f>'Vegetables, roots, legumes'!H194</f>
        <v>2.1661605026894286E-4</v>
      </c>
      <c r="L131" s="188">
        <v>0</v>
      </c>
      <c r="M131" s="188">
        <f>Table1[[#This Row],[kg CH4 fossil at retail-gate per kg of product]]*'Summary pivot'!$D$5</f>
        <v>7.7022333759286252E-4</v>
      </c>
      <c r="N131" s="188">
        <f>Table1[[#This Row],[kg CH4 bio at retail-gate per kg of product]]*'Summary pivot'!$D$4</f>
        <v>0</v>
      </c>
      <c r="O131" s="188">
        <f>Table1[[#This Row],[kg N2O at retail-gate per kg of product]]*'Summary pivot'!$D$6</f>
        <v>5.9136181723421402E-2</v>
      </c>
      <c r="P131" s="188">
        <f>Table1[[#This Row],[kg HCFC-22 at retail-gate per kg of product]]*'Summary pivot'!$D$7</f>
        <v>0</v>
      </c>
    </row>
    <row r="132" spans="1:16" ht="30">
      <c r="A132" s="52" t="s">
        <v>7</v>
      </c>
      <c r="B132" s="52" t="s">
        <v>82</v>
      </c>
      <c r="C132" t="s">
        <v>130</v>
      </c>
      <c r="D132" t="s">
        <v>121</v>
      </c>
      <c r="E132" s="5">
        <f>'Vegetables, roots, legumes'!C195</f>
        <v>0.51</v>
      </c>
      <c r="F132" s="750" t="str">
        <f>'Summary pivot'!$C$1</f>
        <v>GWP100 with fb AR6</v>
      </c>
      <c r="G132" s="188">
        <f>Table1[[#This Row],[kg CO2 at retail-gate per kg of product]]+Table1[[#This Row],[Kg CO2e from CH4 fossil]]+Table1[[#This Row],[Kg CO2e from N2O]]</f>
        <v>0.40069779646461928</v>
      </c>
      <c r="H132" s="188">
        <f>'Vegetables, roots, legumes'!H196</f>
        <v>0.34702932995686048</v>
      </c>
      <c r="I132" s="188">
        <f>'Vegetables, roots, legumes'!H197</f>
        <v>3.4560606816934199E-5</v>
      </c>
      <c r="J132" s="188">
        <v>0</v>
      </c>
      <c r="K132" s="188">
        <f>'Vegetables, roots, legumes'!H198</f>
        <v>1.9281523965060133E-4</v>
      </c>
      <c r="L132" s="188">
        <v>0</v>
      </c>
      <c r="M132" s="188">
        <f>Table1[[#This Row],[kg CH4 fossil at retail-gate per kg of product]]*'Summary pivot'!$D$5</f>
        <v>1.0299060831446391E-3</v>
      </c>
      <c r="N132" s="188">
        <f>Table1[[#This Row],[kg CH4 bio at retail-gate per kg of product]]*'Summary pivot'!$D$4</f>
        <v>0</v>
      </c>
      <c r="O132" s="188">
        <f>Table1[[#This Row],[kg N2O at retail-gate per kg of product]]*'Summary pivot'!$D$6</f>
        <v>5.2638560424614164E-2</v>
      </c>
      <c r="P132" s="188">
        <f>Table1[[#This Row],[kg HCFC-22 at retail-gate per kg of product]]*'Summary pivot'!$D$7</f>
        <v>0</v>
      </c>
    </row>
    <row r="133" spans="1:16" ht="30">
      <c r="A133" s="52" t="s">
        <v>7</v>
      </c>
      <c r="B133" s="52" t="s">
        <v>82</v>
      </c>
      <c r="C133" t="s">
        <v>125</v>
      </c>
      <c r="D133" t="s">
        <v>121</v>
      </c>
      <c r="E133" s="5">
        <f>'Vegetables, roots, legumes'!C199</f>
        <v>0.06</v>
      </c>
      <c r="F133" s="750" t="str">
        <f>'Summary pivot'!$C$1</f>
        <v>GWP100 with fb AR6</v>
      </c>
      <c r="G133" s="188">
        <f>Table1[[#This Row],[kg CO2 at retail-gate per kg of product]]+Table1[[#This Row],[Kg CO2e from CH4 fossil]]+Table1[[#This Row],[Kg CO2e from N2O]]</f>
        <v>0.52054247457131975</v>
      </c>
      <c r="H133" s="188">
        <f>'Vegetables, roots, legumes'!H200</f>
        <v>0.4738284547534039</v>
      </c>
      <c r="I133" s="188">
        <f>'Vegetables, roots, legumes'!H201</f>
        <v>3.7862096868710838E-5</v>
      </c>
      <c r="J133" s="188">
        <v>0</v>
      </c>
      <c r="K133" s="188">
        <f>'Vegetables, roots, legumes'!H202</f>
        <v>1.6698069352098256E-4</v>
      </c>
      <c r="L133" s="188">
        <v>0</v>
      </c>
      <c r="M133" s="188">
        <f>Table1[[#This Row],[kg CH4 fossil at retail-gate per kg of product]]*'Summary pivot'!$D$5</f>
        <v>1.1282904866875829E-3</v>
      </c>
      <c r="N133" s="188">
        <f>Table1[[#This Row],[kg CH4 bio at retail-gate per kg of product]]*'Summary pivot'!$D$4</f>
        <v>0</v>
      </c>
      <c r="O133" s="188">
        <f>Table1[[#This Row],[kg N2O at retail-gate per kg of product]]*'Summary pivot'!$D$6</f>
        <v>4.5585729331228238E-2</v>
      </c>
      <c r="P133" s="188">
        <f>Table1[[#This Row],[kg HCFC-22 at retail-gate per kg of product]]*'Summary pivot'!$D$7</f>
        <v>0</v>
      </c>
    </row>
    <row r="134" spans="1:16" ht="30">
      <c r="A134" s="52" t="s">
        <v>7</v>
      </c>
      <c r="B134" s="52" t="s">
        <v>86</v>
      </c>
      <c r="C134" t="s">
        <v>120</v>
      </c>
      <c r="D134" t="s">
        <v>121</v>
      </c>
      <c r="E134" s="5">
        <f>'Vegetables, roots, legumes'!C204</f>
        <v>1</v>
      </c>
      <c r="F134" s="750" t="str">
        <f>'Summary pivot'!$C$1</f>
        <v>GWP100 with fb AR6</v>
      </c>
      <c r="G134" s="188">
        <f>Table1[[#This Row],[kg CO2 at retail-gate per kg of product]]+Table1[[#This Row],[Kg CO2e from CH4 fossil]]+Table1[[#This Row],[Kg CO2e from N2O]]</f>
        <v>0.52056495164696526</v>
      </c>
      <c r="H134" s="188">
        <f>'Vegetables, roots, legumes'!H205</f>
        <v>0.39579092969138691</v>
      </c>
      <c r="I134" s="188">
        <f>'Vegetables, roots, legumes'!H206</f>
        <v>8.4060736358097956E-5</v>
      </c>
      <c r="J134" s="188">
        <v>0</v>
      </c>
      <c r="K134" s="188">
        <f>'Vegetables, roots, legumes'!H207</f>
        <v>4.4787183887218685E-4</v>
      </c>
      <c r="L134" s="188">
        <v>0</v>
      </c>
      <c r="M134" s="188">
        <f>Table1[[#This Row],[kg CH4 fossil at retail-gate per kg of product]]*'Summary pivot'!$D$5</f>
        <v>2.5050099434713192E-3</v>
      </c>
      <c r="N134" s="188">
        <f>Table1[[#This Row],[kg CH4 bio at retail-gate per kg of product]]*'Summary pivot'!$D$4</f>
        <v>0</v>
      </c>
      <c r="O134" s="188">
        <f>Table1[[#This Row],[kg N2O at retail-gate per kg of product]]*'Summary pivot'!$D$6</f>
        <v>0.12226901201210701</v>
      </c>
      <c r="P134" s="188">
        <f>Table1[[#This Row],[kg HCFC-22 at retail-gate per kg of product]]*'Summary pivot'!$D$7</f>
        <v>0</v>
      </c>
    </row>
    <row r="135" spans="1:16" ht="30">
      <c r="A135" s="52" t="s">
        <v>7</v>
      </c>
      <c r="B135" s="52" t="s">
        <v>86</v>
      </c>
      <c r="C135" t="s">
        <v>122</v>
      </c>
      <c r="D135" t="s">
        <v>121</v>
      </c>
      <c r="E135" s="5">
        <f>'Vegetables, roots, legumes'!C208</f>
        <v>0.42</v>
      </c>
      <c r="F135" s="750" t="str">
        <f>'Summary pivot'!$C$1</f>
        <v>GWP100 with fb AR6</v>
      </c>
      <c r="G135" s="188">
        <f>Table1[[#This Row],[kg CO2 at retail-gate per kg of product]]+Table1[[#This Row],[Kg CO2e from CH4 fossil]]+Table1[[#This Row],[Kg CO2e from N2O]]</f>
        <v>0.4310810101606084</v>
      </c>
      <c r="H135" s="188">
        <f>'Vegetables, roots, legumes'!H209</f>
        <v>0.27415518495712993</v>
      </c>
      <c r="I135" s="188">
        <f>'Vegetables, roots, legumes'!H210</f>
        <v>6.9249765529233687E-5</v>
      </c>
      <c r="J135" s="188">
        <v>0</v>
      </c>
      <c r="K135" s="188">
        <f>'Vegetables, roots, legumes'!H211</f>
        <v>5.6726074062530131E-4</v>
      </c>
      <c r="L135" s="188">
        <v>0</v>
      </c>
      <c r="M135" s="188">
        <f>Table1[[#This Row],[kg CH4 fossil at retail-gate per kg of product]]*'Summary pivot'!$D$5</f>
        <v>2.0636430127711639E-3</v>
      </c>
      <c r="N135" s="188">
        <f>Table1[[#This Row],[kg CH4 bio at retail-gate per kg of product]]*'Summary pivot'!$D$4</f>
        <v>0</v>
      </c>
      <c r="O135" s="188">
        <f>Table1[[#This Row],[kg N2O at retail-gate per kg of product]]*'Summary pivot'!$D$6</f>
        <v>0.15486218219070727</v>
      </c>
      <c r="P135" s="188">
        <f>Table1[[#This Row],[kg HCFC-22 at retail-gate per kg of product]]*'Summary pivot'!$D$7</f>
        <v>0</v>
      </c>
    </row>
    <row r="136" spans="1:16" ht="30">
      <c r="A136" s="52" t="s">
        <v>7</v>
      </c>
      <c r="B136" s="52" t="s">
        <v>86</v>
      </c>
      <c r="C136" t="s">
        <v>130</v>
      </c>
      <c r="D136" t="s">
        <v>121</v>
      </c>
      <c r="E136" s="5">
        <f>'Vegetables, roots, legumes'!C212</f>
        <v>0.27</v>
      </c>
      <c r="F136" s="750" t="str">
        <f>'Summary pivot'!$C$1</f>
        <v>GWP100 with fb AR6</v>
      </c>
      <c r="G136" s="188">
        <f>Table1[[#This Row],[kg CO2 at retail-gate per kg of product]]+Table1[[#This Row],[Kg CO2e from CH4 fossil]]+Table1[[#This Row],[Kg CO2e from N2O]]</f>
        <v>0.57619046500518623</v>
      </c>
      <c r="H136" s="188">
        <f>'Vegetables, roots, legumes'!H213</f>
        <v>0.50924671194226701</v>
      </c>
      <c r="I136" s="188">
        <f>'Vegetables, roots, legumes'!H214</f>
        <v>8.8349418943181813E-5</v>
      </c>
      <c r="J136" s="188">
        <v>0</v>
      </c>
      <c r="K136" s="188">
        <f>'Vegetables, roots, legumes'!H215</f>
        <v>2.3557121017733516E-4</v>
      </c>
      <c r="L136" s="188">
        <v>0</v>
      </c>
      <c r="M136" s="188">
        <f>Table1[[#This Row],[kg CH4 fossil at retail-gate per kg of product]]*'Summary pivot'!$D$5</f>
        <v>2.632812684506818E-3</v>
      </c>
      <c r="N136" s="188">
        <f>Table1[[#This Row],[kg CH4 bio at retail-gate per kg of product]]*'Summary pivot'!$D$4</f>
        <v>0</v>
      </c>
      <c r="O136" s="188">
        <f>Table1[[#This Row],[kg N2O at retail-gate per kg of product]]*'Summary pivot'!$D$6</f>
        <v>6.4310940378412493E-2</v>
      </c>
      <c r="P136" s="188">
        <f>Table1[[#This Row],[kg HCFC-22 at retail-gate per kg of product]]*'Summary pivot'!$D$7</f>
        <v>0</v>
      </c>
    </row>
    <row r="137" spans="1:16" ht="30">
      <c r="A137" s="52" t="s">
        <v>7</v>
      </c>
      <c r="B137" s="52" t="s">
        <v>86</v>
      </c>
      <c r="C137" t="s">
        <v>161</v>
      </c>
      <c r="D137" t="s">
        <v>121</v>
      </c>
      <c r="E137" s="5">
        <f>'Vegetables, roots, legumes'!C216</f>
        <v>0.14000000000000001</v>
      </c>
      <c r="F137" s="750" t="str">
        <f>'Summary pivot'!$C$1</f>
        <v>GWP100 with fb AR6</v>
      </c>
      <c r="G137" s="188">
        <f>Table1[[#This Row],[kg CO2 at retail-gate per kg of product]]+Table1[[#This Row],[Kg CO2e from CH4 fossil]]+Table1[[#This Row],[Kg CO2e from N2O]]</f>
        <v>0.54195316326205689</v>
      </c>
      <c r="H137" s="188">
        <f>'Vegetables, roots, legumes'!H217</f>
        <v>0.39619188152074125</v>
      </c>
      <c r="I137" s="188">
        <f>'Vegetables, roots, legumes'!H218</f>
        <v>1.0034852958090961E-4</v>
      </c>
      <c r="J137" s="188">
        <v>0</v>
      </c>
      <c r="K137" s="188">
        <f>'Vegetables, roots, legumes'!H219</f>
        <v>5.2297031340587763E-4</v>
      </c>
      <c r="L137" s="188">
        <v>0</v>
      </c>
      <c r="M137" s="188">
        <f>Table1[[#This Row],[kg CH4 fossil at retail-gate per kg of product]]*'Summary pivot'!$D$5</f>
        <v>2.9903861815111063E-3</v>
      </c>
      <c r="N137" s="188">
        <f>Table1[[#This Row],[kg CH4 bio at retail-gate per kg of product]]*'Summary pivot'!$D$4</f>
        <v>0</v>
      </c>
      <c r="O137" s="188">
        <f>Table1[[#This Row],[kg N2O at retail-gate per kg of product]]*'Summary pivot'!$D$6</f>
        <v>0.1427708955598046</v>
      </c>
      <c r="P137" s="188">
        <f>Table1[[#This Row],[kg HCFC-22 at retail-gate per kg of product]]*'Summary pivot'!$D$7</f>
        <v>0</v>
      </c>
    </row>
    <row r="138" spans="1:16" ht="30">
      <c r="A138" s="52" t="s">
        <v>7</v>
      </c>
      <c r="B138" s="52" t="s">
        <v>86</v>
      </c>
      <c r="C138" t="s">
        <v>125</v>
      </c>
      <c r="D138" t="s">
        <v>121</v>
      </c>
      <c r="E138" s="5">
        <f>'Vegetables, roots, legumes'!C220</f>
        <v>0.17</v>
      </c>
      <c r="F138" s="750" t="str">
        <f>'Summary pivot'!$C$1</f>
        <v>GWP100 with fb AR6</v>
      </c>
      <c r="G138" s="188">
        <f>Table1[[#This Row],[kg CO2 at retail-gate per kg of product]]+Table1[[#This Row],[Kg CO2e from CH4 fossil]]+Table1[[#This Row],[Kg CO2e from N2O]]</f>
        <v>0.63568269983189096</v>
      </c>
      <c r="H138" s="188">
        <f>'Vegetables, roots, legumes'!H221</f>
        <v>0.51577809630633231</v>
      </c>
      <c r="I138" s="188">
        <f>'Vegetables, roots, legumes'!H222</f>
        <v>1.0042763282254931E-4</v>
      </c>
      <c r="J138" s="188">
        <v>0</v>
      </c>
      <c r="K138" s="188">
        <f>'Vegetables, roots, legumes'!H223</f>
        <v>4.2824857167562876E-4</v>
      </c>
      <c r="L138" s="188">
        <v>0</v>
      </c>
      <c r="M138" s="188">
        <f>Table1[[#This Row],[kg CH4 fossil at retail-gate per kg of product]]*'Summary pivot'!$D$5</f>
        <v>2.9927434581119693E-3</v>
      </c>
      <c r="N138" s="188">
        <f>Table1[[#This Row],[kg CH4 bio at retail-gate per kg of product]]*'Summary pivot'!$D$4</f>
        <v>0</v>
      </c>
      <c r="O138" s="188">
        <f>Table1[[#This Row],[kg N2O at retail-gate per kg of product]]*'Summary pivot'!$D$6</f>
        <v>0.11691186006744665</v>
      </c>
      <c r="P138" s="188">
        <f>Table1[[#This Row],[kg HCFC-22 at retail-gate per kg of product]]*'Summary pivot'!$D$7</f>
        <v>0</v>
      </c>
    </row>
    <row r="139" spans="1:16" ht="30">
      <c r="A139" s="52" t="s">
        <v>7</v>
      </c>
      <c r="B139" s="52" t="s">
        <v>90</v>
      </c>
      <c r="C139" t="s">
        <v>122</v>
      </c>
      <c r="D139" t="s">
        <v>121</v>
      </c>
      <c r="E139" s="5">
        <f>'Vegetables, roots, legumes'!C225</f>
        <v>1</v>
      </c>
      <c r="F139" s="750" t="str">
        <f>'Summary pivot'!$C$1</f>
        <v>GWP100 with fb AR6</v>
      </c>
      <c r="G139" s="188">
        <f>Table1[[#This Row],[kg CO2 at retail-gate per kg of product]]+Table1[[#This Row],[Kg CO2e from CH4 fossil]]+Table1[[#This Row],[Kg CO2e from N2O]]</f>
        <v>0.57291252529912928</v>
      </c>
      <c r="H139" s="188">
        <f>'Vegetables, roots, legumes'!H226</f>
        <v>0.51101220325146979</v>
      </c>
      <c r="I139" s="188">
        <f>'Vegetables, roots, legumes'!H227</f>
        <v>5.1147490227950007E-5</v>
      </c>
      <c r="J139" s="188">
        <v>0</v>
      </c>
      <c r="K139" s="188">
        <f>'Vegetables, roots, legumes'!H228</f>
        <v>2.2115797376874214E-4</v>
      </c>
      <c r="L139" s="188">
        <v>0</v>
      </c>
      <c r="M139" s="188">
        <f>Table1[[#This Row],[kg CH4 fossil at retail-gate per kg of product]]*'Summary pivot'!$D$5</f>
        <v>1.5241952087929102E-3</v>
      </c>
      <c r="N139" s="188">
        <f>Table1[[#This Row],[kg CH4 bio at retail-gate per kg of product]]*'Summary pivot'!$D$4</f>
        <v>0</v>
      </c>
      <c r="O139" s="188">
        <f>Table1[[#This Row],[kg N2O at retail-gate per kg of product]]*'Summary pivot'!$D$6</f>
        <v>6.0376126838866603E-2</v>
      </c>
      <c r="P139" s="188">
        <f>Table1[[#This Row],[kg HCFC-22 at retail-gate per kg of product]]*'Summary pivot'!$D$7</f>
        <v>0</v>
      </c>
    </row>
    <row r="140" spans="1:16" ht="30">
      <c r="A140" s="52" t="s">
        <v>7</v>
      </c>
      <c r="B140" s="52" t="s">
        <v>94</v>
      </c>
      <c r="C140" t="s">
        <v>120</v>
      </c>
      <c r="D140" t="s">
        <v>121</v>
      </c>
      <c r="E140" s="5">
        <f>'Vegetables, roots, legumes'!C230</f>
        <v>1</v>
      </c>
      <c r="F140" s="750" t="str">
        <f>'Summary pivot'!$C$1</f>
        <v>GWP100 with fb AR6</v>
      </c>
      <c r="G140" s="188">
        <f>Table1[[#This Row],[kg CO2 at retail-gate per kg of product]]+Table1[[#This Row],[Kg CO2e from CH4 fossil]]+Table1[[#This Row],[Kg CO2e from N2O]]</f>
        <v>1.0060066670198833</v>
      </c>
      <c r="H140" s="188">
        <f>'Vegetables, roots, legumes'!H231</f>
        <v>0.79301648183078854</v>
      </c>
      <c r="I140" s="188">
        <f>'Vegetables, roots, legumes'!H232</f>
        <v>2.0020487107055352E-4</v>
      </c>
      <c r="J140" s="188">
        <v>0</v>
      </c>
      <c r="K140" s="188">
        <f>'Vegetables, roots, legumes'!H233</f>
        <v>7.5832996348422044E-4</v>
      </c>
      <c r="L140" s="188">
        <v>0</v>
      </c>
      <c r="M140" s="188">
        <f>Table1[[#This Row],[kg CH4 fossil at retail-gate per kg of product]]*'Summary pivot'!$D$5</f>
        <v>5.9661051579024951E-3</v>
      </c>
      <c r="N140" s="188">
        <f>Table1[[#This Row],[kg CH4 bio at retail-gate per kg of product]]*'Summary pivot'!$D$4</f>
        <v>0</v>
      </c>
      <c r="O140" s="188">
        <f>Table1[[#This Row],[kg N2O at retail-gate per kg of product]]*'Summary pivot'!$D$6</f>
        <v>0.20702408003119219</v>
      </c>
      <c r="P140" s="188">
        <f>Table1[[#This Row],[kg HCFC-22 at retail-gate per kg of product]]*'Summary pivot'!$D$7</f>
        <v>0</v>
      </c>
    </row>
    <row r="141" spans="1:16" ht="30">
      <c r="A141" s="52" t="s">
        <v>7</v>
      </c>
      <c r="B141" s="52" t="s">
        <v>94</v>
      </c>
      <c r="C141" t="s">
        <v>122</v>
      </c>
      <c r="D141" t="s">
        <v>121</v>
      </c>
      <c r="E141" s="5">
        <f>'Vegetables, roots, legumes'!C234</f>
        <v>0.14285714290000001</v>
      </c>
      <c r="F141" s="750" t="str">
        <f>'Summary pivot'!$C$1</f>
        <v>GWP100 with fb AR6</v>
      </c>
      <c r="G141" s="188">
        <f>Table1[[#This Row],[kg CO2 at retail-gate per kg of product]]+Table1[[#This Row],[Kg CO2e from CH4 fossil]]+Table1[[#This Row],[Kg CO2e from N2O]]</f>
        <v>0.59364907833916192</v>
      </c>
      <c r="H141" s="188">
        <f>'Vegetables, roots, legumes'!H235</f>
        <v>0.51916691879947907</v>
      </c>
      <c r="I141" s="188">
        <f>'Vegetables, roots, legumes'!H236</f>
        <v>6.0935758434960999E-5</v>
      </c>
      <c r="J141" s="188">
        <v>0</v>
      </c>
      <c r="K141" s="188">
        <f>'Vegetables, roots, legumes'!H237</f>
        <v>2.6617682761289761E-4</v>
      </c>
      <c r="L141" s="188">
        <v>0</v>
      </c>
      <c r="M141" s="188">
        <f>Table1[[#This Row],[kg CH4 fossil at retail-gate per kg of product]]*'Summary pivot'!$D$5</f>
        <v>1.8158856013618379E-3</v>
      </c>
      <c r="N141" s="188">
        <f>Table1[[#This Row],[kg CH4 bio at retail-gate per kg of product]]*'Summary pivot'!$D$4</f>
        <v>0</v>
      </c>
      <c r="O141" s="188">
        <f>Table1[[#This Row],[kg N2O at retail-gate per kg of product]]*'Summary pivot'!$D$6</f>
        <v>7.2666273938321049E-2</v>
      </c>
      <c r="P141" s="188">
        <f>Table1[[#This Row],[kg HCFC-22 at retail-gate per kg of product]]*'Summary pivot'!$D$7</f>
        <v>0</v>
      </c>
    </row>
    <row r="142" spans="1:16" ht="30">
      <c r="A142" s="52" t="s">
        <v>7</v>
      </c>
      <c r="B142" s="52" t="s">
        <v>94</v>
      </c>
      <c r="C142" t="s">
        <v>126</v>
      </c>
      <c r="D142" t="s">
        <v>121</v>
      </c>
      <c r="E142" s="5">
        <f>'Vegetables, roots, legumes'!C238</f>
        <v>0.45156544984393371</v>
      </c>
      <c r="F142" s="750" t="str">
        <f>'Summary pivot'!$C$1</f>
        <v>GWP100 with fb AR6</v>
      </c>
      <c r="G142" s="188">
        <f>Table1[[#This Row],[kg CO2 at retail-gate per kg of product]]+Table1[[#This Row],[Kg CO2e from CH4 fossil]]+Table1[[#This Row],[Kg CO2e from N2O]]</f>
        <v>0.73408102521755758</v>
      </c>
      <c r="H142" s="188">
        <f>'Vegetables, roots, legumes'!H239</f>
        <v>0.62213936075293574</v>
      </c>
      <c r="I142" s="188">
        <f>'Vegetables, roots, legumes'!H240</f>
        <v>6.9580738061309519E-5</v>
      </c>
      <c r="J142" s="188">
        <v>0</v>
      </c>
      <c r="K142" s="188">
        <f>'Vegetables, roots, legumes'!H241</f>
        <v>4.0244746692452314E-4</v>
      </c>
      <c r="L142" s="188">
        <v>0</v>
      </c>
      <c r="M142" s="188">
        <f>Table1[[#This Row],[kg CH4 fossil at retail-gate per kg of product]]*'Summary pivot'!$D$5</f>
        <v>2.0735059942270239E-3</v>
      </c>
      <c r="N142" s="188">
        <f>Table1[[#This Row],[kg CH4 bio at retail-gate per kg of product]]*'Summary pivot'!$D$4</f>
        <v>0</v>
      </c>
      <c r="O142" s="188">
        <f>Table1[[#This Row],[kg N2O at retail-gate per kg of product]]*'Summary pivot'!$D$6</f>
        <v>0.10986815847039481</v>
      </c>
      <c r="P142" s="188">
        <f>Table1[[#This Row],[kg HCFC-22 at retail-gate per kg of product]]*'Summary pivot'!$D$7</f>
        <v>0</v>
      </c>
    </row>
    <row r="143" spans="1:16" ht="30">
      <c r="A143" s="52" t="s">
        <v>7</v>
      </c>
      <c r="B143" s="52" t="s">
        <v>94</v>
      </c>
      <c r="C143" t="s">
        <v>127</v>
      </c>
      <c r="D143" t="s">
        <v>121</v>
      </c>
      <c r="E143" s="5">
        <f>'Vegetables, roots, legumes'!C242</f>
        <v>0.1400984531628944</v>
      </c>
      <c r="F143" s="750" t="str">
        <f>'Summary pivot'!$C$1</f>
        <v>GWP100 with fb AR6</v>
      </c>
      <c r="G143" s="188">
        <f>Table1[[#This Row],[kg CO2 at retail-gate per kg of product]]+Table1[[#This Row],[Kg CO2e from CH4 fossil]]+Table1[[#This Row],[Kg CO2e from N2O]]</f>
        <v>0.64847776461018336</v>
      </c>
      <c r="H143" s="188">
        <f>'Vegetables, roots, legumes'!H243</f>
        <v>0.53566690036329856</v>
      </c>
      <c r="I143" s="188">
        <f>'Vegetables, roots, legumes'!H244</f>
        <v>5.3868796919654975E-5</v>
      </c>
      <c r="J143" s="188">
        <v>0</v>
      </c>
      <c r="K143" s="188">
        <f>'Vegetables, roots, legumes'!H245</f>
        <v>4.073464252698868E-4</v>
      </c>
      <c r="L143" s="188">
        <v>0</v>
      </c>
      <c r="M143" s="188">
        <f>Table1[[#This Row],[kg CH4 fossil at retail-gate per kg of product]]*'Summary pivot'!$D$5</f>
        <v>1.6052901482057182E-3</v>
      </c>
      <c r="N143" s="188">
        <f>Table1[[#This Row],[kg CH4 bio at retail-gate per kg of product]]*'Summary pivot'!$D$4</f>
        <v>0</v>
      </c>
      <c r="O143" s="188">
        <f>Table1[[#This Row],[kg N2O at retail-gate per kg of product]]*'Summary pivot'!$D$6</f>
        <v>0.11120557409867909</v>
      </c>
      <c r="P143" s="188">
        <f>Table1[[#This Row],[kg HCFC-22 at retail-gate per kg of product]]*'Summary pivot'!$D$7</f>
        <v>0</v>
      </c>
    </row>
    <row r="144" spans="1:16" ht="30">
      <c r="A144" s="52" t="s">
        <v>7</v>
      </c>
      <c r="B144" s="52" t="s">
        <v>94</v>
      </c>
      <c r="C144" t="s">
        <v>134</v>
      </c>
      <c r="D144" t="s">
        <v>121</v>
      </c>
      <c r="E144" s="5">
        <f>'Vegetables, roots, legumes'!C246</f>
        <v>0.2654789540931719</v>
      </c>
      <c r="F144" s="750" t="str">
        <f>'Summary pivot'!$C$1</f>
        <v>GWP100 with fb AR6</v>
      </c>
      <c r="G144" s="188">
        <f>Table1[[#This Row],[kg CO2 at retail-gate per kg of product]]+Table1[[#This Row],[Kg CO2e from CH4 fossil]]+Table1[[#This Row],[Kg CO2e from N2O]]</f>
        <v>1.8791067540569399</v>
      </c>
      <c r="H144" s="188">
        <f>'Vegetables, roots, legumes'!H247</f>
        <v>1.366839175281934</v>
      </c>
      <c r="I144" s="188">
        <f>'Vegetables, roots, legumes'!H248</f>
        <v>5.7455616711989913E-4</v>
      </c>
      <c r="J144" s="188">
        <v>0</v>
      </c>
      <c r="K144" s="188">
        <f>'Vegetables, roots, legumes'!H249</f>
        <v>1.8137208974169704E-3</v>
      </c>
      <c r="L144" s="188">
        <v>0</v>
      </c>
      <c r="M144" s="188">
        <f>Table1[[#This Row],[kg CH4 fossil at retail-gate per kg of product]]*'Summary pivot'!$D$5</f>
        <v>1.7121773780172996E-2</v>
      </c>
      <c r="N144" s="188">
        <f>Table1[[#This Row],[kg CH4 bio at retail-gate per kg of product]]*'Summary pivot'!$D$4</f>
        <v>0</v>
      </c>
      <c r="O144" s="188">
        <f>Table1[[#This Row],[kg N2O at retail-gate per kg of product]]*'Summary pivot'!$D$6</f>
        <v>0.49514580499483291</v>
      </c>
      <c r="P144" s="188">
        <f>Table1[[#This Row],[kg HCFC-22 at retail-gate per kg of product]]*'Summary pivot'!$D$7</f>
        <v>0</v>
      </c>
    </row>
    <row r="145" spans="1:16" ht="30">
      <c r="A145" s="52" t="s">
        <v>6</v>
      </c>
      <c r="B145" s="52" t="s">
        <v>162</v>
      </c>
      <c r="C145" s="52" t="s">
        <v>163</v>
      </c>
      <c r="D145" t="s">
        <v>121</v>
      </c>
      <c r="E145" s="5">
        <f>'Grains, oil crops, sugar'!C10</f>
        <v>0.99999999999999978</v>
      </c>
      <c r="F145" s="750" t="str">
        <f>'Summary pivot'!$C$1</f>
        <v>GWP100 with fb AR6</v>
      </c>
      <c r="G145" s="188">
        <f>Table1[[#This Row],[kg CO2 at retail-gate per kg of product]]+Table1[[#This Row],[Kg CO2e from CH4 fossil]]+Table1[[#This Row],[Kg CO2e from N2O]]</f>
        <v>0.95588877536174377</v>
      </c>
      <c r="H145" s="188">
        <f>'Grains, oil crops, sugar'!H11</f>
        <v>0.64712239690592077</v>
      </c>
      <c r="I145" s="188">
        <f>'Grains, oil crops, sugar'!H12</f>
        <v>1.5542727348630703E-4</v>
      </c>
      <c r="J145" s="188">
        <v>0</v>
      </c>
      <c r="K145" s="188">
        <f>'Grains, oil crops, sugar'!H13</f>
        <v>1.1140463212671468E-3</v>
      </c>
      <c r="L145" s="188">
        <v>0</v>
      </c>
      <c r="M145" s="188">
        <f>Table1[[#This Row],[kg CH4 fossil at retail-gate per kg of product]]*'Summary pivot'!$D$5</f>
        <v>4.6317327498919501E-3</v>
      </c>
      <c r="N145" s="188">
        <f>Table1[[#This Row],[kg CH4 bio at retail-gate per kg of product]]*'Summary pivot'!$D$4</f>
        <v>0</v>
      </c>
      <c r="O145" s="188">
        <f>Table1[[#This Row],[kg N2O at retail-gate per kg of product]]*'Summary pivot'!$D$6</f>
        <v>0.30413464570593107</v>
      </c>
      <c r="P145" s="188">
        <f>Table1[[#This Row],[kg HCFC-22 at retail-gate per kg of product]]*'Summary pivot'!$D$7</f>
        <v>0</v>
      </c>
    </row>
    <row r="146" spans="1:16" ht="30">
      <c r="A146" s="52" t="s">
        <v>6</v>
      </c>
      <c r="B146" s="52" t="s">
        <v>33</v>
      </c>
      <c r="C146" s="52" t="s">
        <v>164</v>
      </c>
      <c r="D146" t="s">
        <v>121</v>
      </c>
      <c r="E146" s="5">
        <f>E147+E148</f>
        <v>0.34177640988310881</v>
      </c>
      <c r="F146" s="750" t="str">
        <f>'Summary pivot'!$C$1</f>
        <v>GWP100 with fb AR6</v>
      </c>
      <c r="G146" s="188">
        <f>Table1[[#This Row],[kg CO2 at retail-gate per kg of product]]+Table1[[#This Row],[Kg CO2e from CH4 fossil]]+Table1[[#This Row],[Kg CO2e from N2O]]</f>
        <v>1.0057102702501111</v>
      </c>
      <c r="H146" s="188">
        <f>'Grains, oil crops, sugar'!H16</f>
        <v>0.65866800861362307</v>
      </c>
      <c r="I146" s="188">
        <f>'Grains, oil crops, sugar'!H17</f>
        <v>1.7207478617532241E-4</v>
      </c>
      <c r="J146" s="188">
        <v>0</v>
      </c>
      <c r="K146" s="188">
        <f>'Grains, oil crops, sugar'!H18</f>
        <v>1.2524338205438215E-3</v>
      </c>
      <c r="L146" s="188">
        <v>0</v>
      </c>
      <c r="M146" s="188">
        <f>Table1[[#This Row],[kg CH4 fossil at retail-gate per kg of product]]*'Summary pivot'!$D$5</f>
        <v>5.1278286280246081E-3</v>
      </c>
      <c r="N146" s="188">
        <f>Table1[[#This Row],[kg CH4 bio at retail-gate per kg of product]]*'Summary pivot'!$D$4</f>
        <v>0</v>
      </c>
      <c r="O146" s="188">
        <f>Table1[[#This Row],[kg N2O at retail-gate per kg of product]]*'Summary pivot'!$D$6</f>
        <v>0.3419144330084633</v>
      </c>
      <c r="P146" s="188">
        <f>Table1[[#This Row],[kg HCFC-22 at retail-gate per kg of product]]*'Summary pivot'!$D$7</f>
        <v>0</v>
      </c>
    </row>
    <row r="147" spans="1:16" ht="30">
      <c r="A147" s="52" t="s">
        <v>6</v>
      </c>
      <c r="B147" s="52" t="s">
        <v>165</v>
      </c>
      <c r="C147" t="s">
        <v>122</v>
      </c>
      <c r="D147" t="s">
        <v>121</v>
      </c>
      <c r="E147" s="5">
        <f>'Grains, oil crops, sugar'!C20</f>
        <v>0.20899264366725692</v>
      </c>
      <c r="F147" s="750" t="str">
        <f>'Summary pivot'!$C$1</f>
        <v>GWP100 with fb AR6</v>
      </c>
      <c r="G147" s="188">
        <f>Table1[[#This Row],[kg CO2 at retail-gate per kg of product]]+Table1[[#This Row],[Kg CO2e from CH4 fossil]]+Table1[[#This Row],[Kg CO2e from N2O]]</f>
        <v>0.98743822207048848</v>
      </c>
      <c r="H147" s="188">
        <f>'Grains, oil crops, sugar'!H21</f>
        <v>0.64945788386068315</v>
      </c>
      <c r="I147" s="188">
        <f>'Grains, oil crops, sugar'!H22</f>
        <v>1.6749269601834348E-4</v>
      </c>
      <c r="J147" s="188">
        <v>0</v>
      </c>
      <c r="K147" s="188">
        <f>'Grains, oil crops, sugar'!H23</f>
        <v>1.2197401313862959E-3</v>
      </c>
      <c r="L147" s="188">
        <v>0</v>
      </c>
      <c r="M147" s="188">
        <f>Table1[[#This Row],[kg CH4 fossil at retail-gate per kg of product]]*'Summary pivot'!$D$5</f>
        <v>4.9912823413466355E-3</v>
      </c>
      <c r="N147" s="188">
        <f>Table1[[#This Row],[kg CH4 bio at retail-gate per kg of product]]*'Summary pivot'!$D$4</f>
        <v>0</v>
      </c>
      <c r="O147" s="188">
        <f>Table1[[#This Row],[kg N2O at retail-gate per kg of product]]*'Summary pivot'!$D$6</f>
        <v>0.33298905586845878</v>
      </c>
      <c r="P147" s="188">
        <f>Table1[[#This Row],[kg HCFC-22 at retail-gate per kg of product]]*'Summary pivot'!$D$7</f>
        <v>0</v>
      </c>
    </row>
    <row r="148" spans="1:16" ht="30">
      <c r="A148" s="52" t="s">
        <v>6</v>
      </c>
      <c r="B148" s="52" t="s">
        <v>166</v>
      </c>
      <c r="C148" t="s">
        <v>122</v>
      </c>
      <c r="D148" t="s">
        <v>121</v>
      </c>
      <c r="E148" s="5">
        <f>'Grains, oil crops, sugar'!C25</f>
        <v>0.13278376621585189</v>
      </c>
      <c r="F148" s="750" t="str">
        <f>'Summary pivot'!$C$1</f>
        <v>GWP100 with fb AR6</v>
      </c>
      <c r="G148" s="188">
        <f>Table1[[#This Row],[kg CO2 at retail-gate per kg of product]]+Table1[[#This Row],[Kg CO2e from CH4 fossil]]+Table1[[#This Row],[Kg CO2e from N2O]]</f>
        <v>1.0344692350174387</v>
      </c>
      <c r="H148" s="188">
        <f>'Grains, oil crops, sugar'!H26</f>
        <v>0.67316412041612406</v>
      </c>
      <c r="I148" s="188">
        <f>'Grains, oil crops, sugar'!H27</f>
        <v>1.7928668536089037E-4</v>
      </c>
      <c r="J148" s="188">
        <v>0</v>
      </c>
      <c r="K148" s="188">
        <f>'Grains, oil crops, sugar'!H28</f>
        <v>1.3038914702474729E-3</v>
      </c>
      <c r="L148" s="188">
        <v>0</v>
      </c>
      <c r="M148" s="188">
        <f>Table1[[#This Row],[kg CH4 fossil at retail-gate per kg of product]]*'Summary pivot'!$D$5</f>
        <v>5.3427432237545336E-3</v>
      </c>
      <c r="N148" s="188">
        <f>Table1[[#This Row],[kg CH4 bio at retail-gate per kg of product]]*'Summary pivot'!$D$4</f>
        <v>0</v>
      </c>
      <c r="O148" s="188">
        <f>Table1[[#This Row],[kg N2O at retail-gate per kg of product]]*'Summary pivot'!$D$6</f>
        <v>0.35596237137756009</v>
      </c>
      <c r="P148" s="188">
        <f>Table1[[#This Row],[kg HCFC-22 at retail-gate per kg of product]]*'Summary pivot'!$D$7</f>
        <v>0</v>
      </c>
    </row>
    <row r="149" spans="1:16" ht="30">
      <c r="A149" s="52" t="s">
        <v>6</v>
      </c>
      <c r="B149" s="52" t="s">
        <v>40</v>
      </c>
      <c r="C149" t="s">
        <v>122</v>
      </c>
      <c r="D149" t="s">
        <v>121</v>
      </c>
      <c r="E149" s="5">
        <f>'Grains, oil crops, sugar'!C30</f>
        <v>0.19348621637462843</v>
      </c>
      <c r="F149" s="750" t="str">
        <f>'Summary pivot'!$C$1</f>
        <v>GWP100 with fb AR6</v>
      </c>
      <c r="G149" s="188">
        <f>Table1[[#This Row],[kg CO2 at retail-gate per kg of product]]+Table1[[#This Row],[Kg CO2e from CH4 fossil]]+Table1[[#This Row],[Kg CO2e from N2O]]</f>
        <v>0.88360353241806799</v>
      </c>
      <c r="H149" s="188">
        <f>'Grains, oil crops, sugar'!H31</f>
        <v>0.62619591081043846</v>
      </c>
      <c r="I149" s="188">
        <f>'Grains, oil crops, sugar'!H32</f>
        <v>1.3445607002378508E-4</v>
      </c>
      <c r="J149" s="188">
        <v>0</v>
      </c>
      <c r="K149" s="188">
        <f>'Grains, oil crops, sugar'!H33</f>
        <v>9.2820817113890407E-4</v>
      </c>
      <c r="L149" s="188">
        <v>0</v>
      </c>
      <c r="M149" s="188">
        <f>Table1[[#This Row],[kg CH4 fossil at retail-gate per kg of product]]*'Summary pivot'!$D$5</f>
        <v>4.0067908867087955E-3</v>
      </c>
      <c r="N149" s="188">
        <f>Table1[[#This Row],[kg CH4 bio at retail-gate per kg of product]]*'Summary pivot'!$D$4</f>
        <v>0</v>
      </c>
      <c r="O149" s="188">
        <f>Table1[[#This Row],[kg N2O at retail-gate per kg of product]]*'Summary pivot'!$D$6</f>
        <v>0.25340083072092079</v>
      </c>
      <c r="P149" s="188">
        <f>Table1[[#This Row],[kg HCFC-22 at retail-gate per kg of product]]*'Summary pivot'!$D$7</f>
        <v>0</v>
      </c>
    </row>
    <row r="150" spans="1:16" ht="30">
      <c r="A150" s="52" t="s">
        <v>6</v>
      </c>
      <c r="B150" s="52" t="s">
        <v>47</v>
      </c>
      <c r="C150" s="52" t="s">
        <v>167</v>
      </c>
      <c r="D150" t="s">
        <v>121</v>
      </c>
      <c r="E150" s="5">
        <f>E151+E152</f>
        <v>0.33433150493850516</v>
      </c>
      <c r="F150" s="750" t="str">
        <f>'Summary pivot'!$C$1</f>
        <v>GWP100 with fb AR6</v>
      </c>
      <c r="G150" s="188">
        <f>Table1[[#This Row],[kg CO2 at retail-gate per kg of product]]+Table1[[#This Row],[Kg CO2e from CH4 fossil]]+Table1[[#This Row],[Kg CO2e from N2O]]</f>
        <v>0.95643441659405415</v>
      </c>
      <c r="H150" s="188">
        <f>'Grains, oil crops, sugar'!H36</f>
        <v>0.64627317843229759</v>
      </c>
      <c r="I150" s="188">
        <f>'Grains, oil crops, sugar'!H37</f>
        <v>1.5369208247385804E-4</v>
      </c>
      <c r="J150" s="188">
        <v>0</v>
      </c>
      <c r="K150" s="188">
        <f>'Grains, oil crops, sugar'!H38</f>
        <v>1.119345106608189E-3</v>
      </c>
      <c r="L150" s="188">
        <v>0</v>
      </c>
      <c r="M150" s="188">
        <f>Table1[[#This Row],[kg CH4 fossil at retail-gate per kg of product]]*'Summary pivot'!$D$5</f>
        <v>4.5800240577209697E-3</v>
      </c>
      <c r="N150" s="188">
        <f>Table1[[#This Row],[kg CH4 bio at retail-gate per kg of product]]*'Summary pivot'!$D$4</f>
        <v>0</v>
      </c>
      <c r="O150" s="188">
        <f>Table1[[#This Row],[kg N2O at retail-gate per kg of product]]*'Summary pivot'!$D$6</f>
        <v>0.3055812141040356</v>
      </c>
      <c r="P150" s="188">
        <f>Table1[[#This Row],[kg HCFC-22 at retail-gate per kg of product]]*'Summary pivot'!$D$7</f>
        <v>0</v>
      </c>
    </row>
    <row r="151" spans="1:16" ht="30">
      <c r="A151" s="52" t="s">
        <v>6</v>
      </c>
      <c r="B151" s="52" t="s">
        <v>168</v>
      </c>
      <c r="C151" t="s">
        <v>122</v>
      </c>
      <c r="D151" t="s">
        <v>121</v>
      </c>
      <c r="E151" s="5">
        <f>'Grains, oil crops, sugar'!C40</f>
        <v>0.18527174967850224</v>
      </c>
      <c r="F151" s="750" t="str">
        <f>'Summary pivot'!$C$1</f>
        <v>GWP100 with fb AR6</v>
      </c>
      <c r="G151" s="188">
        <f>Table1[[#This Row],[kg CO2 at retail-gate per kg of product]]+Table1[[#This Row],[Kg CO2e from CH4 fossil]]+Table1[[#This Row],[Kg CO2e from N2O]]</f>
        <v>0.96113962702041777</v>
      </c>
      <c r="H151" s="188">
        <f>'Grains, oil crops, sugar'!H41</f>
        <v>0.64451535827972983</v>
      </c>
      <c r="I151" s="188">
        <f>'Grains, oil crops, sugar'!H42</f>
        <v>1.5563685641099606E-4</v>
      </c>
      <c r="J151" s="188">
        <v>0</v>
      </c>
      <c r="K151" s="188">
        <f>'Grains, oil crops, sugar'!H43</f>
        <v>1.1428069246140669E-3</v>
      </c>
      <c r="L151" s="188">
        <v>0</v>
      </c>
      <c r="M151" s="188">
        <f>Table1[[#This Row],[kg CH4 fossil at retail-gate per kg of product]]*'Summary pivot'!$D$5</f>
        <v>4.6379783210476824E-3</v>
      </c>
      <c r="N151" s="188">
        <f>Table1[[#This Row],[kg CH4 bio at retail-gate per kg of product]]*'Summary pivot'!$D$4</f>
        <v>0</v>
      </c>
      <c r="O151" s="188">
        <f>Table1[[#This Row],[kg N2O at retail-gate per kg of product]]*'Summary pivot'!$D$6</f>
        <v>0.31198629041964027</v>
      </c>
      <c r="P151" s="188">
        <f>Table1[[#This Row],[kg HCFC-22 at retail-gate per kg of product]]*'Summary pivot'!$D$7</f>
        <v>0</v>
      </c>
    </row>
    <row r="152" spans="1:16" ht="30">
      <c r="A152" s="52" t="s">
        <v>6</v>
      </c>
      <c r="B152" s="52" t="s">
        <v>169</v>
      </c>
      <c r="C152" t="s">
        <v>122</v>
      </c>
      <c r="D152" t="s">
        <v>121</v>
      </c>
      <c r="E152" s="5">
        <f>'Grains, oil crops, sugar'!C45</f>
        <v>0.14905975526000295</v>
      </c>
      <c r="F152" s="750" t="str">
        <f>'Summary pivot'!$C$1</f>
        <v>GWP100 with fb AR6</v>
      </c>
      <c r="G152" s="188">
        <f>Table1[[#This Row],[kg CO2 at retail-gate per kg of product]]+Table1[[#This Row],[Kg CO2e from CH4 fossil]]+Table1[[#This Row],[Kg CO2e from N2O]]</f>
        <v>0.95058614073463565</v>
      </c>
      <c r="H152" s="188">
        <f>'Grains, oil crops, sugar'!H46</f>
        <v>0.64845803654318268</v>
      </c>
      <c r="I152" s="188">
        <f>'Grains, oil crops, sugar'!H47</f>
        <v>1.5127485275659314E-4</v>
      </c>
      <c r="J152" s="188">
        <v>0</v>
      </c>
      <c r="K152" s="188">
        <f>'Grains, oil crops, sugar'!H48</f>
        <v>1.0901835662245657E-3</v>
      </c>
      <c r="L152" s="188">
        <v>0</v>
      </c>
      <c r="M152" s="188">
        <f>Table1[[#This Row],[kg CH4 fossil at retail-gate per kg of product]]*'Summary pivot'!$D$5</f>
        <v>4.5079906121464758E-3</v>
      </c>
      <c r="N152" s="188">
        <f>Table1[[#This Row],[kg CH4 bio at retail-gate per kg of product]]*'Summary pivot'!$D$4</f>
        <v>0</v>
      </c>
      <c r="O152" s="188">
        <f>Table1[[#This Row],[kg N2O at retail-gate per kg of product]]*'Summary pivot'!$D$6</f>
        <v>0.29762011357930646</v>
      </c>
      <c r="P152" s="188">
        <f>Table1[[#This Row],[kg HCFC-22 at retail-gate per kg of product]]*'Summary pivot'!$D$7</f>
        <v>0</v>
      </c>
    </row>
    <row r="153" spans="1:16" ht="30">
      <c r="A153" s="52" t="s">
        <v>6</v>
      </c>
      <c r="B153" s="52" t="s">
        <v>53</v>
      </c>
      <c r="C153" t="s">
        <v>122</v>
      </c>
      <c r="D153" t="s">
        <v>121</v>
      </c>
      <c r="E153" s="5">
        <f>'Grains, oil crops, sugar'!C50</f>
        <v>0.13040586880375737</v>
      </c>
      <c r="F153" s="750" t="str">
        <f>'Summary pivot'!$C$1</f>
        <v>GWP100 with fb AR6</v>
      </c>
      <c r="G153" s="188">
        <f>Table1[[#This Row],[kg CO2 at retail-gate per kg of product]]+Table1[[#This Row],[Kg CO2e from CH4 fossil]]+Table1[[#This Row],[Kg CO2e from N2O]]</f>
        <v>0.93116566600330231</v>
      </c>
      <c r="H153" s="188">
        <f>'Grains, oil crops, sugar'!H51</f>
        <v>0.65008920653746094</v>
      </c>
      <c r="I153" s="188">
        <f>'Grains, oil crops, sugar'!H52</f>
        <v>1.4736046409612169E-4</v>
      </c>
      <c r="J153" s="188">
        <v>0</v>
      </c>
      <c r="K153" s="188">
        <f>'Grains, oil crops, sugar'!H53</f>
        <v>1.0134985993984502E-3</v>
      </c>
      <c r="L153" s="188">
        <v>0</v>
      </c>
      <c r="M153" s="188">
        <f>Table1[[#This Row],[kg CH4 fossil at retail-gate per kg of product]]*'Summary pivot'!$D$5</f>
        <v>4.3913418300644269E-3</v>
      </c>
      <c r="N153" s="188">
        <f>Table1[[#This Row],[kg CH4 bio at retail-gate per kg of product]]*'Summary pivot'!$D$4</f>
        <v>0</v>
      </c>
      <c r="O153" s="188">
        <f>Table1[[#This Row],[kg N2O at retail-gate per kg of product]]*'Summary pivot'!$D$6</f>
        <v>0.27668511763577691</v>
      </c>
      <c r="P153" s="188">
        <f>Table1[[#This Row],[kg HCFC-22 at retail-gate per kg of product]]*'Summary pivot'!$D$7</f>
        <v>0</v>
      </c>
    </row>
    <row r="154" spans="1:16" ht="30">
      <c r="A154" s="52" t="s">
        <v>6</v>
      </c>
      <c r="B154" s="52" t="s">
        <v>59</v>
      </c>
      <c r="C154" t="s">
        <v>120</v>
      </c>
      <c r="D154" t="s">
        <v>121</v>
      </c>
      <c r="E154" s="5">
        <f>'Grains, oil crops, sugar'!C55</f>
        <v>1</v>
      </c>
      <c r="F154" s="750" t="str">
        <f>'Summary pivot'!$C$1</f>
        <v>GWP100 with fb AR6</v>
      </c>
      <c r="G154" s="188">
        <f>Table1[[#This Row],[kg CO2 at retail-gate per kg of product]]+Table1[[#This Row],[Kg CO2e from CH4 fossil]]+Table1[[#This Row],[Kg CO2e from N2O]]</f>
        <v>3.5500440417797376</v>
      </c>
      <c r="H154" s="188">
        <f>'Grains, oil crops, sugar'!H56</f>
        <v>1.8336850834683192</v>
      </c>
      <c r="I154" s="188">
        <f>'Grains, oil crops, sugar'!H57</f>
        <v>4.4141002551712265E-2</v>
      </c>
      <c r="J154" s="188">
        <v>0</v>
      </c>
      <c r="K154" s="188">
        <f>'Grains, oil crops, sugar'!H58</f>
        <v>1.468707261063712E-3</v>
      </c>
      <c r="L154" s="188">
        <v>0</v>
      </c>
      <c r="M154" s="188">
        <f>Table1[[#This Row],[kg CH4 fossil at retail-gate per kg of product]]*'Summary pivot'!$D$5</f>
        <v>1.3154018760410255</v>
      </c>
      <c r="N154" s="188">
        <f>Table1[[#This Row],[kg CH4 bio at retail-gate per kg of product]]*'Summary pivot'!$D$4</f>
        <v>0</v>
      </c>
      <c r="O154" s="188">
        <f>Table1[[#This Row],[kg N2O at retail-gate per kg of product]]*'Summary pivot'!$D$6</f>
        <v>0.40095708227039339</v>
      </c>
      <c r="P154" s="188">
        <f>Table1[[#This Row],[kg HCFC-22 at retail-gate per kg of product]]*'Summary pivot'!$D$7</f>
        <v>0</v>
      </c>
    </row>
    <row r="155" spans="1:16" ht="30">
      <c r="A155" s="52" t="s">
        <v>6</v>
      </c>
      <c r="B155" s="52" t="s">
        <v>59</v>
      </c>
      <c r="C155" t="s">
        <v>170</v>
      </c>
      <c r="D155" t="s">
        <v>121</v>
      </c>
      <c r="E155" s="5">
        <f>'Grains, oil crops, sugar'!C59</f>
        <v>0.16193741936094433</v>
      </c>
      <c r="F155" s="750" t="str">
        <f>'Summary pivot'!$C$1</f>
        <v>GWP100 with fb AR6</v>
      </c>
      <c r="G155" s="188">
        <f>Table1[[#This Row],[kg CO2 at retail-gate per kg of product]]+Table1[[#This Row],[Kg CO2e from CH4 fossil]]+Table1[[#This Row],[Kg CO2e from N2O]]</f>
        <v>4.2480657750341884</v>
      </c>
      <c r="H155" s="188">
        <f>'Grains, oil crops, sugar'!H60</f>
        <v>1.7322172557230906</v>
      </c>
      <c r="I155" s="188">
        <f>'Grains, oil crops, sugar'!H61</f>
        <v>6.9411326716598457E-2</v>
      </c>
      <c r="J155" s="188">
        <v>0</v>
      </c>
      <c r="K155" s="188">
        <f>'Grains, oil crops, sugar'!H62</f>
        <v>1.6387948100969362E-3</v>
      </c>
      <c r="L155" s="188">
        <v>0</v>
      </c>
      <c r="M155" s="188">
        <f>Table1[[#This Row],[kg CH4 fossil at retail-gate per kg of product]]*'Summary pivot'!$D$5</f>
        <v>2.068457536154634</v>
      </c>
      <c r="N155" s="188">
        <f>Table1[[#This Row],[kg CH4 bio at retail-gate per kg of product]]*'Summary pivot'!$D$4</f>
        <v>0</v>
      </c>
      <c r="O155" s="188">
        <f>Table1[[#This Row],[kg N2O at retail-gate per kg of product]]*'Summary pivot'!$D$6</f>
        <v>0.44739098315646358</v>
      </c>
      <c r="P155" s="188">
        <f>Table1[[#This Row],[kg HCFC-22 at retail-gate per kg of product]]*'Summary pivot'!$D$7</f>
        <v>0</v>
      </c>
    </row>
    <row r="156" spans="1:16" ht="30">
      <c r="A156" s="52" t="s">
        <v>6</v>
      </c>
      <c r="B156" s="52" t="s">
        <v>59</v>
      </c>
      <c r="C156" t="s">
        <v>123</v>
      </c>
      <c r="D156" t="s">
        <v>121</v>
      </c>
      <c r="E156" s="5">
        <f>'Grains, oil crops, sugar'!C63</f>
        <v>0.13504774463010921</v>
      </c>
      <c r="F156" s="750" t="str">
        <f>'Summary pivot'!$C$1</f>
        <v>GWP100 with fb AR6</v>
      </c>
      <c r="G156" s="188">
        <f>Table1[[#This Row],[kg CO2 at retail-gate per kg of product]]+Table1[[#This Row],[Kg CO2e from CH4 fossil]]+Table1[[#This Row],[Kg CO2e from N2O]]</f>
        <v>4.825789418410916</v>
      </c>
      <c r="H156" s="188">
        <f>'Grains, oil crops, sugar'!H64</f>
        <v>1.7527109784193431</v>
      </c>
      <c r="I156" s="188">
        <f>'Grains, oil crops, sugar'!H65</f>
        <v>9.2026161176661236E-2</v>
      </c>
      <c r="J156" s="188">
        <v>0</v>
      </c>
      <c r="K156" s="188">
        <f>'Grains, oil crops, sugar'!H66</f>
        <v>1.2113510510149026E-3</v>
      </c>
      <c r="L156" s="188">
        <v>0</v>
      </c>
      <c r="M156" s="188">
        <f>Table1[[#This Row],[kg CH4 fossil at retail-gate per kg of product]]*'Summary pivot'!$D$5</f>
        <v>2.7423796030645051</v>
      </c>
      <c r="N156" s="188">
        <f>Table1[[#This Row],[kg CH4 bio at retail-gate per kg of product]]*'Summary pivot'!$D$4</f>
        <v>0</v>
      </c>
      <c r="O156" s="188">
        <f>Table1[[#This Row],[kg N2O at retail-gate per kg of product]]*'Summary pivot'!$D$6</f>
        <v>0.33069883692706842</v>
      </c>
      <c r="P156" s="188">
        <f>Table1[[#This Row],[kg HCFC-22 at retail-gate per kg of product]]*'Summary pivot'!$D$7</f>
        <v>0</v>
      </c>
    </row>
    <row r="157" spans="1:16" ht="30">
      <c r="A157" s="52" t="s">
        <v>6</v>
      </c>
      <c r="B157" s="52" t="s">
        <v>59</v>
      </c>
      <c r="C157" t="s">
        <v>134</v>
      </c>
      <c r="D157" t="s">
        <v>121</v>
      </c>
      <c r="E157" s="5">
        <f>'Grains, oil crops, sugar'!C67</f>
        <v>0.70301483600894643</v>
      </c>
      <c r="F157" s="750" t="str">
        <f>'Summary pivot'!$C$1</f>
        <v>GWP100 with fb AR6</v>
      </c>
      <c r="G157" s="188">
        <f>Table1[[#This Row],[kg CO2 at retail-gate per kg of product]]+Table1[[#This Row],[Kg CO2e from CH4 fossil]]+Table1[[#This Row],[Kg CO2e from N2O]]</f>
        <v>3.1441886325294872</v>
      </c>
      <c r="H157" s="188">
        <f>'Grains, oil crops, sugar'!H68</f>
        <v>1.872612865688239</v>
      </c>
      <c r="I157" s="188">
        <f>'Grains, oil crops, sugar'!H69</f>
        <v>2.9121413754447982E-2</v>
      </c>
      <c r="J157" s="188">
        <v>0</v>
      </c>
      <c r="K157" s="188">
        <f>'Grains, oil crops, sugar'!H70</f>
        <v>1.4789657031454152E-3</v>
      </c>
      <c r="L157" s="188">
        <v>0</v>
      </c>
      <c r="M157" s="188">
        <f>Table1[[#This Row],[kg CH4 fossil at retail-gate per kg of product]]*'Summary pivot'!$D$5</f>
        <v>0.86781812988254992</v>
      </c>
      <c r="N157" s="188">
        <f>Table1[[#This Row],[kg CH4 bio at retail-gate per kg of product]]*'Summary pivot'!$D$4</f>
        <v>0</v>
      </c>
      <c r="O157" s="188">
        <f>Table1[[#This Row],[kg N2O at retail-gate per kg of product]]*'Summary pivot'!$D$6</f>
        <v>0.40375763695869837</v>
      </c>
      <c r="P157" s="188">
        <f>Table1[[#This Row],[kg HCFC-22 at retail-gate per kg of product]]*'Summary pivot'!$D$7</f>
        <v>0</v>
      </c>
    </row>
    <row r="158" spans="1:16" ht="30">
      <c r="A158" s="52" t="s">
        <v>6</v>
      </c>
      <c r="B158" s="52" t="s">
        <v>171</v>
      </c>
      <c r="C158" t="s">
        <v>120</v>
      </c>
      <c r="D158" t="s">
        <v>121</v>
      </c>
      <c r="E158" s="5">
        <f>'Grains, oil crops, sugar'!C72</f>
        <v>1</v>
      </c>
      <c r="F158" s="750" t="str">
        <f>'Summary pivot'!$C$1</f>
        <v>GWP100 with fb AR6</v>
      </c>
      <c r="G158" s="188">
        <f>Table1[[#This Row],[kg CO2 at retail-gate per kg of product]]+Table1[[#This Row],[Kg CO2e from CH4 fossil]]+Table1[[#This Row],[Kg CO2e from N2O]]</f>
        <v>2.1732330261837234</v>
      </c>
      <c r="H158" s="188">
        <f>'Grains, oil crops, sugar'!H73</f>
        <v>1.2541165220348607</v>
      </c>
      <c r="I158" s="188">
        <f>'Grains, oil crops, sugar'!H74</f>
        <v>5.547007000030104E-4</v>
      </c>
      <c r="J158" s="188">
        <v>0</v>
      </c>
      <c r="K158" s="188">
        <f>'Grains, oil crops, sugar'!H75</f>
        <v>3.3061773746841509E-3</v>
      </c>
      <c r="L158" s="188">
        <v>0</v>
      </c>
      <c r="M158" s="188">
        <f>Table1[[#This Row],[kg CH4 fossil at retail-gate per kg of product]]*'Summary pivot'!$D$5</f>
        <v>1.653008086008971E-2</v>
      </c>
      <c r="N158" s="188">
        <f>Table1[[#This Row],[kg CH4 bio at retail-gate per kg of product]]*'Summary pivot'!$D$4</f>
        <v>0</v>
      </c>
      <c r="O158" s="188">
        <f>Table1[[#This Row],[kg N2O at retail-gate per kg of product]]*'Summary pivot'!$D$6</f>
        <v>0.90258642328877314</v>
      </c>
      <c r="P158" s="188">
        <f>Table1[[#This Row],[kg HCFC-22 at retail-gate per kg of product]]*'Summary pivot'!$D$7</f>
        <v>0</v>
      </c>
    </row>
    <row r="159" spans="1:16" ht="30">
      <c r="A159" s="52" t="s">
        <v>6</v>
      </c>
      <c r="B159" s="52" t="s">
        <v>172</v>
      </c>
      <c r="C159" t="s">
        <v>122</v>
      </c>
      <c r="D159" t="s">
        <v>121</v>
      </c>
      <c r="E159" s="5">
        <f>'Grains, oil crops, sugar'!C77</f>
        <v>0.89</v>
      </c>
      <c r="F159" s="750" t="str">
        <f>'Summary pivot'!$C$1</f>
        <v>GWP100 with fb AR6</v>
      </c>
      <c r="G159" s="188">
        <f>Table1[[#This Row],[kg CO2 at retail-gate per kg of product]]+Table1[[#This Row],[Kg CO2e from CH4 fossil]]+Table1[[#This Row],[Kg CO2e from N2O]]</f>
        <v>2.135981120996969</v>
      </c>
      <c r="H159" s="188">
        <f>'Grains, oil crops, sugar'!H78</f>
        <v>1.2355794804893441</v>
      </c>
      <c r="I159" s="188">
        <f>'Grains, oil crops, sugar'!H79</f>
        <v>5.3948796902535655E-4</v>
      </c>
      <c r="J159" s="188">
        <v>0</v>
      </c>
      <c r="K159" s="188">
        <f>'Grains, oil crops, sugar'!H80</f>
        <v>3.2392853444346871E-3</v>
      </c>
      <c r="L159" s="188">
        <v>0</v>
      </c>
      <c r="M159" s="188">
        <f>Table1[[#This Row],[kg CH4 fossil at retail-gate per kg of product]]*'Summary pivot'!$D$5</f>
        <v>1.6076741476955626E-2</v>
      </c>
      <c r="N159" s="188">
        <f>Table1[[#This Row],[kg CH4 bio at retail-gate per kg of product]]*'Summary pivot'!$D$4</f>
        <v>0</v>
      </c>
      <c r="O159" s="188">
        <f>Table1[[#This Row],[kg N2O at retail-gate per kg of product]]*'Summary pivot'!$D$6</f>
        <v>0.88432489903066958</v>
      </c>
      <c r="P159" s="188">
        <f>Table1[[#This Row],[kg HCFC-22 at retail-gate per kg of product]]*'Summary pivot'!$D$7</f>
        <v>0</v>
      </c>
    </row>
    <row r="160" spans="1:16" ht="30">
      <c r="A160" s="52" t="s">
        <v>6</v>
      </c>
      <c r="B160" s="52" t="s">
        <v>173</v>
      </c>
      <c r="C160" t="s">
        <v>122</v>
      </c>
      <c r="D160" t="s">
        <v>121</v>
      </c>
      <c r="E160" s="5">
        <f>'Grains, oil crops, sugar'!C82</f>
        <v>0.1</v>
      </c>
      <c r="F160" s="750" t="str">
        <f>'Summary pivot'!$C$1</f>
        <v>GWP100 with fb AR6</v>
      </c>
      <c r="G160" s="188">
        <f>Table1[[#This Row],[kg CO2 at retail-gate per kg of product]]+Table1[[#This Row],[Kg CO2e from CH4 fossil]]+Table1[[#This Row],[Kg CO2e from N2O]]</f>
        <v>2.4853235889534466</v>
      </c>
      <c r="H160" s="188">
        <f>'Grains, oil crops, sugar'!H83</f>
        <v>1.38450316659227</v>
      </c>
      <c r="I160" s="188">
        <f>'Grains, oil crops, sugar'!H84</f>
        <v>6.5936562756108163E-4</v>
      </c>
      <c r="J160" s="188">
        <v>0</v>
      </c>
      <c r="K160" s="188">
        <f>'Grains, oil crops, sugar'!H85</f>
        <v>3.9603345298895839E-3</v>
      </c>
      <c r="L160" s="188">
        <v>0</v>
      </c>
      <c r="M160" s="188">
        <f>Table1[[#This Row],[kg CH4 fossil at retail-gate per kg of product]]*'Summary pivot'!$D$5</f>
        <v>1.9649095701320233E-2</v>
      </c>
      <c r="N160" s="188">
        <f>Table1[[#This Row],[kg CH4 bio at retail-gate per kg of product]]*'Summary pivot'!$D$4</f>
        <v>0</v>
      </c>
      <c r="O160" s="188">
        <f>Table1[[#This Row],[kg N2O at retail-gate per kg of product]]*'Summary pivot'!$D$6</f>
        <v>1.0811713266598564</v>
      </c>
      <c r="P160" s="188">
        <f>Table1[[#This Row],[kg HCFC-22 at retail-gate per kg of product]]*'Summary pivot'!$D$7</f>
        <v>0</v>
      </c>
    </row>
    <row r="161" spans="1:16" ht="30">
      <c r="A161" s="52" t="s">
        <v>6</v>
      </c>
      <c r="B161" s="52" t="s">
        <v>174</v>
      </c>
      <c r="C161" t="s">
        <v>125</v>
      </c>
      <c r="D161" t="s">
        <v>121</v>
      </c>
      <c r="E161" s="5">
        <f>'Grains, oil crops, sugar'!C87</f>
        <v>1.0000000000000009E-2</v>
      </c>
      <c r="F161" s="750" t="str">
        <f>'Summary pivot'!$C$1</f>
        <v>GWP100 with fb AR6</v>
      </c>
      <c r="G161" s="188">
        <f>Table1[[#This Row],[kg CO2 at retail-gate per kg of product]]+Table1[[#This Row],[Kg CO2e from CH4 fossil]]+Table1[[#This Row],[Kg CO2e from N2O]]</f>
        <v>2.3677469601076022</v>
      </c>
      <c r="H161" s="188">
        <f>'Grains, oil crops, sugar'!H88</f>
        <v>1.6000467740117359</v>
      </c>
      <c r="I161" s="188">
        <f>'Grains, oil crops, sugar'!H89</f>
        <v>8.6198448143348324E-4</v>
      </c>
      <c r="J161" s="188">
        <v>0</v>
      </c>
      <c r="K161" s="188">
        <f>'Grains, oil crops, sugar'!H90</f>
        <v>2.7179965148320454E-3</v>
      </c>
      <c r="L161" s="188">
        <v>0</v>
      </c>
      <c r="M161" s="188">
        <f>Table1[[#This Row],[kg CH4 fossil at retail-gate per kg of product]]*'Summary pivot'!$D$5</f>
        <v>2.5687137546717802E-2</v>
      </c>
      <c r="N161" s="188">
        <f>Table1[[#This Row],[kg CH4 bio at retail-gate per kg of product]]*'Summary pivot'!$D$4</f>
        <v>0</v>
      </c>
      <c r="O161" s="188">
        <f>Table1[[#This Row],[kg N2O at retail-gate per kg of product]]*'Summary pivot'!$D$6</f>
        <v>0.7420130485491484</v>
      </c>
      <c r="P161" s="188">
        <f>Table1[[#This Row],[kg HCFC-22 at retail-gate per kg of product]]*'Summary pivot'!$D$7</f>
        <v>0</v>
      </c>
    </row>
    <row r="162" spans="1:16" ht="30">
      <c r="A162" s="52" t="s">
        <v>6</v>
      </c>
      <c r="B162" s="52" t="s">
        <v>175</v>
      </c>
      <c r="C162" t="s">
        <v>120</v>
      </c>
      <c r="D162" t="s">
        <v>121</v>
      </c>
      <c r="E162" s="5">
        <f>'Grains, oil crops, sugar'!C92</f>
        <v>1</v>
      </c>
      <c r="F162" s="750" t="str">
        <f>'Summary pivot'!$C$1</f>
        <v>GWP100 with fb AR6</v>
      </c>
      <c r="G162" s="188">
        <f>Table1[[#This Row],[kg CO2 at retail-gate per kg of product]]+Table1[[#This Row],[Kg CO2e from CH4 fossil]]+Table1[[#This Row],[Kg CO2e from N2O]]</f>
        <v>3.1270581185370085</v>
      </c>
      <c r="H162" s="188">
        <f>'Grains, oil crops, sugar'!H93</f>
        <v>1.781955248056279</v>
      </c>
      <c r="I162" s="188">
        <f>'Grains, oil crops, sugar'!H94</f>
        <v>9.2207507252691813E-4</v>
      </c>
      <c r="J162" s="188">
        <v>0</v>
      </c>
      <c r="K162" s="188">
        <f>'Grains, oil crops, sugar'!H95</f>
        <v>4.8264653235143857E-3</v>
      </c>
      <c r="L162" s="188">
        <v>0</v>
      </c>
      <c r="M162" s="188">
        <f>Table1[[#This Row],[kg CH4 fossil at retail-gate per kg of product]]*'Summary pivot'!$D$5</f>
        <v>2.7477837161302161E-2</v>
      </c>
      <c r="N162" s="188">
        <f>Table1[[#This Row],[kg CH4 bio at retail-gate per kg of product]]*'Summary pivot'!$D$4</f>
        <v>0</v>
      </c>
      <c r="O162" s="188">
        <f>Table1[[#This Row],[kg N2O at retail-gate per kg of product]]*'Summary pivot'!$D$6</f>
        <v>1.3176250333194273</v>
      </c>
      <c r="P162" s="188">
        <f>Table1[[#This Row],[kg HCFC-22 at retail-gate per kg of product]]*'Summary pivot'!$D$7</f>
        <v>0</v>
      </c>
    </row>
    <row r="163" spans="1:16" ht="30">
      <c r="A163" s="52" t="s">
        <v>6</v>
      </c>
      <c r="B163" s="52" t="s">
        <v>175</v>
      </c>
      <c r="C163" t="s">
        <v>122</v>
      </c>
      <c r="D163" t="s">
        <v>121</v>
      </c>
      <c r="E163" s="5">
        <f>'Grains, oil crops, sugar'!C96</f>
        <v>0.4165535957</v>
      </c>
      <c r="F163" s="750" t="str">
        <f>'Summary pivot'!$C$1</f>
        <v>GWP100 with fb AR6</v>
      </c>
      <c r="G163" s="188">
        <f>Table1[[#This Row],[kg CO2 at retail-gate per kg of product]]+Table1[[#This Row],[Kg CO2e from CH4 fossil]]+Table1[[#This Row],[Kg CO2e from N2O]]</f>
        <v>2.1712682389723712</v>
      </c>
      <c r="H163" s="188">
        <f>'Grains, oil crops, sugar'!H97</f>
        <v>1.2506222770653974</v>
      </c>
      <c r="I163" s="188">
        <f>'Grains, oil crops, sugar'!H98</f>
        <v>5.5159682342290463E-4</v>
      </c>
      <c r="J163" s="188">
        <v>0</v>
      </c>
      <c r="K163" s="188">
        <f>'Grains, oil crops, sugar'!H99</f>
        <v>3.3121185954907372E-3</v>
      </c>
      <c r="L163" s="188">
        <v>0</v>
      </c>
      <c r="M163" s="188">
        <f>Table1[[#This Row],[kg CH4 fossil at retail-gate per kg of product]]*'Summary pivot'!$D$5</f>
        <v>1.6437585338002558E-2</v>
      </c>
      <c r="N163" s="188">
        <f>Table1[[#This Row],[kg CH4 bio at retail-gate per kg of product]]*'Summary pivot'!$D$4</f>
        <v>0</v>
      </c>
      <c r="O163" s="188">
        <f>Table1[[#This Row],[kg N2O at retail-gate per kg of product]]*'Summary pivot'!$D$6</f>
        <v>0.90420837656897124</v>
      </c>
      <c r="P163" s="188">
        <f>Table1[[#This Row],[kg HCFC-22 at retail-gate per kg of product]]*'Summary pivot'!$D$7</f>
        <v>0</v>
      </c>
    </row>
    <row r="164" spans="1:16" ht="30">
      <c r="A164" s="52" t="s">
        <v>6</v>
      </c>
      <c r="B164" s="52" t="s">
        <v>175</v>
      </c>
      <c r="C164" t="s">
        <v>126</v>
      </c>
      <c r="D164" t="s">
        <v>121</v>
      </c>
      <c r="E164" s="5">
        <f>'Grains, oil crops, sugar'!C100</f>
        <v>0.22803600359704471</v>
      </c>
      <c r="F164" s="750" t="str">
        <f>'Summary pivot'!$C$1</f>
        <v>GWP100 with fb AR6</v>
      </c>
      <c r="G164" s="188">
        <f>Table1[[#This Row],[kg CO2 at retail-gate per kg of product]]+Table1[[#This Row],[Kg CO2e from CH4 fossil]]+Table1[[#This Row],[Kg CO2e from N2O]]</f>
        <v>3.6736792842761581</v>
      </c>
      <c r="H164" s="188">
        <f>'Grains, oil crops, sugar'!H101</f>
        <v>2.133126300139554</v>
      </c>
      <c r="I164" s="188">
        <f>'Grains, oil crops, sugar'!H102</f>
        <v>1.2597089095184963E-3</v>
      </c>
      <c r="J164" s="188">
        <v>0</v>
      </c>
      <c r="K164" s="188">
        <f>'Grains, oil crops, sugar'!H103</f>
        <v>5.5055445371170421E-3</v>
      </c>
      <c r="L164" s="188">
        <v>0</v>
      </c>
      <c r="M164" s="188">
        <f>Table1[[#This Row],[kg CH4 fossil at retail-gate per kg of product]]*'Summary pivot'!$D$5</f>
        <v>3.7539325503651189E-2</v>
      </c>
      <c r="N164" s="188">
        <f>Table1[[#This Row],[kg CH4 bio at retail-gate per kg of product]]*'Summary pivot'!$D$4</f>
        <v>0</v>
      </c>
      <c r="O164" s="188">
        <f>Table1[[#This Row],[kg N2O at retail-gate per kg of product]]*'Summary pivot'!$D$6</f>
        <v>1.5030136586329526</v>
      </c>
      <c r="P164" s="188">
        <f>Table1[[#This Row],[kg HCFC-22 at retail-gate per kg of product]]*'Summary pivot'!$D$7</f>
        <v>0</v>
      </c>
    </row>
    <row r="165" spans="1:16" ht="30">
      <c r="A165" s="52" t="s">
        <v>6</v>
      </c>
      <c r="B165" s="52" t="s">
        <v>175</v>
      </c>
      <c r="C165" t="s">
        <v>176</v>
      </c>
      <c r="D165" t="s">
        <v>121</v>
      </c>
      <c r="E165" s="5">
        <f>'Grains, oil crops, sugar'!C104</f>
        <v>0.2218123860535362</v>
      </c>
      <c r="F165" s="750" t="str">
        <f>'Summary pivot'!$C$1</f>
        <v>GWP100 with fb AR6</v>
      </c>
      <c r="G165" s="188">
        <f>Table1[[#This Row],[kg CO2 at retail-gate per kg of product]]+Table1[[#This Row],[Kg CO2e from CH4 fossil]]+Table1[[#This Row],[Kg CO2e from N2O]]</f>
        <v>3.734109606306685</v>
      </c>
      <c r="H165" s="188">
        <f>'Grains, oil crops, sugar'!H105</f>
        <v>1.9074465211573528</v>
      </c>
      <c r="I165" s="188">
        <f>'Grains, oil crops, sugar'!H106</f>
        <v>7.8772704844716599E-4</v>
      </c>
      <c r="J165" s="188">
        <v>0</v>
      </c>
      <c r="K165" s="188">
        <f>'Grains, oil crops, sugar'!H107</f>
        <v>6.6050872494710861E-3</v>
      </c>
      <c r="L165" s="188">
        <v>0</v>
      </c>
      <c r="M165" s="188">
        <f>Table1[[#This Row],[kg CH4 fossil at retail-gate per kg of product]]*'Summary pivot'!$D$5</f>
        <v>2.3474266043725548E-2</v>
      </c>
      <c r="N165" s="188">
        <f>Table1[[#This Row],[kg CH4 bio at retail-gate per kg of product]]*'Summary pivot'!$D$4</f>
        <v>0</v>
      </c>
      <c r="O165" s="188">
        <f>Table1[[#This Row],[kg N2O at retail-gate per kg of product]]*'Summary pivot'!$D$6</f>
        <v>1.8031888191056065</v>
      </c>
      <c r="P165" s="188">
        <f>Table1[[#This Row],[kg HCFC-22 at retail-gate per kg of product]]*'Summary pivot'!$D$7</f>
        <v>0</v>
      </c>
    </row>
    <row r="166" spans="1:16" ht="30">
      <c r="A166" s="52" t="s">
        <v>6</v>
      </c>
      <c r="B166" s="52" t="s">
        <v>175</v>
      </c>
      <c r="C166" t="s">
        <v>125</v>
      </c>
      <c r="D166" t="s">
        <v>121</v>
      </c>
      <c r="E166" s="5">
        <f>'Grains, oil crops, sugar'!C108</f>
        <v>0.13359801464941912</v>
      </c>
      <c r="F166" s="750" t="str">
        <f>'Summary pivot'!$C$1</f>
        <v>GWP100 with fb AR6</v>
      </c>
      <c r="G166" s="188">
        <f>Table1[[#This Row],[kg CO2 at retail-gate per kg of product]]+Table1[[#This Row],[Kg CO2e from CH4 fossil]]+Table1[[#This Row],[Kg CO2e from N2O]]</f>
        <v>4.166271660402832</v>
      </c>
      <c r="H166" s="188">
        <f>'Grains, oil crops, sugar'!H109</f>
        <v>2.6308712882110998</v>
      </c>
      <c r="I166" s="188">
        <f>'Grains, oil crops, sugar'!H110</f>
        <v>1.7239689628669665E-3</v>
      </c>
      <c r="J166" s="188">
        <v>0</v>
      </c>
      <c r="K166" s="188">
        <f>'Grains, oil crops, sugar'!H111</f>
        <v>5.4359930296640907E-3</v>
      </c>
      <c r="L166" s="188">
        <v>0</v>
      </c>
      <c r="M166" s="188">
        <f>Table1[[#This Row],[kg CH4 fossil at retail-gate per kg of product]]*'Summary pivot'!$D$5</f>
        <v>5.1374275093435604E-2</v>
      </c>
      <c r="N166" s="188">
        <f>Table1[[#This Row],[kg CH4 bio at retail-gate per kg of product]]*'Summary pivot'!$D$4</f>
        <v>0</v>
      </c>
      <c r="O166" s="188">
        <f>Table1[[#This Row],[kg N2O at retail-gate per kg of product]]*'Summary pivot'!$D$6</f>
        <v>1.4840260970982968</v>
      </c>
      <c r="P166" s="188">
        <f>Table1[[#This Row],[kg HCFC-22 at retail-gate per kg of product]]*'Summary pivot'!$D$7</f>
        <v>0</v>
      </c>
    </row>
    <row r="167" spans="1:16" ht="30">
      <c r="A167" s="52" t="s">
        <v>6</v>
      </c>
      <c r="B167" s="52" t="s">
        <v>177</v>
      </c>
      <c r="C167" t="s">
        <v>120</v>
      </c>
      <c r="D167" t="s">
        <v>121</v>
      </c>
      <c r="E167" s="5">
        <f>'Grains, oil crops, sugar'!C113</f>
        <v>0.99999999999999989</v>
      </c>
      <c r="F167" s="750" t="str">
        <f>'Summary pivot'!$C$1</f>
        <v>GWP100 with fb AR6</v>
      </c>
      <c r="G167" s="188">
        <f>Table1[[#This Row],[kg CO2 at retail-gate per kg of product]]+Table1[[#This Row],[Kg CO2e from CH4 fossil]]+Table1[[#This Row],[Kg CO2e from N2O]]</f>
        <v>2.5863032619526485</v>
      </c>
      <c r="H167" s="188">
        <f>'Grains, oil crops, sugar'!H114</f>
        <v>1.7583325649358597</v>
      </c>
      <c r="I167" s="188">
        <f>'Grains, oil crops, sugar'!H115</f>
        <v>1.2788861656697213E-3</v>
      </c>
      <c r="J167" s="188">
        <v>0</v>
      </c>
      <c r="K167" s="188">
        <f>'Grains, oil crops, sugar'!H116</f>
        <v>2.8932596676916897E-3</v>
      </c>
      <c r="L167" s="188">
        <v>0</v>
      </c>
      <c r="M167" s="188">
        <f>Table1[[#This Row],[kg CH4 fossil at retail-gate per kg of product]]*'Summary pivot'!$D$5</f>
        <v>3.81108077369577E-2</v>
      </c>
      <c r="N167" s="188">
        <f>Table1[[#This Row],[kg CH4 bio at retail-gate per kg of product]]*'Summary pivot'!$D$4</f>
        <v>0</v>
      </c>
      <c r="O167" s="188">
        <f>Table1[[#This Row],[kg N2O at retail-gate per kg of product]]*'Summary pivot'!$D$6</f>
        <v>0.78985988927983131</v>
      </c>
      <c r="P167" s="188">
        <f>Table1[[#This Row],[kg HCFC-22 at retail-gate per kg of product]]*'Summary pivot'!$D$7</f>
        <v>0</v>
      </c>
    </row>
    <row r="168" spans="1:16" ht="30">
      <c r="A168" s="52" t="s">
        <v>6</v>
      </c>
      <c r="B168" s="52" t="s">
        <v>177</v>
      </c>
      <c r="C168" t="s">
        <v>178</v>
      </c>
      <c r="D168" t="s">
        <v>121</v>
      </c>
      <c r="E168" s="5">
        <f>'Grains, oil crops, sugar'!C117</f>
        <v>0.10204122116204796</v>
      </c>
      <c r="F168" s="750" t="str">
        <f>'Summary pivot'!$C$1</f>
        <v>GWP100 with fb AR6</v>
      </c>
      <c r="G168" s="188">
        <f>Table1[[#This Row],[kg CO2 at retail-gate per kg of product]]+Table1[[#This Row],[Kg CO2e from CH4 fossil]]+Table1[[#This Row],[Kg CO2e from N2O]]</f>
        <v>2.2391982914791573</v>
      </c>
      <c r="H168" s="188">
        <f>'Grains, oil crops, sugar'!H118</f>
        <v>1.5626368581367838</v>
      </c>
      <c r="I168" s="188">
        <f>'Grains, oil crops, sugar'!H119</f>
        <v>1.0430035545921409E-3</v>
      </c>
      <c r="J168" s="188">
        <v>0</v>
      </c>
      <c r="K168" s="188">
        <f>'Grains, oil crops, sugar'!H120</f>
        <v>2.3643953385184169E-3</v>
      </c>
      <c r="L168" s="188">
        <v>0</v>
      </c>
      <c r="M168" s="188">
        <f>Table1[[#This Row],[kg CH4 fossil at retail-gate per kg of product]]*'Summary pivot'!$D$5</f>
        <v>3.10815059268458E-2</v>
      </c>
      <c r="N168" s="188">
        <f>Table1[[#This Row],[kg CH4 bio at retail-gate per kg of product]]*'Summary pivot'!$D$4</f>
        <v>0</v>
      </c>
      <c r="O168" s="188">
        <f>Table1[[#This Row],[kg N2O at retail-gate per kg of product]]*'Summary pivot'!$D$6</f>
        <v>0.64547992741552784</v>
      </c>
      <c r="P168" s="188">
        <f>Table1[[#This Row],[kg HCFC-22 at retail-gate per kg of product]]*'Summary pivot'!$D$7</f>
        <v>0</v>
      </c>
    </row>
    <row r="169" spans="1:16" ht="30">
      <c r="A169" s="52" t="s">
        <v>6</v>
      </c>
      <c r="B169" s="52" t="s">
        <v>177</v>
      </c>
      <c r="C169" t="s">
        <v>123</v>
      </c>
      <c r="D169" t="s">
        <v>121</v>
      </c>
      <c r="E169" s="5">
        <f>'Grains, oil crops, sugar'!C121</f>
        <v>0.55981829362639102</v>
      </c>
      <c r="F169" s="750" t="str">
        <f>'Summary pivot'!$C$1</f>
        <v>GWP100 with fb AR6</v>
      </c>
      <c r="G169" s="188">
        <f>Table1[[#This Row],[kg CO2 at retail-gate per kg of product]]+Table1[[#This Row],[Kg CO2e from CH4 fossil]]+Table1[[#This Row],[Kg CO2e from N2O]]</f>
        <v>3.0336709928754466</v>
      </c>
      <c r="H169" s="188">
        <f>'Grains, oil crops, sugar'!H122</f>
        <v>1.9015134251176151</v>
      </c>
      <c r="I169" s="188">
        <f>'Grains, oil crops, sugar'!H123</f>
        <v>1.4318323966894856E-3</v>
      </c>
      <c r="J169" s="188">
        <v>0</v>
      </c>
      <c r="K169" s="188">
        <f>'Grains, oil crops, sugar'!H124</f>
        <v>3.9908020598406046E-3</v>
      </c>
      <c r="L169" s="188">
        <v>0</v>
      </c>
      <c r="M169" s="188">
        <f>Table1[[#This Row],[kg CH4 fossil at retail-gate per kg of product]]*'Summary pivot'!$D$5</f>
        <v>4.2668605421346671E-2</v>
      </c>
      <c r="N169" s="188">
        <f>Table1[[#This Row],[kg CH4 bio at retail-gate per kg of product]]*'Summary pivot'!$D$4</f>
        <v>0</v>
      </c>
      <c r="O169" s="188">
        <f>Table1[[#This Row],[kg N2O at retail-gate per kg of product]]*'Summary pivot'!$D$6</f>
        <v>1.089488962336485</v>
      </c>
      <c r="P169" s="188">
        <f>Table1[[#This Row],[kg HCFC-22 at retail-gate per kg of product]]*'Summary pivot'!$D$7</f>
        <v>0</v>
      </c>
    </row>
    <row r="170" spans="1:16" ht="30">
      <c r="A170" s="52" t="s">
        <v>6</v>
      </c>
      <c r="B170" s="52" t="s">
        <v>177</v>
      </c>
      <c r="C170" t="s">
        <v>130</v>
      </c>
      <c r="D170" t="s">
        <v>121</v>
      </c>
      <c r="E170" s="5">
        <f>'Grains, oil crops, sugar'!C125</f>
        <v>0.27450358056773322</v>
      </c>
      <c r="F170" s="750" t="str">
        <f>'Summary pivot'!$C$1</f>
        <v>GWP100 with fb AR6</v>
      </c>
      <c r="G170" s="188">
        <f>Table1[[#This Row],[kg CO2 at retail-gate per kg of product]]+Table1[[#This Row],[Kg CO2e from CH4 fossil]]+Table1[[#This Row],[Kg CO2e from N2O]]</f>
        <v>1.9132969269521847</v>
      </c>
      <c r="H170" s="188">
        <f>'Grains, oil crops, sugar'!H126</f>
        <v>1.5725550120293528</v>
      </c>
      <c r="I170" s="188">
        <f>'Grains, oil crops, sugar'!H127</f>
        <v>1.0930074676233925E-3</v>
      </c>
      <c r="J170" s="188">
        <v>0</v>
      </c>
      <c r="K170" s="188">
        <f>'Grains, oil crops, sugar'!H128</f>
        <v>1.128828909844889E-3</v>
      </c>
      <c r="L170" s="188">
        <v>0</v>
      </c>
      <c r="M170" s="188">
        <f>Table1[[#This Row],[kg CH4 fossil at retail-gate per kg of product]]*'Summary pivot'!$D$5</f>
        <v>3.2571622535177099E-2</v>
      </c>
      <c r="N170" s="188">
        <f>Table1[[#This Row],[kg CH4 bio at retail-gate per kg of product]]*'Summary pivot'!$D$4</f>
        <v>0</v>
      </c>
      <c r="O170" s="188">
        <f>Table1[[#This Row],[kg N2O at retail-gate per kg of product]]*'Summary pivot'!$D$6</f>
        <v>0.3081702923876547</v>
      </c>
      <c r="P170" s="188">
        <f>Table1[[#This Row],[kg HCFC-22 at retail-gate per kg of product]]*'Summary pivot'!$D$7</f>
        <v>0</v>
      </c>
    </row>
    <row r="171" spans="1:16" ht="30">
      <c r="A171" s="52" t="s">
        <v>6</v>
      </c>
      <c r="B171" s="52" t="s">
        <v>177</v>
      </c>
      <c r="C171" t="s">
        <v>125</v>
      </c>
      <c r="D171" t="s">
        <v>121</v>
      </c>
      <c r="E171" s="5">
        <f>'Grains, oil crops, sugar'!C129</f>
        <v>6.3636904643827763E-2</v>
      </c>
      <c r="F171" s="750" t="str">
        <f>'Summary pivot'!$C$1</f>
        <v>GWP100 with fb AR6</v>
      </c>
      <c r="G171" s="188">
        <f>Table1[[#This Row],[kg CO2 at retail-gate per kg of product]]+Table1[[#This Row],[Kg CO2e from CH4 fossil]]+Table1[[#This Row],[Kg CO2e from N2O]]</f>
        <v>2.1104319706433499</v>
      </c>
      <c r="H171" s="188">
        <f>'Grains, oil crops, sugar'!H130</f>
        <v>1.6139252824250621</v>
      </c>
      <c r="I171" s="188">
        <f>'Grains, oil crops, sugar'!H131</f>
        <v>1.1134478830448493E-3</v>
      </c>
      <c r="J171" s="188">
        <v>0</v>
      </c>
      <c r="K171" s="188">
        <f>'Grains, oil crops, sugar'!H132</f>
        <v>1.6971646201595291E-3</v>
      </c>
      <c r="L171" s="188">
        <v>0</v>
      </c>
      <c r="M171" s="188">
        <f>Table1[[#This Row],[kg CH4 fossil at retail-gate per kg of product]]*'Summary pivot'!$D$5</f>
        <v>3.3180746914736513E-2</v>
      </c>
      <c r="N171" s="188">
        <f>Table1[[#This Row],[kg CH4 bio at retail-gate per kg of product]]*'Summary pivot'!$D$4</f>
        <v>0</v>
      </c>
      <c r="O171" s="188">
        <f>Table1[[#This Row],[kg N2O at retail-gate per kg of product]]*'Summary pivot'!$D$6</f>
        <v>0.46332594130355143</v>
      </c>
      <c r="P171" s="188">
        <f>Table1[[#This Row],[kg HCFC-22 at retail-gate per kg of product]]*'Summary pivot'!$D$7</f>
        <v>0</v>
      </c>
    </row>
    <row r="172" spans="1:16" ht="30">
      <c r="A172" s="52" t="s">
        <v>6</v>
      </c>
      <c r="B172" s="52" t="s">
        <v>179</v>
      </c>
      <c r="C172" t="s">
        <v>120</v>
      </c>
      <c r="D172" t="s">
        <v>121</v>
      </c>
      <c r="E172" s="5">
        <f>'Grains, oil crops, sugar'!C134</f>
        <v>1</v>
      </c>
      <c r="F172" s="750" t="str">
        <f>'Summary pivot'!$C$1</f>
        <v>GWP100 with fb AR6</v>
      </c>
      <c r="G172" s="188">
        <f>Table1[[#This Row],[kg CO2 at retail-gate per kg of product]]+Table1[[#This Row],[Kg CO2e from CH4 fossil]]+Table1[[#This Row],[Kg CO2e from N2O]]</f>
        <v>0.88697504441078689</v>
      </c>
      <c r="H172" s="188">
        <f>'Grains, oil crops, sugar'!H135</f>
        <v>0.79760502540093892</v>
      </c>
      <c r="I172" s="188">
        <f>'Grains, oil crops, sugar'!H136</f>
        <v>2.1544156748112036E-4</v>
      </c>
      <c r="J172" s="188">
        <v>0</v>
      </c>
      <c r="K172" s="188">
        <f>'Grains, oil crops, sugar'!H137</f>
        <v>3.0384564212055168E-4</v>
      </c>
      <c r="L172" s="188">
        <v>0</v>
      </c>
      <c r="M172" s="188">
        <f>Table1[[#This Row],[kg CH4 fossil at retail-gate per kg of product]]*'Summary pivot'!$D$5</f>
        <v>6.4201587109373867E-3</v>
      </c>
      <c r="N172" s="188">
        <f>Table1[[#This Row],[kg CH4 bio at retail-gate per kg of product]]*'Summary pivot'!$D$4</f>
        <v>0</v>
      </c>
      <c r="O172" s="188">
        <f>Table1[[#This Row],[kg N2O at retail-gate per kg of product]]*'Summary pivot'!$D$6</f>
        <v>8.2949860298910605E-2</v>
      </c>
      <c r="P172" s="188">
        <f>Table1[[#This Row],[kg HCFC-22 at retail-gate per kg of product]]*'Summary pivot'!$D$7</f>
        <v>0</v>
      </c>
    </row>
    <row r="173" spans="1:16" ht="30">
      <c r="A173" s="52" t="s">
        <v>6</v>
      </c>
      <c r="B173" s="52" t="s">
        <v>179</v>
      </c>
      <c r="C173" t="s">
        <v>178</v>
      </c>
      <c r="D173" t="s">
        <v>121</v>
      </c>
      <c r="E173" s="5">
        <f>'Grains, oil crops, sugar'!C138</f>
        <v>0.31596787651230701</v>
      </c>
      <c r="F173" s="750" t="str">
        <f>'Summary pivot'!$C$1</f>
        <v>GWP100 with fb AR6</v>
      </c>
      <c r="G173" s="188">
        <f>Table1[[#This Row],[kg CO2 at retail-gate per kg of product]]+Table1[[#This Row],[Kg CO2e from CH4 fossil]]+Table1[[#This Row],[Kg CO2e from N2O]]</f>
        <v>0.98913780724948286</v>
      </c>
      <c r="H173" s="188">
        <f>'Grains, oil crops, sugar'!H139</f>
        <v>0.85382552058100813</v>
      </c>
      <c r="I173" s="188">
        <f>'Grains, oil crops, sugar'!H140</f>
        <v>2.0860071091842816E-4</v>
      </c>
      <c r="J173" s="188">
        <v>0</v>
      </c>
      <c r="K173" s="188">
        <f>'Grains, oil crops, sugar'!H141</f>
        <v>4.7287906770368331E-4</v>
      </c>
      <c r="L173" s="188">
        <v>0</v>
      </c>
      <c r="M173" s="188">
        <f>Table1[[#This Row],[kg CH4 fossil at retail-gate per kg of product]]*'Summary pivot'!$D$5</f>
        <v>6.2163011853691589E-3</v>
      </c>
      <c r="N173" s="188">
        <f>Table1[[#This Row],[kg CH4 bio at retail-gate per kg of product]]*'Summary pivot'!$D$4</f>
        <v>0</v>
      </c>
      <c r="O173" s="188">
        <f>Table1[[#This Row],[kg N2O at retail-gate per kg of product]]*'Summary pivot'!$D$6</f>
        <v>0.12909598548310555</v>
      </c>
      <c r="P173" s="188">
        <f>Table1[[#This Row],[kg HCFC-22 at retail-gate per kg of product]]*'Summary pivot'!$D$7</f>
        <v>0</v>
      </c>
    </row>
    <row r="174" spans="1:16" ht="30">
      <c r="A174" s="52" t="s">
        <v>6</v>
      </c>
      <c r="B174" s="52" t="s">
        <v>179</v>
      </c>
      <c r="C174" t="s">
        <v>130</v>
      </c>
      <c r="D174" t="s">
        <v>121</v>
      </c>
      <c r="E174" s="5">
        <f>'Grains, oil crops, sugar'!C142</f>
        <v>0.53961549158670563</v>
      </c>
      <c r="F174" s="750" t="str">
        <f>'Summary pivot'!$C$1</f>
        <v>GWP100 with fb AR6</v>
      </c>
      <c r="G174" s="188">
        <f>Table1[[#This Row],[kg CO2 at retail-gate per kg of product]]+Table1[[#This Row],[Kg CO2e from CH4 fossil]]+Table1[[#This Row],[Kg CO2e from N2O]]</f>
        <v>0.83803719324033399</v>
      </c>
      <c r="H174" s="188">
        <f>'Grains, oil crops, sugar'!H143</f>
        <v>0.76988881025576772</v>
      </c>
      <c r="I174" s="188">
        <f>'Grains, oil crops, sugar'!H144</f>
        <v>2.1860149352467847E-4</v>
      </c>
      <c r="J174" s="188">
        <v>0</v>
      </c>
      <c r="K174" s="188">
        <f>'Grains, oil crops, sugar'!H145</f>
        <v>2.257657819689778E-4</v>
      </c>
      <c r="L174" s="188">
        <v>0</v>
      </c>
      <c r="M174" s="188">
        <f>Table1[[#This Row],[kg CH4 fossil at retail-gate per kg of product]]*'Summary pivot'!$D$5</f>
        <v>6.5143245070354181E-3</v>
      </c>
      <c r="N174" s="188">
        <f>Table1[[#This Row],[kg CH4 bio at retail-gate per kg of product]]*'Summary pivot'!$D$4</f>
        <v>0</v>
      </c>
      <c r="O174" s="188">
        <f>Table1[[#This Row],[kg N2O at retail-gate per kg of product]]*'Summary pivot'!$D$6</f>
        <v>6.1634058477530937E-2</v>
      </c>
      <c r="P174" s="188">
        <f>Table1[[#This Row],[kg HCFC-22 at retail-gate per kg of product]]*'Summary pivot'!$D$7</f>
        <v>0</v>
      </c>
    </row>
    <row r="175" spans="1:16" ht="30">
      <c r="A175" s="52" t="s">
        <v>6</v>
      </c>
      <c r="B175" s="52" t="s">
        <v>179</v>
      </c>
      <c r="C175" t="s">
        <v>125</v>
      </c>
      <c r="D175" t="s">
        <v>121</v>
      </c>
      <c r="E175" s="5">
        <f>'Grains, oil crops, sugar'!C146</f>
        <v>0.14441663190098741</v>
      </c>
      <c r="F175" s="750" t="str">
        <f>'Summary pivot'!$C$1</f>
        <v>GWP100 with fb AR6</v>
      </c>
      <c r="G175" s="188">
        <f>Table1[[#This Row],[kg CO2 at retail-gate per kg of product]]+Table1[[#This Row],[Kg CO2e from CH4 fossil]]+Table1[[#This Row],[Kg CO2e from N2O]]</f>
        <v>0.84631124731947593</v>
      </c>
      <c r="H175" s="188">
        <f>'Grains, oil crops, sugar'!H147</f>
        <v>0.77816286433490967</v>
      </c>
      <c r="I175" s="188">
        <f>'Grains, oil crops, sugar'!H148</f>
        <v>2.1860149352467847E-4</v>
      </c>
      <c r="J175" s="188">
        <v>0</v>
      </c>
      <c r="K175" s="188">
        <f>'Grains, oil crops, sugar'!H149</f>
        <v>2.257657819689778E-4</v>
      </c>
      <c r="L175" s="188">
        <v>0</v>
      </c>
      <c r="M175" s="188">
        <f>Table1[[#This Row],[kg CH4 fossil at retail-gate per kg of product]]*'Summary pivot'!$D$5</f>
        <v>6.5143245070354181E-3</v>
      </c>
      <c r="N175" s="188">
        <f>Table1[[#This Row],[kg CH4 bio at retail-gate per kg of product]]*'Summary pivot'!$D$4</f>
        <v>0</v>
      </c>
      <c r="O175" s="188">
        <f>Table1[[#This Row],[kg N2O at retail-gate per kg of product]]*'Summary pivot'!$D$6</f>
        <v>6.1634058477530937E-2</v>
      </c>
      <c r="P175" s="188">
        <f>Table1[[#This Row],[kg HCFC-22 at retail-gate per kg of product]]*'Summary pivot'!$D$7</f>
        <v>0</v>
      </c>
    </row>
    <row r="176" spans="1:16" ht="30">
      <c r="A176" s="52" t="s">
        <v>6</v>
      </c>
      <c r="B176" s="52" t="s">
        <v>180</v>
      </c>
      <c r="C176" t="s">
        <v>122</v>
      </c>
      <c r="D176" t="s">
        <v>121</v>
      </c>
      <c r="E176" s="5">
        <f>'Grains, oil crops, sugar'!C151</f>
        <v>1</v>
      </c>
      <c r="F176" s="750" t="str">
        <f>'Summary pivot'!$C$1</f>
        <v>GWP100 with fb AR6</v>
      </c>
      <c r="G176" s="188">
        <f>Table1[[#This Row],[kg CO2 at retail-gate per kg of product]]+Table1[[#This Row],[Kg CO2e from CH4 fossil]]+Table1[[#This Row],[Kg CO2e from N2O]]</f>
        <v>1.4860877443452241</v>
      </c>
      <c r="H176" s="188">
        <f>'Grains, oil crops, sugar'!H152</f>
        <v>1.2422786877495118</v>
      </c>
      <c r="I176" s="188">
        <f>'Grains, oil crops, sugar'!H153</f>
        <v>3.3226210375845229E-4</v>
      </c>
      <c r="J176" s="188">
        <v>0</v>
      </c>
      <c r="K176" s="188">
        <f>'Grains, oil crops, sugar'!H154</f>
        <v>8.5680456374985514E-4</v>
      </c>
      <c r="L176" s="188">
        <v>0</v>
      </c>
      <c r="M176" s="188">
        <f>Table1[[#This Row],[kg CH4 fossil at retail-gate per kg of product]]*'Summary pivot'!$D$5</f>
        <v>9.9014106920018788E-3</v>
      </c>
      <c r="N176" s="188">
        <f>Table1[[#This Row],[kg CH4 bio at retail-gate per kg of product]]*'Summary pivot'!$D$4</f>
        <v>0</v>
      </c>
      <c r="O176" s="188">
        <f>Table1[[#This Row],[kg N2O at retail-gate per kg of product]]*'Summary pivot'!$D$6</f>
        <v>0.23390764590371046</v>
      </c>
      <c r="P176" s="188">
        <f>Table1[[#This Row],[kg HCFC-22 at retail-gate per kg of product]]*'Summary pivot'!$D$7</f>
        <v>0</v>
      </c>
    </row>
    <row r="177" spans="1:16" ht="30">
      <c r="A177" s="52" t="s">
        <v>6</v>
      </c>
      <c r="B177" s="52" t="s">
        <v>181</v>
      </c>
      <c r="C177" t="s">
        <v>120</v>
      </c>
      <c r="D177" t="s">
        <v>121</v>
      </c>
      <c r="E177" s="5">
        <f>'Grains, oil crops, sugar'!C156</f>
        <v>1</v>
      </c>
      <c r="F177" s="750" t="str">
        <f>'Summary pivot'!$C$1</f>
        <v>GWP100 with fb AR6</v>
      </c>
      <c r="G177" s="188">
        <f>Table1[[#This Row],[kg CO2 at retail-gate per kg of product]]+Table1[[#This Row],[Kg CO2e from CH4 fossil]]+Table1[[#This Row],[Kg CO2e from N2O]]</f>
        <v>3.6755397513997967</v>
      </c>
      <c r="H177" s="188">
        <f>'Grains, oil crops, sugar'!H157</f>
        <v>3.2585760904311165</v>
      </c>
      <c r="I177" s="188">
        <f>'Grains, oil crops, sugar'!H158</f>
        <v>3.3553813716988008E-3</v>
      </c>
      <c r="J177" s="188">
        <v>0</v>
      </c>
      <c r="K177" s="188">
        <f>'Grains, oil crops, sugar'!H159</f>
        <v>1.1610743446595461E-3</v>
      </c>
      <c r="L177" s="188">
        <v>0</v>
      </c>
      <c r="M177" s="188">
        <f>Table1[[#This Row],[kg CH4 fossil at retail-gate per kg of product]]*'Summary pivot'!$D$5</f>
        <v>9.9990364876624271E-2</v>
      </c>
      <c r="N177" s="188">
        <f>Table1[[#This Row],[kg CH4 bio at retail-gate per kg of product]]*'Summary pivot'!$D$4</f>
        <v>0</v>
      </c>
      <c r="O177" s="188">
        <f>Table1[[#This Row],[kg N2O at retail-gate per kg of product]]*'Summary pivot'!$D$6</f>
        <v>0.3169732960920561</v>
      </c>
      <c r="P177" s="188">
        <f>Table1[[#This Row],[kg HCFC-22 at retail-gate per kg of product]]*'Summary pivot'!$D$7</f>
        <v>0</v>
      </c>
    </row>
    <row r="178" spans="1:16" ht="30">
      <c r="A178" s="52" t="s">
        <v>6</v>
      </c>
      <c r="B178" s="52" t="s">
        <v>181</v>
      </c>
      <c r="C178" t="s">
        <v>146</v>
      </c>
      <c r="D178" t="s">
        <v>121</v>
      </c>
      <c r="E178" s="5">
        <f>'Grains, oil crops, sugar'!C160</f>
        <v>0.32569947067084365</v>
      </c>
      <c r="F178" s="750" t="str">
        <f>'Summary pivot'!$C$1</f>
        <v>GWP100 with fb AR6</v>
      </c>
      <c r="G178" s="188">
        <f>Table1[[#This Row],[kg CO2 at retail-gate per kg of product]]+Table1[[#This Row],[Kg CO2e from CH4 fossil]]+Table1[[#This Row],[Kg CO2e from N2O]]</f>
        <v>3.7035731803493235</v>
      </c>
      <c r="H178" s="188">
        <f>'Grains, oil crops, sugar'!H161</f>
        <v>3.2868138525216848</v>
      </c>
      <c r="I178" s="188">
        <f>'Grains, oil crops, sugar'!H162</f>
        <v>3.3496326681862277E-3</v>
      </c>
      <c r="J178" s="188">
        <v>0</v>
      </c>
      <c r="K178" s="188">
        <f>'Grains, oil crops, sugar'!H163</f>
        <v>1.1609533857717541E-3</v>
      </c>
      <c r="L178" s="188">
        <v>0</v>
      </c>
      <c r="M178" s="188">
        <f>Table1[[#This Row],[kg CH4 fossil at retail-gate per kg of product]]*'Summary pivot'!$D$5</f>
        <v>9.9819053511949585E-2</v>
      </c>
      <c r="N178" s="188">
        <f>Table1[[#This Row],[kg CH4 bio at retail-gate per kg of product]]*'Summary pivot'!$D$4</f>
        <v>0</v>
      </c>
      <c r="O178" s="188">
        <f>Table1[[#This Row],[kg N2O at retail-gate per kg of product]]*'Summary pivot'!$D$6</f>
        <v>0.31694027431568889</v>
      </c>
      <c r="P178" s="188">
        <f>Table1[[#This Row],[kg HCFC-22 at retail-gate per kg of product]]*'Summary pivot'!$D$7</f>
        <v>0</v>
      </c>
    </row>
    <row r="179" spans="1:16" ht="30">
      <c r="A179" s="52" t="s">
        <v>6</v>
      </c>
      <c r="B179" s="52" t="s">
        <v>181</v>
      </c>
      <c r="C179" t="s">
        <v>182</v>
      </c>
      <c r="D179" t="s">
        <v>121</v>
      </c>
      <c r="E179" s="5">
        <f>'Grains, oil crops, sugar'!C164</f>
        <v>0.15804256238522199</v>
      </c>
      <c r="F179" s="750" t="str">
        <f>'Summary pivot'!$C$1</f>
        <v>GWP100 with fb AR6</v>
      </c>
      <c r="G179" s="188">
        <f>Table1[[#This Row],[kg CO2 at retail-gate per kg of product]]+Table1[[#This Row],[Kg CO2e from CH4 fossil]]+Table1[[#This Row],[Kg CO2e from N2O]]</f>
        <v>3.5611753676853191</v>
      </c>
      <c r="H179" s="188">
        <f>'Grains, oil crops, sugar'!H165</f>
        <v>3.1437552921959906</v>
      </c>
      <c r="I179" s="188">
        <f>'Grains, oil crops, sugar'!H166</f>
        <v>3.3610384208512742E-3</v>
      </c>
      <c r="J179" s="188">
        <v>0</v>
      </c>
      <c r="K179" s="188">
        <f>'Grains, oil crops, sugar'!H167</f>
        <v>1.1621286833258628E-3</v>
      </c>
      <c r="L179" s="188">
        <v>0</v>
      </c>
      <c r="M179" s="188">
        <f>Table1[[#This Row],[kg CH4 fossil at retail-gate per kg of product]]*'Summary pivot'!$D$5</f>
        <v>0.10015894494136797</v>
      </c>
      <c r="N179" s="188">
        <f>Table1[[#This Row],[kg CH4 bio at retail-gate per kg of product]]*'Summary pivot'!$D$4</f>
        <v>0</v>
      </c>
      <c r="O179" s="188">
        <f>Table1[[#This Row],[kg N2O at retail-gate per kg of product]]*'Summary pivot'!$D$6</f>
        <v>0.31726113054796057</v>
      </c>
      <c r="P179" s="188">
        <f>Table1[[#This Row],[kg HCFC-22 at retail-gate per kg of product]]*'Summary pivot'!$D$7</f>
        <v>0</v>
      </c>
    </row>
    <row r="180" spans="1:16" ht="30">
      <c r="A180" s="52" t="s">
        <v>6</v>
      </c>
      <c r="B180" s="52" t="s">
        <v>181</v>
      </c>
      <c r="C180" t="s">
        <v>134</v>
      </c>
      <c r="D180" t="s">
        <v>121</v>
      </c>
      <c r="E180" s="5">
        <f>'Grains, oil crops, sugar'!C168</f>
        <v>0.51625796694393433</v>
      </c>
      <c r="F180" s="750" t="str">
        <f>'Summary pivot'!$C$1</f>
        <v>GWP100 with fb AR6</v>
      </c>
      <c r="G180" s="188">
        <f>Table1[[#This Row],[kg CO2 at retail-gate per kg of product]]+Table1[[#This Row],[Kg CO2e from CH4 fossil]]+Table1[[#This Row],[Kg CO2e from N2O]]</f>
        <v>3.6928643601236844</v>
      </c>
      <c r="H180" s="188">
        <f>'Grains, oil crops, sugar'!H169</f>
        <v>3.2759115110452464</v>
      </c>
      <c r="I180" s="188">
        <f>'Grains, oil crops, sugar'!H170</f>
        <v>3.3572763451619396E-3</v>
      </c>
      <c r="J180" s="188">
        <v>0</v>
      </c>
      <c r="K180" s="188">
        <f>'Grains, oil crops, sugar'!H171</f>
        <v>1.1608278900828296E-3</v>
      </c>
      <c r="L180" s="188">
        <v>0</v>
      </c>
      <c r="M180" s="188">
        <f>Table1[[#This Row],[kg CH4 fossil at retail-gate per kg of product]]*'Summary pivot'!$D$5</f>
        <v>0.10004683508582581</v>
      </c>
      <c r="N180" s="188">
        <f>Table1[[#This Row],[kg CH4 bio at retail-gate per kg of product]]*'Summary pivot'!$D$4</f>
        <v>0</v>
      </c>
      <c r="O180" s="188">
        <f>Table1[[#This Row],[kg N2O at retail-gate per kg of product]]*'Summary pivot'!$D$6</f>
        <v>0.31690601399261248</v>
      </c>
      <c r="P180" s="188">
        <f>Table1[[#This Row],[kg HCFC-22 at retail-gate per kg of product]]*'Summary pivot'!$D$7</f>
        <v>0</v>
      </c>
    </row>
    <row r="181" spans="1:16" ht="30">
      <c r="A181" s="52" t="s">
        <v>6</v>
      </c>
      <c r="B181" s="52" t="s">
        <v>183</v>
      </c>
      <c r="C181" t="s">
        <v>120</v>
      </c>
      <c r="D181" t="s">
        <v>121</v>
      </c>
      <c r="E181" s="5">
        <f>'Grains, oil crops, sugar'!C173</f>
        <v>1</v>
      </c>
      <c r="F181" s="750" t="str">
        <f>'Summary pivot'!$C$1</f>
        <v>GWP100 with fb AR6</v>
      </c>
      <c r="G181" s="188">
        <f>Table1[[#This Row],[kg CO2 at retail-gate per kg of product]]+Table1[[#This Row],[Kg CO2e from CH4 fossil]]+Table1[[#This Row],[Kg CO2e from N2O]]</f>
        <v>1.3171490959796606</v>
      </c>
      <c r="H181" s="188">
        <f>'Grains, oil crops, sugar'!H174</f>
        <v>1.0673857302211298</v>
      </c>
      <c r="I181" s="188">
        <f>'Grains, oil crops, sugar'!H175</f>
        <v>2.7157435271027615E-4</v>
      </c>
      <c r="J181" s="188">
        <v>0</v>
      </c>
      <c r="K181" s="188">
        <f>'Grains, oil crops, sugar'!H176</f>
        <v>8.8523974376470489E-4</v>
      </c>
      <c r="L181" s="188">
        <v>0</v>
      </c>
      <c r="M181" s="188">
        <f>Table1[[#This Row],[kg CH4 fossil at retail-gate per kg of product]]*'Summary pivot'!$D$5</f>
        <v>8.0929157107662297E-3</v>
      </c>
      <c r="N181" s="188">
        <f>Table1[[#This Row],[kg CH4 bio at retail-gate per kg of product]]*'Summary pivot'!$D$4</f>
        <v>0</v>
      </c>
      <c r="O181" s="188">
        <f>Table1[[#This Row],[kg N2O at retail-gate per kg of product]]*'Summary pivot'!$D$6</f>
        <v>0.24167045004776444</v>
      </c>
      <c r="P181" s="188">
        <f>Table1[[#This Row],[kg HCFC-22 at retail-gate per kg of product]]*'Summary pivot'!$D$7</f>
        <v>0</v>
      </c>
    </row>
    <row r="182" spans="1:16" ht="30">
      <c r="A182" s="52" t="s">
        <v>6</v>
      </c>
      <c r="B182" s="52" t="s">
        <v>183</v>
      </c>
      <c r="C182" t="s">
        <v>149</v>
      </c>
      <c r="D182" t="s">
        <v>121</v>
      </c>
      <c r="E182" s="5">
        <f>'Grains, oil crops, sugar'!C177</f>
        <v>0.32707280280000001</v>
      </c>
      <c r="F182" s="750" t="str">
        <f>'Summary pivot'!$C$1</f>
        <v>GWP100 with fb AR6</v>
      </c>
      <c r="G182" s="188">
        <f>Table1[[#This Row],[kg CO2 at retail-gate per kg of product]]+Table1[[#This Row],[Kg CO2e from CH4 fossil]]+Table1[[#This Row],[Kg CO2e from N2O]]</f>
        <v>1.2544303838811091</v>
      </c>
      <c r="H182" s="188">
        <f>'Grains, oil crops, sugar'!H178</f>
        <v>1.0371565054019214</v>
      </c>
      <c r="I182" s="188">
        <f>'Grains, oil crops, sugar'!H179</f>
        <v>2.5920380772993091E-4</v>
      </c>
      <c r="J182" s="188">
        <v>0</v>
      </c>
      <c r="K182" s="188">
        <f>'Grains, oil crops, sugar'!H180</f>
        <v>7.6758097072833595E-4</v>
      </c>
      <c r="L182" s="188">
        <v>0</v>
      </c>
      <c r="M182" s="188">
        <f>Table1[[#This Row],[kg CH4 fossil at retail-gate per kg of product]]*'Summary pivot'!$D$5</f>
        <v>7.7242734703519408E-3</v>
      </c>
      <c r="N182" s="188">
        <f>Table1[[#This Row],[kg CH4 bio at retail-gate per kg of product]]*'Summary pivot'!$D$4</f>
        <v>0</v>
      </c>
      <c r="O182" s="188">
        <f>Table1[[#This Row],[kg N2O at retail-gate per kg of product]]*'Summary pivot'!$D$6</f>
        <v>0.20954960500883571</v>
      </c>
      <c r="P182" s="188">
        <f>Table1[[#This Row],[kg HCFC-22 at retail-gate per kg of product]]*'Summary pivot'!$D$7</f>
        <v>0</v>
      </c>
    </row>
    <row r="183" spans="1:16" ht="30">
      <c r="A183" s="52" t="s">
        <v>6</v>
      </c>
      <c r="B183" s="52" t="s">
        <v>183</v>
      </c>
      <c r="C183" t="s">
        <v>142</v>
      </c>
      <c r="D183" t="s">
        <v>121</v>
      </c>
      <c r="E183" s="5">
        <f>'Grains, oil crops, sugar'!C181</f>
        <v>0.28777903040000002</v>
      </c>
      <c r="F183" s="750" t="str">
        <f>'Summary pivot'!$C$1</f>
        <v>GWP100 with fb AR6</v>
      </c>
      <c r="G183" s="188">
        <f>Table1[[#This Row],[kg CO2 at retail-gate per kg of product]]+Table1[[#This Row],[Kg CO2e from CH4 fossil]]+Table1[[#This Row],[Kg CO2e from N2O]]</f>
        <v>1.414741561345652</v>
      </c>
      <c r="H183" s="188">
        <f>'Grains, oil crops, sugar'!H182</f>
        <v>1.0880236224279971</v>
      </c>
      <c r="I183" s="188">
        <f>'Grains, oil crops, sugar'!H183</f>
        <v>3.6392111143935998E-4</v>
      </c>
      <c r="J183" s="188">
        <v>0</v>
      </c>
      <c r="K183" s="188">
        <f>'Grains, oil crops, sugar'!H184</f>
        <v>1.1570442849698239E-3</v>
      </c>
      <c r="L183" s="188">
        <v>0</v>
      </c>
      <c r="M183" s="188">
        <f>Table1[[#This Row],[kg CH4 fossil at retail-gate per kg of product]]*'Summary pivot'!$D$5</f>
        <v>1.0844849120892928E-2</v>
      </c>
      <c r="N183" s="188">
        <f>Table1[[#This Row],[kg CH4 bio at retail-gate per kg of product]]*'Summary pivot'!$D$4</f>
        <v>0</v>
      </c>
      <c r="O183" s="188">
        <f>Table1[[#This Row],[kg N2O at retail-gate per kg of product]]*'Summary pivot'!$D$6</f>
        <v>0.31587308979676193</v>
      </c>
      <c r="P183" s="188">
        <f>Table1[[#This Row],[kg HCFC-22 at retail-gate per kg of product]]*'Summary pivot'!$D$7</f>
        <v>0</v>
      </c>
    </row>
    <row r="184" spans="1:16" ht="30">
      <c r="A184" s="52" t="s">
        <v>6</v>
      </c>
      <c r="B184" s="52" t="s">
        <v>183</v>
      </c>
      <c r="C184" t="s">
        <v>184</v>
      </c>
      <c r="D184" t="s">
        <v>121</v>
      </c>
      <c r="E184" s="5">
        <f>'Grains, oil crops, sugar'!C185</f>
        <v>0.16764581510000001</v>
      </c>
      <c r="F184" s="750" t="str">
        <f>'Summary pivot'!$C$1</f>
        <v>GWP100 with fb AR6</v>
      </c>
      <c r="G184" s="188">
        <f>Table1[[#This Row],[kg CO2 at retail-gate per kg of product]]+Table1[[#This Row],[Kg CO2e from CH4 fossil]]+Table1[[#This Row],[Kg CO2e from N2O]]</f>
        <v>1.2212540185665499</v>
      </c>
      <c r="H184" s="188">
        <f>'Grains, oil crops, sugar'!H186</f>
        <v>1.0316046707641149</v>
      </c>
      <c r="I184" s="188">
        <f>'Grains, oil crops, sugar'!H187</f>
        <v>2.264523784234094E-4</v>
      </c>
      <c r="J184" s="188">
        <v>0</v>
      </c>
      <c r="K184" s="188">
        <f>'Grains, oil crops, sugar'!H188</f>
        <v>6.6996727811508179E-4</v>
      </c>
      <c r="L184" s="188">
        <v>0</v>
      </c>
      <c r="M184" s="188">
        <f>Table1[[#This Row],[kg CH4 fossil at retail-gate per kg of product]]*'Summary pivot'!$D$5</f>
        <v>6.7482808770175998E-3</v>
      </c>
      <c r="N184" s="188">
        <f>Table1[[#This Row],[kg CH4 bio at retail-gate per kg of product]]*'Summary pivot'!$D$4</f>
        <v>0</v>
      </c>
      <c r="O184" s="188">
        <f>Table1[[#This Row],[kg N2O at retail-gate per kg of product]]*'Summary pivot'!$D$6</f>
        <v>0.18290106692541733</v>
      </c>
      <c r="P184" s="188">
        <f>Table1[[#This Row],[kg HCFC-22 at retail-gate per kg of product]]*'Summary pivot'!$D$7</f>
        <v>0</v>
      </c>
    </row>
    <row r="185" spans="1:16" ht="30">
      <c r="A185" s="52" t="s">
        <v>6</v>
      </c>
      <c r="B185" s="52" t="s">
        <v>183</v>
      </c>
      <c r="C185" t="s">
        <v>134</v>
      </c>
      <c r="D185" t="s">
        <v>121</v>
      </c>
      <c r="E185" s="5">
        <f>'Grains, oil crops, sugar'!C189</f>
        <v>0.21750235169999999</v>
      </c>
      <c r="F185" s="750" t="str">
        <f>'Summary pivot'!$C$1</f>
        <v>GWP100 with fb AR6</v>
      </c>
      <c r="G185" s="188">
        <f>Table1[[#This Row],[kg CO2 at retail-gate per kg of product]]+Table1[[#This Row],[Kg CO2e from CH4 fossil]]+Table1[[#This Row],[Kg CO2e from N2O]]</f>
        <v>1.3562517918688441</v>
      </c>
      <c r="H185" s="188">
        <f>'Grains, oil crops, sugar'!H190</f>
        <v>1.1131164980926878</v>
      </c>
      <c r="I185" s="188">
        <f>'Grains, oil crops, sugar'!H191</f>
        <v>2.0277104279870563E-4</v>
      </c>
      <c r="J185" s="188">
        <v>0</v>
      </c>
      <c r="K185" s="188">
        <f>'Grains, oil crops, sugar'!H192</f>
        <v>8.6847148974635556E-4</v>
      </c>
      <c r="L185" s="188">
        <v>0</v>
      </c>
      <c r="M185" s="188">
        <f>Table1[[#This Row],[kg CH4 fossil at retail-gate per kg of product]]*'Summary pivot'!$D$5</f>
        <v>6.0425770754014277E-3</v>
      </c>
      <c r="N185" s="188">
        <f>Table1[[#This Row],[kg CH4 bio at retail-gate per kg of product]]*'Summary pivot'!$D$4</f>
        <v>0</v>
      </c>
      <c r="O185" s="188">
        <f>Table1[[#This Row],[kg N2O at retail-gate per kg of product]]*'Summary pivot'!$D$6</f>
        <v>0.23709271670075507</v>
      </c>
      <c r="P185" s="188">
        <f>Table1[[#This Row],[kg HCFC-22 at retail-gate per kg of product]]*'Summary pivot'!$D$7</f>
        <v>0</v>
      </c>
    </row>
    <row r="186" spans="1:16" ht="30">
      <c r="A186" s="52" t="s">
        <v>6</v>
      </c>
      <c r="B186" s="52" t="s">
        <v>185</v>
      </c>
      <c r="C186" t="s">
        <v>120</v>
      </c>
      <c r="D186" t="s">
        <v>121</v>
      </c>
      <c r="E186" s="5">
        <f>'Grains, oil crops, sugar'!C194</f>
        <v>1</v>
      </c>
      <c r="F186" s="750" t="str">
        <f>'Summary pivot'!$C$1</f>
        <v>GWP100 with fb AR6</v>
      </c>
      <c r="G186" s="188">
        <f>Table1[[#This Row],[kg CO2 at retail-gate per kg of product]]+Table1[[#This Row],[Kg CO2e from CH4 fossil]]+Table1[[#This Row],[Kg CO2e from N2O]]</f>
        <v>2.4171217003754526</v>
      </c>
      <c r="H186" s="188">
        <f>'Grains, oil crops, sugar'!H195</f>
        <v>1.9314707114005318</v>
      </c>
      <c r="I186" s="188">
        <f>'Grains, oil crops, sugar'!H196</f>
        <v>5.2806124138109244E-4</v>
      </c>
      <c r="J186" s="188">
        <v>0</v>
      </c>
      <c r="K186" s="188">
        <f>'Grains, oil crops, sugar'!H197</f>
        <v>1.7212995017647035E-3</v>
      </c>
      <c r="L186" s="188">
        <v>0</v>
      </c>
      <c r="M186" s="188">
        <f>Table1[[#This Row],[kg CH4 fossil at retail-gate per kg of product]]*'Summary pivot'!$D$5</f>
        <v>1.5736224993156554E-2</v>
      </c>
      <c r="N186" s="188">
        <f>Table1[[#This Row],[kg CH4 bio at retail-gate per kg of product]]*'Summary pivot'!$D$4</f>
        <v>0</v>
      </c>
      <c r="O186" s="188">
        <f>Table1[[#This Row],[kg N2O at retail-gate per kg of product]]*'Summary pivot'!$D$6</f>
        <v>0.46991476398176407</v>
      </c>
      <c r="P186" s="188">
        <f>Table1[[#This Row],[kg HCFC-22 at retail-gate per kg of product]]*'Summary pivot'!$D$7</f>
        <v>0</v>
      </c>
    </row>
    <row r="187" spans="1:16" ht="30">
      <c r="A187" s="52" t="s">
        <v>6</v>
      </c>
      <c r="B187" s="52" t="s">
        <v>185</v>
      </c>
      <c r="C187" t="s">
        <v>149</v>
      </c>
      <c r="D187" t="s">
        <v>121</v>
      </c>
      <c r="E187" s="5">
        <f>'Grains, oil crops, sugar'!C198</f>
        <v>0.32707280280000001</v>
      </c>
      <c r="F187" s="750" t="str">
        <f>'Summary pivot'!$C$1</f>
        <v>GWP100 with fb AR6</v>
      </c>
      <c r="G187" s="188">
        <f>Table1[[#This Row],[kg CO2 at retail-gate per kg of product]]+Table1[[#This Row],[Kg CO2e from CH4 fossil]]+Table1[[#This Row],[Kg CO2e from N2O]]</f>
        <v>2.3233925312426256</v>
      </c>
      <c r="H187" s="188">
        <f>'Grains, oil crops, sugar'!H199</f>
        <v>1.9009155453108717</v>
      </c>
      <c r="I187" s="188">
        <f>'Grains, oil crops, sugar'!H200</f>
        <v>5.0400740391931011E-4</v>
      </c>
      <c r="J187" s="188">
        <v>0</v>
      </c>
      <c r="K187" s="188">
        <f>'Grains, oil crops, sugar'!H201</f>
        <v>1.4925185541939865E-3</v>
      </c>
      <c r="L187" s="188">
        <v>0</v>
      </c>
      <c r="M187" s="188">
        <f>Table1[[#This Row],[kg CH4 fossil at retail-gate per kg of product]]*'Summary pivot'!$D$5</f>
        <v>1.5019420636795441E-2</v>
      </c>
      <c r="N187" s="188">
        <f>Table1[[#This Row],[kg CH4 bio at retail-gate per kg of product]]*'Summary pivot'!$D$4</f>
        <v>0</v>
      </c>
      <c r="O187" s="188">
        <f>Table1[[#This Row],[kg N2O at retail-gate per kg of product]]*'Summary pivot'!$D$6</f>
        <v>0.4074575652949583</v>
      </c>
      <c r="P187" s="188">
        <f>Table1[[#This Row],[kg HCFC-22 at retail-gate per kg of product]]*'Summary pivot'!$D$7</f>
        <v>0</v>
      </c>
    </row>
    <row r="188" spans="1:16" ht="30">
      <c r="A188" s="52" t="s">
        <v>6</v>
      </c>
      <c r="B188" s="52" t="s">
        <v>185</v>
      </c>
      <c r="C188" t="s">
        <v>142</v>
      </c>
      <c r="D188" t="s">
        <v>121</v>
      </c>
      <c r="E188" s="5">
        <f>'Grains, oil crops, sugar'!C202</f>
        <v>0.28777903040000002</v>
      </c>
      <c r="F188" s="750" t="str">
        <f>'Summary pivot'!$C$1</f>
        <v>GWP100 with fb AR6</v>
      </c>
      <c r="G188" s="188">
        <f>Table1[[#This Row],[kg CO2 at retail-gate per kg of product]]+Table1[[#This Row],[Kg CO2e from CH4 fossil]]+Table1[[#This Row],[Kg CO2e from N2O]]</f>
        <v>2.6276358351556421</v>
      </c>
      <c r="H188" s="188">
        <f>'Grains, oil crops, sugar'!H203</f>
        <v>1.9923509539268687</v>
      </c>
      <c r="I188" s="188">
        <f>'Grains, oil crops, sugar'!H204</f>
        <v>7.0762438335431098E-4</v>
      </c>
      <c r="J188" s="188">
        <v>0</v>
      </c>
      <c r="K188" s="188">
        <f>'Grains, oil crops, sugar'!H205</f>
        <v>2.2498083318857683E-3</v>
      </c>
      <c r="L188" s="188">
        <v>0</v>
      </c>
      <c r="M188" s="188">
        <f>Table1[[#This Row],[kg CH4 fossil at retail-gate per kg of product]]*'Summary pivot'!$D$5</f>
        <v>2.1087206623958469E-2</v>
      </c>
      <c r="N188" s="188">
        <f>Table1[[#This Row],[kg CH4 bio at retail-gate per kg of product]]*'Summary pivot'!$D$4</f>
        <v>0</v>
      </c>
      <c r="O188" s="188">
        <f>Table1[[#This Row],[kg N2O at retail-gate per kg of product]]*'Summary pivot'!$D$6</f>
        <v>0.61419767460481478</v>
      </c>
      <c r="P188" s="188">
        <f>Table1[[#This Row],[kg HCFC-22 at retail-gate per kg of product]]*'Summary pivot'!$D$7</f>
        <v>0</v>
      </c>
    </row>
    <row r="189" spans="1:16" ht="30">
      <c r="A189" s="52" t="s">
        <v>6</v>
      </c>
      <c r="B189" s="52" t="s">
        <v>185</v>
      </c>
      <c r="C189" t="s">
        <v>184</v>
      </c>
      <c r="D189" t="s">
        <v>121</v>
      </c>
      <c r="E189" s="5">
        <f>'Grains, oil crops, sugar'!C206</f>
        <v>0.16764581510000001</v>
      </c>
      <c r="F189" s="750" t="str">
        <f>'Summary pivot'!$C$1</f>
        <v>GWP100 with fb AR6</v>
      </c>
      <c r="G189" s="188">
        <f>Table1[[#This Row],[kg CO2 at retail-gate per kg of product]]+Table1[[#This Row],[Kg CO2e from CH4 fossil]]+Table1[[#This Row],[Kg CO2e from N2O]]</f>
        <v>2.2514100575296099</v>
      </c>
      <c r="H189" s="188">
        <f>'Grains, oil crops, sugar'!H207</f>
        <v>1.8826474368026531</v>
      </c>
      <c r="I189" s="188">
        <f>'Grains, oil crops, sugar'!H208</f>
        <v>4.4032406915662939E-4</v>
      </c>
      <c r="J189" s="188">
        <v>0</v>
      </c>
      <c r="K189" s="188">
        <f>'Grains, oil crops, sugar'!H209</f>
        <v>1.3027141518904368E-3</v>
      </c>
      <c r="L189" s="188">
        <v>0</v>
      </c>
      <c r="M189" s="188">
        <f>Table1[[#This Row],[kg CH4 fossil at retail-gate per kg of product]]*'Summary pivot'!$D$5</f>
        <v>1.3121657260867557E-2</v>
      </c>
      <c r="N189" s="188">
        <f>Table1[[#This Row],[kg CH4 bio at retail-gate per kg of product]]*'Summary pivot'!$D$4</f>
        <v>0</v>
      </c>
      <c r="O189" s="188">
        <f>Table1[[#This Row],[kg N2O at retail-gate per kg of product]]*'Summary pivot'!$D$6</f>
        <v>0.35564096346608925</v>
      </c>
      <c r="P189" s="188">
        <f>Table1[[#This Row],[kg HCFC-22 at retail-gate per kg of product]]*'Summary pivot'!$D$7</f>
        <v>0</v>
      </c>
    </row>
    <row r="190" spans="1:16" ht="30">
      <c r="A190" s="52" t="s">
        <v>6</v>
      </c>
      <c r="B190" s="52" t="s">
        <v>185</v>
      </c>
      <c r="C190" t="s">
        <v>134</v>
      </c>
      <c r="D190" t="s">
        <v>121</v>
      </c>
      <c r="E190" s="5">
        <f>'Grains, oil crops, sugar'!C210</f>
        <v>0.21750235169999999</v>
      </c>
      <c r="F190" s="750" t="str">
        <f>'Summary pivot'!$C$1</f>
        <v>GWP100 with fb AR6</v>
      </c>
      <c r="G190" s="188">
        <f>Table1[[#This Row],[kg CO2 at retail-gate per kg of product]]+Table1[[#This Row],[Kg CO2e from CH4 fossil]]+Table1[[#This Row],[Kg CO2e from N2O]]</f>
        <v>2.4072623674214109</v>
      </c>
      <c r="H190" s="188">
        <f>'Grains, oil crops, sugar'!H211</f>
        <v>1.9344992961899954</v>
      </c>
      <c r="I190" s="188">
        <f>'Grains, oil crops, sugar'!H212</f>
        <v>3.9427702766414989E-4</v>
      </c>
      <c r="J190" s="188">
        <v>0</v>
      </c>
      <c r="K190" s="188">
        <f>'Grains, oil crops, sugar'!H213</f>
        <v>1.6886945633956913E-3</v>
      </c>
      <c r="L190" s="188">
        <v>0</v>
      </c>
      <c r="M190" s="188">
        <f>Table1[[#This Row],[kg CH4 fossil at retail-gate per kg of product]]*'Summary pivot'!$D$5</f>
        <v>1.1749455424391667E-2</v>
      </c>
      <c r="N190" s="188">
        <f>Table1[[#This Row],[kg CH4 bio at retail-gate per kg of product]]*'Summary pivot'!$D$4</f>
        <v>0</v>
      </c>
      <c r="O190" s="188">
        <f>Table1[[#This Row],[kg N2O at retail-gate per kg of product]]*'Summary pivot'!$D$6</f>
        <v>0.46101361580702371</v>
      </c>
      <c r="P190" s="188">
        <f>Table1[[#This Row],[kg HCFC-22 at retail-gate per kg of product]]*'Summary pivot'!$D$7</f>
        <v>0</v>
      </c>
    </row>
    <row r="191" spans="1:16" ht="30">
      <c r="A191" s="52" t="s">
        <v>6</v>
      </c>
      <c r="B191" s="1214" t="s">
        <v>186</v>
      </c>
      <c r="C191" t="s">
        <v>120</v>
      </c>
      <c r="D191" t="s">
        <v>121</v>
      </c>
      <c r="E191" s="5">
        <f>'Grains, oil crops, sugar'!C215</f>
        <v>1</v>
      </c>
      <c r="F191" s="750" t="str">
        <f>'Summary pivot'!$C$1</f>
        <v>GWP100 with fb AR6</v>
      </c>
      <c r="G191" s="188">
        <f>Table1[[#This Row],[kg CO2 at retail-gate per kg of product]]+Table1[[#This Row],[Kg CO2e from CH4 fossil]]+Table1[[#This Row],[Kg CO2e from N2O]]</f>
        <v>0</v>
      </c>
      <c r="H191" s="188"/>
      <c r="I191" s="188"/>
      <c r="J191" s="188"/>
      <c r="K191" s="188"/>
      <c r="L191" s="188"/>
      <c r="M191" s="188">
        <f>Table1[[#This Row],[kg CH4 fossil at retail-gate per kg of product]]*'Summary pivot'!$D$5</f>
        <v>0</v>
      </c>
      <c r="N191" s="188">
        <f>Table1[[#This Row],[kg CH4 bio at retail-gate per kg of product]]*'Summary pivot'!$D$4</f>
        <v>0</v>
      </c>
      <c r="O191" s="188">
        <f>Table1[[#This Row],[kg N2O at retail-gate per kg of product]]*'Summary pivot'!$D$6</f>
        <v>0</v>
      </c>
      <c r="P191" s="188">
        <f>Table1[[#This Row],[kg HCFC-22 at retail-gate per kg of product]]*'Summary pivot'!$D$7</f>
        <v>0</v>
      </c>
    </row>
    <row r="192" spans="1:16" ht="30">
      <c r="A192" s="52" t="s">
        <v>6</v>
      </c>
      <c r="B192" s="1214" t="s">
        <v>186</v>
      </c>
      <c r="C192" t="s">
        <v>161</v>
      </c>
      <c r="D192" t="s">
        <v>121</v>
      </c>
      <c r="E192" s="5">
        <f>'Grains, oil crops, sugar'!C219</f>
        <v>0.3295701577155068</v>
      </c>
      <c r="F192" s="750" t="str">
        <f>'Summary pivot'!$C$1</f>
        <v>GWP100 with fb AR6</v>
      </c>
      <c r="G192" s="188">
        <f>Table1[[#This Row],[kg CO2 at retail-gate per kg of product]]+Table1[[#This Row],[Kg CO2e from CH4 fossil]]+Table1[[#This Row],[Kg CO2e from N2O]]</f>
        <v>0</v>
      </c>
      <c r="H192" s="188"/>
      <c r="I192" s="188"/>
      <c r="J192" s="188"/>
      <c r="K192" s="188"/>
      <c r="L192" s="188"/>
      <c r="M192" s="188">
        <f>Table1[[#This Row],[kg CH4 fossil at retail-gate per kg of product]]*'Summary pivot'!$D$5</f>
        <v>0</v>
      </c>
      <c r="N192" s="188">
        <f>Table1[[#This Row],[kg CH4 bio at retail-gate per kg of product]]*'Summary pivot'!$D$4</f>
        <v>0</v>
      </c>
      <c r="O192" s="188">
        <f>Table1[[#This Row],[kg N2O at retail-gate per kg of product]]*'Summary pivot'!$D$6</f>
        <v>0</v>
      </c>
      <c r="P192" s="188">
        <f>Table1[[#This Row],[kg HCFC-22 at retail-gate per kg of product]]*'Summary pivot'!$D$7</f>
        <v>0</v>
      </c>
    </row>
    <row r="193" spans="1:16" ht="30">
      <c r="A193" s="52" t="s">
        <v>6</v>
      </c>
      <c r="B193" s="1214" t="s">
        <v>186</v>
      </c>
      <c r="C193" t="s">
        <v>134</v>
      </c>
      <c r="D193" t="s">
        <v>121</v>
      </c>
      <c r="E193" s="5">
        <f>'Grains, oil crops, sugar'!C223</f>
        <v>0.6704298422844932</v>
      </c>
      <c r="F193" s="750" t="str">
        <f>'Summary pivot'!$C$1</f>
        <v>GWP100 with fb AR6</v>
      </c>
      <c r="G193" s="188">
        <f>Table1[[#This Row],[kg CO2 at retail-gate per kg of product]]+Table1[[#This Row],[Kg CO2e from CH4 fossil]]+Table1[[#This Row],[Kg CO2e from N2O]]</f>
        <v>0</v>
      </c>
      <c r="H193" s="188"/>
      <c r="I193" s="188"/>
      <c r="J193" s="188"/>
      <c r="K193" s="188"/>
      <c r="L193" s="188"/>
      <c r="M193" s="188">
        <f>Table1[[#This Row],[kg CH4 fossil at retail-gate per kg of product]]*'Summary pivot'!$D$5</f>
        <v>0</v>
      </c>
      <c r="N193" s="188">
        <f>Table1[[#This Row],[kg CH4 bio at retail-gate per kg of product]]*'Summary pivot'!$D$4</f>
        <v>0</v>
      </c>
      <c r="O193" s="188">
        <f>Table1[[#This Row],[kg N2O at retail-gate per kg of product]]*'Summary pivot'!$D$6</f>
        <v>0</v>
      </c>
      <c r="P193" s="188">
        <f>Table1[[#This Row],[kg HCFC-22 at retail-gate per kg of product]]*'Summary pivot'!$D$7</f>
        <v>0</v>
      </c>
    </row>
    <row r="194" spans="1:16" ht="30">
      <c r="A194" s="52" t="s">
        <v>6</v>
      </c>
      <c r="B194" s="52" t="s">
        <v>187</v>
      </c>
      <c r="C194" t="s">
        <v>120</v>
      </c>
      <c r="D194" t="s">
        <v>121</v>
      </c>
      <c r="E194" s="5">
        <f>'Grains, oil crops, sugar'!C228</f>
        <v>1</v>
      </c>
      <c r="F194" s="750" t="str">
        <f>'Summary pivot'!$C$1</f>
        <v>GWP100 with fb AR6</v>
      </c>
      <c r="G194" s="188">
        <f>Table1[[#This Row],[kg CO2 at retail-gate per kg of product]]+Table1[[#This Row],[Kg CO2e from CH4 fossil]]+Table1[[#This Row],[Kg CO2e from N2O]]</f>
        <v>5.0892903896808255</v>
      </c>
      <c r="H194" s="188">
        <f>'Grains, oil crops, sugar'!H229</f>
        <v>4.8087056181781058</v>
      </c>
      <c r="I194" s="188">
        <f>'Grains, oil crops, sugar'!H230</f>
        <v>6.5520100897809041E-4</v>
      </c>
      <c r="J194" s="188">
        <v>0</v>
      </c>
      <c r="K194" s="188">
        <f>'Grains, oil crops, sugar'!H231</f>
        <v>9.5626293565997489E-4</v>
      </c>
      <c r="L194" s="188">
        <v>0</v>
      </c>
      <c r="M194" s="188">
        <f>Table1[[#This Row],[kg CH4 fossil at retail-gate per kg of product]]*'Summary pivot'!$D$5</f>
        <v>1.9524990067547095E-2</v>
      </c>
      <c r="N194" s="188">
        <f>Table1[[#This Row],[kg CH4 bio at retail-gate per kg of product]]*'Summary pivot'!$D$4</f>
        <v>0</v>
      </c>
      <c r="O194" s="188">
        <f>Table1[[#This Row],[kg N2O at retail-gate per kg of product]]*'Summary pivot'!$D$6</f>
        <v>0.26105978143517317</v>
      </c>
      <c r="P194" s="188">
        <f>Table1[[#This Row],[kg HCFC-22 at retail-gate per kg of product]]*'Summary pivot'!$D$7</f>
        <v>0</v>
      </c>
    </row>
    <row r="195" spans="1:16" ht="30">
      <c r="A195" s="52" t="s">
        <v>6</v>
      </c>
      <c r="B195" s="52" t="s">
        <v>187</v>
      </c>
      <c r="C195" t="s">
        <v>188</v>
      </c>
      <c r="D195" t="s">
        <v>121</v>
      </c>
      <c r="E195" s="5">
        <f>'Grains, oil crops, sugar'!C232</f>
        <v>0.51376096997063825</v>
      </c>
      <c r="F195" s="750" t="str">
        <f>'Summary pivot'!$C$1</f>
        <v>GWP100 with fb AR6</v>
      </c>
      <c r="G195" s="188">
        <f>Table1[[#This Row],[kg CO2 at retail-gate per kg of product]]+Table1[[#This Row],[Kg CO2e from CH4 fossil]]+Table1[[#This Row],[Kg CO2e from N2O]]</f>
        <v>5.2977986065588212</v>
      </c>
      <c r="H195" s="188">
        <f>'Grains, oil crops, sugar'!H233</f>
        <v>4.9997245836972732</v>
      </c>
      <c r="I195" s="188">
        <f>'Grains, oil crops, sugar'!H234</f>
        <v>7.0257529767786563E-4</v>
      </c>
      <c r="J195" s="188">
        <v>0</v>
      </c>
      <c r="K195" s="188">
        <f>'Grains, oil crops, sugar'!H235</f>
        <v>1.0151548680979758E-3</v>
      </c>
      <c r="L195" s="188">
        <v>0</v>
      </c>
      <c r="M195" s="188">
        <f>Table1[[#This Row],[kg CH4 fossil at retail-gate per kg of product]]*'Summary pivot'!$D$5</f>
        <v>2.0936743870800398E-2</v>
      </c>
      <c r="N195" s="188">
        <f>Table1[[#This Row],[kg CH4 bio at retail-gate per kg of product]]*'Summary pivot'!$D$4</f>
        <v>0</v>
      </c>
      <c r="O195" s="188">
        <f>Table1[[#This Row],[kg N2O at retail-gate per kg of product]]*'Summary pivot'!$D$6</f>
        <v>0.27713727899074736</v>
      </c>
      <c r="P195" s="188">
        <f>Table1[[#This Row],[kg HCFC-22 at retail-gate per kg of product]]*'Summary pivot'!$D$7</f>
        <v>0</v>
      </c>
    </row>
    <row r="196" spans="1:16" ht="30">
      <c r="A196" s="52" t="s">
        <v>6</v>
      </c>
      <c r="B196" s="52" t="s">
        <v>187</v>
      </c>
      <c r="C196" t="s">
        <v>139</v>
      </c>
      <c r="D196" t="s">
        <v>121</v>
      </c>
      <c r="E196" s="5">
        <f>'Grains, oil crops, sugar'!C236</f>
        <v>0.10199698240000001</v>
      </c>
      <c r="F196" s="750" t="str">
        <f>'Summary pivot'!$C$1</f>
        <v>GWP100 with fb AR6</v>
      </c>
      <c r="G196" s="188">
        <f>Table1[[#This Row],[kg CO2 at retail-gate per kg of product]]+Table1[[#This Row],[Kg CO2e from CH4 fossil]]+Table1[[#This Row],[Kg CO2e from N2O]]</f>
        <v>5.2587767036562267</v>
      </c>
      <c r="H196" s="188">
        <f>'Grains, oil crops, sugar'!H237</f>
        <v>4.9756876899075984</v>
      </c>
      <c r="I196" s="188">
        <f>'Grains, oil crops, sugar'!H238</f>
        <v>6.5359143135904497E-4</v>
      </c>
      <c r="J196" s="188">
        <v>0</v>
      </c>
      <c r="K196" s="188">
        <f>'Grains, oil crops, sugar'!H239</f>
        <v>9.6561168166347275E-4</v>
      </c>
      <c r="L196" s="188">
        <v>0</v>
      </c>
      <c r="M196" s="188">
        <f>Table1[[#This Row],[kg CH4 fossil at retail-gate per kg of product]]*'Summary pivot'!$D$5</f>
        <v>1.947702465449954E-2</v>
      </c>
      <c r="N196" s="188">
        <f>Table1[[#This Row],[kg CH4 bio at retail-gate per kg of product]]*'Summary pivot'!$D$4</f>
        <v>0</v>
      </c>
      <c r="O196" s="188">
        <f>Table1[[#This Row],[kg N2O at retail-gate per kg of product]]*'Summary pivot'!$D$6</f>
        <v>0.26361198909412809</v>
      </c>
      <c r="P196" s="188">
        <f>Table1[[#This Row],[kg HCFC-22 at retail-gate per kg of product]]*'Summary pivot'!$D$7</f>
        <v>0</v>
      </c>
    </row>
    <row r="197" spans="1:16" ht="30">
      <c r="A197" s="52" t="s">
        <v>6</v>
      </c>
      <c r="B197" s="52" t="s">
        <v>187</v>
      </c>
      <c r="C197" t="s">
        <v>134</v>
      </c>
      <c r="D197" t="s">
        <v>121</v>
      </c>
      <c r="E197" s="5">
        <f>'Grains, oil crops, sugar'!C240</f>
        <v>0.38424204762936176</v>
      </c>
      <c r="F197" s="750" t="str">
        <f>'Summary pivot'!$C$1</f>
        <v>GWP100 with fb AR6</v>
      </c>
      <c r="G197" s="188">
        <f>Table1[[#This Row],[kg CO2 at retail-gate per kg of product]]+Table1[[#This Row],[Kg CO2e from CH4 fossil]]+Table1[[#This Row],[Kg CO2e from N2O]]</f>
        <v>4.7655088642042545</v>
      </c>
      <c r="H197" s="188">
        <f>'Grains, oil crops, sugar'!H241</f>
        <v>4.5089733084275707</v>
      </c>
      <c r="I197" s="188">
        <f>'Grains, oil crops, sugar'!H242</f>
        <v>5.9228522814896219E-4</v>
      </c>
      <c r="J197" s="188">
        <v>0</v>
      </c>
      <c r="K197" s="188">
        <f>'Grains, oil crops, sugar'!H243</f>
        <v>8.7503830028514383E-4</v>
      </c>
      <c r="L197" s="188">
        <v>0</v>
      </c>
      <c r="M197" s="188">
        <f>Table1[[#This Row],[kg CH4 fossil at retail-gate per kg of product]]*'Summary pivot'!$D$5</f>
        <v>1.7650099798839074E-2</v>
      </c>
      <c r="N197" s="188">
        <f>Table1[[#This Row],[kg CH4 bio at retail-gate per kg of product]]*'Summary pivot'!$D$4</f>
        <v>0</v>
      </c>
      <c r="O197" s="188">
        <f>Table1[[#This Row],[kg N2O at retail-gate per kg of product]]*'Summary pivot'!$D$6</f>
        <v>0.23888545597784427</v>
      </c>
      <c r="P197" s="188">
        <f>Table1[[#This Row],[kg HCFC-22 at retail-gate per kg of product]]*'Summary pivot'!$D$7</f>
        <v>0</v>
      </c>
    </row>
    <row r="198" spans="1:16" ht="30">
      <c r="A198" s="52" t="s">
        <v>6</v>
      </c>
      <c r="B198" s="52" t="s">
        <v>189</v>
      </c>
      <c r="C198" t="s">
        <v>120</v>
      </c>
      <c r="D198" t="s">
        <v>121</v>
      </c>
      <c r="E198" s="5">
        <f>'Grains, oil crops, sugar'!C245</f>
        <v>1</v>
      </c>
      <c r="F198" s="750" t="str">
        <f>'Summary pivot'!$C$1</f>
        <v>GWP100 with fb AR6</v>
      </c>
      <c r="G198" s="188">
        <f>Table1[[#This Row],[kg CO2 at retail-gate per kg of product]]+Table1[[#This Row],[Kg CO2e from CH4 fossil]]+Table1[[#This Row],[Kg CO2e from N2O]]</f>
        <v>0.95148258077011039</v>
      </c>
      <c r="H198" s="188">
        <f>'Grains, oil crops, sugar'!H246</f>
        <v>0.76864503936697948</v>
      </c>
      <c r="I198" s="188">
        <f>'Grains, oil crops, sugar'!H247</f>
        <v>1.0322714414914382E-3</v>
      </c>
      <c r="J198" s="188">
        <v>0</v>
      </c>
      <c r="K198" s="188">
        <f>'Grains, oil crops, sugar'!H248</f>
        <v>5.5705440456661585E-4</v>
      </c>
      <c r="L198" s="188">
        <v>0</v>
      </c>
      <c r="M198" s="188">
        <f>Table1[[#This Row],[kg CH4 fossil at retail-gate per kg of product]]*'Summary pivot'!$D$5</f>
        <v>3.076168895644486E-2</v>
      </c>
      <c r="N198" s="188">
        <f>Table1[[#This Row],[kg CH4 bio at retail-gate per kg of product]]*'Summary pivot'!$D$4</f>
        <v>0</v>
      </c>
      <c r="O198" s="188">
        <f>Table1[[#This Row],[kg N2O at retail-gate per kg of product]]*'Summary pivot'!$D$6</f>
        <v>0.15207585244668612</v>
      </c>
      <c r="P198" s="188">
        <f>Table1[[#This Row],[kg HCFC-22 at retail-gate per kg of product]]*'Summary pivot'!$D$7</f>
        <v>0</v>
      </c>
    </row>
    <row r="199" spans="1:16" ht="30">
      <c r="A199" s="52" t="s">
        <v>6</v>
      </c>
      <c r="B199" s="52" t="s">
        <v>189</v>
      </c>
      <c r="C199" t="s">
        <v>190</v>
      </c>
      <c r="D199" t="s">
        <v>121</v>
      </c>
      <c r="E199" s="5">
        <f>'Grains, oil crops, sugar'!C249</f>
        <v>0.45497399219765922</v>
      </c>
      <c r="F199" s="750" t="str">
        <f>'Summary pivot'!$C$1</f>
        <v>GWP100 with fb AR6</v>
      </c>
      <c r="G199" s="188">
        <f>Table1[[#This Row],[kg CO2 at retail-gate per kg of product]]+Table1[[#This Row],[Kg CO2e from CH4 fossil]]+Table1[[#This Row],[Kg CO2e from N2O]]</f>
        <v>1.0409053489522806</v>
      </c>
      <c r="H199" s="188">
        <f>'Grains, oil crops, sugar'!H250</f>
        <v>0.83254565007850079</v>
      </c>
      <c r="I199" s="188">
        <f>'Grains, oil crops, sugar'!H251</f>
        <v>1.2285105755554559E-3</v>
      </c>
      <c r="J199" s="188">
        <v>0</v>
      </c>
      <c r="K199" s="188">
        <f>'Grains, oil crops, sugar'!H252</f>
        <v>6.2912118579570408E-4</v>
      </c>
      <c r="L199" s="188">
        <v>0</v>
      </c>
      <c r="M199" s="188">
        <f>Table1[[#This Row],[kg CH4 fossil at retail-gate per kg of product]]*'Summary pivot'!$D$5</f>
        <v>3.6609615151552588E-2</v>
      </c>
      <c r="N199" s="188">
        <f>Table1[[#This Row],[kg CH4 bio at retail-gate per kg of product]]*'Summary pivot'!$D$4</f>
        <v>0</v>
      </c>
      <c r="O199" s="188">
        <f>Table1[[#This Row],[kg N2O at retail-gate per kg of product]]*'Summary pivot'!$D$6</f>
        <v>0.17175008372222722</v>
      </c>
      <c r="P199" s="188">
        <f>Table1[[#This Row],[kg HCFC-22 at retail-gate per kg of product]]*'Summary pivot'!$D$7</f>
        <v>0</v>
      </c>
    </row>
    <row r="200" spans="1:16" ht="30">
      <c r="A200" s="52" t="s">
        <v>6</v>
      </c>
      <c r="B200" s="52" t="s">
        <v>189</v>
      </c>
      <c r="C200" t="s">
        <v>139</v>
      </c>
      <c r="D200" t="s">
        <v>121</v>
      </c>
      <c r="E200" s="5">
        <f>'Grains, oil crops, sugar'!C253</f>
        <v>0.10955786739999999</v>
      </c>
      <c r="F200" s="750" t="str">
        <f>'Summary pivot'!$C$1</f>
        <v>GWP100 with fb AR6</v>
      </c>
      <c r="G200" s="188">
        <f>Table1[[#This Row],[kg CO2 at retail-gate per kg of product]]+Table1[[#This Row],[Kg CO2e from CH4 fossil]]+Table1[[#This Row],[Kg CO2e from N2O]]</f>
        <v>0.84827395579283282</v>
      </c>
      <c r="H200" s="188">
        <f>'Grains, oil crops, sugar'!H254</f>
        <v>0.69169194988249427</v>
      </c>
      <c r="I200" s="188">
        <f>'Grains, oil crops, sugar'!H255</f>
        <v>6.7339359404319874E-4</v>
      </c>
      <c r="J200" s="188">
        <v>0</v>
      </c>
      <c r="K200" s="188">
        <f>'Grains, oil crops, sugar'!H256</f>
        <v>5.0005449380165288E-4</v>
      </c>
      <c r="L200" s="188">
        <v>0</v>
      </c>
      <c r="M200" s="188">
        <f>Table1[[#This Row],[kg CH4 fossil at retail-gate per kg of product]]*'Summary pivot'!$D$5</f>
        <v>2.0067129102487324E-2</v>
      </c>
      <c r="N200" s="188">
        <f>Table1[[#This Row],[kg CH4 bio at retail-gate per kg of product]]*'Summary pivot'!$D$4</f>
        <v>0</v>
      </c>
      <c r="O200" s="188">
        <f>Table1[[#This Row],[kg N2O at retail-gate per kg of product]]*'Summary pivot'!$D$6</f>
        <v>0.13651487680785124</v>
      </c>
      <c r="P200" s="188">
        <f>Table1[[#This Row],[kg HCFC-22 at retail-gate per kg of product]]*'Summary pivot'!$D$7</f>
        <v>0</v>
      </c>
    </row>
    <row r="201" spans="1:16" ht="30">
      <c r="A201" s="52" t="s">
        <v>6</v>
      </c>
      <c r="B201" s="52" t="s">
        <v>189</v>
      </c>
      <c r="C201" t="s">
        <v>134</v>
      </c>
      <c r="D201" t="s">
        <v>121</v>
      </c>
      <c r="E201" s="5">
        <f>'Grains, oil crops, sugar'!C257</f>
        <v>0.43546814040234083</v>
      </c>
      <c r="F201" s="750" t="str">
        <f>'Summary pivot'!$C$1</f>
        <v>GWP100 with fb AR6</v>
      </c>
      <c r="G201" s="188">
        <f>Table1[[#This Row],[kg CO2 at retail-gate per kg of product]]+Table1[[#This Row],[Kg CO2e from CH4 fossil]]+Table1[[#This Row],[Kg CO2e from N2O]]</f>
        <v>0.88402020118875213</v>
      </c>
      <c r="H201" s="188">
        <f>'Grains, oil crops, sugar'!H258</f>
        <v>0.72124249100498927</v>
      </c>
      <c r="I201" s="188">
        <f>'Grains, oil crops, sugar'!H259</f>
        <v>9.1753099094821038E-4</v>
      </c>
      <c r="J201" s="188">
        <v>0</v>
      </c>
      <c r="K201" s="188">
        <f>'Grains, oil crops, sugar'!H260</f>
        <v>4.9609995111174433E-4</v>
      </c>
      <c r="L201" s="188">
        <v>0</v>
      </c>
      <c r="M201" s="188">
        <f>Table1[[#This Row],[kg CH4 fossil at retail-gate per kg of product]]*'Summary pivot'!$D$5</f>
        <v>2.734242353025667E-2</v>
      </c>
      <c r="N201" s="188">
        <f>Table1[[#This Row],[kg CH4 bio at retail-gate per kg of product]]*'Summary pivot'!$D$4</f>
        <v>0</v>
      </c>
      <c r="O201" s="188">
        <f>Table1[[#This Row],[kg N2O at retail-gate per kg of product]]*'Summary pivot'!$D$6</f>
        <v>0.13543528665350621</v>
      </c>
      <c r="P201" s="188">
        <f>Table1[[#This Row],[kg HCFC-22 at retail-gate per kg of product]]*'Summary pivot'!$D$7</f>
        <v>0</v>
      </c>
    </row>
    <row r="202" spans="1:16" ht="30">
      <c r="A202" s="52" t="s">
        <v>6</v>
      </c>
      <c r="B202" s="52" t="s">
        <v>191</v>
      </c>
      <c r="C202" t="s">
        <v>120</v>
      </c>
      <c r="D202" t="s">
        <v>121</v>
      </c>
      <c r="E202" s="5">
        <f>'Grains, oil crops, sugar'!C262</f>
        <v>1</v>
      </c>
      <c r="F202" s="750" t="str">
        <f>'Summary pivot'!$C$1</f>
        <v>GWP100 with fb AR6</v>
      </c>
      <c r="G202" s="188">
        <f>Table1[[#This Row],[kg CO2 at retail-gate per kg of product]]+Table1[[#This Row],[Kg CO2e from CH4 fossil]]+Table1[[#This Row],[Kg CO2e from N2O]]</f>
        <v>3.0800325755615625</v>
      </c>
      <c r="H202" s="188">
        <f>'Grains, oil crops, sugar'!H263</f>
        <v>2.5076473581905017</v>
      </c>
      <c r="I202" s="188">
        <f>'Grains, oil crops, sugar'!H264</f>
        <v>3.943172877949935E-3</v>
      </c>
      <c r="J202" s="188">
        <v>0</v>
      </c>
      <c r="K202" s="188">
        <f>'Grains, oil crops, sugar'!H265</f>
        <v>1.6662222183448823E-3</v>
      </c>
      <c r="L202" s="188">
        <v>0</v>
      </c>
      <c r="M202" s="188">
        <f>Table1[[#This Row],[kg CH4 fossil at retail-gate per kg of product]]*'Summary pivot'!$D$5</f>
        <v>0.11750655176290807</v>
      </c>
      <c r="N202" s="188">
        <f>Table1[[#This Row],[kg CH4 bio at retail-gate per kg of product]]*'Summary pivot'!$D$4</f>
        <v>0</v>
      </c>
      <c r="O202" s="188">
        <f>Table1[[#This Row],[kg N2O at retail-gate per kg of product]]*'Summary pivot'!$D$6</f>
        <v>0.45487866560815288</v>
      </c>
      <c r="P202" s="188">
        <f>Table1[[#This Row],[kg HCFC-22 at retail-gate per kg of product]]*'Summary pivot'!$D$7</f>
        <v>0</v>
      </c>
    </row>
    <row r="203" spans="1:16" ht="30">
      <c r="A203" s="52" t="s">
        <v>6</v>
      </c>
      <c r="B203" s="52" t="s">
        <v>191</v>
      </c>
      <c r="C203" t="s">
        <v>139</v>
      </c>
      <c r="D203" t="s">
        <v>121</v>
      </c>
      <c r="E203" s="5">
        <f>'Grains, oil crops, sugar'!C266</f>
        <v>0.31</v>
      </c>
      <c r="F203" s="750" t="str">
        <f>'Summary pivot'!$C$1</f>
        <v>GWP100 with fb AR6</v>
      </c>
      <c r="G203" s="188">
        <f>Table1[[#This Row],[kg CO2 at retail-gate per kg of product]]+Table1[[#This Row],[Kg CO2e from CH4 fossil]]+Table1[[#This Row],[Kg CO2e from N2O]]</f>
        <v>3.2242350790533552</v>
      </c>
      <c r="H203" s="188">
        <f>'Grains, oil crops, sugar'!H267</f>
        <v>2.6372239587201065</v>
      </c>
      <c r="I203" s="188">
        <f>'Grains, oil crops, sugar'!H268</f>
        <v>4.1403234913362889E-3</v>
      </c>
      <c r="J203" s="188">
        <v>0</v>
      </c>
      <c r="K203" s="188">
        <f>'Grains, oil crops, sugar'!H269</f>
        <v>1.6982764845839822E-3</v>
      </c>
      <c r="L203" s="188">
        <v>0</v>
      </c>
      <c r="M203" s="188">
        <f>Table1[[#This Row],[kg CH4 fossil at retail-gate per kg of product]]*'Summary pivot'!$D$5</f>
        <v>0.12338164004182141</v>
      </c>
      <c r="N203" s="188">
        <f>Table1[[#This Row],[kg CH4 bio at retail-gate per kg of product]]*'Summary pivot'!$D$4</f>
        <v>0</v>
      </c>
      <c r="O203" s="188">
        <f>Table1[[#This Row],[kg N2O at retail-gate per kg of product]]*'Summary pivot'!$D$6</f>
        <v>0.46362948029142714</v>
      </c>
      <c r="P203" s="188">
        <f>Table1[[#This Row],[kg HCFC-22 at retail-gate per kg of product]]*'Summary pivot'!$D$7</f>
        <v>0</v>
      </c>
    </row>
    <row r="204" spans="1:16" ht="30">
      <c r="A204" s="52" t="s">
        <v>6</v>
      </c>
      <c r="B204" s="52" t="s">
        <v>191</v>
      </c>
      <c r="C204" t="s">
        <v>190</v>
      </c>
      <c r="D204" t="s">
        <v>121</v>
      </c>
      <c r="E204" s="5">
        <f>'Grains, oil crops, sugar'!C270</f>
        <v>0.23</v>
      </c>
      <c r="F204" s="750" t="str">
        <f>'Summary pivot'!$C$1</f>
        <v>GWP100 with fb AR6</v>
      </c>
      <c r="G204" s="188">
        <f>Table1[[#This Row],[kg CO2 at retail-gate per kg of product]]+Table1[[#This Row],[Kg CO2e from CH4 fossil]]+Table1[[#This Row],[Kg CO2e from N2O]]</f>
        <v>3.2021275329314638</v>
      </c>
      <c r="H204" s="188">
        <f>'Grains, oil crops, sugar'!H271</f>
        <v>2.5685852178454507</v>
      </c>
      <c r="I204" s="188">
        <f>'Grains, oil crops, sugar'!H272</f>
        <v>4.0598630711761886E-3</v>
      </c>
      <c r="J204" s="188">
        <v>0</v>
      </c>
      <c r="K204" s="188">
        <f>'Grains, oil crops, sugar'!H273</f>
        <v>1.8775032804577397E-3</v>
      </c>
      <c r="L204" s="188">
        <v>0</v>
      </c>
      <c r="M204" s="188">
        <f>Table1[[#This Row],[kg CH4 fossil at retail-gate per kg of product]]*'Summary pivot'!$D$5</f>
        <v>0.12098391952105042</v>
      </c>
      <c r="N204" s="188">
        <f>Table1[[#This Row],[kg CH4 bio at retail-gate per kg of product]]*'Summary pivot'!$D$4</f>
        <v>0</v>
      </c>
      <c r="O204" s="188">
        <f>Table1[[#This Row],[kg N2O at retail-gate per kg of product]]*'Summary pivot'!$D$6</f>
        <v>0.51255839556496297</v>
      </c>
      <c r="P204" s="188">
        <f>Table1[[#This Row],[kg HCFC-22 at retail-gate per kg of product]]*'Summary pivot'!$D$7</f>
        <v>0</v>
      </c>
    </row>
    <row r="205" spans="1:16" ht="30">
      <c r="A205" s="52" t="s">
        <v>6</v>
      </c>
      <c r="B205" s="52" t="s">
        <v>191</v>
      </c>
      <c r="C205" t="s">
        <v>146</v>
      </c>
      <c r="D205" t="s">
        <v>121</v>
      </c>
      <c r="E205" s="5">
        <f>'Grains, oil crops, sugar'!C274</f>
        <v>0.18</v>
      </c>
      <c r="F205" s="750" t="str">
        <f>'Summary pivot'!$C$1</f>
        <v>GWP100 with fb AR6</v>
      </c>
      <c r="G205" s="188">
        <f>Table1[[#This Row],[kg CO2 at retail-gate per kg of product]]+Table1[[#This Row],[Kg CO2e from CH4 fossil]]+Table1[[#This Row],[Kg CO2e from N2O]]</f>
        <v>2.921805148871274</v>
      </c>
      <c r="H205" s="188">
        <f>'Grains, oil crops, sugar'!H275</f>
        <v>2.3898550671365548</v>
      </c>
      <c r="I205" s="188">
        <f>'Grains, oil crops, sugar'!H276</f>
        <v>3.751965411446003E-3</v>
      </c>
      <c r="J205" s="188">
        <v>0</v>
      </c>
      <c r="K205" s="188">
        <f>'Grains, oil crops, sugar'!H277</f>
        <v>1.5389798991707992E-3</v>
      </c>
      <c r="L205" s="188">
        <v>0</v>
      </c>
      <c r="M205" s="188">
        <f>Table1[[#This Row],[kg CH4 fossil at retail-gate per kg of product]]*'Summary pivot'!$D$5</f>
        <v>0.1118085692610909</v>
      </c>
      <c r="N205" s="188">
        <f>Table1[[#This Row],[kg CH4 bio at retail-gate per kg of product]]*'Summary pivot'!$D$4</f>
        <v>0</v>
      </c>
      <c r="O205" s="188">
        <f>Table1[[#This Row],[kg N2O at retail-gate per kg of product]]*'Summary pivot'!$D$6</f>
        <v>0.42014151247362819</v>
      </c>
      <c r="P205" s="188">
        <f>Table1[[#This Row],[kg HCFC-22 at retail-gate per kg of product]]*'Summary pivot'!$D$7</f>
        <v>0</v>
      </c>
    </row>
    <row r="206" spans="1:16" ht="30">
      <c r="A206" s="52" t="s">
        <v>6</v>
      </c>
      <c r="B206" s="52" t="s">
        <v>191</v>
      </c>
      <c r="C206" t="s">
        <v>134</v>
      </c>
      <c r="D206" t="s">
        <v>121</v>
      </c>
      <c r="E206" s="5">
        <f>'Grains, oil crops, sugar'!C278</f>
        <v>0.28000000000000003</v>
      </c>
      <c r="F206" s="750" t="str">
        <f>'Summary pivot'!$C$1</f>
        <v>GWP100 with fb AR6</v>
      </c>
      <c r="G206" s="188">
        <f>Table1[[#This Row],[kg CO2 at retail-gate per kg of product]]+Table1[[#This Row],[Kg CO2e from CH4 fossil]]+Table1[[#This Row],[Kg CO2e from N2O]]</f>
        <v>2.921805148871274</v>
      </c>
      <c r="H206" s="188">
        <f>'Grains, oil crops, sugar'!H279</f>
        <v>2.3898550671365548</v>
      </c>
      <c r="I206" s="188">
        <f>'Grains, oil crops, sugar'!H280</f>
        <v>3.751965411446003E-3</v>
      </c>
      <c r="J206" s="188">
        <v>0</v>
      </c>
      <c r="K206" s="188">
        <f>'Grains, oil crops, sugar'!H281</f>
        <v>1.5389798991707992E-3</v>
      </c>
      <c r="L206" s="188">
        <v>0</v>
      </c>
      <c r="M206" s="188">
        <f>Table1[[#This Row],[kg CH4 fossil at retail-gate per kg of product]]*'Summary pivot'!$D$5</f>
        <v>0.1118085692610909</v>
      </c>
      <c r="N206" s="188">
        <f>Table1[[#This Row],[kg CH4 bio at retail-gate per kg of product]]*'Summary pivot'!$D$4</f>
        <v>0</v>
      </c>
      <c r="O206" s="188">
        <f>Table1[[#This Row],[kg N2O at retail-gate per kg of product]]*'Summary pivot'!$D$6</f>
        <v>0.42014151247362819</v>
      </c>
      <c r="P206" s="188">
        <f>Table1[[#This Row],[kg HCFC-22 at retail-gate per kg of product]]*'Summary pivot'!$D$7</f>
        <v>0</v>
      </c>
    </row>
    <row r="207" spans="1:16" ht="30">
      <c r="A207" s="52" t="s">
        <v>6</v>
      </c>
      <c r="B207" s="52" t="s">
        <v>192</v>
      </c>
      <c r="C207" t="s">
        <v>120</v>
      </c>
      <c r="D207" t="s">
        <v>121</v>
      </c>
      <c r="E207" s="5">
        <f>'Grains, oil crops, sugar'!C283</f>
        <v>1</v>
      </c>
      <c r="F207" s="750" t="str">
        <f>'Summary pivot'!$C$1</f>
        <v>GWP100 with fb AR6</v>
      </c>
      <c r="G207" s="188">
        <f>Table1[[#This Row],[kg CO2 at retail-gate per kg of product]]+Table1[[#This Row],[Kg CO2e from CH4 fossil]]+Table1[[#This Row],[Kg CO2e from N2O]]</f>
        <v>1.0753451635950857</v>
      </c>
      <c r="H207" s="188">
        <f>'Grains, oil crops, sugar'!H284</f>
        <v>0.88902936546088385</v>
      </c>
      <c r="I207" s="188">
        <f>'Grains, oil crops, sugar'!H285</f>
        <v>8.2082983535771445E-4</v>
      </c>
      <c r="J207" s="188">
        <v>0</v>
      </c>
      <c r="K207" s="188">
        <f>'Grains, oil crops, sugar'!H286</f>
        <v>5.9287571077121562E-4</v>
      </c>
      <c r="L207" s="188">
        <v>0</v>
      </c>
      <c r="M207" s="188">
        <f>Table1[[#This Row],[kg CH4 fossil at retail-gate per kg of product]]*'Summary pivot'!$D$5</f>
        <v>2.4460729093659893E-2</v>
      </c>
      <c r="N207" s="188">
        <f>Table1[[#This Row],[kg CH4 bio at retail-gate per kg of product]]*'Summary pivot'!$D$4</f>
        <v>0</v>
      </c>
      <c r="O207" s="188">
        <f>Table1[[#This Row],[kg N2O at retail-gate per kg of product]]*'Summary pivot'!$D$6</f>
        <v>0.16185506904054187</v>
      </c>
      <c r="P207" s="188">
        <f>Table1[[#This Row],[kg HCFC-22 at retail-gate per kg of product]]*'Summary pivot'!$D$7</f>
        <v>0</v>
      </c>
    </row>
    <row r="208" spans="1:16" ht="30">
      <c r="A208" s="52" t="s">
        <v>6</v>
      </c>
      <c r="B208" s="52" t="s">
        <v>192</v>
      </c>
      <c r="C208" t="s">
        <v>124</v>
      </c>
      <c r="D208" t="s">
        <v>121</v>
      </c>
      <c r="E208" s="5">
        <f>'Grains, oil crops, sugar'!C287</f>
        <v>0.29812767680000002</v>
      </c>
      <c r="F208" s="750" t="str">
        <f>'Summary pivot'!$C$1</f>
        <v>GWP100 with fb AR6</v>
      </c>
      <c r="G208" s="188">
        <f>Table1[[#This Row],[kg CO2 at retail-gate per kg of product]]+Table1[[#This Row],[Kg CO2e from CH4 fossil]]+Table1[[#This Row],[Kg CO2e from N2O]]</f>
        <v>0.86206560545800159</v>
      </c>
      <c r="H208" s="188">
        <f>'Grains, oil crops, sugar'!H288</f>
        <v>0.67516278617312531</v>
      </c>
      <c r="I208" s="188">
        <f>'Grains, oil crops, sugar'!H289</f>
        <v>8.2341600614561851E-4</v>
      </c>
      <c r="J208" s="188">
        <v>0</v>
      </c>
      <c r="K208" s="188">
        <f>'Grains, oil crops, sugar'!H290</f>
        <v>5.9474367143493359E-4</v>
      </c>
      <c r="L208" s="188">
        <v>0</v>
      </c>
      <c r="M208" s="188">
        <f>Table1[[#This Row],[kg CH4 fossil at retail-gate per kg of product]]*'Summary pivot'!$D$5</f>
        <v>2.4537796983139432E-2</v>
      </c>
      <c r="N208" s="188">
        <f>Table1[[#This Row],[kg CH4 bio at retail-gate per kg of product]]*'Summary pivot'!$D$4</f>
        <v>0</v>
      </c>
      <c r="O208" s="188">
        <f>Table1[[#This Row],[kg N2O at retail-gate per kg of product]]*'Summary pivot'!$D$6</f>
        <v>0.16236502230173688</v>
      </c>
      <c r="P208" s="188">
        <f>Table1[[#This Row],[kg HCFC-22 at retail-gate per kg of product]]*'Summary pivot'!$D$7</f>
        <v>0</v>
      </c>
    </row>
    <row r="209" spans="1:16" ht="30">
      <c r="A209" s="52" t="s">
        <v>6</v>
      </c>
      <c r="B209" s="52" t="s">
        <v>192</v>
      </c>
      <c r="C209" t="s">
        <v>193</v>
      </c>
      <c r="D209" t="s">
        <v>121</v>
      </c>
      <c r="E209" s="5">
        <f>'Grains, oil crops, sugar'!C291</f>
        <v>0.18017193170000001</v>
      </c>
      <c r="F209" s="750" t="str">
        <f>'Summary pivot'!$C$1</f>
        <v>GWP100 with fb AR6</v>
      </c>
      <c r="G209" s="188">
        <f>Table1[[#This Row],[kg CO2 at retail-gate per kg of product]]+Table1[[#This Row],[Kg CO2e from CH4 fossil]]+Table1[[#This Row],[Kg CO2e from N2O]]</f>
        <v>1.3605899733291031</v>
      </c>
      <c r="H209" s="188">
        <f>'Grains, oil crops, sugar'!H292</f>
        <v>1.1736871540442269</v>
      </c>
      <c r="I209" s="188">
        <f>'Grains, oil crops, sugar'!H293</f>
        <v>8.2341600614561851E-4</v>
      </c>
      <c r="J209" s="188">
        <v>0</v>
      </c>
      <c r="K209" s="188">
        <f>'Grains, oil crops, sugar'!H294</f>
        <v>5.9474367143493359E-4</v>
      </c>
      <c r="L209" s="188">
        <v>0</v>
      </c>
      <c r="M209" s="188">
        <f>Table1[[#This Row],[kg CH4 fossil at retail-gate per kg of product]]*'Summary pivot'!$D$5</f>
        <v>2.4537796983139432E-2</v>
      </c>
      <c r="N209" s="188">
        <f>Table1[[#This Row],[kg CH4 bio at retail-gate per kg of product]]*'Summary pivot'!$D$4</f>
        <v>0</v>
      </c>
      <c r="O209" s="188">
        <f>Table1[[#This Row],[kg N2O at retail-gate per kg of product]]*'Summary pivot'!$D$6</f>
        <v>0.16236502230173688</v>
      </c>
      <c r="P209" s="188">
        <f>Table1[[#This Row],[kg HCFC-22 at retail-gate per kg of product]]*'Summary pivot'!$D$7</f>
        <v>0</v>
      </c>
    </row>
    <row r="210" spans="1:16" ht="30">
      <c r="A210" s="52" t="s">
        <v>6</v>
      </c>
      <c r="B210" s="52" t="s">
        <v>192</v>
      </c>
      <c r="C210" t="s">
        <v>194</v>
      </c>
      <c r="D210" t="s">
        <v>121</v>
      </c>
      <c r="E210" s="5">
        <f>'Grains, oil crops, sugar'!C295</f>
        <v>0.16120290770000001</v>
      </c>
      <c r="F210" s="750" t="str">
        <f>'Summary pivot'!$C$1</f>
        <v>GWP100 with fb AR6</v>
      </c>
      <c r="G210" s="188">
        <f>Table1[[#This Row],[kg CO2 at retail-gate per kg of product]]+Table1[[#This Row],[Kg CO2e from CH4 fossil]]+Table1[[#This Row],[Kg CO2e from N2O]]</f>
        <v>0.80271746642572761</v>
      </c>
      <c r="H210" s="188">
        <f>'Grains, oil crops, sugar'!H296</f>
        <v>0.61581464714085132</v>
      </c>
      <c r="I210" s="188">
        <f>'Grains, oil crops, sugar'!H297</f>
        <v>8.2341600614561851E-4</v>
      </c>
      <c r="J210" s="188">
        <v>0</v>
      </c>
      <c r="K210" s="188">
        <f>'Grains, oil crops, sugar'!H298</f>
        <v>5.9474367143493359E-4</v>
      </c>
      <c r="L210" s="188">
        <v>0</v>
      </c>
      <c r="M210" s="188">
        <f>Table1[[#This Row],[kg CH4 fossil at retail-gate per kg of product]]*'Summary pivot'!$D$5</f>
        <v>2.4537796983139432E-2</v>
      </c>
      <c r="N210" s="188">
        <f>Table1[[#This Row],[kg CH4 bio at retail-gate per kg of product]]*'Summary pivot'!$D$4</f>
        <v>0</v>
      </c>
      <c r="O210" s="188">
        <f>Table1[[#This Row],[kg N2O at retail-gate per kg of product]]*'Summary pivot'!$D$6</f>
        <v>0.16236502230173688</v>
      </c>
      <c r="P210" s="188">
        <f>Table1[[#This Row],[kg HCFC-22 at retail-gate per kg of product]]*'Summary pivot'!$D$7</f>
        <v>0</v>
      </c>
    </row>
    <row r="211" spans="1:16" ht="30">
      <c r="A211" s="52" t="s">
        <v>6</v>
      </c>
      <c r="B211" s="52" t="s">
        <v>192</v>
      </c>
      <c r="C211" t="s">
        <v>134</v>
      </c>
      <c r="D211" t="s">
        <v>121</v>
      </c>
      <c r="E211" s="5">
        <f>'Grains, oil crops, sugar'!C299</f>
        <v>0.36049748379999991</v>
      </c>
      <c r="F211" s="750" t="str">
        <f>'Summary pivot'!$C$1</f>
        <v>GWP100 with fb AR6</v>
      </c>
      <c r="G211" s="188">
        <f>Table1[[#This Row],[kg CO2 at retail-gate per kg of product]]+Table1[[#This Row],[Kg CO2e from CH4 fossil]]+Table1[[#This Row],[Kg CO2e from N2O]]</f>
        <v>1.2310738741276781</v>
      </c>
      <c r="H211" s="188">
        <f>'Grains, oil crops, sugar'!H300</f>
        <v>1.0457994189148245</v>
      </c>
      <c r="I211" s="188">
        <f>'Grains, oil crops, sugar'!H301</f>
        <v>8.1624211200177256E-4</v>
      </c>
      <c r="J211" s="188">
        <v>0</v>
      </c>
      <c r="K211" s="188">
        <f>'Grains, oil crops, sugar'!H302</f>
        <v>5.8956205229011231E-4</v>
      </c>
      <c r="L211" s="188">
        <v>0</v>
      </c>
      <c r="M211" s="188">
        <f>Table1[[#This Row],[kg CH4 fossil at retail-gate per kg of product]]*'Summary pivot'!$D$5</f>
        <v>2.4324014937652821E-2</v>
      </c>
      <c r="N211" s="188">
        <f>Table1[[#This Row],[kg CH4 bio at retail-gate per kg of product]]*'Summary pivot'!$D$4</f>
        <v>0</v>
      </c>
      <c r="O211" s="188">
        <f>Table1[[#This Row],[kg N2O at retail-gate per kg of product]]*'Summary pivot'!$D$6</f>
        <v>0.16095044027520067</v>
      </c>
      <c r="P211" s="188">
        <f>Table1[[#This Row],[kg HCFC-22 at retail-gate per kg of product]]*'Summary pivot'!$D$7</f>
        <v>0</v>
      </c>
    </row>
    <row r="212" spans="1:16" ht="30">
      <c r="A212" s="52" t="s">
        <v>6</v>
      </c>
      <c r="B212" s="52" t="s">
        <v>195</v>
      </c>
      <c r="C212" t="s">
        <v>120</v>
      </c>
      <c r="D212" t="s">
        <v>121</v>
      </c>
      <c r="E212" s="5">
        <f>'Grains, oil crops, sugar'!C304</f>
        <v>1</v>
      </c>
      <c r="F212" s="750" t="str">
        <f>'Summary pivot'!$C$1</f>
        <v>GWP100 with fb AR6</v>
      </c>
      <c r="G212" s="188">
        <f>Table1[[#This Row],[kg CO2 at retail-gate per kg of product]]+Table1[[#This Row],[Kg CO2e from CH4 fossil]]+Table1[[#This Row],[Kg CO2e from N2O]]</f>
        <v>10.064911246229014</v>
      </c>
      <c r="H212" s="188">
        <f>'Grains, oil crops, sugar'!H305</f>
        <v>6.6439489992183844</v>
      </c>
      <c r="I212" s="188">
        <f>'Grains, oil crops, sugar'!H306</f>
        <v>1.5071335367686281E-2</v>
      </c>
      <c r="J212" s="188">
        <v>0</v>
      </c>
      <c r="K212" s="188">
        <f>'Grains, oil crops, sugar'!H307</f>
        <v>1.0885847813383073E-2</v>
      </c>
      <c r="L212" s="188">
        <v>0</v>
      </c>
      <c r="M212" s="188">
        <f>Table1[[#This Row],[kg CH4 fossil at retail-gate per kg of product]]*'Summary pivot'!$D$5</f>
        <v>0.44912579395705116</v>
      </c>
      <c r="N212" s="188">
        <f>Table1[[#This Row],[kg CH4 bio at retail-gate per kg of product]]*'Summary pivot'!$D$4</f>
        <v>0</v>
      </c>
      <c r="O212" s="188">
        <f>Table1[[#This Row],[kg N2O at retail-gate per kg of product]]*'Summary pivot'!$D$6</f>
        <v>2.9718364530535788</v>
      </c>
      <c r="P212" s="188">
        <f>Table1[[#This Row],[kg HCFC-22 at retail-gate per kg of product]]*'Summary pivot'!$D$7</f>
        <v>0</v>
      </c>
    </row>
    <row r="213" spans="1:16" ht="30">
      <c r="A213" s="52" t="s">
        <v>6</v>
      </c>
      <c r="B213" s="52" t="s">
        <v>195</v>
      </c>
      <c r="C213" t="s">
        <v>126</v>
      </c>
      <c r="D213" t="s">
        <v>121</v>
      </c>
      <c r="E213" s="5">
        <f>'Grains, oil crops, sugar'!C308</f>
        <v>0.62041107282879882</v>
      </c>
      <c r="F213" s="750" t="str">
        <f>'Summary pivot'!$C$1</f>
        <v>GWP100 with fb AR6</v>
      </c>
      <c r="G213" s="188">
        <f>Table1[[#This Row],[kg CO2 at retail-gate per kg of product]]+Table1[[#This Row],[Kg CO2e from CH4 fossil]]+Table1[[#This Row],[Kg CO2e from N2O]]</f>
        <v>9.8702448304773647</v>
      </c>
      <c r="H213" s="188">
        <f>'Grains, oil crops, sugar'!H309</f>
        <v>6.4879243718954571</v>
      </c>
      <c r="I213" s="188">
        <f>'Grains, oil crops, sugar'!H310</f>
        <v>1.4901095736095674E-2</v>
      </c>
      <c r="J213" s="188">
        <v>0</v>
      </c>
      <c r="K213" s="188">
        <f>'Grains, oil crops, sugar'!H311</f>
        <v>1.076288573496797E-2</v>
      </c>
      <c r="L213" s="188">
        <v>0</v>
      </c>
      <c r="M213" s="188">
        <f>Table1[[#This Row],[kg CH4 fossil at retail-gate per kg of product]]*'Summary pivot'!$D$5</f>
        <v>0.4440526529356511</v>
      </c>
      <c r="N213" s="188">
        <f>Table1[[#This Row],[kg CH4 bio at retail-gate per kg of product]]*'Summary pivot'!$D$4</f>
        <v>0</v>
      </c>
      <c r="O213" s="188">
        <f>Table1[[#This Row],[kg N2O at retail-gate per kg of product]]*'Summary pivot'!$D$6</f>
        <v>2.9382678056462557</v>
      </c>
      <c r="P213" s="188">
        <f>Table1[[#This Row],[kg HCFC-22 at retail-gate per kg of product]]*'Summary pivot'!$D$7</f>
        <v>0</v>
      </c>
    </row>
    <row r="214" spans="1:16" ht="30">
      <c r="A214" s="52" t="s">
        <v>6</v>
      </c>
      <c r="B214" s="52" t="s">
        <v>195</v>
      </c>
      <c r="C214" t="s">
        <v>161</v>
      </c>
      <c r="D214" t="s">
        <v>121</v>
      </c>
      <c r="E214" s="5">
        <f>'Grains, oil crops, sugar'!C312</f>
        <v>0.16288463823214921</v>
      </c>
      <c r="F214" s="750" t="str">
        <f>'Summary pivot'!$C$1</f>
        <v>GWP100 with fb AR6</v>
      </c>
      <c r="G214" s="188">
        <f>Table1[[#This Row],[kg CO2 at retail-gate per kg of product]]+Table1[[#This Row],[Kg CO2e from CH4 fossil]]+Table1[[#This Row],[Kg CO2e from N2O]]</f>
        <v>9.8917249157533025</v>
      </c>
      <c r="H214" s="188">
        <f>'Grains, oil crops, sugar'!H313</f>
        <v>6.5094044571713958</v>
      </c>
      <c r="I214" s="188">
        <f>'Grains, oil crops, sugar'!H314</f>
        <v>1.4901095736095674E-2</v>
      </c>
      <c r="J214" s="188">
        <v>0</v>
      </c>
      <c r="K214" s="188">
        <f>'Grains, oil crops, sugar'!H315</f>
        <v>1.076288573496797E-2</v>
      </c>
      <c r="L214" s="188">
        <v>0</v>
      </c>
      <c r="M214" s="188">
        <f>Table1[[#This Row],[kg CH4 fossil at retail-gate per kg of product]]*'Summary pivot'!$D$5</f>
        <v>0.4440526529356511</v>
      </c>
      <c r="N214" s="188">
        <f>Table1[[#This Row],[kg CH4 bio at retail-gate per kg of product]]*'Summary pivot'!$D$4</f>
        <v>0</v>
      </c>
      <c r="O214" s="188">
        <f>Table1[[#This Row],[kg N2O at retail-gate per kg of product]]*'Summary pivot'!$D$6</f>
        <v>2.9382678056462557</v>
      </c>
      <c r="P214" s="188">
        <f>Table1[[#This Row],[kg HCFC-22 at retail-gate per kg of product]]*'Summary pivot'!$D$7</f>
        <v>0</v>
      </c>
    </row>
    <row r="215" spans="1:16" ht="30">
      <c r="A215" s="52" t="s">
        <v>6</v>
      </c>
      <c r="B215" s="52" t="s">
        <v>195</v>
      </c>
      <c r="C215" t="s">
        <v>134</v>
      </c>
      <c r="D215" t="s">
        <v>121</v>
      </c>
      <c r="E215" s="5">
        <f>'Grains, oil crops, sugar'!C316</f>
        <v>0.21670428893905203</v>
      </c>
      <c r="F215" s="750" t="str">
        <f>'Summary pivot'!$C$1</f>
        <v>GWP100 with fb AR6</v>
      </c>
      <c r="G215" s="188">
        <f>Table1[[#This Row],[kg CO2 at retail-gate per kg of product]]+Table1[[#This Row],[Kg CO2e from CH4 fossil]]+Table1[[#This Row],[Kg CO2e from N2O]]</f>
        <v>10.752403835120084</v>
      </c>
      <c r="H215" s="188">
        <f>'Grains, oil crops, sugar'!H317</f>
        <v>7.1917676236847994</v>
      </c>
      <c r="I215" s="188">
        <f>'Grains, oil crops, sugar'!H318</f>
        <v>1.5686680702706492E-2</v>
      </c>
      <c r="J215" s="188">
        <v>0</v>
      </c>
      <c r="K215" s="188">
        <f>'Grains, oil crops, sugar'!H319</f>
        <v>1.1330304492654326E-2</v>
      </c>
      <c r="L215" s="188">
        <v>0</v>
      </c>
      <c r="M215" s="188">
        <f>Table1[[#This Row],[kg CH4 fossil at retail-gate per kg of product]]*'Summary pivot'!$D$5</f>
        <v>0.46746308494065347</v>
      </c>
      <c r="N215" s="188">
        <f>Table1[[#This Row],[kg CH4 bio at retail-gate per kg of product]]*'Summary pivot'!$D$4</f>
        <v>0</v>
      </c>
      <c r="O215" s="188">
        <f>Table1[[#This Row],[kg N2O at retail-gate per kg of product]]*'Summary pivot'!$D$6</f>
        <v>3.0931731264946309</v>
      </c>
      <c r="P215" s="188">
        <f>Table1[[#This Row],[kg HCFC-22 at retail-gate per kg of product]]*'Summary pivot'!$D$7</f>
        <v>0</v>
      </c>
    </row>
    <row r="216" spans="1:16" ht="30">
      <c r="A216" s="52" t="s">
        <v>6</v>
      </c>
      <c r="B216" s="52" t="s">
        <v>196</v>
      </c>
      <c r="C216" t="s">
        <v>120</v>
      </c>
      <c r="D216" t="s">
        <v>121</v>
      </c>
      <c r="E216" s="5">
        <f>'Grains, oil crops, sugar'!C321</f>
        <v>1</v>
      </c>
      <c r="F216" s="750" t="str">
        <f>'Summary pivot'!$C$1</f>
        <v>GWP100 with fb AR6</v>
      </c>
      <c r="G216" s="188">
        <f>Table1[[#This Row],[kg CO2 at retail-gate per kg of product]]+Table1[[#This Row],[Kg CO2e from CH4 fossil]]+Table1[[#This Row],[Kg CO2e from N2O]]</f>
        <v>3.9020053565349166</v>
      </c>
      <c r="H216" s="188">
        <f>'Grains, oil crops, sugar'!H322</f>
        <v>2.6953422401655196</v>
      </c>
      <c r="I216" s="188">
        <f>'Grains, oil crops, sugar'!H323</f>
        <v>8.6757703307786121E-3</v>
      </c>
      <c r="J216" s="188">
        <v>0</v>
      </c>
      <c r="K216" s="188">
        <f>'Grains, oil crops, sugar'!H324</f>
        <v>3.4729859359421038E-3</v>
      </c>
      <c r="L216" s="188">
        <v>0</v>
      </c>
      <c r="M216" s="188">
        <f>Table1[[#This Row],[kg CH4 fossil at retail-gate per kg of product]]*'Summary pivot'!$D$5</f>
        <v>0.25853795585720263</v>
      </c>
      <c r="N216" s="188">
        <f>Table1[[#This Row],[kg CH4 bio at retail-gate per kg of product]]*'Summary pivot'!$D$4</f>
        <v>0</v>
      </c>
      <c r="O216" s="188">
        <f>Table1[[#This Row],[kg N2O at retail-gate per kg of product]]*'Summary pivot'!$D$6</f>
        <v>0.94812516051219431</v>
      </c>
      <c r="P216" s="188">
        <f>Table1[[#This Row],[kg HCFC-22 at retail-gate per kg of product]]*'Summary pivot'!$D$7</f>
        <v>0</v>
      </c>
    </row>
    <row r="217" spans="1:16" ht="30">
      <c r="A217" s="52" t="s">
        <v>6</v>
      </c>
      <c r="B217" s="52" t="s">
        <v>196</v>
      </c>
      <c r="C217" t="s">
        <v>149</v>
      </c>
      <c r="D217" t="s">
        <v>121</v>
      </c>
      <c r="E217" s="5">
        <f>'Grains, oil crops, sugar'!C325</f>
        <v>0.42976093768132761</v>
      </c>
      <c r="F217" s="750" t="str">
        <f>'Summary pivot'!$C$1</f>
        <v>GWP100 with fb AR6</v>
      </c>
      <c r="G217" s="188">
        <f>Table1[[#This Row],[kg CO2 at retail-gate per kg of product]]+Table1[[#This Row],[Kg CO2e from CH4 fossil]]+Table1[[#This Row],[Kg CO2e from N2O]]</f>
        <v>3.512933396339228</v>
      </c>
      <c r="H217" s="188">
        <f>'Grains, oil crops, sugar'!H326</f>
        <v>2.3914827877284619</v>
      </c>
      <c r="I217" s="188">
        <f>'Grains, oil crops, sugar'!H327</f>
        <v>6.669581035803296E-3</v>
      </c>
      <c r="J217" s="188">
        <v>0</v>
      </c>
      <c r="K217" s="188">
        <f>'Grains, oil crops, sugar'!H328</f>
        <v>3.3798428342264749E-3</v>
      </c>
      <c r="L217" s="188">
        <v>0</v>
      </c>
      <c r="M217" s="188">
        <f>Table1[[#This Row],[kg CH4 fossil at retail-gate per kg of product]]*'Summary pivot'!$D$5</f>
        <v>0.19875351486693824</v>
      </c>
      <c r="N217" s="188">
        <f>Table1[[#This Row],[kg CH4 bio at retail-gate per kg of product]]*'Summary pivot'!$D$4</f>
        <v>0</v>
      </c>
      <c r="O217" s="188">
        <f>Table1[[#This Row],[kg N2O at retail-gate per kg of product]]*'Summary pivot'!$D$6</f>
        <v>0.92269709374382769</v>
      </c>
      <c r="P217" s="188">
        <f>Table1[[#This Row],[kg HCFC-22 at retail-gate per kg of product]]*'Summary pivot'!$D$7</f>
        <v>0</v>
      </c>
    </row>
    <row r="218" spans="1:16" ht="30">
      <c r="A218" s="52" t="s">
        <v>6</v>
      </c>
      <c r="B218" s="52" t="s">
        <v>196</v>
      </c>
      <c r="C218" t="s">
        <v>134</v>
      </c>
      <c r="D218" t="s">
        <v>121</v>
      </c>
      <c r="E218" s="5">
        <f>'Grains, oil crops, sugar'!C329</f>
        <v>0.57023906231867239</v>
      </c>
      <c r="F218" s="750" t="str">
        <f>'Summary pivot'!$C$1</f>
        <v>GWP100 with fb AR6</v>
      </c>
      <c r="G218" s="188">
        <f>Table1[[#This Row],[kg CO2 at retail-gate per kg of product]]+Table1[[#This Row],[Kg CO2e from CH4 fossil]]+Table1[[#This Row],[Kg CO2e from N2O]]</f>
        <v>4.1952296224407295</v>
      </c>
      <c r="H218" s="188">
        <f>'Grains, oil crops, sugar'!H330</f>
        <v>2.9243460594964859</v>
      </c>
      <c r="I218" s="188">
        <f>'Grains, oil crops, sugar'!H331</f>
        <v>1.018773583708588E-2</v>
      </c>
      <c r="J218" s="188">
        <v>0</v>
      </c>
      <c r="K218" s="188">
        <f>'Grains, oil crops, sugar'!H332</f>
        <v>3.5431832783849237E-3</v>
      </c>
      <c r="L218" s="188">
        <v>0</v>
      </c>
      <c r="M218" s="188">
        <f>Table1[[#This Row],[kg CH4 fossil at retail-gate per kg of product]]*'Summary pivot'!$D$5</f>
        <v>0.30359452794515923</v>
      </c>
      <c r="N218" s="188">
        <f>Table1[[#This Row],[kg CH4 bio at retail-gate per kg of product]]*'Summary pivot'!$D$4</f>
        <v>0</v>
      </c>
      <c r="O218" s="188">
        <f>Table1[[#This Row],[kg N2O at retail-gate per kg of product]]*'Summary pivot'!$D$6</f>
        <v>0.96728903499908414</v>
      </c>
      <c r="P218" s="188">
        <f>Table1[[#This Row],[kg HCFC-22 at retail-gate per kg of product]]*'Summary pivot'!$D$7</f>
        <v>0</v>
      </c>
    </row>
    <row r="219" spans="1:16" ht="30">
      <c r="A219" s="52" t="s">
        <v>6</v>
      </c>
      <c r="B219" s="52" t="s">
        <v>197</v>
      </c>
      <c r="C219" s="52" t="s">
        <v>120</v>
      </c>
      <c r="D219" t="s">
        <v>121</v>
      </c>
      <c r="E219" s="5">
        <f>'Grains, oil crops, sugar'!C334</f>
        <v>1</v>
      </c>
      <c r="F219" s="750" t="str">
        <f>'Summary pivot'!$C$1</f>
        <v>GWP100 with fb AR6</v>
      </c>
      <c r="G219" s="188">
        <f>Table1[[#This Row],[kg CO2 at retail-gate per kg of product]]+Table1[[#This Row],[Kg CO2e from CH4 fossil]]+Table1[[#This Row],[Kg CO2e from N2O]]</f>
        <v>1.7740806708972041</v>
      </c>
      <c r="H219" s="188">
        <f>'Grains, oil crops, sugar'!H335</f>
        <v>1.3260073599124185</v>
      </c>
      <c r="I219" s="188">
        <f>'Grains, oil crops, sugar'!H336</f>
        <v>7.7518479139634911E-4</v>
      </c>
      <c r="J219" s="188">
        <v>0</v>
      </c>
      <c r="K219" s="188">
        <f>'Grains, oil crops, sugar'!H337</f>
        <v>1.5566769384658405E-3</v>
      </c>
      <c r="L219" s="188">
        <v>0</v>
      </c>
      <c r="M219" s="188">
        <f>Table1[[#This Row],[kg CH4 fossil at retail-gate per kg of product]]*'Summary pivot'!$D$5</f>
        <v>2.3100506783611204E-2</v>
      </c>
      <c r="N219" s="188">
        <f>Table1[[#This Row],[kg CH4 bio at retail-gate per kg of product]]*'Summary pivot'!$D$4</f>
        <v>0</v>
      </c>
      <c r="O219" s="188">
        <f>Table1[[#This Row],[kg N2O at retail-gate per kg of product]]*'Summary pivot'!$D$6</f>
        <v>0.42497280420117445</v>
      </c>
      <c r="P219" s="188">
        <f>Table1[[#This Row],[kg HCFC-22 at retail-gate per kg of product]]*'Summary pivot'!$D$7</f>
        <v>0</v>
      </c>
    </row>
    <row r="220" spans="1:16" ht="30">
      <c r="A220" s="52" t="s">
        <v>6</v>
      </c>
      <c r="B220" s="52" t="s">
        <v>197</v>
      </c>
      <c r="C220" s="52" t="s">
        <v>149</v>
      </c>
      <c r="D220" t="s">
        <v>121</v>
      </c>
      <c r="E220" s="5">
        <f>'Grains, oil crops, sugar'!C338</f>
        <v>0.11023176936122103</v>
      </c>
      <c r="F220" s="750" t="str">
        <f>'Summary pivot'!$C$1</f>
        <v>GWP100 with fb AR6</v>
      </c>
      <c r="G220" s="188">
        <f>Table1[[#This Row],[kg CO2 at retail-gate per kg of product]]+Table1[[#This Row],[Kg CO2e from CH4 fossil]]+Table1[[#This Row],[Kg CO2e from N2O]]</f>
        <v>1.5841810370332825</v>
      </c>
      <c r="H220" s="188">
        <f>'Grains, oil crops, sugar'!H339</f>
        <v>1.1600177730851697</v>
      </c>
      <c r="I220" s="188">
        <f>'Grains, oil crops, sugar'!H340</f>
        <v>7.3381945146198827E-4</v>
      </c>
      <c r="J220" s="188">
        <v>0</v>
      </c>
      <c r="K220" s="188">
        <f>'Grains, oil crops, sugar'!H341</f>
        <v>1.4736096860606062E-3</v>
      </c>
      <c r="L220" s="188">
        <v>0</v>
      </c>
      <c r="M220" s="188">
        <f>Table1[[#This Row],[kg CH4 fossil at retail-gate per kg of product]]*'Summary pivot'!$D$5</f>
        <v>2.1867819653567253E-2</v>
      </c>
      <c r="N220" s="188">
        <f>Table1[[#This Row],[kg CH4 bio at retail-gate per kg of product]]*'Summary pivot'!$D$4</f>
        <v>0</v>
      </c>
      <c r="O220" s="188">
        <f>Table1[[#This Row],[kg N2O at retail-gate per kg of product]]*'Summary pivot'!$D$6</f>
        <v>0.4022954442945455</v>
      </c>
      <c r="P220" s="188">
        <f>Table1[[#This Row],[kg HCFC-22 at retail-gate per kg of product]]*'Summary pivot'!$D$7</f>
        <v>0</v>
      </c>
    </row>
    <row r="221" spans="1:16" ht="30">
      <c r="A221" s="52" t="s">
        <v>6</v>
      </c>
      <c r="B221" s="52" t="s">
        <v>197</v>
      </c>
      <c r="C221" t="s">
        <v>134</v>
      </c>
      <c r="D221" t="s">
        <v>121</v>
      </c>
      <c r="E221" s="5">
        <f>'Grains, oil crops, sugar'!C342</f>
        <v>0.88976823063877897</v>
      </c>
      <c r="F221" s="750" t="str">
        <f>'Summary pivot'!$C$1</f>
        <v>GWP100 with fb AR6</v>
      </c>
      <c r="G221" s="188">
        <f>Table1[[#This Row],[kg CO2 at retail-gate per kg of product]]+Table1[[#This Row],[Kg CO2e from CH4 fossil]]+Table1[[#This Row],[Kg CO2e from N2O]]</f>
        <v>1.7976069914839035</v>
      </c>
      <c r="H221" s="188">
        <f>'Grains, oil crops, sugar'!H343</f>
        <v>1.3465715082169378</v>
      </c>
      <c r="I221" s="188">
        <f>'Grains, oil crops, sugar'!H344</f>
        <v>7.8030946819889065E-4</v>
      </c>
      <c r="J221" s="188">
        <v>0</v>
      </c>
      <c r="K221" s="188">
        <f>'Grains, oil crops, sugar'!H345</f>
        <v>1.566967989430911E-3</v>
      </c>
      <c r="L221" s="188">
        <v>0</v>
      </c>
      <c r="M221" s="188">
        <f>Table1[[#This Row],[kg CH4 fossil at retail-gate per kg of product]]*'Summary pivot'!$D$5</f>
        <v>2.3253222152326943E-2</v>
      </c>
      <c r="N221" s="188">
        <f>Table1[[#This Row],[kg CH4 bio at retail-gate per kg of product]]*'Summary pivot'!$D$4</f>
        <v>0</v>
      </c>
      <c r="O221" s="188">
        <f>Table1[[#This Row],[kg N2O at retail-gate per kg of product]]*'Summary pivot'!$D$6</f>
        <v>0.42778226111463868</v>
      </c>
      <c r="P221" s="188">
        <f>Table1[[#This Row],[kg HCFC-22 at retail-gate per kg of product]]*'Summary pivot'!$D$7</f>
        <v>0</v>
      </c>
    </row>
    <row r="222" spans="1:16">
      <c r="A222" s="52" t="s">
        <v>3</v>
      </c>
      <c r="B222" s="52" t="s">
        <v>23</v>
      </c>
      <c r="C222" t="s">
        <v>120</v>
      </c>
      <c r="D222" s="52" t="s">
        <v>198</v>
      </c>
      <c r="E222" s="5">
        <f>'Meat and eggs'!C10</f>
        <v>1</v>
      </c>
      <c r="F222" s="750" t="str">
        <f>'Summary pivot'!$C$1</f>
        <v>GWP100 with fb AR6</v>
      </c>
      <c r="G222" s="188">
        <f>Table1[[#This Row],[kg CO2 at retail-gate per kg of product]]+Table1[[#This Row],[Kg CO2e from CH4 fossil]]+Table1[[#This Row],[Kg CO2e from N2O]]</f>
        <v>6.2146501818759905</v>
      </c>
      <c r="H222" s="188">
        <f>'Meat and eggs'!H11</f>
        <v>3.7260347059419328</v>
      </c>
      <c r="I222" s="188">
        <f>'Meat and eggs'!H13</f>
        <v>6.7828169907251698E-4</v>
      </c>
      <c r="J222" s="188">
        <f>'Meat and eggs'!H12</f>
        <v>3.2666308489011683E-2</v>
      </c>
      <c r="K222" s="188">
        <f>'Meat and eggs'!H14</f>
        <v>9.0417680633761779E-3</v>
      </c>
      <c r="L222" s="188">
        <v>0</v>
      </c>
      <c r="M222" s="188">
        <f>Table1[[#This Row],[kg CH4 fossil at retail-gate per kg of product]]*'Summary pivot'!$D$5</f>
        <v>2.0212794632361007E-2</v>
      </c>
      <c r="N222" s="188">
        <f>Table1[[#This Row],[kg CH4 bio at retail-gate per kg of product]]*'Summary pivot'!$D$4</f>
        <v>0.88199032920331544</v>
      </c>
      <c r="O222" s="188">
        <f>Table1[[#This Row],[kg N2O at retail-gate per kg of product]]*'Summary pivot'!$D$6</f>
        <v>2.4684026813016966</v>
      </c>
      <c r="P222" s="188">
        <f>Table1[[#This Row],[kg HCFC-22 at retail-gate per kg of product]]*'Summary pivot'!$D$7</f>
        <v>0</v>
      </c>
    </row>
    <row r="223" spans="1:16">
      <c r="A223" s="52" t="s">
        <v>3</v>
      </c>
      <c r="B223" s="52" t="s">
        <v>23</v>
      </c>
      <c r="C223" t="s">
        <v>122</v>
      </c>
      <c r="D223" s="52" t="s">
        <v>198</v>
      </c>
      <c r="E223" s="5">
        <f>'Meat and eggs'!C15</f>
        <v>0.69686847599164914</v>
      </c>
      <c r="F223" s="750" t="str">
        <f>'Summary pivot'!$C$1</f>
        <v>GWP100 with fb AR6</v>
      </c>
      <c r="G223" s="188">
        <f>Table1[[#This Row],[kg CO2 at retail-gate per kg of product]]+Table1[[#This Row],[Kg CO2e from CH4 fossil]]+Table1[[#This Row],[Kg CO2e from N2O]]</f>
        <v>5.7665267690515964</v>
      </c>
      <c r="H223" s="188">
        <f>'Meat and eggs'!H16</f>
        <v>3.36595649613496</v>
      </c>
      <c r="I223" s="188">
        <f>'Meat and eggs'!H18</f>
        <v>6.6942575158289083E-4</v>
      </c>
      <c r="J223" s="188">
        <f>'Meat and eggs'!H17</f>
        <v>2.8168008437942139E-2</v>
      </c>
      <c r="K223" s="188">
        <f>'Meat and eggs'!H19</f>
        <v>8.7202248553826609E-3</v>
      </c>
      <c r="L223" s="188">
        <v>0</v>
      </c>
      <c r="M223" s="188">
        <f>Table1[[#This Row],[kg CH4 fossil at retail-gate per kg of product]]*'Summary pivot'!$D$5</f>
        <v>1.9948887397170146E-2</v>
      </c>
      <c r="N223" s="188">
        <f>Table1[[#This Row],[kg CH4 bio at retail-gate per kg of product]]*'Summary pivot'!$D$4</f>
        <v>0.76053622782443775</v>
      </c>
      <c r="O223" s="188">
        <f>Table1[[#This Row],[kg N2O at retail-gate per kg of product]]*'Summary pivot'!$D$6</f>
        <v>2.3806213855194662</v>
      </c>
      <c r="P223" s="188">
        <f>Table1[[#This Row],[kg HCFC-22 at retail-gate per kg of product]]*'Summary pivot'!$D$7</f>
        <v>0</v>
      </c>
    </row>
    <row r="224" spans="1:16">
      <c r="A224" s="52" t="s">
        <v>3</v>
      </c>
      <c r="B224" s="52" t="s">
        <v>23</v>
      </c>
      <c r="C224" t="s">
        <v>176</v>
      </c>
      <c r="D224" s="52" t="s">
        <v>198</v>
      </c>
      <c r="E224" s="5">
        <f>'Meat and eggs'!C20</f>
        <v>9.6615662056578289E-2</v>
      </c>
      <c r="F224" s="750" t="str">
        <f>'Summary pivot'!$C$1</f>
        <v>GWP100 with fb AR6</v>
      </c>
      <c r="G224" s="188">
        <f>Table1[[#This Row],[kg CO2 at retail-gate per kg of product]]+Table1[[#This Row],[Kg CO2e from CH4 fossil]]+Table1[[#This Row],[Kg CO2e from N2O]]</f>
        <v>6.0960306479245787</v>
      </c>
      <c r="H224" s="188">
        <f>'Meat and eggs'!H21</f>
        <v>3.5404445562346654</v>
      </c>
      <c r="I224" s="188">
        <f>'Meat and eggs'!H23</f>
        <v>6.9359318913223922E-4</v>
      </c>
      <c r="J224" s="188">
        <f>'Meat and eggs'!H22</f>
        <v>3.1952459882351604E-2</v>
      </c>
      <c r="K224" s="188">
        <f>'Meat and eggs'!H24</f>
        <v>9.2854103100870802E-3</v>
      </c>
      <c r="L224" s="188">
        <v>0</v>
      </c>
      <c r="M224" s="188">
        <f>Table1[[#This Row],[kg CH4 fossil at retail-gate per kg of product]]*'Summary pivot'!$D$5</f>
        <v>2.066907703614073E-2</v>
      </c>
      <c r="N224" s="188">
        <f>Table1[[#This Row],[kg CH4 bio at retail-gate per kg of product]]*'Summary pivot'!$D$4</f>
        <v>0.86271641682349332</v>
      </c>
      <c r="O224" s="188">
        <f>Table1[[#This Row],[kg N2O at retail-gate per kg of product]]*'Summary pivot'!$D$6</f>
        <v>2.5349170146537729</v>
      </c>
      <c r="P224" s="188">
        <f>Table1[[#This Row],[kg HCFC-22 at retail-gate per kg of product]]*'Summary pivot'!$D$7</f>
        <v>0</v>
      </c>
    </row>
    <row r="225" spans="1:16">
      <c r="A225" s="52" t="s">
        <v>3</v>
      </c>
      <c r="B225" s="52" t="s">
        <v>23</v>
      </c>
      <c r="C225" t="s">
        <v>199</v>
      </c>
      <c r="D225" s="52" t="s">
        <v>198</v>
      </c>
      <c r="E225" s="5">
        <f>'Meat and eggs'!C25</f>
        <v>0.12471332462161271</v>
      </c>
      <c r="F225" s="750" t="str">
        <f>'Summary pivot'!$C$1</f>
        <v>GWP100 with fb AR6</v>
      </c>
      <c r="G225" s="188">
        <f>Table1[[#This Row],[kg CO2 at retail-gate per kg of product]]+Table1[[#This Row],[Kg CO2e from CH4 fossil]]+Table1[[#This Row],[Kg CO2e from N2O]]</f>
        <v>7.8698601887323854</v>
      </c>
      <c r="H225" s="188">
        <f>'Meat and eggs'!H26</f>
        <v>5.0163291832686987</v>
      </c>
      <c r="I225" s="188">
        <f>'Meat and eggs'!H28</f>
        <v>7.0799646036228835E-4</v>
      </c>
      <c r="J225" s="188">
        <f>'Meat and eggs'!H27</f>
        <v>5.4681023303571455E-2</v>
      </c>
      <c r="K225" s="188">
        <f>'Meat and eggs'!H29</f>
        <v>1.0375211395402529E-2</v>
      </c>
      <c r="L225" s="188">
        <v>0</v>
      </c>
      <c r="M225" s="188">
        <f>Table1[[#This Row],[kg CH4 fossil at retail-gate per kg of product]]*'Summary pivot'!$D$5</f>
        <v>2.1098294518796194E-2</v>
      </c>
      <c r="N225" s="188">
        <f>Table1[[#This Row],[kg CH4 bio at retail-gate per kg of product]]*'Summary pivot'!$D$4</f>
        <v>1.4763876291964293</v>
      </c>
      <c r="O225" s="188">
        <f>Table1[[#This Row],[kg N2O at retail-gate per kg of product]]*'Summary pivot'!$D$6</f>
        <v>2.8324327109448904</v>
      </c>
      <c r="P225" s="188">
        <f>Table1[[#This Row],[kg HCFC-22 at retail-gate per kg of product]]*'Summary pivot'!$D$7</f>
        <v>0</v>
      </c>
    </row>
    <row r="226" spans="1:16">
      <c r="A226" s="52" t="s">
        <v>3</v>
      </c>
      <c r="B226" s="52" t="s">
        <v>23</v>
      </c>
      <c r="C226" t="s">
        <v>125</v>
      </c>
      <c r="D226" s="52" t="s">
        <v>198</v>
      </c>
      <c r="E226" s="5">
        <f>'Meat and eggs'!C30</f>
        <v>8.1802537330159963E-2</v>
      </c>
      <c r="F226" s="750" t="str">
        <f>'Summary pivot'!$C$1</f>
        <v>GWP100 with fb AR6</v>
      </c>
      <c r="G226" s="188">
        <f>Table1[[#This Row],[kg CO2 at retail-gate per kg of product]]+Table1[[#This Row],[Kg CO2e from CH4 fossil]]+Table1[[#This Row],[Kg CO2e from N2O]]</f>
        <v>7.6487969147719195</v>
      </c>
      <c r="H226" s="188">
        <f>'Meat and eggs'!H31</f>
        <v>5.0455677914151735</v>
      </c>
      <c r="I226" s="188">
        <f>'Meat and eggs'!H33</f>
        <v>6.9033846702580613E-4</v>
      </c>
      <c r="J226" s="188">
        <f>'Meat and eggs'!H32</f>
        <v>3.8267163874621736E-2</v>
      </c>
      <c r="K226" s="188">
        <f>'Meat and eggs'!H34</f>
        <v>9.4602821869574239E-3</v>
      </c>
      <c r="L226" s="188">
        <v>0</v>
      </c>
      <c r="M226" s="188">
        <f>Table1[[#This Row],[kg CH4 fossil at retail-gate per kg of product]]*'Summary pivot'!$D$5</f>
        <v>2.0572086317369023E-2</v>
      </c>
      <c r="N226" s="188">
        <f>Table1[[#This Row],[kg CH4 bio at retail-gate per kg of product]]*'Summary pivot'!$D$4</f>
        <v>1.0332134246147868</v>
      </c>
      <c r="O226" s="188">
        <f>Table1[[#This Row],[kg N2O at retail-gate per kg of product]]*'Summary pivot'!$D$6</f>
        <v>2.5826570370393767</v>
      </c>
      <c r="P226" s="188">
        <f>Table1[[#This Row],[kg HCFC-22 at retail-gate per kg of product]]*'Summary pivot'!$D$7</f>
        <v>0</v>
      </c>
    </row>
    <row r="227" spans="1:16">
      <c r="A227" s="52" t="s">
        <v>3</v>
      </c>
      <c r="B227" s="52" t="s">
        <v>200</v>
      </c>
      <c r="C227" t="s">
        <v>120</v>
      </c>
      <c r="D227" s="52" t="s">
        <v>198</v>
      </c>
      <c r="E227" s="5">
        <f>'Meat and eggs'!C36</f>
        <v>1</v>
      </c>
      <c r="F227" s="750" t="str">
        <f>'Summary pivot'!$C$1</f>
        <v>GWP100 with fb AR6</v>
      </c>
      <c r="G227" s="188">
        <f>Table1[[#This Row],[kg CO2 at retail-gate per kg of product]]+Table1[[#This Row],[Kg CO2e from CH4 fossil]]+Table1[[#This Row],[Kg CO2e from N2O]]</f>
        <v>3.5594704380081867</v>
      </c>
      <c r="H227" s="188">
        <f>'Meat and eggs'!H37</f>
        <v>2.2903343147126658</v>
      </c>
      <c r="I227" s="188">
        <f>'Meat and eggs'!H39</f>
        <v>7.2006546597042369E-4</v>
      </c>
      <c r="J227" s="188">
        <f>'Meat and eggs'!H38</f>
        <v>2.1106331150715649E-3</v>
      </c>
      <c r="K227" s="188">
        <f>'Meat and eggs'!H40</f>
        <v>4.5702497157860886E-3</v>
      </c>
      <c r="L227" s="188">
        <v>0</v>
      </c>
      <c r="M227" s="188">
        <f>Table1[[#This Row],[kg CH4 fossil at retail-gate per kg of product]]*'Summary pivot'!$D$5</f>
        <v>2.1457950885918627E-2</v>
      </c>
      <c r="N227" s="188">
        <f>Table1[[#This Row],[kg CH4 bio at retail-gate per kg of product]]*'Summary pivot'!$D$4</f>
        <v>5.698709410693225E-2</v>
      </c>
      <c r="O227" s="188">
        <f>Table1[[#This Row],[kg N2O at retail-gate per kg of product]]*'Summary pivot'!$D$6</f>
        <v>1.2476781724096022</v>
      </c>
      <c r="P227" s="188">
        <f>Table1[[#This Row],[kg HCFC-22 at retail-gate per kg of product]]*'Summary pivot'!$D$7</f>
        <v>0</v>
      </c>
    </row>
    <row r="228" spans="1:16">
      <c r="A228" s="52" t="s">
        <v>3</v>
      </c>
      <c r="B228" s="52" t="s">
        <v>200</v>
      </c>
      <c r="C228" t="s">
        <v>122</v>
      </c>
      <c r="D228" s="52" t="s">
        <v>198</v>
      </c>
      <c r="E228" s="5">
        <f>'Meat and eggs'!C41</f>
        <v>0.70601336302895323</v>
      </c>
      <c r="F228" s="750" t="str">
        <f>'Summary pivot'!$C$1</f>
        <v>GWP100 with fb AR6</v>
      </c>
      <c r="G228" s="188">
        <f>Table1[[#This Row],[kg CO2 at retail-gate per kg of product]]+Table1[[#This Row],[Kg CO2e from CH4 fossil]]+Table1[[#This Row],[Kg CO2e from N2O]]</f>
        <v>3.4025236394022151</v>
      </c>
      <c r="H228" s="188">
        <f>'Meat and eggs'!H42</f>
        <v>2.1601233749874695</v>
      </c>
      <c r="I228" s="188">
        <f>'Meat and eggs'!H44</f>
        <v>7.1609794335328856E-4</v>
      </c>
      <c r="J228" s="188">
        <f>'Meat and eggs'!H43</f>
        <v>1.9497767104314392E-3</v>
      </c>
      <c r="K228" s="188">
        <f>'Meat and eggs'!H45</f>
        <v>4.4727492516586729E-3</v>
      </c>
      <c r="L228" s="188">
        <v>0</v>
      </c>
      <c r="M228" s="188">
        <f>Table1[[#This Row],[kg CH4 fossil at retail-gate per kg of product]]*'Summary pivot'!$D$5</f>
        <v>2.1339718711928E-2</v>
      </c>
      <c r="N228" s="188">
        <f>Table1[[#This Row],[kg CH4 bio at retail-gate per kg of product]]*'Summary pivot'!$D$4</f>
        <v>5.264397118164886E-2</v>
      </c>
      <c r="O228" s="188">
        <f>Table1[[#This Row],[kg N2O at retail-gate per kg of product]]*'Summary pivot'!$D$6</f>
        <v>1.2210605457028176</v>
      </c>
      <c r="P228" s="188">
        <f>Table1[[#This Row],[kg HCFC-22 at retail-gate per kg of product]]*'Summary pivot'!$D$7</f>
        <v>0</v>
      </c>
    </row>
    <row r="229" spans="1:16">
      <c r="A229" s="52" t="s">
        <v>3</v>
      </c>
      <c r="B229" s="52" t="s">
        <v>200</v>
      </c>
      <c r="C229" t="s">
        <v>176</v>
      </c>
      <c r="D229" s="52" t="s">
        <v>198</v>
      </c>
      <c r="E229" s="5">
        <f>'Meat and eggs'!C46</f>
        <v>0.19213092759423567</v>
      </c>
      <c r="F229" s="750" t="str">
        <f>'Summary pivot'!$C$1</f>
        <v>GWP100 with fb AR6</v>
      </c>
      <c r="G229" s="188">
        <f>Table1[[#This Row],[kg CO2 at retail-gate per kg of product]]+Table1[[#This Row],[Kg CO2e from CH4 fossil]]+Table1[[#This Row],[Kg CO2e from N2O]]</f>
        <v>3.7145661338768385</v>
      </c>
      <c r="H229" s="188">
        <f>'Meat and eggs'!H47</f>
        <v>2.3620547887530714</v>
      </c>
      <c r="I229" s="188">
        <f>'Meat and eggs'!H49</f>
        <v>7.3279634321574518E-4</v>
      </c>
      <c r="J229" s="188">
        <f>'Meat and eggs'!H48</f>
        <v>2.6060506805198167E-3</v>
      </c>
      <c r="K229" s="188">
        <f>'Meat and eggs'!H50</f>
        <v>4.8742637878972086E-3</v>
      </c>
      <c r="L229" s="188">
        <v>0</v>
      </c>
      <c r="M229" s="188">
        <f>Table1[[#This Row],[kg CH4 fossil at retail-gate per kg of product]]*'Summary pivot'!$D$5</f>
        <v>2.1837331027829206E-2</v>
      </c>
      <c r="N229" s="188">
        <f>Table1[[#This Row],[kg CH4 bio at retail-gate per kg of product]]*'Summary pivot'!$D$4</f>
        <v>7.0363368374035049E-2</v>
      </c>
      <c r="O229" s="188">
        <f>Table1[[#This Row],[kg N2O at retail-gate per kg of product]]*'Summary pivot'!$D$6</f>
        <v>1.3306740140959379</v>
      </c>
      <c r="P229" s="188">
        <f>Table1[[#This Row],[kg HCFC-22 at retail-gate per kg of product]]*'Summary pivot'!$D$7</f>
        <v>0</v>
      </c>
    </row>
    <row r="230" spans="1:16">
      <c r="A230" s="52" t="s">
        <v>3</v>
      </c>
      <c r="B230" s="52" t="s">
        <v>200</v>
      </c>
      <c r="C230" t="s">
        <v>125</v>
      </c>
      <c r="D230" s="52" t="s">
        <v>198</v>
      </c>
      <c r="E230" s="5">
        <f>'Meat and eggs'!C51</f>
        <v>0.1018557093768111</v>
      </c>
      <c r="F230" s="750" t="str">
        <f>'Summary pivot'!$C$1</f>
        <v>GWP100 with fb AR6</v>
      </c>
      <c r="G230" s="188">
        <f>Table1[[#This Row],[kg CO2 at retail-gate per kg of product]]+Table1[[#This Row],[Kg CO2e from CH4 fossil]]+Table1[[#This Row],[Kg CO2e from N2O]]</f>
        <v>4.3547901867286694</v>
      </c>
      <c r="H230" s="188">
        <f>'Meat and eggs'!H52</f>
        <v>3.0576054154866861</v>
      </c>
      <c r="I230" s="188">
        <f>'Meat and eggs'!H54</f>
        <v>7.2355205237542575E-4</v>
      </c>
      <c r="J230" s="188">
        <f>'Meat and eggs'!H53</f>
        <v>2.2911014945186901E-3</v>
      </c>
      <c r="K230" s="188">
        <f>'Meat and eggs'!H55</f>
        <v>4.6726114288688494E-3</v>
      </c>
      <c r="L230" s="188">
        <v>0</v>
      </c>
      <c r="M230" s="188">
        <f>Table1[[#This Row],[kg CH4 fossil at retail-gate per kg of product]]*'Summary pivot'!$D$5</f>
        <v>2.1561851160787689E-2</v>
      </c>
      <c r="N230" s="188">
        <f>Table1[[#This Row],[kg CH4 bio at retail-gate per kg of product]]*'Summary pivot'!$D$4</f>
        <v>6.185974035200463E-2</v>
      </c>
      <c r="O230" s="188">
        <f>Table1[[#This Row],[kg N2O at retail-gate per kg of product]]*'Summary pivot'!$D$6</f>
        <v>1.2756229200811959</v>
      </c>
      <c r="P230" s="188">
        <f>Table1[[#This Row],[kg HCFC-22 at retail-gate per kg of product]]*'Summary pivot'!$D$7</f>
        <v>0</v>
      </c>
    </row>
    <row r="231" spans="1:16">
      <c r="A231" s="52" t="s">
        <v>3</v>
      </c>
      <c r="B231" s="52" t="s">
        <v>37</v>
      </c>
      <c r="C231" t="s">
        <v>120</v>
      </c>
      <c r="D231" s="52" t="s">
        <v>198</v>
      </c>
      <c r="E231" s="5">
        <f>'Meat and eggs'!C57</f>
        <v>1</v>
      </c>
      <c r="F231" s="750" t="str">
        <f>'Summary pivot'!$C$1</f>
        <v>GWP100 with fb AR6</v>
      </c>
      <c r="G231" s="188">
        <f>Table1[[#This Row],[kg CO2 at retail-gate per kg of product]]+Table1[[#This Row],[Kg CO2e from CH4 fossil]]+Table1[[#This Row],[Kg CO2e from N2O]]</f>
        <v>2.2562481717405531</v>
      </c>
      <c r="H231" s="188">
        <f>'Meat and eggs'!H58</f>
        <v>1.3599514938952095</v>
      </c>
      <c r="I231" s="188">
        <f>'Meat and eggs'!H60</f>
        <v>6.8980642377353422E-4</v>
      </c>
      <c r="J231" s="188">
        <f>'Meat and eggs'!H59</f>
        <v>2.2476812293718861E-3</v>
      </c>
      <c r="K231" s="188">
        <f>'Meat and eggs'!H61</f>
        <v>3.2078404630655399E-3</v>
      </c>
      <c r="L231" s="188">
        <v>0</v>
      </c>
      <c r="M231" s="188">
        <f>Table1[[#This Row],[kg CH4 fossil at retail-gate per kg of product]]*'Summary pivot'!$D$5</f>
        <v>2.0556231428451321E-2</v>
      </c>
      <c r="N231" s="188">
        <f>Table1[[#This Row],[kg CH4 bio at retail-gate per kg of product]]*'Summary pivot'!$D$4</f>
        <v>6.0687393193040923E-2</v>
      </c>
      <c r="O231" s="188">
        <f>Table1[[#This Row],[kg N2O at retail-gate per kg of product]]*'Summary pivot'!$D$6</f>
        <v>0.87574044641689242</v>
      </c>
      <c r="P231" s="188">
        <f>Table1[[#This Row],[kg HCFC-22 at retail-gate per kg of product]]*'Summary pivot'!$D$7</f>
        <v>0</v>
      </c>
    </row>
    <row r="232" spans="1:16">
      <c r="A232" s="52" t="s">
        <v>3</v>
      </c>
      <c r="B232" s="52" t="s">
        <v>37</v>
      </c>
      <c r="C232" t="s">
        <v>122</v>
      </c>
      <c r="D232" s="52" t="s">
        <v>198</v>
      </c>
      <c r="E232" s="5">
        <f>'Meat and eggs'!C62</f>
        <v>0.93860561914672225</v>
      </c>
      <c r="F232" s="750" t="str">
        <f>'Summary pivot'!$C$1</f>
        <v>GWP100 with fb AR6</v>
      </c>
      <c r="G232" s="188">
        <f>Table1[[#This Row],[kg CO2 at retail-gate per kg of product]]+Table1[[#This Row],[Kg CO2e from CH4 fossil]]+Table1[[#This Row],[Kg CO2e from N2O]]</f>
        <v>2.2310010669486444</v>
      </c>
      <c r="H232" s="188">
        <f>'Meat and eggs'!H63</f>
        <v>1.3347043891033006</v>
      </c>
      <c r="I232" s="188">
        <f>'Meat and eggs'!H65</f>
        <v>6.8980642377353422E-4</v>
      </c>
      <c r="J232" s="188">
        <f>'Meat and eggs'!H64</f>
        <v>2.2476812293718861E-3</v>
      </c>
      <c r="K232" s="188">
        <f>'Meat and eggs'!H66</f>
        <v>3.2078404630655399E-3</v>
      </c>
      <c r="L232" s="188">
        <v>0</v>
      </c>
      <c r="M232" s="188">
        <f>Table1[[#This Row],[kg CH4 fossil at retail-gate per kg of product]]*'Summary pivot'!$D$5</f>
        <v>2.0556231428451321E-2</v>
      </c>
      <c r="N232" s="188">
        <f>Table1[[#This Row],[kg CH4 bio at retail-gate per kg of product]]*'Summary pivot'!$D$4</f>
        <v>6.0687393193040923E-2</v>
      </c>
      <c r="O232" s="188">
        <f>Table1[[#This Row],[kg N2O at retail-gate per kg of product]]*'Summary pivot'!$D$6</f>
        <v>0.87574044641689242</v>
      </c>
      <c r="P232" s="188">
        <f>Table1[[#This Row],[kg HCFC-22 at retail-gate per kg of product]]*'Summary pivot'!$D$7</f>
        <v>0</v>
      </c>
    </row>
    <row r="233" spans="1:16">
      <c r="A233" s="52" t="s">
        <v>3</v>
      </c>
      <c r="B233" s="52" t="s">
        <v>37</v>
      </c>
      <c r="C233" t="s">
        <v>125</v>
      </c>
      <c r="D233" s="52" t="s">
        <v>198</v>
      </c>
      <c r="E233" s="5">
        <f>'Meat and eggs'!C67</f>
        <v>6.1394380853277752E-2</v>
      </c>
      <c r="F233" s="750" t="str">
        <f>'Summary pivot'!$C$1</f>
        <v>GWP100 with fb AR6</v>
      </c>
      <c r="G233" s="188">
        <f>Table1[[#This Row],[kg CO2 at retail-gate per kg of product]]+Table1[[#This Row],[Kg CO2e from CH4 fossil]]+Table1[[#This Row],[Kg CO2e from N2O]]</f>
        <v>2.6422293331355</v>
      </c>
      <c r="H233" s="188">
        <f>'Meat and eggs'!H68</f>
        <v>1.7459326552901562</v>
      </c>
      <c r="I233" s="188">
        <f>'Meat and eggs'!H70</f>
        <v>6.8980642377353422E-4</v>
      </c>
      <c r="J233" s="188">
        <f>'Meat and eggs'!H69</f>
        <v>2.2476812293718861E-3</v>
      </c>
      <c r="K233" s="188">
        <f>'Meat and eggs'!H71</f>
        <v>3.2078404630655399E-3</v>
      </c>
      <c r="L233" s="188">
        <v>0</v>
      </c>
      <c r="M233" s="188">
        <f>Table1[[#This Row],[kg CH4 fossil at retail-gate per kg of product]]*'Summary pivot'!$D$5</f>
        <v>2.0556231428451321E-2</v>
      </c>
      <c r="N233" s="188">
        <f>Table1[[#This Row],[kg CH4 bio at retail-gate per kg of product]]*'Summary pivot'!$D$4</f>
        <v>6.0687393193040923E-2</v>
      </c>
      <c r="O233" s="188">
        <f>Table1[[#This Row],[kg N2O at retail-gate per kg of product]]*'Summary pivot'!$D$6</f>
        <v>0.87574044641689242</v>
      </c>
      <c r="P233" s="188">
        <f>Table1[[#This Row],[kg HCFC-22 at retail-gate per kg of product]]*'Summary pivot'!$D$7</f>
        <v>0</v>
      </c>
    </row>
    <row r="234" spans="1:16">
      <c r="A234" s="52" t="s">
        <v>3</v>
      </c>
      <c r="B234" s="52" t="s">
        <v>44</v>
      </c>
      <c r="C234" t="s">
        <v>120</v>
      </c>
      <c r="D234" s="52" t="s">
        <v>128</v>
      </c>
      <c r="E234" s="5">
        <f>'Meat and eggs'!C73</f>
        <v>1.0002036693952803</v>
      </c>
      <c r="F234" s="750" t="str">
        <f>'Summary pivot'!$C$1</f>
        <v>GWP100 with fb AR6</v>
      </c>
      <c r="G234" s="188">
        <f>Table1[[#This Row],[kg CO2 at retail-gate per kg of product]]+Table1[[#This Row],[Kg CO2e from CH4 fossil]]+Table1[[#This Row],[Kg CO2e from N2O]]</f>
        <v>18.69799081272026</v>
      </c>
      <c r="H234" s="188">
        <f>'Meat and eggs'!H74</f>
        <v>4.9667434358660607</v>
      </c>
      <c r="I234" s="188">
        <f>'Meat and eggs'!H76</f>
        <v>0.2312639118485203</v>
      </c>
      <c r="J234" s="188">
        <f>'Meat and eggs'!H75</f>
        <v>0.81969525082213945</v>
      </c>
      <c r="K234" s="188">
        <f>'Meat and eggs'!H77</f>
        <v>2.5053416863620129E-2</v>
      </c>
      <c r="L234" s="188">
        <v>0</v>
      </c>
      <c r="M234" s="188">
        <f>Table1[[#This Row],[kg CH4 fossil at retail-gate per kg of product]]*'Summary pivot'!$D$5</f>
        <v>6.8916645730859054</v>
      </c>
      <c r="N234" s="188">
        <f>Table1[[#This Row],[kg CH4 bio at retail-gate per kg of product]]*'Summary pivot'!$D$4</f>
        <v>22.131771772197766</v>
      </c>
      <c r="O234" s="188">
        <f>Table1[[#This Row],[kg N2O at retail-gate per kg of product]]*'Summary pivot'!$D$6</f>
        <v>6.8395828037682955</v>
      </c>
      <c r="P234" s="188">
        <f>Table1[[#This Row],[kg HCFC-22 at retail-gate per kg of product]]*'Summary pivot'!$D$7</f>
        <v>0</v>
      </c>
    </row>
    <row r="235" spans="1:16">
      <c r="A235" s="52" t="s">
        <v>3</v>
      </c>
      <c r="B235" s="52" t="s">
        <v>44</v>
      </c>
      <c r="C235" t="s">
        <v>122</v>
      </c>
      <c r="D235" s="52" t="s">
        <v>120</v>
      </c>
      <c r="E235" s="5">
        <f>'Meat and eggs'!C78</f>
        <v>0.54399524379999997</v>
      </c>
      <c r="F235" s="750" t="str">
        <f>'Summary pivot'!$C$1</f>
        <v>GWP100 with fb AR6</v>
      </c>
      <c r="G235" s="188">
        <f>Table1[[#This Row],[kg CO2 at retail-gate per kg of product]]+Table1[[#This Row],[Kg CO2e from CH4 fossil]]+Table1[[#This Row],[Kg CO2e from N2O]]</f>
        <v>22.692902746670832</v>
      </c>
      <c r="H235" s="188">
        <f>'Meat and eggs'!H79</f>
        <v>3.3481783746205918</v>
      </c>
      <c r="I235" s="188">
        <f>'Meat and eggs'!H81</f>
        <v>0.42319489677279881</v>
      </c>
      <c r="J235" s="188">
        <f>'Meat and eggs'!H80</f>
        <v>0.95932044825222662</v>
      </c>
      <c r="K235" s="188">
        <f>'Meat and eggs'!H82</f>
        <v>2.4664895414728334E-2</v>
      </c>
      <c r="L235" s="188">
        <v>0</v>
      </c>
      <c r="M235" s="188">
        <f>Table1[[#This Row],[kg CH4 fossil at retail-gate per kg of product]]*'Summary pivot'!$D$5</f>
        <v>12.611207923829404</v>
      </c>
      <c r="N235" s="188">
        <f>Table1[[#This Row],[kg CH4 bio at retail-gate per kg of product]]*'Summary pivot'!$D$4</f>
        <v>25.901652102810118</v>
      </c>
      <c r="O235" s="188">
        <f>Table1[[#This Row],[kg N2O at retail-gate per kg of product]]*'Summary pivot'!$D$6</f>
        <v>6.7335164482208354</v>
      </c>
      <c r="P235" s="188">
        <f>Table1[[#This Row],[kg HCFC-22 at retail-gate per kg of product]]*'Summary pivot'!$D$7</f>
        <v>0</v>
      </c>
    </row>
    <row r="236" spans="1:16">
      <c r="A236" s="52" t="s">
        <v>3</v>
      </c>
      <c r="B236" s="52" t="s">
        <v>44</v>
      </c>
      <c r="C236" t="s">
        <v>201</v>
      </c>
      <c r="D236" s="52" t="s">
        <v>202</v>
      </c>
      <c r="E236" s="5">
        <f>'Meat and eggs'!C183</f>
        <v>1.2039538514853818E-2</v>
      </c>
      <c r="F236" s="750" t="str">
        <f>'Summary pivot'!$C$1</f>
        <v>GWP100 with fb AR6</v>
      </c>
      <c r="G236" s="188">
        <f>Table1[[#This Row],[kg CO2 at retail-gate per kg of product]]+Table1[[#This Row],[Kg CO2e from CH4 fossil]]+Table1[[#This Row],[Kg CO2e from N2O]]</f>
        <v>6.6605343036527795</v>
      </c>
      <c r="H236" s="188">
        <f>'Meat and eggs'!H184</f>
        <v>2.2966747028319037</v>
      </c>
      <c r="I236" s="188">
        <f>'Meat and eggs'!H186</f>
        <v>1.4517596535837478E-3</v>
      </c>
      <c r="J236" s="188">
        <f>'Meat and eggs'!H185</f>
        <v>0.35912462092846598</v>
      </c>
      <c r="K236" s="188">
        <f>'Meat and eggs'!H187</f>
        <v>1.5826363234959999E-2</v>
      </c>
      <c r="L236" s="188">
        <v>0</v>
      </c>
      <c r="M236" s="188">
        <f>Table1[[#This Row],[kg CH4 fossil at retail-gate per kg of product]]*'Summary pivot'!$D$5</f>
        <v>4.326243767679569E-2</v>
      </c>
      <c r="N236" s="188">
        <f>Table1[[#This Row],[kg CH4 bio at retail-gate per kg of product]]*'Summary pivot'!$D$4</f>
        <v>9.6963647650685818</v>
      </c>
      <c r="O236" s="188">
        <f>Table1[[#This Row],[kg N2O at retail-gate per kg of product]]*'Summary pivot'!$D$6</f>
        <v>4.3205971631440798</v>
      </c>
      <c r="P236" s="188">
        <f>Table1[[#This Row],[kg HCFC-22 at retail-gate per kg of product]]*'Summary pivot'!$D$7</f>
        <v>0</v>
      </c>
    </row>
    <row r="237" spans="1:16">
      <c r="A237" s="52" t="s">
        <v>3</v>
      </c>
      <c r="B237" s="52" t="s">
        <v>44</v>
      </c>
      <c r="C237" t="s">
        <v>201</v>
      </c>
      <c r="D237" s="52" t="s">
        <v>203</v>
      </c>
      <c r="E237" s="5">
        <f>'Meat and eggs'!C188</f>
        <v>0.10770389635713061</v>
      </c>
      <c r="F237" s="750" t="str">
        <f>'Summary pivot'!$C$1</f>
        <v>GWP100 with fb AR6</v>
      </c>
      <c r="G237" s="188">
        <f>Table1[[#This Row],[kg CO2 at retail-gate per kg of product]]+Table1[[#This Row],[Kg CO2e from CH4 fossil]]+Table1[[#This Row],[Kg CO2e from N2O]]</f>
        <v>16.727686037753813</v>
      </c>
      <c r="H237" s="188">
        <f>'Meat and eggs'!H189</f>
        <v>6.4419541136800662</v>
      </c>
      <c r="I237" s="188">
        <f>'Meat and eggs'!H191</f>
        <v>2.9070090032780418E-3</v>
      </c>
      <c r="J237" s="188">
        <f>'Meat and eggs'!H190</f>
        <v>0.75183652634876241</v>
      </c>
      <c r="K237" s="188">
        <f>'Meat and eggs'!H192</f>
        <v>3.735935185265956E-2</v>
      </c>
      <c r="L237" s="188">
        <v>0</v>
      </c>
      <c r="M237" s="188">
        <f>Table1[[#This Row],[kg CH4 fossil at retail-gate per kg of product]]*'Summary pivot'!$D$5</f>
        <v>8.6628868297685652E-2</v>
      </c>
      <c r="N237" s="188">
        <f>Table1[[#This Row],[kg CH4 bio at retail-gate per kg of product]]*'Summary pivot'!$D$4</f>
        <v>20.299586211416585</v>
      </c>
      <c r="O237" s="188">
        <f>Table1[[#This Row],[kg N2O at retail-gate per kg of product]]*'Summary pivot'!$D$6</f>
        <v>10.19910305577606</v>
      </c>
      <c r="P237" s="188">
        <f>Table1[[#This Row],[kg HCFC-22 at retail-gate per kg of product]]*'Summary pivot'!$D$7</f>
        <v>0</v>
      </c>
    </row>
    <row r="238" spans="1:16">
      <c r="A238" s="52" t="s">
        <v>3</v>
      </c>
      <c r="B238" s="52" t="s">
        <v>44</v>
      </c>
      <c r="C238" t="s">
        <v>204</v>
      </c>
      <c r="D238" s="52" t="s">
        <v>202</v>
      </c>
      <c r="E238" s="5">
        <f>'Meat and eggs'!C238</f>
        <v>4.7430552938419038E-2</v>
      </c>
      <c r="F238" s="750" t="str">
        <f>'Summary pivot'!$C$1</f>
        <v>GWP100 with fb AR6</v>
      </c>
      <c r="G238" s="188">
        <f>Table1[[#This Row],[kg CO2 at retail-gate per kg of product]]+Table1[[#This Row],[Kg CO2e from CH4 fossil]]+Table1[[#This Row],[Kg CO2e from N2O]]</f>
        <v>8.3567693896559145</v>
      </c>
      <c r="H238" s="188">
        <f>'Meat and eggs'!H239</f>
        <v>4.4373193811319736</v>
      </c>
      <c r="I238" s="188">
        <f>'Meat and eggs'!H241</f>
        <v>3.0125333816554832E-3</v>
      </c>
      <c r="J238" s="188">
        <f>'Meat and eggs'!H240</f>
        <v>0.2668728732865589</v>
      </c>
      <c r="K238" s="188">
        <f>'Meat and eggs'!H242</f>
        <v>1.4028119097987572E-2</v>
      </c>
      <c r="L238" s="188">
        <v>0</v>
      </c>
      <c r="M238" s="188">
        <f>Table1[[#This Row],[kg CH4 fossil at retail-gate per kg of product]]*'Summary pivot'!$D$5</f>
        <v>8.9773494773333407E-2</v>
      </c>
      <c r="N238" s="188">
        <f>Table1[[#This Row],[kg CH4 bio at retail-gate per kg of product]]*'Summary pivot'!$D$4</f>
        <v>7.2055675787370905</v>
      </c>
      <c r="O238" s="188">
        <f>Table1[[#This Row],[kg N2O at retail-gate per kg of product]]*'Summary pivot'!$D$6</f>
        <v>3.829676513750607</v>
      </c>
      <c r="P238" s="188">
        <f>Table1[[#This Row],[kg HCFC-22 at retail-gate per kg of product]]*'Summary pivot'!$D$7</f>
        <v>0</v>
      </c>
    </row>
    <row r="239" spans="1:16">
      <c r="A239" s="52" t="s">
        <v>3</v>
      </c>
      <c r="B239" s="52" t="s">
        <v>44</v>
      </c>
      <c r="C239" t="s">
        <v>204</v>
      </c>
      <c r="D239" s="52" t="s">
        <v>205</v>
      </c>
      <c r="E239" s="5">
        <f>'Meat and eggs'!C243</f>
        <v>1.8085782243082504E-2</v>
      </c>
      <c r="F239" s="750" t="str">
        <f>'Summary pivot'!$C$1</f>
        <v>GWP100 with fb AR6</v>
      </c>
      <c r="G239" s="188">
        <f>Table1[[#This Row],[kg CO2 at retail-gate per kg of product]]+Table1[[#This Row],[Kg CO2e from CH4 fossil]]+Table1[[#This Row],[Kg CO2e from N2O]]</f>
        <v>14.00928784984993</v>
      </c>
      <c r="H239" s="188">
        <f>'Meat and eggs'!H244</f>
        <v>7.7667874035742885</v>
      </c>
      <c r="I239" s="188">
        <f>'Meat and eggs'!H246</f>
        <v>1.8028330515102852E-3</v>
      </c>
      <c r="J239" s="188">
        <f>'Meat and eggs'!H245</f>
        <v>0.69088068403910818</v>
      </c>
      <c r="K239" s="188">
        <f>'Meat and eggs'!H247</f>
        <v>2.2669509235679983E-2</v>
      </c>
      <c r="L239" s="188">
        <v>0</v>
      </c>
      <c r="M239" s="188">
        <f>Table1[[#This Row],[kg CH4 fossil at retail-gate per kg of product]]*'Summary pivot'!$D$5</f>
        <v>5.3724424935006503E-2</v>
      </c>
      <c r="N239" s="188">
        <f>Table1[[#This Row],[kg CH4 bio at retail-gate per kg of product]]*'Summary pivot'!$D$4</f>
        <v>18.653778469055922</v>
      </c>
      <c r="O239" s="188">
        <f>Table1[[#This Row],[kg N2O at retail-gate per kg of product]]*'Summary pivot'!$D$6</f>
        <v>6.1887760213406358</v>
      </c>
      <c r="P239" s="188">
        <f>Table1[[#This Row],[kg HCFC-22 at retail-gate per kg of product]]*'Summary pivot'!$D$7</f>
        <v>0</v>
      </c>
    </row>
    <row r="240" spans="1:16">
      <c r="A240" s="52" t="s">
        <v>3</v>
      </c>
      <c r="B240" s="52" t="s">
        <v>44</v>
      </c>
      <c r="C240" t="s">
        <v>204</v>
      </c>
      <c r="D240" s="52" t="s">
        <v>206</v>
      </c>
      <c r="E240" s="5">
        <f>'Meat and eggs'!C248</f>
        <v>6.793938459758643E-2</v>
      </c>
      <c r="F240" s="750" t="str">
        <f>'Summary pivot'!$C$1</f>
        <v>GWP100 with fb AR6</v>
      </c>
      <c r="G240" s="188">
        <f>Table1[[#This Row],[kg CO2 at retail-gate per kg of product]]+Table1[[#This Row],[Kg CO2e from CH4 fossil]]+Table1[[#This Row],[Kg CO2e from N2O]]</f>
        <v>15.660393499160733</v>
      </c>
      <c r="H240" s="188">
        <f>'Meat and eggs'!H249</f>
        <v>10.188128383458588</v>
      </c>
      <c r="I240" s="188">
        <f>'Meat and eggs'!H251</f>
        <v>1.6918308250093226E-3</v>
      </c>
      <c r="J240" s="188">
        <f>'Meat and eggs'!H250</f>
        <v>0.38471080150810155</v>
      </c>
      <c r="K240" s="188">
        <f>'Meat and eggs'!H252</f>
        <v>1.9860251124970214E-2</v>
      </c>
      <c r="L240" s="188">
        <v>0</v>
      </c>
      <c r="M240" s="188">
        <f>Table1[[#This Row],[kg CH4 fossil at retail-gate per kg of product]]*'Summary pivot'!$D$5</f>
        <v>5.0416558585277819E-2</v>
      </c>
      <c r="N240" s="188">
        <f>Table1[[#This Row],[kg CH4 bio at retail-gate per kg of product]]*'Summary pivot'!$D$4</f>
        <v>10.387191640718742</v>
      </c>
      <c r="O240" s="188">
        <f>Table1[[#This Row],[kg N2O at retail-gate per kg of product]]*'Summary pivot'!$D$6</f>
        <v>5.421848557116868</v>
      </c>
      <c r="P240" s="188">
        <f>Table1[[#This Row],[kg HCFC-22 at retail-gate per kg of product]]*'Summary pivot'!$D$7</f>
        <v>0</v>
      </c>
    </row>
    <row r="241" spans="1:16">
      <c r="A241" s="52" t="s">
        <v>3</v>
      </c>
      <c r="B241" s="52" t="s">
        <v>44</v>
      </c>
      <c r="C241" t="s">
        <v>204</v>
      </c>
      <c r="D241" s="52" t="s">
        <v>207</v>
      </c>
      <c r="E241" s="5">
        <f>'Meat and eggs'!C253</f>
        <v>5.8273087194233263E-3</v>
      </c>
      <c r="F241" s="750" t="str">
        <f>'Summary pivot'!$C$1</f>
        <v>GWP100 with fb AR6</v>
      </c>
      <c r="G241" s="188">
        <f>Table1[[#This Row],[kg CO2 at retail-gate per kg of product]]+Table1[[#This Row],[Kg CO2e from CH4 fossil]]+Table1[[#This Row],[Kg CO2e from N2O]]</f>
        <v>14.969283652119465</v>
      </c>
      <c r="H241" s="188">
        <f>'Meat and eggs'!H254</f>
        <v>10.739731585949345</v>
      </c>
      <c r="I241" s="188">
        <f>'Meat and eggs'!H256</f>
        <v>4.7321821494403496E-3</v>
      </c>
      <c r="J241" s="188">
        <f>'Meat and eggs'!H255</f>
        <v>0.40855032371059014</v>
      </c>
      <c r="K241" s="188">
        <f>'Meat and eggs'!H257</f>
        <v>1.4976311494933317E-2</v>
      </c>
      <c r="L241" s="188">
        <v>0</v>
      </c>
      <c r="M241" s="188">
        <f>Table1[[#This Row],[kg CH4 fossil at retail-gate per kg of product]]*'Summary pivot'!$D$5</f>
        <v>0.14101902805332242</v>
      </c>
      <c r="N241" s="188">
        <f>Table1[[#This Row],[kg CH4 bio at retail-gate per kg of product]]*'Summary pivot'!$D$4</f>
        <v>11.030858740185934</v>
      </c>
      <c r="O241" s="188">
        <f>Table1[[#This Row],[kg N2O at retail-gate per kg of product]]*'Summary pivot'!$D$6</f>
        <v>4.0885330381167959</v>
      </c>
      <c r="P241" s="188">
        <f>Table1[[#This Row],[kg HCFC-22 at retail-gate per kg of product]]*'Summary pivot'!$D$7</f>
        <v>0</v>
      </c>
    </row>
    <row r="242" spans="1:16">
      <c r="A242" s="52" t="s">
        <v>3</v>
      </c>
      <c r="B242" s="52" t="s">
        <v>44</v>
      </c>
      <c r="C242" t="s">
        <v>125</v>
      </c>
      <c r="D242" s="52" t="s">
        <v>208</v>
      </c>
      <c r="E242" s="5">
        <f>'Meat and eggs'!C258</f>
        <v>0.15531116733070377</v>
      </c>
      <c r="F242" s="750" t="str">
        <f>'Summary pivot'!$C$1</f>
        <v>GWP100 with fb AR6</v>
      </c>
      <c r="G242" s="188">
        <f>Table1[[#This Row],[kg CO2 at retail-gate per kg of product]]+Table1[[#This Row],[Kg CO2e from CH4 fossil]]+Table1[[#This Row],[Kg CO2e from N2O]]</f>
        <v>13.61446887807271</v>
      </c>
      <c r="H242" s="188">
        <f>'Meat and eggs'!H259</f>
        <v>7.5619193430811977</v>
      </c>
      <c r="I242" s="188">
        <f>'Meat and eggs'!H261</f>
        <v>1.7151330749377856E-3</v>
      </c>
      <c r="J242" s="188">
        <f>'Meat and eggs'!H260</f>
        <v>0.768911557601339</v>
      </c>
      <c r="K242" s="188">
        <f>'Meat and eggs'!H262</f>
        <v>2.1983291462851162E-2</v>
      </c>
      <c r="L242" s="188">
        <v>0</v>
      </c>
      <c r="M242" s="188">
        <f>Table1[[#This Row],[kg CH4 fossil at retail-gate per kg of product]]*'Summary pivot'!$D$5</f>
        <v>5.1110965633146009E-2</v>
      </c>
      <c r="N242" s="188">
        <f>Table1[[#This Row],[kg CH4 bio at retail-gate per kg of product]]*'Summary pivot'!$D$4</f>
        <v>20.760612055236152</v>
      </c>
      <c r="O242" s="188">
        <f>Table1[[#This Row],[kg N2O at retail-gate per kg of product]]*'Summary pivot'!$D$6</f>
        <v>6.0014385693583669</v>
      </c>
      <c r="P242" s="188">
        <f>Table1[[#This Row],[kg HCFC-22 at retail-gate per kg of product]]*'Summary pivot'!$D$7</f>
        <v>0</v>
      </c>
    </row>
    <row r="243" spans="1:16">
      <c r="A243" s="52" t="s">
        <v>3</v>
      </c>
      <c r="B243" s="52" t="s">
        <v>44</v>
      </c>
      <c r="C243" t="s">
        <v>134</v>
      </c>
      <c r="D243" s="52" t="s">
        <v>203</v>
      </c>
      <c r="E243" s="5">
        <f>'Meat and eggs'!C263</f>
        <v>4.1870794894080854E-2</v>
      </c>
      <c r="F243" s="750" t="str">
        <f>'Summary pivot'!$C$1</f>
        <v>GWP100 with fb AR6</v>
      </c>
      <c r="G243" s="188">
        <f>Table1[[#This Row],[kg CO2 at retail-gate per kg of product]]+Table1[[#This Row],[Kg CO2e from CH4 fossil]]+Table1[[#This Row],[Kg CO2e from N2O]]</f>
        <v>13.277288355658587</v>
      </c>
      <c r="H243" s="188">
        <f>'Meat and eggs'!H264</f>
        <v>3.4327865343895909</v>
      </c>
      <c r="I243" s="188">
        <f>'Meat and eggs'!H266</f>
        <v>3.1749378042774646E-3</v>
      </c>
      <c r="J243" s="188">
        <f>'Meat and eggs'!H265</f>
        <v>0.94191454145756481</v>
      </c>
      <c r="K243" s="188">
        <f>'Meat and eggs'!H267</f>
        <v>3.571387792930962E-2</v>
      </c>
      <c r="L243" s="188">
        <v>0</v>
      </c>
      <c r="M243" s="188">
        <f>Table1[[#This Row],[kg CH4 fossil at retail-gate per kg of product]]*'Summary pivot'!$D$5</f>
        <v>9.4613146567468442E-2</v>
      </c>
      <c r="N243" s="188">
        <f>Table1[[#This Row],[kg CH4 bio at retail-gate per kg of product]]*'Summary pivot'!$D$4</f>
        <v>25.431692619354251</v>
      </c>
      <c r="O243" s="188">
        <f>Table1[[#This Row],[kg N2O at retail-gate per kg of product]]*'Summary pivot'!$D$6</f>
        <v>9.749888674701527</v>
      </c>
      <c r="P243" s="188">
        <f>Table1[[#This Row],[kg HCFC-22 at retail-gate per kg of product]]*'Summary pivot'!$D$7</f>
        <v>0</v>
      </c>
    </row>
    <row r="244" spans="1:16" ht="30">
      <c r="A244" s="52" t="s">
        <v>209</v>
      </c>
      <c r="B244" s="52" t="s">
        <v>210</v>
      </c>
      <c r="C244" t="s">
        <v>122</v>
      </c>
      <c r="D244" s="52" t="s">
        <v>128</v>
      </c>
      <c r="E244" s="5">
        <f>'Dairy products'!B19</f>
        <v>1</v>
      </c>
      <c r="F244" s="750" t="str">
        <f>'Summary pivot'!$C$1</f>
        <v>GWP100 with fb AR6</v>
      </c>
      <c r="G244" s="188">
        <f>Table1[[#This Row],[kg CO2 at retail-gate per kg of product]]+Table1[[#This Row],[Kg CO2e from CH4 fossil]]+Table1[[#This Row],[Kg CO2e from N2O]]</f>
        <v>0.60534139348912497</v>
      </c>
      <c r="H244" s="188">
        <f>'Dairy products'!F20</f>
        <v>0.31970546028356261</v>
      </c>
      <c r="I244" s="188">
        <f>'Dairy products'!F22</f>
        <v>2.1756364933639384E-4</v>
      </c>
      <c r="J244" s="188">
        <f>'Dairy products'!F21</f>
        <v>2.1395104386003231E-2</v>
      </c>
      <c r="K244" s="188">
        <f>'Dairy products'!F23</f>
        <v>1.0225367635726659E-3</v>
      </c>
      <c r="L244" s="188">
        <v>0</v>
      </c>
      <c r="M244" s="188">
        <f>Table1[[#This Row],[kg CH4 fossil at retail-gate per kg of product]]*'Summary pivot'!$D$5</f>
        <v>6.4833967502245368E-3</v>
      </c>
      <c r="N244" s="188">
        <f>Table1[[#This Row],[kg CH4 bio at retail-gate per kg of product]]*'Summary pivot'!$D$4</f>
        <v>0.57766781842208725</v>
      </c>
      <c r="O244" s="188">
        <f>Table1[[#This Row],[kg N2O at retail-gate per kg of product]]*'Summary pivot'!$D$6</f>
        <v>0.27915253645533777</v>
      </c>
      <c r="P244" s="188">
        <f>Table1[[#This Row],[kg HCFC-22 at retail-gate per kg of product]]*'Summary pivot'!$D$7</f>
        <v>0</v>
      </c>
    </row>
    <row r="245" spans="1:16">
      <c r="A245" s="52" t="s">
        <v>209</v>
      </c>
      <c r="B245" s="52" t="s">
        <v>211</v>
      </c>
      <c r="C245" t="s">
        <v>120</v>
      </c>
      <c r="D245" s="52" t="s">
        <v>128</v>
      </c>
      <c r="E245" s="5">
        <f>'Dairy products'!B25</f>
        <v>1</v>
      </c>
      <c r="F245" s="750" t="str">
        <f>'Summary pivot'!$C$1</f>
        <v>GWP100 with fb AR6</v>
      </c>
      <c r="G245" s="188">
        <f>Table1[[#This Row],[kg CO2 at retail-gate per kg of product]]+Table1[[#This Row],[Kg CO2e from CH4 fossil]]+Table1[[#This Row],[Kg CO2e from N2O]]</f>
        <v>5.1928723528525165</v>
      </c>
      <c r="H245" s="188">
        <f>'Dairy products'!F26</f>
        <v>2.3818856034324125</v>
      </c>
      <c r="I245" s="188">
        <f>'Dairy products'!F28</f>
        <v>2.1467841133308531E-3</v>
      </c>
      <c r="J245" s="188">
        <f>'Dairy products'!F27</f>
        <v>0.21052782715827184</v>
      </c>
      <c r="K245" s="188">
        <f>'Dairy products'!F29</f>
        <v>1.0062317153270495E-2</v>
      </c>
      <c r="L245" s="188">
        <v>0</v>
      </c>
      <c r="M245" s="188">
        <f>Table1[[#This Row],[kg CH4 fossil at retail-gate per kg of product]]*'Summary pivot'!$D$5</f>
        <v>6.397416657725942E-2</v>
      </c>
      <c r="N245" s="188">
        <f>Table1[[#This Row],[kg CH4 bio at retail-gate per kg of product]]*'Summary pivot'!$D$4</f>
        <v>5.6842513332733393</v>
      </c>
      <c r="O245" s="188">
        <f>Table1[[#This Row],[kg N2O at retail-gate per kg of product]]*'Summary pivot'!$D$6</f>
        <v>2.7470125828428449</v>
      </c>
      <c r="P245" s="188">
        <f>Table1[[#This Row],[kg HCFC-22 at retail-gate per kg of product]]*'Summary pivot'!$D$7</f>
        <v>0</v>
      </c>
    </row>
    <row r="246" spans="1:16">
      <c r="A246" s="52" t="s">
        <v>209</v>
      </c>
      <c r="B246" s="52" t="s">
        <v>211</v>
      </c>
      <c r="C246" t="s">
        <v>122</v>
      </c>
      <c r="D246" s="52" t="s">
        <v>128</v>
      </c>
      <c r="E246" s="5">
        <f>'Dairy products'!B30</f>
        <v>0.83900928789999996</v>
      </c>
      <c r="F246" s="750" t="str">
        <f>'Summary pivot'!$C$1</f>
        <v>GWP100 with fb AR6</v>
      </c>
      <c r="G246" s="188">
        <f>Table1[[#This Row],[kg CO2 at retail-gate per kg of product]]+Table1[[#This Row],[Kg CO2e from CH4 fossil]]+Table1[[#This Row],[Kg CO2e from N2O]]</f>
        <v>4.9808345546450337</v>
      </c>
      <c r="H246" s="188">
        <f>'Dairy products'!F31</f>
        <v>2.170176971902301</v>
      </c>
      <c r="I246" s="188">
        <f>'Dairy products'!F33</f>
        <v>2.1408263094701151E-3</v>
      </c>
      <c r="J246" s="188">
        <f>'Dairy products'!F32</f>
        <v>0.21052782715827181</v>
      </c>
      <c r="K246" s="188">
        <f>'Dairy products'!F34</f>
        <v>1.0061761753555032E-2</v>
      </c>
      <c r="L246" s="188">
        <v>0</v>
      </c>
      <c r="M246" s="188">
        <f>Table1[[#This Row],[kg CH4 fossil at retail-gate per kg of product]]*'Summary pivot'!$D$5</f>
        <v>6.3796624022209425E-2</v>
      </c>
      <c r="N246" s="188">
        <f>Table1[[#This Row],[kg CH4 bio at retail-gate per kg of product]]*'Summary pivot'!$D$4</f>
        <v>5.6842513332733393</v>
      </c>
      <c r="O246" s="188">
        <f>Table1[[#This Row],[kg N2O at retail-gate per kg of product]]*'Summary pivot'!$D$6</f>
        <v>2.7468609587205237</v>
      </c>
      <c r="P246" s="188">
        <f>Table1[[#This Row],[kg HCFC-22 at retail-gate per kg of product]]*'Summary pivot'!$D$7</f>
        <v>0</v>
      </c>
    </row>
    <row r="247" spans="1:16">
      <c r="A247" s="52" t="s">
        <v>209</v>
      </c>
      <c r="B247" s="52" t="s">
        <v>211</v>
      </c>
      <c r="C247" t="s">
        <v>176</v>
      </c>
      <c r="D247" s="52" t="s">
        <v>128</v>
      </c>
      <c r="E247" s="5">
        <f>'Dairy products'!B35</f>
        <v>0</v>
      </c>
      <c r="F247" s="750" t="str">
        <f>'Summary pivot'!$C$1</f>
        <v>GWP100 with fb AR6</v>
      </c>
      <c r="G247" s="188">
        <f>Table1[[#This Row],[kg CO2 at retail-gate per kg of product]]+Table1[[#This Row],[Kg CO2e from CH4 fossil]]+Table1[[#This Row],[Kg CO2e from N2O]]</f>
        <v>5.0319517359782253</v>
      </c>
      <c r="H247" s="188">
        <f>'Dairy products'!F36</f>
        <v>2.2212941532354926</v>
      </c>
      <c r="I247" s="188">
        <f>'Dairy products'!F38</f>
        <v>2.1408263094701151E-3</v>
      </c>
      <c r="J247" s="188">
        <f>'Dairy products'!F37</f>
        <v>0.21052782715827181</v>
      </c>
      <c r="K247" s="188">
        <f>'Dairy products'!F39</f>
        <v>1.0061761753555032E-2</v>
      </c>
      <c r="L247" s="188">
        <v>0</v>
      </c>
      <c r="M247" s="188">
        <f>Table1[[#This Row],[kg CH4 fossil at retail-gate per kg of product]]*'Summary pivot'!$D$5</f>
        <v>6.3796624022209425E-2</v>
      </c>
      <c r="N247" s="188">
        <f>Table1[[#This Row],[kg CH4 bio at retail-gate per kg of product]]*'Summary pivot'!$D$4</f>
        <v>5.6842513332733393</v>
      </c>
      <c r="O247" s="188">
        <f>Table1[[#This Row],[kg N2O at retail-gate per kg of product]]*'Summary pivot'!$D$6</f>
        <v>2.7468609587205237</v>
      </c>
      <c r="P247" s="188">
        <f>Table1[[#This Row],[kg HCFC-22 at retail-gate per kg of product]]*'Summary pivot'!$D$7</f>
        <v>0</v>
      </c>
    </row>
    <row r="248" spans="1:16">
      <c r="A248" s="52" t="s">
        <v>209</v>
      </c>
      <c r="B248" s="52" t="s">
        <v>211</v>
      </c>
      <c r="C248" t="s">
        <v>125</v>
      </c>
      <c r="D248" s="52" t="s">
        <v>128</v>
      </c>
      <c r="E248" s="5">
        <f>'Dairy products'!B40</f>
        <v>0.16099071210000004</v>
      </c>
      <c r="F248" s="750" t="str">
        <f>'Summary pivot'!$C$1</f>
        <v>GWP100 with fb AR6</v>
      </c>
      <c r="G248" s="188">
        <f>Table1[[#This Row],[kg CO2 at retail-gate per kg of product]]+Table1[[#This Row],[Kg CO2e from CH4 fossil]]+Table1[[#This Row],[Kg CO2e from N2O]]</f>
        <v>6.2979154933005166</v>
      </c>
      <c r="H248" s="188">
        <f>'Dairy products'!F41</f>
        <v>3.4852132790813619</v>
      </c>
      <c r="I248" s="188">
        <f>'Dairy products'!F43</f>
        <v>2.177833437291484E-3</v>
      </c>
      <c r="J248" s="188">
        <f>'Dairy products'!F42</f>
        <v>0.21052782715827181</v>
      </c>
      <c r="K248" s="188">
        <f>'Dairy products'!F44</f>
        <v>1.0065211640248602E-2</v>
      </c>
      <c r="L248" s="188">
        <v>0</v>
      </c>
      <c r="M248" s="188">
        <f>Table1[[#This Row],[kg CH4 fossil at retail-gate per kg of product]]*'Summary pivot'!$D$5</f>
        <v>6.489943643128622E-2</v>
      </c>
      <c r="N248" s="188">
        <f>Table1[[#This Row],[kg CH4 bio at retail-gate per kg of product]]*'Summary pivot'!$D$4</f>
        <v>5.6842513332733393</v>
      </c>
      <c r="O248" s="188">
        <f>Table1[[#This Row],[kg N2O at retail-gate per kg of product]]*'Summary pivot'!$D$6</f>
        <v>2.7478027777878684</v>
      </c>
      <c r="P248" s="188">
        <f>Table1[[#This Row],[kg HCFC-22 at retail-gate per kg of product]]*'Summary pivot'!$D$7</f>
        <v>0</v>
      </c>
    </row>
    <row r="249" spans="1:16">
      <c r="A249" s="52" t="s">
        <v>209</v>
      </c>
      <c r="B249" s="52" t="s">
        <v>212</v>
      </c>
      <c r="C249" t="s">
        <v>120</v>
      </c>
      <c r="D249" s="52" t="s">
        <v>128</v>
      </c>
      <c r="E249" s="5">
        <f>'Dairy products'!B46</f>
        <v>1</v>
      </c>
      <c r="F249" s="750" t="str">
        <f>'Summary pivot'!$C$1</f>
        <v>GWP100 with fb AR6</v>
      </c>
      <c r="G249" s="188">
        <f>Table1[[#This Row],[kg CO2 at retail-gate per kg of product]]+Table1[[#This Row],[Kg CO2e from CH4 fossil]]+Table1[[#This Row],[Kg CO2e from N2O]]</f>
        <v>0.78441657967312195</v>
      </c>
      <c r="H249" s="188">
        <f>'Dairy products'!F47</f>
        <v>0.49873243970917247</v>
      </c>
      <c r="I249" s="188">
        <f>'Dairy products'!F49</f>
        <v>2.1843617511429602E-4</v>
      </c>
      <c r="J249" s="188">
        <f>'Dairy products'!F48</f>
        <v>2.1395104386003231E-2</v>
      </c>
      <c r="K249" s="188">
        <f>'Dairy products'!F50</f>
        <v>1.0226181023646282E-3</v>
      </c>
      <c r="L249" s="188">
        <v>0</v>
      </c>
      <c r="M249" s="188">
        <f>Table1[[#This Row],[kg CH4 fossil at retail-gate per kg of product]]*'Summary pivot'!$D$5</f>
        <v>6.5093980184060219E-3</v>
      </c>
      <c r="N249" s="188">
        <f>Table1[[#This Row],[kg CH4 bio at retail-gate per kg of product]]*'Summary pivot'!$D$4</f>
        <v>0.57766781842208725</v>
      </c>
      <c r="O249" s="188">
        <f>Table1[[#This Row],[kg N2O at retail-gate per kg of product]]*'Summary pivot'!$D$6</f>
        <v>0.27917474194554348</v>
      </c>
      <c r="P249" s="188">
        <f>Table1[[#This Row],[kg HCFC-22 at retail-gate per kg of product]]*'Summary pivot'!$D$7</f>
        <v>0</v>
      </c>
    </row>
    <row r="250" spans="1:16">
      <c r="A250" s="52" t="s">
        <v>209</v>
      </c>
      <c r="B250" s="52" t="s">
        <v>212</v>
      </c>
      <c r="C250" t="s">
        <v>122</v>
      </c>
      <c r="D250" s="52" t="s">
        <v>128</v>
      </c>
      <c r="E250" s="5">
        <f>'Dairy products'!B51</f>
        <v>0.76800000000000002</v>
      </c>
      <c r="F250" s="750" t="str">
        <f>'Summary pivot'!$C$1</f>
        <v>GWP100 with fb AR6</v>
      </c>
      <c r="G250" s="188">
        <f>Table1[[#This Row],[kg CO2 at retail-gate per kg of product]]+Table1[[#This Row],[Kg CO2e from CH4 fossil]]+Table1[[#This Row],[Kg CO2e from N2O]]</f>
        <v>0.67690544735559266</v>
      </c>
      <c r="H250" s="188">
        <f>'Dairy products'!F52</f>
        <v>0.39126951415003036</v>
      </c>
      <c r="I250" s="188">
        <f>'Dairy products'!F54</f>
        <v>2.1756364933639384E-4</v>
      </c>
      <c r="J250" s="188">
        <f>'Dairy products'!F53</f>
        <v>2.1395104386003231E-2</v>
      </c>
      <c r="K250" s="188">
        <f>'Dairy products'!F55</f>
        <v>1.0225367635726659E-3</v>
      </c>
      <c r="L250" s="188">
        <v>0</v>
      </c>
      <c r="M250" s="188">
        <f>Table1[[#This Row],[kg CH4 fossil at retail-gate per kg of product]]*'Summary pivot'!$D$5</f>
        <v>6.4833967502245368E-3</v>
      </c>
      <c r="N250" s="188">
        <f>Table1[[#This Row],[kg CH4 bio at retail-gate per kg of product]]*'Summary pivot'!$D$4</f>
        <v>0.57766781842208725</v>
      </c>
      <c r="O250" s="188">
        <f>Table1[[#This Row],[kg N2O at retail-gate per kg of product]]*'Summary pivot'!$D$6</f>
        <v>0.27915253645533777</v>
      </c>
      <c r="P250" s="188">
        <f>Table1[[#This Row],[kg HCFC-22 at retail-gate per kg of product]]*'Summary pivot'!$D$7</f>
        <v>0</v>
      </c>
    </row>
    <row r="251" spans="1:16">
      <c r="A251" s="52" t="s">
        <v>209</v>
      </c>
      <c r="B251" s="52" t="s">
        <v>212</v>
      </c>
      <c r="C251" t="s">
        <v>125</v>
      </c>
      <c r="D251" s="52" t="s">
        <v>128</v>
      </c>
      <c r="E251" s="5">
        <f>'Dairy products'!B56</f>
        <v>0.23199999999999998</v>
      </c>
      <c r="F251" s="750" t="str">
        <f>'Summary pivot'!$C$1</f>
        <v>GWP100 with fb AR6</v>
      </c>
      <c r="G251" s="188">
        <f>Table1[[#This Row],[kg CO2 at retail-gate per kg of product]]+Table1[[#This Row],[Kg CO2e from CH4 fossil]]+Table1[[#This Row],[Kg CO2e from N2O]]</f>
        <v>1.1403155004483914</v>
      </c>
      <c r="H251" s="188">
        <f>'Dairy products'!F57</f>
        <v>0.85447177949116015</v>
      </c>
      <c r="I251" s="188">
        <f>'Dairy products'!F59</f>
        <v>2.2132453631011016E-4</v>
      </c>
      <c r="J251" s="188">
        <f>'Dairy products'!F58</f>
        <v>2.1395104386003231E-2</v>
      </c>
      <c r="K251" s="188">
        <f>'Dairy products'!F60</f>
        <v>1.0228873618138823E-3</v>
      </c>
      <c r="L251" s="188">
        <v>0</v>
      </c>
      <c r="M251" s="188">
        <f>Table1[[#This Row],[kg CH4 fossil at retail-gate per kg of product]]*'Summary pivot'!$D$5</f>
        <v>6.5954711820412825E-3</v>
      </c>
      <c r="N251" s="188">
        <f>Table1[[#This Row],[kg CH4 bio at retail-gate per kg of product]]*'Summary pivot'!$D$4</f>
        <v>0.57766781842208725</v>
      </c>
      <c r="O251" s="188">
        <f>Table1[[#This Row],[kg N2O at retail-gate per kg of product]]*'Summary pivot'!$D$6</f>
        <v>0.27924824977518986</v>
      </c>
      <c r="P251" s="188">
        <f>Table1[[#This Row],[kg HCFC-22 at retail-gate per kg of product]]*'Summary pivot'!$D$7</f>
        <v>0</v>
      </c>
    </row>
    <row r="252" spans="1:16">
      <c r="A252" s="52" t="s">
        <v>209</v>
      </c>
      <c r="B252" s="52" t="s">
        <v>213</v>
      </c>
      <c r="C252" t="s">
        <v>120</v>
      </c>
      <c r="D252" s="52" t="s">
        <v>128</v>
      </c>
      <c r="E252" s="5">
        <f>'Dairy products'!B62</f>
        <v>1</v>
      </c>
      <c r="F252" s="750" t="str">
        <f>'Summary pivot'!$C$1</f>
        <v>GWP100 with fb AR6</v>
      </c>
      <c r="G252" s="188">
        <f>Table1[[#This Row],[kg CO2 at retail-gate per kg of product]]+Table1[[#This Row],[Kg CO2e from CH4 fossil]]+Table1[[#This Row],[Kg CO2e from N2O]]</f>
        <v>2.6335681230112238</v>
      </c>
      <c r="H252" s="188">
        <f>'Dairy products'!F63</f>
        <v>1.205281278608977</v>
      </c>
      <c r="I252" s="188">
        <f>'Dairy products'!F65</f>
        <v>1.0897581384659706E-3</v>
      </c>
      <c r="J252" s="188">
        <f>'Dairy products'!F64</f>
        <v>0.10697552193001617</v>
      </c>
      <c r="K252" s="188">
        <f>'Dairy products'!F66</f>
        <v>5.112864658886304E-3</v>
      </c>
      <c r="L252" s="188">
        <v>0</v>
      </c>
      <c r="M252" s="188">
        <f>Table1[[#This Row],[kg CH4 fossil at retail-gate per kg of product]]*'Summary pivot'!$D$5</f>
        <v>3.2474792526285927E-2</v>
      </c>
      <c r="N252" s="188">
        <f>Table1[[#This Row],[kg CH4 bio at retail-gate per kg of product]]*'Summary pivot'!$D$4</f>
        <v>2.8883390921104364</v>
      </c>
      <c r="O252" s="188">
        <f>Table1[[#This Row],[kg N2O at retail-gate per kg of product]]*'Summary pivot'!$D$6</f>
        <v>1.3958120518759609</v>
      </c>
      <c r="P252" s="188">
        <f>Table1[[#This Row],[kg HCFC-22 at retail-gate per kg of product]]*'Summary pivot'!$D$7</f>
        <v>0</v>
      </c>
    </row>
    <row r="253" spans="1:16">
      <c r="A253" s="52" t="s">
        <v>209</v>
      </c>
      <c r="B253" s="52" t="s">
        <v>213</v>
      </c>
      <c r="C253" t="s">
        <v>122</v>
      </c>
      <c r="D253" s="52" t="s">
        <v>128</v>
      </c>
      <c r="E253" s="5">
        <f>'Dairy products'!B67</f>
        <v>0.89683860230000001</v>
      </c>
      <c r="F253" s="750" t="str">
        <f>'Summary pivot'!$C$1</f>
        <v>GWP100 with fb AR6</v>
      </c>
      <c r="G253" s="188">
        <f>Table1[[#This Row],[kg CO2 at retail-gate per kg of product]]+Table1[[#This Row],[Kg CO2e from CH4 fossil]]+Table1[[#This Row],[Kg CO2e from N2O]]</f>
        <v>2.5564288991802648</v>
      </c>
      <c r="H253" s="188">
        <f>'Dairy products'!F68</f>
        <v>1.1282492331524534</v>
      </c>
      <c r="I253" s="188">
        <f>'Dairy products'!F70</f>
        <v>1.0878182466819691E-3</v>
      </c>
      <c r="J253" s="188">
        <f>'Dairy products'!F69</f>
        <v>0.10697552193001617</v>
      </c>
      <c r="K253" s="188">
        <f>'Dairy products'!F71</f>
        <v>5.112683817863329E-3</v>
      </c>
      <c r="L253" s="188">
        <v>0</v>
      </c>
      <c r="M253" s="188">
        <f>Table1[[#This Row],[kg CH4 fossil at retail-gate per kg of product]]*'Summary pivot'!$D$5</f>
        <v>3.2416983751122681E-2</v>
      </c>
      <c r="N253" s="188">
        <f>Table1[[#This Row],[kg CH4 bio at retail-gate per kg of product]]*'Summary pivot'!$D$4</f>
        <v>2.8883390921104364</v>
      </c>
      <c r="O253" s="188">
        <f>Table1[[#This Row],[kg N2O at retail-gate per kg of product]]*'Summary pivot'!$D$6</f>
        <v>1.3957626822766889</v>
      </c>
      <c r="P253" s="188">
        <f>Table1[[#This Row],[kg HCFC-22 at retail-gate per kg of product]]*'Summary pivot'!$D$7</f>
        <v>0</v>
      </c>
    </row>
    <row r="254" spans="1:16">
      <c r="A254" s="52" t="s">
        <v>209</v>
      </c>
      <c r="B254" s="52" t="s">
        <v>213</v>
      </c>
      <c r="C254" t="s">
        <v>125</v>
      </c>
      <c r="D254" s="52" t="s">
        <v>128</v>
      </c>
      <c r="E254" s="5">
        <f>'Dairy products'!B72</f>
        <v>0.10316139769999999</v>
      </c>
      <c r="F254" s="750" t="str">
        <f>'Summary pivot'!$C$1</f>
        <v>GWP100 with fb AR6</v>
      </c>
      <c r="G254" s="188">
        <f>Table1[[#This Row],[kg CO2 at retail-gate per kg of product]]+Table1[[#This Row],[Kg CO2e from CH4 fossil]]+Table1[[#This Row],[Kg CO2e from N2O]]</f>
        <v>3.3041816977152854</v>
      </c>
      <c r="H254" s="188">
        <f>'Dairy products'!F73</f>
        <v>1.8749630929291297</v>
      </c>
      <c r="I254" s="188">
        <f>'Dairy products'!F75</f>
        <v>1.1066226815505508E-3</v>
      </c>
      <c r="J254" s="188">
        <f>'Dairy products'!F74</f>
        <v>0.10697552193001617</v>
      </c>
      <c r="K254" s="188">
        <f>'Dairy products'!F76</f>
        <v>5.1144368090694113E-3</v>
      </c>
      <c r="L254" s="188">
        <v>0</v>
      </c>
      <c r="M254" s="188">
        <f>Table1[[#This Row],[kg CH4 fossil at retail-gate per kg of product]]*'Summary pivot'!$D$5</f>
        <v>3.2977355910206417E-2</v>
      </c>
      <c r="N254" s="188">
        <f>Table1[[#This Row],[kg CH4 bio at retail-gate per kg of product]]*'Summary pivot'!$D$4</f>
        <v>2.8883390921104364</v>
      </c>
      <c r="O254" s="188">
        <f>Table1[[#This Row],[kg N2O at retail-gate per kg of product]]*'Summary pivot'!$D$6</f>
        <v>1.3962412488759492</v>
      </c>
      <c r="P254" s="188">
        <f>Table1[[#This Row],[kg HCFC-22 at retail-gate per kg of product]]*'Summary pivot'!$D$7</f>
        <v>0</v>
      </c>
    </row>
    <row r="255" spans="1:16">
      <c r="A255" s="52" t="s">
        <v>209</v>
      </c>
      <c r="B255" s="52" t="s">
        <v>214</v>
      </c>
      <c r="C255" t="s">
        <v>120</v>
      </c>
      <c r="D255" s="52" t="s">
        <v>128</v>
      </c>
      <c r="E255" s="5">
        <f>'Dairy products'!B78</f>
        <v>1</v>
      </c>
      <c r="F255" s="750" t="str">
        <f>'Summary pivot'!$C$1</f>
        <v>GWP100 with fb AR6</v>
      </c>
      <c r="G255" s="188">
        <f>Table1[[#This Row],[kg CO2 at retail-gate per kg of product]]+Table1[[#This Row],[Kg CO2e from CH4 fossil]]+Table1[[#This Row],[Kg CO2e from N2O]]</f>
        <v>5.5188309087882841</v>
      </c>
      <c r="H255" s="188">
        <f>'Dairy products'!F79</f>
        <v>2.8332124854600531</v>
      </c>
      <c r="I255" s="188">
        <f>'Dairy products'!F81</f>
        <v>2.0566938704794637E-3</v>
      </c>
      <c r="J255" s="188">
        <f>'Dairy products'!F80</f>
        <v>0.20111398122843038</v>
      </c>
      <c r="K255" s="188">
        <f>'Dairy products'!F82</f>
        <v>9.6129265420803762E-3</v>
      </c>
      <c r="L255" s="188">
        <v>0</v>
      </c>
      <c r="M255" s="188">
        <f>Table1[[#This Row],[kg CH4 fossil at retail-gate per kg of product]]*'Summary pivot'!$D$5</f>
        <v>6.1289477340288022E-2</v>
      </c>
      <c r="N255" s="188">
        <f>Table1[[#This Row],[kg CH4 bio at retail-gate per kg of product]]*'Summary pivot'!$D$4</f>
        <v>5.4300774931676203</v>
      </c>
      <c r="O255" s="188">
        <f>Table1[[#This Row],[kg N2O at retail-gate per kg of product]]*'Summary pivot'!$D$6</f>
        <v>2.6243289459879429</v>
      </c>
      <c r="P255" s="188">
        <f>Table1[[#This Row],[kg HCFC-22 at retail-gate per kg of product]]*'Summary pivot'!$D$7</f>
        <v>0</v>
      </c>
    </row>
    <row r="256" spans="1:16">
      <c r="A256" s="52" t="s">
        <v>209</v>
      </c>
      <c r="B256" s="52" t="s">
        <v>214</v>
      </c>
      <c r="C256" t="s">
        <v>122</v>
      </c>
      <c r="D256" s="52" t="s">
        <v>128</v>
      </c>
      <c r="E256" s="5">
        <f>'Dairy products'!B83</f>
        <v>0.51200000000000012</v>
      </c>
      <c r="F256" s="750" t="str">
        <f>'Summary pivot'!$C$1</f>
        <v>GWP100 with fb AR6</v>
      </c>
      <c r="G256" s="188">
        <f>Table1[[#This Row],[kg CO2 at retail-gate per kg of product]]+Table1[[#This Row],[Kg CO2e from CH4 fossil]]+Table1[[#This Row],[Kg CO2e from N2O]]</f>
        <v>5.0031941816796834</v>
      </c>
      <c r="H256" s="188">
        <f>'Dairy products'!F84</f>
        <v>2.3182164095473978</v>
      </c>
      <c r="I256" s="188">
        <f>'Dairy products'!F86</f>
        <v>2.0450983037621018E-3</v>
      </c>
      <c r="J256" s="188">
        <f>'Dairy products'!F85</f>
        <v>0.20111398122843038</v>
      </c>
      <c r="K256" s="188">
        <f>'Dairy products'!F87</f>
        <v>9.6118455775830586E-3</v>
      </c>
      <c r="L256" s="188">
        <v>0</v>
      </c>
      <c r="M256" s="188">
        <f>Table1[[#This Row],[kg CH4 fossil at retail-gate per kg of product]]*'Summary pivot'!$D$5</f>
        <v>6.0943929452110635E-2</v>
      </c>
      <c r="N256" s="188">
        <f>Table1[[#This Row],[kg CH4 bio at retail-gate per kg of product]]*'Summary pivot'!$D$4</f>
        <v>5.4300774931676203</v>
      </c>
      <c r="O256" s="188">
        <f>Table1[[#This Row],[kg N2O at retail-gate per kg of product]]*'Summary pivot'!$D$6</f>
        <v>2.6240338426801748</v>
      </c>
      <c r="P256" s="188">
        <f>Table1[[#This Row],[kg HCFC-22 at retail-gate per kg of product]]*'Summary pivot'!$D$7</f>
        <v>0</v>
      </c>
    </row>
    <row r="257" spans="1:16">
      <c r="A257" s="52" t="s">
        <v>209</v>
      </c>
      <c r="B257" s="52" t="s">
        <v>214</v>
      </c>
      <c r="C257" t="s">
        <v>176</v>
      </c>
      <c r="D257" s="52" t="s">
        <v>128</v>
      </c>
      <c r="E257" s="5">
        <f>'Dairy products'!B88</f>
        <v>0.16</v>
      </c>
      <c r="F257" s="750" t="str">
        <f>'Summary pivot'!$C$1</f>
        <v>GWP100 with fb AR6</v>
      </c>
      <c r="G257" s="188">
        <f>Table1[[#This Row],[kg CO2 at retail-gate per kg of product]]+Table1[[#This Row],[Kg CO2e from CH4 fossil]]+Table1[[#This Row],[Kg CO2e from N2O]]</f>
        <v>5.0543113630128751</v>
      </c>
      <c r="H257" s="188">
        <f>'Dairy products'!F89</f>
        <v>2.3693335908805895</v>
      </c>
      <c r="I257" s="188">
        <f>'Dairy products'!F91</f>
        <v>2.0450983037621018E-3</v>
      </c>
      <c r="J257" s="188">
        <f>'Dairy products'!F90</f>
        <v>0.20111398122843038</v>
      </c>
      <c r="K257" s="188">
        <f>'Dairy products'!F92</f>
        <v>9.6118455775830586E-3</v>
      </c>
      <c r="L257" s="188">
        <v>0</v>
      </c>
      <c r="M257" s="188">
        <f>Table1[[#This Row],[kg CH4 fossil at retail-gate per kg of product]]*'Summary pivot'!$D$5</f>
        <v>6.0943929452110635E-2</v>
      </c>
      <c r="N257" s="188">
        <f>Table1[[#This Row],[kg CH4 bio at retail-gate per kg of product]]*'Summary pivot'!$D$4</f>
        <v>5.4300774931676203</v>
      </c>
      <c r="O257" s="188">
        <f>Table1[[#This Row],[kg N2O at retail-gate per kg of product]]*'Summary pivot'!$D$6</f>
        <v>2.6240338426801748</v>
      </c>
      <c r="P257" s="188">
        <f>Table1[[#This Row],[kg HCFC-22 at retail-gate per kg of product]]*'Summary pivot'!$D$7</f>
        <v>0</v>
      </c>
    </row>
    <row r="258" spans="1:16">
      <c r="A258" s="52" t="s">
        <v>209</v>
      </c>
      <c r="B258" s="52" t="s">
        <v>214</v>
      </c>
      <c r="C258" t="s">
        <v>127</v>
      </c>
      <c r="D258" s="52" t="s">
        <v>128</v>
      </c>
      <c r="E258" s="5">
        <f>'Dairy products'!B93</f>
        <v>0.11</v>
      </c>
      <c r="F258" s="750" t="str">
        <f>'Summary pivot'!$C$1</f>
        <v>GWP100 with fb AR6</v>
      </c>
      <c r="G258" s="188">
        <f>Table1[[#This Row],[kg CO2 at retail-gate per kg of product]]+Table1[[#This Row],[Kg CO2e from CH4 fossil]]+Table1[[#This Row],[Kg CO2e from N2O]]</f>
        <v>6.4823737153199854</v>
      </c>
      <c r="H258" s="188">
        <f>'Dairy products'!F94</f>
        <v>3.7954427383220115</v>
      </c>
      <c r="I258" s="188">
        <f>'Dairy products'!F96</f>
        <v>2.0804506413150351E-3</v>
      </c>
      <c r="J258" s="188">
        <f>'Dairy products'!F95</f>
        <v>0.20111398122843038</v>
      </c>
      <c r="K258" s="188">
        <f>'Dairy products'!F97</f>
        <v>9.6151412010504946E-3</v>
      </c>
      <c r="L258" s="188">
        <v>0</v>
      </c>
      <c r="M258" s="188">
        <f>Table1[[#This Row],[kg CH4 fossil at retail-gate per kg of product]]*'Summary pivot'!$D$5</f>
        <v>6.1997429111188045E-2</v>
      </c>
      <c r="N258" s="188">
        <f>Table1[[#This Row],[kg CH4 bio at retail-gate per kg of product]]*'Summary pivot'!$D$4</f>
        <v>5.4300774931676203</v>
      </c>
      <c r="O258" s="188">
        <f>Table1[[#This Row],[kg N2O at retail-gate per kg of product]]*'Summary pivot'!$D$6</f>
        <v>2.6249335478867852</v>
      </c>
      <c r="P258" s="188">
        <f>Table1[[#This Row],[kg HCFC-22 at retail-gate per kg of product]]*'Summary pivot'!$D$7</f>
        <v>0</v>
      </c>
    </row>
    <row r="259" spans="1:16">
      <c r="A259" s="52" t="s">
        <v>209</v>
      </c>
      <c r="B259" s="52" t="s">
        <v>214</v>
      </c>
      <c r="C259" t="s">
        <v>125</v>
      </c>
      <c r="D259" s="52" t="s">
        <v>128</v>
      </c>
      <c r="E259" s="5">
        <f>'Dairy products'!B98</f>
        <v>0.21799999999999986</v>
      </c>
      <c r="F259" s="750" t="str">
        <f>'Summary pivot'!$C$1</f>
        <v>GWP100 with fb AR6</v>
      </c>
      <c r="G259" s="188">
        <f>Table1[[#This Row],[kg CO2 at retail-gate per kg of product]]+Table1[[#This Row],[Kg CO2e from CH4 fossil]]+Table1[[#This Row],[Kg CO2e from N2O]]</f>
        <v>6.5846080779863678</v>
      </c>
      <c r="H259" s="188">
        <f>'Dairy products'!F99</f>
        <v>3.8976771009883944</v>
      </c>
      <c r="I259" s="188">
        <f>'Dairy products'!F101</f>
        <v>2.0804506413150351E-3</v>
      </c>
      <c r="J259" s="188">
        <f>'Dairy products'!F100</f>
        <v>0.20111398122843038</v>
      </c>
      <c r="K259" s="188">
        <f>'Dairy products'!F102</f>
        <v>9.6151412010504946E-3</v>
      </c>
      <c r="L259" s="188">
        <v>0</v>
      </c>
      <c r="M259" s="188">
        <f>Table1[[#This Row],[kg CH4 fossil at retail-gate per kg of product]]*'Summary pivot'!$D$5</f>
        <v>6.1997429111188045E-2</v>
      </c>
      <c r="N259" s="188">
        <f>Table1[[#This Row],[kg CH4 bio at retail-gate per kg of product]]*'Summary pivot'!$D$4</f>
        <v>5.4300774931676203</v>
      </c>
      <c r="O259" s="188">
        <f>Table1[[#This Row],[kg N2O at retail-gate per kg of product]]*'Summary pivot'!$D$6</f>
        <v>2.6249335478867852</v>
      </c>
      <c r="P259" s="188">
        <f>Table1[[#This Row],[kg HCFC-22 at retail-gate per kg of product]]*'Summary pivot'!$D$7</f>
        <v>0</v>
      </c>
    </row>
    <row r="260" spans="1:16" ht="30">
      <c r="A260" s="52" t="s">
        <v>209</v>
      </c>
      <c r="B260" s="52" t="s">
        <v>215</v>
      </c>
      <c r="C260" t="s">
        <v>120</v>
      </c>
      <c r="D260" s="52" t="s">
        <v>128</v>
      </c>
      <c r="E260" s="5">
        <f>'Dairy products'!B104</f>
        <v>1</v>
      </c>
      <c r="F260" s="750" t="str">
        <f>'Summary pivot'!$C$1</f>
        <v>GWP100 with fb AR6</v>
      </c>
      <c r="G260" s="188">
        <f>Table1[[#This Row],[kg CO2 at retail-gate per kg of product]]+Table1[[#This Row],[Kg CO2e from CH4 fossil]]+Table1[[#This Row],[Kg CO2e from N2O]]</f>
        <v>3.7434616749759266</v>
      </c>
      <c r="H260" s="188">
        <f>'Dairy products'!F105</f>
        <v>2.037647860083764</v>
      </c>
      <c r="I260" s="188">
        <f>'Dairy products'!F107</f>
        <v>0</v>
      </c>
      <c r="J260" s="188">
        <f>'Dairy products'!F106</f>
        <v>0.13072408779847977</v>
      </c>
      <c r="K260" s="188">
        <f>'Dairy products'!F108</f>
        <v>6.2484022523522451E-3</v>
      </c>
      <c r="L260" s="188">
        <v>0</v>
      </c>
      <c r="M260" s="188">
        <f>Table1[[#This Row],[kg CH4 fossil at retail-gate per kg of product]]*'Summary pivot'!$D$5</f>
        <v>0</v>
      </c>
      <c r="N260" s="188">
        <f>Table1[[#This Row],[kg CH4 bio at retail-gate per kg of product]]*'Summary pivot'!$D$4</f>
        <v>3.5295503705589537</v>
      </c>
      <c r="O260" s="188">
        <f>Table1[[#This Row],[kg N2O at retail-gate per kg of product]]*'Summary pivot'!$D$6</f>
        <v>1.7058138148921629</v>
      </c>
      <c r="P260" s="188">
        <f>Table1[[#This Row],[kg HCFC-22 at retail-gate per kg of product]]*'Summary pivot'!$D$7</f>
        <v>0</v>
      </c>
    </row>
    <row r="261" spans="1:16" ht="30">
      <c r="A261" s="52" t="s">
        <v>209</v>
      </c>
      <c r="B261" s="52" t="s">
        <v>215</v>
      </c>
      <c r="C261" t="s">
        <v>122</v>
      </c>
      <c r="D261" s="52" t="s">
        <v>128</v>
      </c>
      <c r="E261" s="5">
        <f>'Dairy products'!B109</f>
        <v>0.51200000000000012</v>
      </c>
      <c r="F261" s="750" t="str">
        <f>'Summary pivot'!$C$1</f>
        <v>GWP100 with fb AR6</v>
      </c>
      <c r="G261" s="188">
        <f>Table1[[#This Row],[kg CO2 at retail-gate per kg of product]]+Table1[[#This Row],[Kg CO2e from CH4 fossil]]+Table1[[#This Row],[Kg CO2e from N2O]]</f>
        <v>3.3419936014462288</v>
      </c>
      <c r="H261" s="188">
        <f>'Dairy products'!F110</f>
        <v>1.6363716037041152</v>
      </c>
      <c r="I261" s="188">
        <f>'Dairy products'!F112</f>
        <v>0</v>
      </c>
      <c r="J261" s="188">
        <f>'Dairy products'!F111</f>
        <v>0.13072408779847977</v>
      </c>
      <c r="K261" s="188">
        <f>'Dairy products'!F113</f>
        <v>6.2476996254289879E-3</v>
      </c>
      <c r="L261" s="188">
        <v>0</v>
      </c>
      <c r="M261" s="188">
        <f>Table1[[#This Row],[kg CH4 fossil at retail-gate per kg of product]]*'Summary pivot'!$D$5</f>
        <v>0</v>
      </c>
      <c r="N261" s="188">
        <f>Table1[[#This Row],[kg CH4 bio at retail-gate per kg of product]]*'Summary pivot'!$D$4</f>
        <v>3.5295503705589537</v>
      </c>
      <c r="O261" s="188">
        <f>Table1[[#This Row],[kg N2O at retail-gate per kg of product]]*'Summary pivot'!$D$6</f>
        <v>1.7056219977421136</v>
      </c>
      <c r="P261" s="188">
        <f>Table1[[#This Row],[kg HCFC-22 at retail-gate per kg of product]]*'Summary pivot'!$D$7</f>
        <v>0</v>
      </c>
    </row>
    <row r="262" spans="1:16" ht="30">
      <c r="A262" s="52" t="s">
        <v>209</v>
      </c>
      <c r="B262" s="52" t="s">
        <v>215</v>
      </c>
      <c r="C262" t="s">
        <v>176</v>
      </c>
      <c r="D262" s="52" t="s">
        <v>128</v>
      </c>
      <c r="E262" s="5">
        <f>'Dairy products'!B114</f>
        <v>0.16</v>
      </c>
      <c r="F262" s="750" t="str">
        <f>'Summary pivot'!$C$1</f>
        <v>GWP100 with fb AR6</v>
      </c>
      <c r="G262" s="188">
        <f>Table1[[#This Row],[kg CO2 at retail-gate per kg of product]]+Table1[[#This Row],[Kg CO2e from CH4 fossil]]+Table1[[#This Row],[Kg CO2e from N2O]]</f>
        <v>3.39311078277942</v>
      </c>
      <c r="H262" s="188">
        <f>'Dairy products'!F115</f>
        <v>1.6874887850373066</v>
      </c>
      <c r="I262" s="188">
        <f>'Dairy products'!F117</f>
        <v>0</v>
      </c>
      <c r="J262" s="188">
        <f>'Dairy products'!F116</f>
        <v>0.13072408779847977</v>
      </c>
      <c r="K262" s="188">
        <f>'Dairy products'!F118</f>
        <v>6.2476996254289879E-3</v>
      </c>
      <c r="L262" s="188">
        <v>0</v>
      </c>
      <c r="M262" s="188">
        <f>Table1[[#This Row],[kg CH4 fossil at retail-gate per kg of product]]*'Summary pivot'!$D$5</f>
        <v>0</v>
      </c>
      <c r="N262" s="188">
        <f>Table1[[#This Row],[kg CH4 bio at retail-gate per kg of product]]*'Summary pivot'!$D$4</f>
        <v>3.5295503705589537</v>
      </c>
      <c r="O262" s="188">
        <f>Table1[[#This Row],[kg N2O at retail-gate per kg of product]]*'Summary pivot'!$D$6</f>
        <v>1.7056219977421136</v>
      </c>
      <c r="P262" s="188">
        <f>Table1[[#This Row],[kg HCFC-22 at retail-gate per kg of product]]*'Summary pivot'!$D$7</f>
        <v>0</v>
      </c>
    </row>
    <row r="263" spans="1:16" ht="30">
      <c r="A263" s="52" t="s">
        <v>209</v>
      </c>
      <c r="B263" s="52" t="s">
        <v>215</v>
      </c>
      <c r="C263" t="s">
        <v>127</v>
      </c>
      <c r="D263" s="52" t="s">
        <v>128</v>
      </c>
      <c r="E263" s="5">
        <f>'Dairy products'!B119</f>
        <v>0.11</v>
      </c>
      <c r="F263" s="750" t="str">
        <f>'Summary pivot'!$C$1</f>
        <v>GWP100 with fb AR6</v>
      </c>
      <c r="G263" s="188">
        <f>Table1[[#This Row],[kg CO2 at retail-gate per kg of product]]+Table1[[#This Row],[Kg CO2e from CH4 fossil]]+Table1[[#This Row],[Kg CO2e from N2O]]</f>
        <v>4.4730979717362178</v>
      </c>
      <c r="H263" s="188">
        <f>'Dairy products'!F120</f>
        <v>2.7668911656098074</v>
      </c>
      <c r="I263" s="188">
        <f>'Dairy products'!F122</f>
        <v>0</v>
      </c>
      <c r="J263" s="188">
        <f>'Dairy products'!F121</f>
        <v>0.13072408779847977</v>
      </c>
      <c r="K263" s="188">
        <f>'Dairy products'!F123</f>
        <v>6.2498417806828212E-3</v>
      </c>
      <c r="L263" s="188">
        <v>0</v>
      </c>
      <c r="M263" s="188">
        <f>Table1[[#This Row],[kg CH4 fossil at retail-gate per kg of product]]*'Summary pivot'!$D$5</f>
        <v>0</v>
      </c>
      <c r="N263" s="188">
        <f>Table1[[#This Row],[kg CH4 bio at retail-gate per kg of product]]*'Summary pivot'!$D$4</f>
        <v>3.5295503705589537</v>
      </c>
      <c r="O263" s="188">
        <f>Table1[[#This Row],[kg N2O at retail-gate per kg of product]]*'Summary pivot'!$D$6</f>
        <v>1.7062068061264102</v>
      </c>
      <c r="P263" s="188">
        <f>Table1[[#This Row],[kg HCFC-22 at retail-gate per kg of product]]*'Summary pivot'!$D$7</f>
        <v>0</v>
      </c>
    </row>
    <row r="264" spans="1:16" ht="30">
      <c r="A264" s="52" t="s">
        <v>209</v>
      </c>
      <c r="B264" s="52" t="s">
        <v>215</v>
      </c>
      <c r="C264" t="s">
        <v>125</v>
      </c>
      <c r="D264" s="52" t="s">
        <v>128</v>
      </c>
      <c r="E264" s="5">
        <f>'Dairy products'!B124</f>
        <v>0.21799999999999986</v>
      </c>
      <c r="F264" s="750" t="str">
        <f>'Summary pivot'!$C$1</f>
        <v>GWP100 with fb AR6</v>
      </c>
      <c r="G264" s="188">
        <f>Table1[[#This Row],[kg CO2 at retail-gate per kg of product]]+Table1[[#This Row],[Kg CO2e from CH4 fossil]]+Table1[[#This Row],[Kg CO2e from N2O]]</f>
        <v>4.5753323344026002</v>
      </c>
      <c r="H264" s="188">
        <f>'Dairy products'!F125</f>
        <v>2.8691255282761898</v>
      </c>
      <c r="I264" s="188">
        <f>'Dairy products'!F127</f>
        <v>0</v>
      </c>
      <c r="J264" s="188">
        <f>'Dairy products'!F126</f>
        <v>0.13072408779847977</v>
      </c>
      <c r="K264" s="188">
        <f>'Dairy products'!F128</f>
        <v>6.2498417806828212E-3</v>
      </c>
      <c r="L264" s="188">
        <v>0</v>
      </c>
      <c r="M264" s="188">
        <f>Table1[[#This Row],[kg CH4 fossil at retail-gate per kg of product]]*'Summary pivot'!$D$5</f>
        <v>0</v>
      </c>
      <c r="N264" s="188">
        <f>Table1[[#This Row],[kg CH4 bio at retail-gate per kg of product]]*'Summary pivot'!$D$4</f>
        <v>3.5295503705589537</v>
      </c>
      <c r="O264" s="188">
        <f>Table1[[#This Row],[kg N2O at retail-gate per kg of product]]*'Summary pivot'!$D$6</f>
        <v>1.7062068061264102</v>
      </c>
      <c r="P264" s="188">
        <f>Table1[[#This Row],[kg HCFC-22 at retail-gate per kg of product]]*'Summary pivot'!$D$7</f>
        <v>0</v>
      </c>
    </row>
    <row r="265" spans="1:16">
      <c r="A265" s="52" t="s">
        <v>209</v>
      </c>
      <c r="B265" s="52" t="s">
        <v>216</v>
      </c>
      <c r="C265" t="s">
        <v>120</v>
      </c>
      <c r="D265" s="52" t="s">
        <v>128</v>
      </c>
      <c r="E265" s="5">
        <f>'Dairy products'!B130</f>
        <v>1</v>
      </c>
      <c r="F265" s="750" t="str">
        <f>'Summary pivot'!$C$1</f>
        <v>GWP100 with fb AR6</v>
      </c>
      <c r="G265" s="188">
        <f>Table1[[#This Row],[kg CO2 at retail-gate per kg of product]]+Table1[[#This Row],[Kg CO2e from CH4 fossil]]+Table1[[#This Row],[Kg CO2e from N2O]]</f>
        <v>4.8245950301966705</v>
      </c>
      <c r="H265" s="188">
        <f>'Dairy products'!F147</f>
        <v>2.3490512740937302</v>
      </c>
      <c r="I265" s="188">
        <f>'Dairy products'!F133</f>
        <v>9.4692081912047324E-4</v>
      </c>
      <c r="J265" s="188">
        <f>'Dairy products'!F148</f>
        <v>0.18756022502153244</v>
      </c>
      <c r="K265" s="188">
        <f>'Dairy products'!F150</f>
        <v>8.9645623285463365E-3</v>
      </c>
      <c r="L265" s="188">
        <v>0</v>
      </c>
      <c r="M265" s="188">
        <f>Table1[[#This Row],[kg CH4 fossil at retail-gate per kg of product]]*'Summary pivot'!$D$5</f>
        <v>2.8218240409790103E-2</v>
      </c>
      <c r="N265" s="188">
        <f>Table1[[#This Row],[kg CH4 bio at retail-gate per kg of product]]*'Summary pivot'!$D$4</f>
        <v>5.0641260755813757</v>
      </c>
      <c r="O265" s="188">
        <f>Table1[[#This Row],[kg N2O at retail-gate per kg of product]]*'Summary pivot'!$D$6</f>
        <v>2.4473255156931497</v>
      </c>
      <c r="P265" s="188">
        <f>Table1[[#This Row],[kg HCFC-22 at retail-gate per kg of product]]*'Summary pivot'!$D$7</f>
        <v>0</v>
      </c>
    </row>
    <row r="266" spans="1:16">
      <c r="A266" s="52" t="s">
        <v>209</v>
      </c>
      <c r="B266" s="52" t="s">
        <v>216</v>
      </c>
      <c r="C266" t="s">
        <v>122</v>
      </c>
      <c r="D266" s="52" t="s">
        <v>128</v>
      </c>
      <c r="E266" s="5">
        <f>'Dairy products'!B135</f>
        <v>0.76800000000000002</v>
      </c>
      <c r="F266" s="750" t="str">
        <f>'Summary pivot'!$C$1</f>
        <v>GWP100 with fb AR6</v>
      </c>
      <c r="G266" s="188">
        <f>Table1[[#This Row],[kg CO2 at retail-gate per kg of product]]+Table1[[#This Row],[Kg CO2e from CH4 fossil]]+Table1[[#This Row],[Kg CO2e from N2O]]</f>
        <v>4.5783900388645122</v>
      </c>
      <c r="H266" s="188">
        <f>'Dairy products'!F152</f>
        <v>2.1030932496204606</v>
      </c>
      <c r="I266" s="188">
        <f>'Dairy products'!F138</f>
        <v>9.4313841987326728E-4</v>
      </c>
      <c r="J266" s="188">
        <f>'Dairy products'!F153</f>
        <v>0.18756022502153244</v>
      </c>
      <c r="K266" s="188">
        <f>'Dairy products'!F155</f>
        <v>8.9640705653180521E-3</v>
      </c>
      <c r="L266" s="188">
        <v>0</v>
      </c>
      <c r="M266" s="188">
        <f>Table1[[#This Row],[kg CH4 fossil at retail-gate per kg of product]]*'Summary pivot'!$D$5</f>
        <v>2.8105524912223366E-2</v>
      </c>
      <c r="N266" s="188">
        <f>Table1[[#This Row],[kg CH4 bio at retail-gate per kg of product]]*'Summary pivot'!$D$4</f>
        <v>5.0641260755813757</v>
      </c>
      <c r="O266" s="188">
        <f>Table1[[#This Row],[kg N2O at retail-gate per kg of product]]*'Summary pivot'!$D$6</f>
        <v>2.4471912643318281</v>
      </c>
      <c r="P266" s="188">
        <f>Table1[[#This Row],[kg HCFC-22 at retail-gate per kg of product]]*'Summary pivot'!$D$7</f>
        <v>0</v>
      </c>
    </row>
    <row r="267" spans="1:16">
      <c r="A267" s="52" t="s">
        <v>209</v>
      </c>
      <c r="B267" s="52" t="s">
        <v>216</v>
      </c>
      <c r="C267" t="s">
        <v>125</v>
      </c>
      <c r="D267" s="52" t="s">
        <v>128</v>
      </c>
      <c r="E267" s="5">
        <f>'Dairy products'!B140</f>
        <v>0.23199999999999998</v>
      </c>
      <c r="F267" s="750" t="str">
        <f>'Summary pivot'!$C$1</f>
        <v>GWP100 with fb AR6</v>
      </c>
      <c r="G267" s="188">
        <f>Table1[[#This Row],[kg CO2 at retail-gate per kg of product]]+Table1[[#This Row],[Kg CO2e from CH4 fossil]]+Table1[[#This Row],[Kg CO2e from N2O]]</f>
        <v>6.1169526054926333</v>
      </c>
      <c r="H267" s="188">
        <f>'Dairy products'!F157</f>
        <v>3.6403309025783956</v>
      </c>
      <c r="I267" s="188">
        <f>'Dairy products'!F143</f>
        <v>9.5944186490432763E-4</v>
      </c>
      <c r="J267" s="188">
        <f>'Dairy products'!F158</f>
        <v>0.18756022502153244</v>
      </c>
      <c r="K267" s="188">
        <f>'Dairy products'!F160</f>
        <v>8.9671440854948315E-3</v>
      </c>
      <c r="L267" s="188">
        <v>0</v>
      </c>
      <c r="M267" s="188">
        <f>Table1[[#This Row],[kg CH4 fossil at retail-gate per kg of product]]*'Summary pivot'!$D$5</f>
        <v>2.8591367574148964E-2</v>
      </c>
      <c r="N267" s="188">
        <f>Table1[[#This Row],[kg CH4 bio at retail-gate per kg of product]]*'Summary pivot'!$D$4</f>
        <v>5.0641260755813757</v>
      </c>
      <c r="O267" s="188">
        <f>Table1[[#This Row],[kg N2O at retail-gate per kg of product]]*'Summary pivot'!$D$6</f>
        <v>2.4480303353400892</v>
      </c>
      <c r="P267" s="188">
        <f>Table1[[#This Row],[kg HCFC-22 at retail-gate per kg of product]]*'Summary pivot'!$D$7</f>
        <v>0</v>
      </c>
    </row>
    <row r="268" spans="1:16">
      <c r="A268" s="52" t="s">
        <v>209</v>
      </c>
      <c r="B268" s="52" t="s">
        <v>75</v>
      </c>
      <c r="C268" t="s">
        <v>120</v>
      </c>
      <c r="D268" s="52" t="s">
        <v>128</v>
      </c>
      <c r="E268" s="5">
        <f>'Dairy products'!B146</f>
        <v>1</v>
      </c>
      <c r="F268" s="750" t="str">
        <f>'Summary pivot'!$C$1</f>
        <v>GWP100 with fb AR6</v>
      </c>
      <c r="G268" s="188">
        <f>Table1[[#This Row],[kg CO2 at retail-gate per kg of product]]+Table1[[#This Row],[Kg CO2e from CH4 fossil]]+Table1[[#This Row],[Kg CO2e from N2O]]</f>
        <v>4.8533707003694255</v>
      </c>
      <c r="H268" s="188">
        <f>'Dairy products'!F147</f>
        <v>2.3490512740937302</v>
      </c>
      <c r="I268" s="188">
        <f>'Dairy products'!F149</f>
        <v>1.9125473349847549E-3</v>
      </c>
      <c r="J268" s="188">
        <f>'Dairy products'!F148</f>
        <v>0.18756022502153244</v>
      </c>
      <c r="K268" s="188">
        <f>'Dairy products'!F150</f>
        <v>8.9645623285463365E-3</v>
      </c>
      <c r="L268" s="188">
        <v>0</v>
      </c>
      <c r="M268" s="188">
        <f>Table1[[#This Row],[kg CH4 fossil at retail-gate per kg of product]]*'Summary pivot'!$D$5</f>
        <v>5.6993910582545694E-2</v>
      </c>
      <c r="N268" s="188">
        <f>Table1[[#This Row],[kg CH4 bio at retail-gate per kg of product]]*'Summary pivot'!$D$4</f>
        <v>5.0641260755813757</v>
      </c>
      <c r="O268" s="188">
        <f>Table1[[#This Row],[kg N2O at retail-gate per kg of product]]*'Summary pivot'!$D$6</f>
        <v>2.4473255156931497</v>
      </c>
      <c r="P268" s="188">
        <f>Table1[[#This Row],[kg HCFC-22 at retail-gate per kg of product]]*'Summary pivot'!$D$7</f>
        <v>0</v>
      </c>
    </row>
    <row r="269" spans="1:16">
      <c r="A269" s="52" t="s">
        <v>209</v>
      </c>
      <c r="B269" s="52" t="s">
        <v>75</v>
      </c>
      <c r="C269" t="s">
        <v>122</v>
      </c>
      <c r="D269" s="52" t="s">
        <v>128</v>
      </c>
      <c r="E269" s="5">
        <f>'Dairy products'!B151</f>
        <v>0.84000000000000008</v>
      </c>
      <c r="F269" s="750" t="str">
        <f>'Summary pivot'!$C$1</f>
        <v>GWP100 with fb AR6</v>
      </c>
      <c r="G269" s="188">
        <f>Table1[[#This Row],[kg CO2 at retail-gate per kg of product]]+Table1[[#This Row],[Kg CO2e from CH4 fossil]]+Table1[[#This Row],[Kg CO2e from N2O]]</f>
        <v>4.6071212244182362</v>
      </c>
      <c r="H269" s="188">
        <f>'Dairy products'!F152</f>
        <v>2.1030932496204606</v>
      </c>
      <c r="I269" s="188">
        <f>'Dairy products'!F154</f>
        <v>1.907272163286824E-3</v>
      </c>
      <c r="J269" s="188">
        <f>'Dairy products'!F153</f>
        <v>0.18756022502153244</v>
      </c>
      <c r="K269" s="188">
        <f>'Dairy products'!F155</f>
        <v>8.9640705653180521E-3</v>
      </c>
      <c r="L269" s="188">
        <v>0</v>
      </c>
      <c r="M269" s="188">
        <f>Table1[[#This Row],[kg CH4 fossil at retail-gate per kg of product]]*'Summary pivot'!$D$5</f>
        <v>5.6836710465947356E-2</v>
      </c>
      <c r="N269" s="188">
        <f>Table1[[#This Row],[kg CH4 bio at retail-gate per kg of product]]*'Summary pivot'!$D$4</f>
        <v>5.0641260755813757</v>
      </c>
      <c r="O269" s="188">
        <f>Table1[[#This Row],[kg N2O at retail-gate per kg of product]]*'Summary pivot'!$D$6</f>
        <v>2.4471912643318281</v>
      </c>
      <c r="P269" s="188">
        <f>Table1[[#This Row],[kg HCFC-22 at retail-gate per kg of product]]*'Summary pivot'!$D$7</f>
        <v>0</v>
      </c>
    </row>
    <row r="270" spans="1:16">
      <c r="A270" s="52" t="s">
        <v>209</v>
      </c>
      <c r="B270" s="52" t="s">
        <v>75</v>
      </c>
      <c r="C270" t="s">
        <v>125</v>
      </c>
      <c r="D270" s="52" t="s">
        <v>128</v>
      </c>
      <c r="E270" s="5">
        <f>'Dairy products'!B156</f>
        <v>0.15999999999999992</v>
      </c>
      <c r="F270" s="750" t="str">
        <f>'Summary pivot'!$C$1</f>
        <v>GWP100 with fb AR6</v>
      </c>
      <c r="G270" s="188">
        <f>Table1[[#This Row],[kg CO2 at retail-gate per kg of product]]+Table1[[#This Row],[Kg CO2e from CH4 fossil]]+Table1[[#This Row],[Kg CO2e from N2O]]</f>
        <v>6.1461804491131717</v>
      </c>
      <c r="H270" s="188">
        <f>'Dairy products'!F157</f>
        <v>3.6403309025783956</v>
      </c>
      <c r="I270" s="188">
        <f>'Dairy products'!F159</f>
        <v>1.9402419863988932E-3</v>
      </c>
      <c r="J270" s="188">
        <f>'Dairy products'!F158</f>
        <v>0.18756022502153244</v>
      </c>
      <c r="K270" s="188">
        <f>'Dairy products'!F160</f>
        <v>8.9671440854948315E-3</v>
      </c>
      <c r="L270" s="188">
        <v>0</v>
      </c>
      <c r="M270" s="188">
        <f>Table1[[#This Row],[kg CH4 fossil at retail-gate per kg of product]]*'Summary pivot'!$D$5</f>
        <v>5.7819211194687019E-2</v>
      </c>
      <c r="N270" s="188">
        <f>Table1[[#This Row],[kg CH4 bio at retail-gate per kg of product]]*'Summary pivot'!$D$4</f>
        <v>5.0641260755813757</v>
      </c>
      <c r="O270" s="188">
        <f>Table1[[#This Row],[kg N2O at retail-gate per kg of product]]*'Summary pivot'!$D$6</f>
        <v>2.4480303353400892</v>
      </c>
      <c r="P270" s="188">
        <f>Table1[[#This Row],[kg HCFC-22 at retail-gate per kg of product]]*'Summary pivot'!$D$7</f>
        <v>0</v>
      </c>
    </row>
    <row r="271" spans="1:16">
      <c r="A271" s="52" t="s">
        <v>5</v>
      </c>
      <c r="B271" s="52" t="s">
        <v>32</v>
      </c>
      <c r="C271" t="s">
        <v>217</v>
      </c>
      <c r="D271" s="52" t="s">
        <v>218</v>
      </c>
      <c r="E271" s="5">
        <f>'Fish and seafood'!C14</f>
        <v>1</v>
      </c>
      <c r="F271" s="750" t="str">
        <f>'Summary pivot'!$C$1</f>
        <v>GWP100 with fb AR6</v>
      </c>
      <c r="G271" s="188">
        <f>Table1[[#This Row],[kg CO2 at retail-gate per kg of product]]+Table1[[#This Row],[Kg CO2e from CH4 fossil]]+Table1[[#This Row],[Kg CO2e from N2O]]</f>
        <v>4.4584035483017015</v>
      </c>
      <c r="H271" s="188">
        <f>'Fish and seafood'!G9</f>
        <v>3.6249653166832205</v>
      </c>
      <c r="I271" s="188">
        <f>'Fish and seafood'!G10</f>
        <v>1.1089795147183883E-3</v>
      </c>
      <c r="J271" s="188">
        <v>0</v>
      </c>
      <c r="K271" s="188">
        <f>'Fish and seafood'!G11</f>
        <v>2.9318338537724291E-3</v>
      </c>
      <c r="L271" s="188">
        <f>'Fish and seafood'!G18</f>
        <v>0</v>
      </c>
      <c r="M271" s="188">
        <f>Table1[[#This Row],[kg CH4 fossil at retail-gate per kg of product]]*'Summary pivot'!$D$5</f>
        <v>3.3047589538607973E-2</v>
      </c>
      <c r="N271" s="188">
        <f>Table1[[#This Row],[kg CH4 bio at retail-gate per kg of product]]*'Summary pivot'!$D$4</f>
        <v>0</v>
      </c>
      <c r="O271" s="188">
        <f>Table1[[#This Row],[kg N2O at retail-gate per kg of product]]*'Summary pivot'!$D$6</f>
        <v>0.80039064207987309</v>
      </c>
      <c r="P271" s="188">
        <f>Table1[[#This Row],[kg HCFC-22 at retail-gate per kg of product]]*'Summary pivot'!$D$7</f>
        <v>0</v>
      </c>
    </row>
    <row r="272" spans="1:16">
      <c r="A272" s="52" t="s">
        <v>5</v>
      </c>
      <c r="B272" s="52" t="s">
        <v>39</v>
      </c>
      <c r="C272" t="s">
        <v>120</v>
      </c>
      <c r="D272" s="52" t="s">
        <v>128</v>
      </c>
      <c r="E272" s="5">
        <f>'Fish and seafood'!C20</f>
        <v>1</v>
      </c>
      <c r="F272" s="750" t="str">
        <f>'Summary pivot'!$C$1</f>
        <v>GWP100 with fb AR6</v>
      </c>
      <c r="G272" s="188">
        <f>Table1[[#This Row],[kg CO2 at retail-gate per kg of product]]+Table1[[#This Row],[Kg CO2e from CH4 fossil]]+Table1[[#This Row],[Kg CO2e from N2O]]</f>
        <v>5.0646768409136902</v>
      </c>
      <c r="H272" s="188">
        <f>'Fish and seafood'!G21</f>
        <v>4.9739285373238058</v>
      </c>
      <c r="I272" s="188">
        <f>'Fish and seafood'!G22</f>
        <v>1.9574608392616726E-3</v>
      </c>
      <c r="J272" s="188">
        <v>0</v>
      </c>
      <c r="K272" s="188">
        <f>'Fish and seafood'!G23</f>
        <v>1.1873981897394623E-4</v>
      </c>
      <c r="L272" s="188">
        <f>'Fish and seafood'!G24</f>
        <v>5.3900709219858165E-4</v>
      </c>
      <c r="M272" s="188">
        <f>Table1[[#This Row],[kg CH4 fossil at retail-gate per kg of product]]*'Summary pivot'!$D$5</f>
        <v>5.8332333009997843E-2</v>
      </c>
      <c r="N272" s="188">
        <f>Table1[[#This Row],[kg CH4 bio at retail-gate per kg of product]]*'Summary pivot'!$D$4</f>
        <v>0</v>
      </c>
      <c r="O272" s="188">
        <f>Table1[[#This Row],[kg N2O at retail-gate per kg of product]]*'Summary pivot'!$D$6</f>
        <v>3.2415970579887321E-2</v>
      </c>
      <c r="P272" s="188">
        <f>Table1[[#This Row],[kg HCFC-22 at retail-gate per kg of product]]*'Summary pivot'!$D$7</f>
        <v>1.05645390070922</v>
      </c>
    </row>
    <row r="273" spans="1:16" ht="30">
      <c r="A273" s="52" t="s">
        <v>5</v>
      </c>
      <c r="B273" s="52" t="s">
        <v>39</v>
      </c>
      <c r="C273" s="106" t="s">
        <v>219</v>
      </c>
      <c r="D273" s="52" t="s">
        <v>220</v>
      </c>
      <c r="E273" s="5">
        <f>'Fish and seafood'!C25</f>
        <v>0.5</v>
      </c>
      <c r="F273" s="750" t="str">
        <f>'Summary pivot'!$C$1</f>
        <v>GWP100 with fb AR6</v>
      </c>
      <c r="G273" s="188">
        <f>Table1[[#This Row],[kg CO2 at retail-gate per kg of product]]+Table1[[#This Row],[Kg CO2e from CH4 fossil]]+Table1[[#This Row],[Kg CO2e from N2O]]</f>
        <v>6.5432775474108569</v>
      </c>
      <c r="H273" s="188">
        <f>'Fish and seafood'!G26</f>
        <v>6.4227757016603535</v>
      </c>
      <c r="I273" s="188">
        <f>'Fish and seafood'!G27</f>
        <v>2.5992512783638601E-3</v>
      </c>
      <c r="J273" s="188">
        <v>0</v>
      </c>
      <c r="K273" s="188">
        <f>'Fish and seafood'!G28</f>
        <v>1.5767090716212534E-4</v>
      </c>
      <c r="L273" s="188">
        <f>'Fish and seafood'!G29</f>
        <v>5.3900709219858165E-4</v>
      </c>
      <c r="M273" s="188">
        <f>Table1[[#This Row],[kg CH4 fossil at retail-gate per kg of product]]*'Summary pivot'!$D$5</f>
        <v>7.7457688095243032E-2</v>
      </c>
      <c r="N273" s="188">
        <f>Table1[[#This Row],[kg CH4 bio at retail-gate per kg of product]]*'Summary pivot'!$D$4</f>
        <v>0</v>
      </c>
      <c r="O273" s="188">
        <f>Table1[[#This Row],[kg N2O at retail-gate per kg of product]]*'Summary pivot'!$D$6</f>
        <v>4.3044157655260221E-2</v>
      </c>
      <c r="P273" s="188">
        <f>Table1[[#This Row],[kg HCFC-22 at retail-gate per kg of product]]*'Summary pivot'!$D$7</f>
        <v>1.05645390070922</v>
      </c>
    </row>
    <row r="274" spans="1:16">
      <c r="A274" s="52" t="s">
        <v>5</v>
      </c>
      <c r="B274" s="52" t="s">
        <v>39</v>
      </c>
      <c r="C274" s="106" t="s">
        <v>219</v>
      </c>
      <c r="D274" s="52" t="s">
        <v>221</v>
      </c>
      <c r="E274" s="5">
        <f>'Fish and seafood'!C30</f>
        <v>0.5</v>
      </c>
      <c r="F274" s="750" t="str">
        <f>'Summary pivot'!$C$1</f>
        <v>GWP100 with fb AR6</v>
      </c>
      <c r="G274" s="188">
        <f>Table1[[#This Row],[kg CO2 at retail-gate per kg of product]]+Table1[[#This Row],[Kg CO2e from CH4 fossil]]+Table1[[#This Row],[Kg CO2e from N2O]]</f>
        <v>3.5860761344165262</v>
      </c>
      <c r="H274" s="188">
        <f>'Fish and seafood'!G31</f>
        <v>3.525081372987259</v>
      </c>
      <c r="I274" s="188">
        <f>'Fish and seafood'!G32</f>
        <v>1.3156704001594847E-3</v>
      </c>
      <c r="J274" s="188">
        <v>0</v>
      </c>
      <c r="K274" s="188">
        <f>'Fish and seafood'!G33</f>
        <v>7.9808730785767124E-5</v>
      </c>
      <c r="L274" s="188">
        <f>'Fish and seafood'!G34</f>
        <v>5.3900709219858165E-4</v>
      </c>
      <c r="M274" s="188">
        <f>Table1[[#This Row],[kg CH4 fossil at retail-gate per kg of product]]*'Summary pivot'!$D$5</f>
        <v>3.9206977924752646E-2</v>
      </c>
      <c r="N274" s="188">
        <f>Table1[[#This Row],[kg CH4 bio at retail-gate per kg of product]]*'Summary pivot'!$D$4</f>
        <v>0</v>
      </c>
      <c r="O274" s="188">
        <f>Table1[[#This Row],[kg N2O at retail-gate per kg of product]]*'Summary pivot'!$D$6</f>
        <v>2.1787783504514425E-2</v>
      </c>
      <c r="P274" s="188">
        <f>Table1[[#This Row],[kg HCFC-22 at retail-gate per kg of product]]*'Summary pivot'!$D$7</f>
        <v>1.05645390070922</v>
      </c>
    </row>
    <row r="275" spans="1:16">
      <c r="A275" s="52" t="s">
        <v>5</v>
      </c>
      <c r="B275" s="52" t="s">
        <v>222</v>
      </c>
      <c r="C275" t="s">
        <v>120</v>
      </c>
      <c r="D275" s="52" t="s">
        <v>128</v>
      </c>
      <c r="E275" s="5">
        <f>'Fish and seafood'!C36</f>
        <v>1</v>
      </c>
      <c r="F275" s="750" t="str">
        <f>'Summary pivot'!$C$1</f>
        <v>GWP100 with fb AR6</v>
      </c>
      <c r="G275" s="188">
        <f>Table1[[#This Row],[kg CO2 at retail-gate per kg of product]]+Table1[[#This Row],[Kg CO2e from CH4 fossil]]+Table1[[#This Row],[Kg CO2e from N2O]]</f>
        <v>1.4527896335297323</v>
      </c>
      <c r="H275" s="188">
        <f>'Fish and seafood'!G37</f>
        <v>1.4325861954147212</v>
      </c>
      <c r="I275" s="188">
        <f>'Fish and seafood'!G38</f>
        <v>4.3579259737246709E-4</v>
      </c>
      <c r="J275" s="188">
        <v>0</v>
      </c>
      <c r="K275" s="188">
        <f>'Fish and seafood'!G39</f>
        <v>2.6435233382094344E-5</v>
      </c>
      <c r="L275" s="188">
        <f>'Fish and seafood'!G40</f>
        <v>1.1999999999999999E-4</v>
      </c>
      <c r="M275" s="188">
        <f>Table1[[#This Row],[kg CH4 fossil at retail-gate per kg of product]]*'Summary pivot'!$D$5</f>
        <v>1.2986619401699519E-2</v>
      </c>
      <c r="N275" s="188">
        <f>Table1[[#This Row],[kg CH4 bio at retail-gate per kg of product]]*'Summary pivot'!$D$4</f>
        <v>0</v>
      </c>
      <c r="O275" s="188">
        <f>Table1[[#This Row],[kg N2O at retail-gate per kg of product]]*'Summary pivot'!$D$6</f>
        <v>7.2168187133117559E-3</v>
      </c>
      <c r="P275" s="188">
        <f>Table1[[#This Row],[kg HCFC-22 at retail-gate per kg of product]]*'Summary pivot'!$D$7</f>
        <v>0.23519999999999999</v>
      </c>
    </row>
    <row r="276" spans="1:16" ht="30">
      <c r="A276" s="52" t="s">
        <v>5</v>
      </c>
      <c r="B276" s="52" t="s">
        <v>222</v>
      </c>
      <c r="C276" t="s">
        <v>223</v>
      </c>
      <c r="D276" s="52" t="s">
        <v>220</v>
      </c>
      <c r="E276">
        <f>'Fish and seafood'!C41</f>
        <v>0.5</v>
      </c>
      <c r="F276" s="750" t="str">
        <f>'Summary pivot'!$C$1</f>
        <v>GWP100 with fb AR6</v>
      </c>
      <c r="G276" s="188">
        <f>Table1[[#This Row],[kg CO2 at retail-gate per kg of product]]+Table1[[#This Row],[Kg CO2e from CH4 fossil]]+Table1[[#This Row],[Kg CO2e from N2O]]</f>
        <v>1.7819728434498912</v>
      </c>
      <c r="H276" s="188">
        <f>'Fish and seafood'!G42</f>
        <v>1.7551453272643842</v>
      </c>
      <c r="I276" s="188">
        <f>'Fish and seafood'!G43</f>
        <v>5.7867541618311202E-4</v>
      </c>
      <c r="J276" s="188">
        <v>0</v>
      </c>
      <c r="K276" s="188">
        <f>'Fish and seafood'!G44</f>
        <v>3.5102523015567904E-5</v>
      </c>
      <c r="L276" s="188">
        <f>'Fish and seafood'!G45</f>
        <v>1.1999999999999999E-4</v>
      </c>
      <c r="M276" s="188">
        <f>Table1[[#This Row],[kg CH4 fossil at retail-gate per kg of product]]*'Summary pivot'!$D$5</f>
        <v>1.7244527402256737E-2</v>
      </c>
      <c r="N276" s="188">
        <f>Table1[[#This Row],[kg CH4 bio at retail-gate per kg of product]]*'Summary pivot'!$D$4</f>
        <v>0</v>
      </c>
      <c r="O276" s="188">
        <f>Table1[[#This Row],[kg N2O at retail-gate per kg of product]]*'Summary pivot'!$D$6</f>
        <v>9.5829887832500384E-3</v>
      </c>
      <c r="P276" s="188">
        <f>Table1[[#This Row],[kg HCFC-22 at retail-gate per kg of product]]*'Summary pivot'!$D$7</f>
        <v>0.23519999999999999</v>
      </c>
    </row>
    <row r="277" spans="1:16">
      <c r="A277" s="52" t="s">
        <v>5</v>
      </c>
      <c r="B277" s="52" t="s">
        <v>222</v>
      </c>
      <c r="C277" t="s">
        <v>223</v>
      </c>
      <c r="D277" s="52" t="s">
        <v>221</v>
      </c>
      <c r="E277">
        <f>'Fish and seafood'!C46</f>
        <v>0.5</v>
      </c>
      <c r="F277" s="750" t="str">
        <f>'Summary pivot'!$C$1</f>
        <v>GWP100 with fb AR6</v>
      </c>
      <c r="G277" s="188">
        <f>Table1[[#This Row],[kg CO2 at retail-gate per kg of product]]+Table1[[#This Row],[Kg CO2e from CH4 fossil]]+Table1[[#This Row],[Kg CO2e from N2O]]</f>
        <v>1.123606423609574</v>
      </c>
      <c r="H277" s="188">
        <f>'Fish and seafood'!G47</f>
        <v>1.1100270635650582</v>
      </c>
      <c r="I277" s="188">
        <f>'Fish and seafood'!G48</f>
        <v>2.9290977856182211E-4</v>
      </c>
      <c r="J277" s="188">
        <v>0</v>
      </c>
      <c r="K277" s="188">
        <f>'Fish and seafood'!G49</f>
        <v>1.7767943748620788E-5</v>
      </c>
      <c r="L277" s="188">
        <f>'Fish and seafood'!G50</f>
        <v>1.1999999999999999E-4</v>
      </c>
      <c r="M277" s="188">
        <f>Table1[[#This Row],[kg CH4 fossil at retail-gate per kg of product]]*'Summary pivot'!$D$5</f>
        <v>8.7287114011422983E-3</v>
      </c>
      <c r="N277" s="188">
        <f>Table1[[#This Row],[kg CH4 bio at retail-gate per kg of product]]*'Summary pivot'!$D$4</f>
        <v>0</v>
      </c>
      <c r="O277" s="188">
        <f>Table1[[#This Row],[kg N2O at retail-gate per kg of product]]*'Summary pivot'!$D$6</f>
        <v>4.8506486433734751E-3</v>
      </c>
      <c r="P277" s="188">
        <f>Table1[[#This Row],[kg HCFC-22 at retail-gate per kg of product]]*'Summary pivot'!$D$7</f>
        <v>0.23519999999999999</v>
      </c>
    </row>
    <row r="278" spans="1:16">
      <c r="A278" s="52" t="s">
        <v>5</v>
      </c>
      <c r="B278" s="52" t="s">
        <v>46</v>
      </c>
      <c r="C278" t="s">
        <v>120</v>
      </c>
      <c r="D278" s="52" t="s">
        <v>128</v>
      </c>
      <c r="E278" s="5">
        <f>'Fish and seafood'!C52</f>
        <v>1</v>
      </c>
      <c r="F278" s="750" t="str">
        <f>'Summary pivot'!$C$1</f>
        <v>GWP100 with fb AR6</v>
      </c>
      <c r="G278" s="188">
        <f>Table1[[#This Row],[kg CO2 at retail-gate per kg of product]]+Table1[[#This Row],[Kg CO2e from CH4 fossil]]+Table1[[#This Row],[Kg CO2e from N2O]]</f>
        <v>0.8805798826756307</v>
      </c>
      <c r="H278" s="188">
        <f>'Fish and seafood'!G53</f>
        <v>0.87134960995444843</v>
      </c>
      <c r="I278" s="188">
        <f>'Fish and seafood'!G54</f>
        <v>1.9909900981811179E-4</v>
      </c>
      <c r="J278" s="188">
        <v>0</v>
      </c>
      <c r="K278" s="188">
        <f>'Fish and seafood'!G55</f>
        <v>1.2077370800741841E-5</v>
      </c>
      <c r="L278" s="188">
        <f>'Fish and seafood'!G56</f>
        <v>3.7704918032786885E-5</v>
      </c>
      <c r="M278" s="188">
        <f>Table1[[#This Row],[kg CH4 fossil at retail-gate per kg of product]]*'Summary pivot'!$D$5</f>
        <v>5.9331504925797312E-3</v>
      </c>
      <c r="N278" s="188">
        <f>Table1[[#This Row],[kg CH4 bio at retail-gate per kg of product]]*'Summary pivot'!$D$4</f>
        <v>0</v>
      </c>
      <c r="O278" s="188">
        <f>Table1[[#This Row],[kg N2O at retail-gate per kg of product]]*'Summary pivot'!$D$6</f>
        <v>3.2971222286025227E-3</v>
      </c>
      <c r="P278" s="188">
        <f>Table1[[#This Row],[kg HCFC-22 at retail-gate per kg of product]]*'Summary pivot'!$D$7</f>
        <v>7.390163934426229E-2</v>
      </c>
    </row>
    <row r="279" spans="1:16" ht="30">
      <c r="A279" s="52" t="s">
        <v>5</v>
      </c>
      <c r="B279" s="52" t="s">
        <v>46</v>
      </c>
      <c r="C279" t="s">
        <v>122</v>
      </c>
      <c r="D279" s="52" t="s">
        <v>220</v>
      </c>
      <c r="E279" s="5">
        <f>'Fish and seafood'!C57</f>
        <v>0.5</v>
      </c>
      <c r="F279" s="750" t="str">
        <f>'Summary pivot'!$C$1</f>
        <v>GWP100 with fb AR6</v>
      </c>
      <c r="G279" s="188">
        <f>Table1[[#This Row],[kg CO2 at retail-gate per kg of product]]+Table1[[#This Row],[Kg CO2e from CH4 fossil]]+Table1[[#This Row],[Kg CO2e from N2O]]</f>
        <v>1.0694554949249018</v>
      </c>
      <c r="H279" s="188">
        <f>'Fish and seafood'!G58</f>
        <v>1.0564245216714681</v>
      </c>
      <c r="I279" s="188">
        <f>'Fish and seafood'!G59</f>
        <v>2.8108095503733428E-4</v>
      </c>
      <c r="J279" s="188">
        <v>0</v>
      </c>
      <c r="K279" s="188">
        <f>'Fish and seafood'!G60</f>
        <v>1.7050405836341422E-5</v>
      </c>
      <c r="L279" s="188">
        <f>'Fish and seafood'!G61</f>
        <v>3.7704918032786885E-5</v>
      </c>
      <c r="M279" s="188">
        <f>Table1[[#This Row],[kg CH4 fossil at retail-gate per kg of product]]*'Summary pivot'!$D$5</f>
        <v>8.3762124601125618E-3</v>
      </c>
      <c r="N279" s="188">
        <f>Table1[[#This Row],[kg CH4 bio at retail-gate per kg of product]]*'Summary pivot'!$D$4</f>
        <v>0</v>
      </c>
      <c r="O279" s="188">
        <f>Table1[[#This Row],[kg N2O at retail-gate per kg of product]]*'Summary pivot'!$D$6</f>
        <v>4.6547607933212082E-3</v>
      </c>
      <c r="P279" s="188">
        <f>Table1[[#This Row],[kg HCFC-22 at retail-gate per kg of product]]*'Summary pivot'!$D$7</f>
        <v>7.390163934426229E-2</v>
      </c>
    </row>
    <row r="280" spans="1:16">
      <c r="A280" s="52" t="s">
        <v>5</v>
      </c>
      <c r="B280" s="52" t="s">
        <v>46</v>
      </c>
      <c r="C280" t="s">
        <v>122</v>
      </c>
      <c r="D280" s="52" t="s">
        <v>221</v>
      </c>
      <c r="E280" s="5">
        <f>'Fish and seafood'!C62</f>
        <v>0.5</v>
      </c>
      <c r="F280" s="750" t="str">
        <f>'Summary pivot'!$C$1</f>
        <v>GWP100 with fb AR6</v>
      </c>
      <c r="G280" s="188">
        <f>Table1[[#This Row],[kg CO2 at retail-gate per kg of product]]+Table1[[#This Row],[Kg CO2e from CH4 fossil]]+Table1[[#This Row],[Kg CO2e from N2O]]</f>
        <v>0.69170427042635951</v>
      </c>
      <c r="H280" s="188">
        <f>'Fish and seafood'!G63</f>
        <v>0.6862746982374287</v>
      </c>
      <c r="I280" s="188">
        <f>'Fish and seafood'!G64</f>
        <v>1.1711706459888929E-4</v>
      </c>
      <c r="J280" s="188">
        <v>0</v>
      </c>
      <c r="K280" s="188">
        <f>'Fish and seafood'!G65</f>
        <v>7.10433576514226E-6</v>
      </c>
      <c r="L280" s="188">
        <f>'Fish and seafood'!G66</f>
        <v>3.7704918032786885E-5</v>
      </c>
      <c r="M280" s="188">
        <f>Table1[[#This Row],[kg CH4 fossil at retail-gate per kg of product]]*'Summary pivot'!$D$5</f>
        <v>3.4900885250469011E-3</v>
      </c>
      <c r="N280" s="188">
        <f>Table1[[#This Row],[kg CH4 bio at retail-gate per kg of product]]*'Summary pivot'!$D$4</f>
        <v>0</v>
      </c>
      <c r="O280" s="188">
        <f>Table1[[#This Row],[kg N2O at retail-gate per kg of product]]*'Summary pivot'!$D$6</f>
        <v>1.9394836638838369E-3</v>
      </c>
      <c r="P280" s="188">
        <f>Table1[[#This Row],[kg HCFC-22 at retail-gate per kg of product]]*'Summary pivot'!$D$7</f>
        <v>7.390163934426229E-2</v>
      </c>
    </row>
    <row r="281" spans="1:16">
      <c r="A281" s="52" t="s">
        <v>5</v>
      </c>
      <c r="B281" s="52" t="s">
        <v>52</v>
      </c>
      <c r="C281" t="s">
        <v>120</v>
      </c>
      <c r="D281" s="52" t="s">
        <v>128</v>
      </c>
      <c r="E281" s="5">
        <f>'Fish and seafood'!C68</f>
        <v>1</v>
      </c>
      <c r="F281" s="750" t="str">
        <f>'Summary pivot'!$C$1</f>
        <v>GWP100 with fb AR6</v>
      </c>
      <c r="G281" s="188">
        <f>Table1[[#This Row],[kg CO2 at retail-gate per kg of product]]+Table1[[#This Row],[Kg CO2e from CH4 fossil]]+Table1[[#This Row],[Kg CO2e from N2O]]</f>
        <v>0.83165138084039192</v>
      </c>
      <c r="H281" s="188">
        <f>'Fish and seafood'!G69</f>
        <v>0.82678648415911005</v>
      </c>
      <c r="I281" s="188">
        <f>'Fish and seafood'!G70</f>
        <v>1.049368898806048E-4</v>
      </c>
      <c r="J281" s="188">
        <v>0</v>
      </c>
      <c r="K281" s="188">
        <f>'Fish and seafood'!G71</f>
        <v>6.3654848455674649E-6</v>
      </c>
      <c r="L281" s="188">
        <f>'Fish and seafood'!G72</f>
        <v>3.7704918032786885E-5</v>
      </c>
      <c r="M281" s="188">
        <f>Table1[[#This Row],[kg CH4 fossil at retail-gate per kg of product]]*'Summary pivot'!$D$5</f>
        <v>3.1271193184420234E-3</v>
      </c>
      <c r="N281" s="188">
        <f>Table1[[#This Row],[kg CH4 bio at retail-gate per kg of product]]*'Summary pivot'!$D$4</f>
        <v>0</v>
      </c>
      <c r="O281" s="188">
        <f>Table1[[#This Row],[kg N2O at retail-gate per kg of product]]*'Summary pivot'!$D$6</f>
        <v>1.7377773628399179E-3</v>
      </c>
      <c r="P281" s="188">
        <f>Table1[[#This Row],[kg HCFC-22 at retail-gate per kg of product]]*'Summary pivot'!$D$7</f>
        <v>7.390163934426229E-2</v>
      </c>
    </row>
    <row r="282" spans="1:16" ht="30">
      <c r="A282" s="52" t="s">
        <v>5</v>
      </c>
      <c r="B282" s="52" t="s">
        <v>52</v>
      </c>
      <c r="C282" s="756" t="s">
        <v>224</v>
      </c>
      <c r="D282" s="52" t="s">
        <v>225</v>
      </c>
      <c r="E282">
        <f>'Fish and seafood'!C73</f>
        <v>0.03</v>
      </c>
      <c r="F282" s="750" t="str">
        <f>'Summary pivot'!$C$1</f>
        <v>GWP100 with fb AR6</v>
      </c>
      <c r="G282" s="188">
        <f>Table1[[#This Row],[kg CO2 at retail-gate per kg of product]]+Table1[[#This Row],[Kg CO2e from CH4 fossil]]+Table1[[#This Row],[Kg CO2e from N2O]]</f>
        <v>1.34539304615841</v>
      </c>
      <c r="H282" s="188">
        <f>'Fish and seafood'!G74</f>
        <v>1.3301902440294038</v>
      </c>
      <c r="I282" s="188">
        <f>'Fish and seafood'!G75</f>
        <v>3.2792778087689005E-4</v>
      </c>
      <c r="J282" s="188">
        <v>0</v>
      </c>
      <c r="K282" s="188">
        <f>'Fish and seafood'!G76</f>
        <v>1.9892140142398329E-5</v>
      </c>
      <c r="L282" s="188">
        <f>'Fish and seafood'!G77</f>
        <v>3.7704918032786885E-5</v>
      </c>
      <c r="M282" s="188">
        <f>Table1[[#This Row],[kg CH4 fossil at retail-gate per kg of product]]*'Summary pivot'!$D$5</f>
        <v>9.7722478701313242E-3</v>
      </c>
      <c r="N282" s="188">
        <f>Table1[[#This Row],[kg CH4 bio at retail-gate per kg of product]]*'Summary pivot'!$D$4</f>
        <v>0</v>
      </c>
      <c r="O282" s="188">
        <f>Table1[[#This Row],[kg N2O at retail-gate per kg of product]]*'Summary pivot'!$D$6</f>
        <v>5.4305542588747435E-3</v>
      </c>
      <c r="P282" s="188">
        <f>Table1[[#This Row],[kg HCFC-22 at retail-gate per kg of product]]*'Summary pivot'!$D$7</f>
        <v>7.390163934426229E-2</v>
      </c>
    </row>
    <row r="283" spans="1:16" ht="30">
      <c r="A283" s="52" t="s">
        <v>5</v>
      </c>
      <c r="B283" s="52" t="s">
        <v>52</v>
      </c>
      <c r="C283" s="756" t="s">
        <v>224</v>
      </c>
      <c r="D283" s="52" t="s">
        <v>226</v>
      </c>
      <c r="E283">
        <f>'Fish and seafood'!C78</f>
        <v>0.88</v>
      </c>
      <c r="F283" s="750" t="str">
        <f>'Summary pivot'!$C$1</f>
        <v>GWP100 with fb AR6</v>
      </c>
      <c r="G283" s="188">
        <f>Table1[[#This Row],[kg CO2 at retail-gate per kg of product]]+Table1[[#This Row],[Kg CO2e from CH4 fossil]]+Table1[[#This Row],[Kg CO2e from N2O]]</f>
        <v>0.80574843973192056</v>
      </c>
      <c r="H283" s="188">
        <f>'Fish and seafood'!G79</f>
        <v>0.80140478198077603</v>
      </c>
      <c r="I283" s="188">
        <f>'Fish and seafood'!G80</f>
        <v>9.369365167911143E-5</v>
      </c>
      <c r="J283" s="188">
        <v>0</v>
      </c>
      <c r="K283" s="188">
        <f>'Fish and seafood'!G81</f>
        <v>5.6834686121138073E-6</v>
      </c>
      <c r="L283" s="188">
        <f>'Fish and seafood'!G82</f>
        <v>3.7704918032786885E-5</v>
      </c>
      <c r="M283" s="188">
        <f>Table1[[#This Row],[kg CH4 fossil at retail-gate per kg of product]]*'Summary pivot'!$D$5</f>
        <v>2.7920708200375208E-3</v>
      </c>
      <c r="N283" s="188">
        <f>Table1[[#This Row],[kg CH4 bio at retail-gate per kg of product]]*'Summary pivot'!$D$4</f>
        <v>0</v>
      </c>
      <c r="O283" s="188">
        <f>Table1[[#This Row],[kg N2O at retail-gate per kg of product]]*'Summary pivot'!$D$6</f>
        <v>1.5515869311070695E-3</v>
      </c>
      <c r="P283" s="188">
        <f>Table1[[#This Row],[kg HCFC-22 at retail-gate per kg of product]]*'Summary pivot'!$D$7</f>
        <v>7.390163934426229E-2</v>
      </c>
    </row>
    <row r="284" spans="1:16" ht="30">
      <c r="A284" s="52" t="s">
        <v>5</v>
      </c>
      <c r="B284" s="52" t="s">
        <v>52</v>
      </c>
      <c r="C284" s="756" t="s">
        <v>224</v>
      </c>
      <c r="D284" s="52" t="s">
        <v>227</v>
      </c>
      <c r="E284">
        <f>'Fish and seafood'!C83</f>
        <v>0.09</v>
      </c>
      <c r="F284" s="750" t="str">
        <f>'Summary pivot'!$C$1</f>
        <v>GWP100 with fb AR6</v>
      </c>
      <c r="G284" s="188">
        <f>Table1[[#This Row],[kg CO2 at retail-gate per kg of product]]+Table1[[#This Row],[Kg CO2e from CH4 fossil]]+Table1[[#This Row],[Kg CO2e from N2O]]</f>
        <v>0.91367736101721841</v>
      </c>
      <c r="H284" s="188">
        <f>'Fish and seafood'!G84</f>
        <v>0.90716187439050155</v>
      </c>
      <c r="I284" s="188">
        <f>'Fish and seafood'!G85</f>
        <v>1.4054047751866714E-4</v>
      </c>
      <c r="J284" s="188">
        <v>0</v>
      </c>
      <c r="K284" s="188">
        <f>'Fish and seafood'!G86</f>
        <v>8.5252029181707109E-6</v>
      </c>
      <c r="L284" s="188">
        <f>'Fish and seafood'!G87</f>
        <v>3.7704918032786885E-5</v>
      </c>
      <c r="M284" s="188">
        <f>Table1[[#This Row],[kg CH4 fossil at retail-gate per kg of product]]*'Summary pivot'!$D$5</f>
        <v>4.1881062300562809E-3</v>
      </c>
      <c r="N284" s="188">
        <f>Table1[[#This Row],[kg CH4 bio at retail-gate per kg of product]]*'Summary pivot'!$D$4</f>
        <v>0</v>
      </c>
      <c r="O284" s="188">
        <f>Table1[[#This Row],[kg N2O at retail-gate per kg of product]]*'Summary pivot'!$D$6</f>
        <v>2.3273803966606041E-3</v>
      </c>
      <c r="P284" s="188">
        <f>Table1[[#This Row],[kg HCFC-22 at retail-gate per kg of product]]*'Summary pivot'!$D$7</f>
        <v>7.390163934426229E-2</v>
      </c>
    </row>
    <row r="285" spans="1:16">
      <c r="A285" s="52" t="s">
        <v>5</v>
      </c>
      <c r="B285" s="52" t="s">
        <v>58</v>
      </c>
      <c r="C285" s="756" t="s">
        <v>120</v>
      </c>
      <c r="D285" s="52" t="s">
        <v>128</v>
      </c>
      <c r="E285" s="5">
        <f>'Fish and seafood'!C89</f>
        <v>1</v>
      </c>
      <c r="F285" s="750" t="str">
        <f>'Summary pivot'!$C$1</f>
        <v>GWP100 with fb AR6</v>
      </c>
      <c r="G285" s="188">
        <f>Table1[[#This Row],[kg CO2 at retail-gate per kg of product]]+Table1[[#This Row],[Kg CO2e from CH4 fossil]]+Table1[[#This Row],[Kg CO2e from N2O]]</f>
        <v>3.0797986029426156</v>
      </c>
      <c r="H285" s="188">
        <f>'Fish and seafood'!G90</f>
        <v>3.0238462839216216</v>
      </c>
      <c r="I285" s="188">
        <f>'Fish and seafood'!G91</f>
        <v>1.2069038099537456E-3</v>
      </c>
      <c r="J285" s="188">
        <v>0</v>
      </c>
      <c r="K285" s="188">
        <f>'Fish and seafood'!G92</f>
        <v>7.321093584019154E-5</v>
      </c>
      <c r="L285" s="188">
        <f>'Fish and seafood'!G93</f>
        <v>5.1063829787234051E-4</v>
      </c>
      <c r="M285" s="188">
        <f>Table1[[#This Row],[kg CH4 fossil at retail-gate per kg of product]]*'Summary pivot'!$D$5</f>
        <v>3.5965733536621622E-2</v>
      </c>
      <c r="N285" s="188">
        <f>Table1[[#This Row],[kg CH4 bio at retail-gate per kg of product]]*'Summary pivot'!$D$4</f>
        <v>0</v>
      </c>
      <c r="O285" s="188">
        <f>Table1[[#This Row],[kg N2O at retail-gate per kg of product]]*'Summary pivot'!$D$6</f>
        <v>1.998658548437229E-2</v>
      </c>
      <c r="P285" s="188">
        <f>Table1[[#This Row],[kg HCFC-22 at retail-gate per kg of product]]*'Summary pivot'!$D$7</f>
        <v>1.0008510638297874</v>
      </c>
    </row>
    <row r="286" spans="1:16" ht="30">
      <c r="A286" s="52" t="s">
        <v>5</v>
      </c>
      <c r="B286" s="52" t="s">
        <v>58</v>
      </c>
      <c r="C286" s="756" t="s">
        <v>228</v>
      </c>
      <c r="D286" s="756" t="s">
        <v>220</v>
      </c>
      <c r="E286">
        <f>'Fish and seafood'!C94</f>
        <v>0.4</v>
      </c>
      <c r="F286" s="750" t="str">
        <f>'Summary pivot'!$C$1</f>
        <v>GWP100 with fb AR6</v>
      </c>
      <c r="G286" s="188">
        <f>Table1[[#This Row],[kg CO2 at retail-gate per kg of product]]+Table1[[#This Row],[Kg CO2e from CH4 fossil]]+Table1[[#This Row],[Kg CO2e from N2O]]</f>
        <v>3.4510052013632198</v>
      </c>
      <c r="H286" s="188">
        <f>'Fish and seafood'!G95</f>
        <v>3.3875831772840073</v>
      </c>
      <c r="I286" s="188">
        <f>'Fish and seafood'!G96</f>
        <v>1.368026988612558E-3</v>
      </c>
      <c r="J286" s="188">
        <v>0</v>
      </c>
      <c r="K286" s="188">
        <f>'Fish and seafood'!G97</f>
        <v>8.2984687980065973E-5</v>
      </c>
      <c r="L286" s="188">
        <f>'Fish and seafood'!G98</f>
        <v>5.1063829787234051E-4</v>
      </c>
      <c r="M286" s="188">
        <f>Table1[[#This Row],[kg CH4 fossil at retail-gate per kg of product]]*'Summary pivot'!$D$5</f>
        <v>4.0767204260654229E-2</v>
      </c>
      <c r="N286" s="188">
        <f>Table1[[#This Row],[kg CH4 bio at retail-gate per kg of product]]*'Summary pivot'!$D$4</f>
        <v>0</v>
      </c>
      <c r="O286" s="188">
        <f>Table1[[#This Row],[kg N2O at retail-gate per kg of product]]*'Summary pivot'!$D$6</f>
        <v>2.2654819818558009E-2</v>
      </c>
      <c r="P286" s="188">
        <f>Table1[[#This Row],[kg HCFC-22 at retail-gate per kg of product]]*'Summary pivot'!$D$7</f>
        <v>1.0008510638297874</v>
      </c>
    </row>
    <row r="287" spans="1:16" ht="30">
      <c r="A287" s="52" t="s">
        <v>5</v>
      </c>
      <c r="B287" s="52" t="s">
        <v>58</v>
      </c>
      <c r="C287" s="756" t="s">
        <v>228</v>
      </c>
      <c r="D287" s="52" t="s">
        <v>225</v>
      </c>
      <c r="E287">
        <f>'Fish and seafood'!C99</f>
        <v>0.4</v>
      </c>
      <c r="F287" s="750" t="str">
        <f>'Summary pivot'!$C$1</f>
        <v>GWP100 with fb AR6</v>
      </c>
      <c r="G287" s="188">
        <f>Table1[[#This Row],[kg CO2 at retail-gate per kg of product]]+Table1[[#This Row],[Kg CO2e from CH4 fossil]]+Table1[[#This Row],[Kg CO2e from N2O]]</f>
        <v>2.8906933546906095</v>
      </c>
      <c r="H287" s="188">
        <f>'Fish and seafood'!G100</f>
        <v>2.8385463571143683</v>
      </c>
      <c r="I287" s="188">
        <f>'Fish and seafood'!G101</f>
        <v>1.124822190636992E-3</v>
      </c>
      <c r="J287" s="188">
        <v>0</v>
      </c>
      <c r="K287" s="188">
        <f>'Fish and seafood'!G102</f>
        <v>6.8231854561387559E-5</v>
      </c>
      <c r="L287" s="188">
        <f>'Fish and seafood'!G103</f>
        <v>5.1063829787234051E-4</v>
      </c>
      <c r="M287" s="188">
        <f>Table1[[#This Row],[kg CH4 fossil at retail-gate per kg of product]]*'Summary pivot'!$D$5</f>
        <v>3.3519701280982361E-2</v>
      </c>
      <c r="N287" s="188">
        <f>Table1[[#This Row],[kg CH4 bio at retail-gate per kg of product]]*'Summary pivot'!$D$4</f>
        <v>0</v>
      </c>
      <c r="O287" s="188">
        <f>Table1[[#This Row],[kg N2O at retail-gate per kg of product]]*'Summary pivot'!$D$6</f>
        <v>1.8627296295258805E-2</v>
      </c>
      <c r="P287" s="188">
        <f>Table1[[#This Row],[kg HCFC-22 at retail-gate per kg of product]]*'Summary pivot'!$D$7</f>
        <v>1.0008510638297874</v>
      </c>
    </row>
    <row r="288" spans="1:16" ht="30">
      <c r="A288" s="52" t="s">
        <v>5</v>
      </c>
      <c r="B288" s="52" t="s">
        <v>58</v>
      </c>
      <c r="C288" s="756" t="s">
        <v>228</v>
      </c>
      <c r="D288" s="52" t="s">
        <v>226</v>
      </c>
      <c r="E288">
        <f>'Fish and seafood'!C104</f>
        <v>0.1</v>
      </c>
      <c r="F288" s="750" t="str">
        <f>'Summary pivot'!$C$1</f>
        <v>GWP100 with fb AR6</v>
      </c>
      <c r="G288" s="188">
        <f>Table1[[#This Row],[kg CO2 at retail-gate per kg of product]]+Table1[[#This Row],[Kg CO2e from CH4 fossil]]+Table1[[#This Row],[Kg CO2e from N2O]]</f>
        <v>2.3303815080179988</v>
      </c>
      <c r="H288" s="188">
        <f>'Fish and seafood'!G105</f>
        <v>2.2895095369447285</v>
      </c>
      <c r="I288" s="188">
        <f>'Fish and seafood'!G106</f>
        <v>8.8161739266142606E-4</v>
      </c>
      <c r="J288" s="188">
        <v>0</v>
      </c>
      <c r="K288" s="188">
        <f>'Fish and seafood'!G107</f>
        <v>5.3479021142709173E-5</v>
      </c>
      <c r="L288" s="188">
        <f>'Fish and seafood'!G108</f>
        <v>5.1063829787234051E-4</v>
      </c>
      <c r="M288" s="188">
        <f>Table1[[#This Row],[kg CH4 fossil at retail-gate per kg of product]]*'Summary pivot'!$D$5</f>
        <v>2.6272198301310497E-2</v>
      </c>
      <c r="N288" s="188">
        <f>Table1[[#This Row],[kg CH4 bio at retail-gate per kg of product]]*'Summary pivot'!$D$4</f>
        <v>0</v>
      </c>
      <c r="O288" s="188">
        <f>Table1[[#This Row],[kg N2O at retail-gate per kg of product]]*'Summary pivot'!$D$6</f>
        <v>1.4599772771959604E-2</v>
      </c>
      <c r="P288" s="188">
        <f>Table1[[#This Row],[kg HCFC-22 at retail-gate per kg of product]]*'Summary pivot'!$D$7</f>
        <v>1.0008510638297874</v>
      </c>
    </row>
    <row r="289" spans="1:16">
      <c r="A289" s="52" t="s">
        <v>5</v>
      </c>
      <c r="B289" s="52" t="s">
        <v>58</v>
      </c>
      <c r="C289" s="756" t="s">
        <v>228</v>
      </c>
      <c r="D289" s="52" t="s">
        <v>221</v>
      </c>
      <c r="E289">
        <f>'Fish and seafood'!C109</f>
        <v>0.1</v>
      </c>
      <c r="F289" s="750" t="str">
        <f>'Summary pivot'!$C$1</f>
        <v>GWP100 with fb AR6</v>
      </c>
      <c r="G289" s="188">
        <f>Table1[[#This Row],[kg CO2 at retail-gate per kg of product]]+Table1[[#This Row],[Kg CO2e from CH4 fossil]]+Table1[[#This Row],[Kg CO2e from N2O]]</f>
        <v>3.1008102971928384</v>
      </c>
      <c r="H289" s="188">
        <f>'Fish and seafood'!G110</f>
        <v>3.0444351646779833</v>
      </c>
      <c r="I289" s="188">
        <f>'Fish and seafood'!G111</f>
        <v>1.2160239898778293E-3</v>
      </c>
      <c r="J289" s="188">
        <v>0</v>
      </c>
      <c r="K289" s="188">
        <f>'Fish and seafood'!G112</f>
        <v>7.3764167093391973E-5</v>
      </c>
      <c r="L289" s="188">
        <f>'Fish and seafood'!G113</f>
        <v>5.1063829787234051E-4</v>
      </c>
      <c r="M289" s="188">
        <f>Table1[[#This Row],[kg CH4 fossil at retail-gate per kg of product]]*'Summary pivot'!$D$5</f>
        <v>3.6237514898359316E-2</v>
      </c>
      <c r="N289" s="188">
        <f>Table1[[#This Row],[kg CH4 bio at retail-gate per kg of product]]*'Summary pivot'!$D$4</f>
        <v>0</v>
      </c>
      <c r="O289" s="188">
        <f>Table1[[#This Row],[kg N2O at retail-gate per kg of product]]*'Summary pivot'!$D$6</f>
        <v>2.0137617616496007E-2</v>
      </c>
      <c r="P289" s="188">
        <f>Table1[[#This Row],[kg HCFC-22 at retail-gate per kg of product]]*'Summary pivot'!$D$7</f>
        <v>1.0008510638297874</v>
      </c>
    </row>
    <row r="290" spans="1:16" ht="30">
      <c r="A290" s="52" t="s">
        <v>5</v>
      </c>
      <c r="B290" s="52" t="s">
        <v>229</v>
      </c>
      <c r="C290" t="s">
        <v>228</v>
      </c>
      <c r="D290" s="52" t="s">
        <v>220</v>
      </c>
      <c r="E290" s="5">
        <f>'Fish and seafood'!C115</f>
        <v>1</v>
      </c>
      <c r="F290" s="750" t="str">
        <f>'Summary pivot'!$C$1</f>
        <v>GWP100 with fb AR6</v>
      </c>
      <c r="G290" s="188">
        <f>Table1[[#This Row],[kg CO2 at retail-gate per kg of product]]+Table1[[#This Row],[Kg CO2e from CH4 fossil]]+Table1[[#This Row],[Kg CO2e from N2O]]</f>
        <v>10.851263650227283</v>
      </c>
      <c r="H290" s="188">
        <f>'Fish and seafood'!G116</f>
        <v>10.639661156308676</v>
      </c>
      <c r="I290" s="188">
        <f>'Fish and seafood'!G117</f>
        <v>4.5643122675622684E-3</v>
      </c>
      <c r="J290" s="188">
        <v>0</v>
      </c>
      <c r="K290" s="188">
        <f>'Fish and seafood'!G118</f>
        <v>2.7687175218040524E-4</v>
      </c>
      <c r="L290" s="188">
        <f>'Fish and seafood'!G119</f>
        <v>6.6666666666666675E-4</v>
      </c>
      <c r="M290" s="188">
        <f>Table1[[#This Row],[kg CH4 fossil at retail-gate per kg of product]]*'Summary pivot'!$D$5</f>
        <v>0.13601650557335559</v>
      </c>
      <c r="N290" s="188">
        <f>Table1[[#This Row],[kg CH4 bio at retail-gate per kg of product]]*'Summary pivot'!$D$4</f>
        <v>0</v>
      </c>
      <c r="O290" s="188">
        <f>Table1[[#This Row],[kg N2O at retail-gate per kg of product]]*'Summary pivot'!$D$6</f>
        <v>7.5585988345250626E-2</v>
      </c>
      <c r="P290" s="188">
        <f>Table1[[#This Row],[kg HCFC-22 at retail-gate per kg of product]]*'Summary pivot'!$D$7</f>
        <v>1.3066666666666669</v>
      </c>
    </row>
    <row r="291" spans="1:16" ht="30">
      <c r="A291" s="52" t="s">
        <v>5</v>
      </c>
      <c r="B291" s="52" t="s">
        <v>230</v>
      </c>
      <c r="C291" s="756" t="s">
        <v>149</v>
      </c>
      <c r="D291" s="52" t="str">
        <f>'Fish and seafood'!B121</f>
        <v>Wild-caught with pelagic trawl</v>
      </c>
      <c r="E291" s="5">
        <f>'Fish and seafood'!C121</f>
        <v>1</v>
      </c>
      <c r="F291" s="750" t="str">
        <f>'Summary pivot'!$C$1</f>
        <v>GWP100 with fb AR6</v>
      </c>
      <c r="G291" s="188">
        <f>Table1[[#This Row],[kg CO2 at retail-gate per kg of product]]+Table1[[#This Row],[Kg CO2e from CH4 fossil]]+Table1[[#This Row],[Kg CO2e from N2O]]</f>
        <v>2.3199038957358327</v>
      </c>
      <c r="H291" s="188">
        <f>'Fish and seafood'!G122</f>
        <v>2.2249321255351573</v>
      </c>
      <c r="I291" s="188">
        <f>'Fish and seafood'!G123</f>
        <v>3.1364521202336695E-4</v>
      </c>
      <c r="J291" s="188">
        <v>0</v>
      </c>
      <c r="K291" s="188">
        <f>'Fish and seafood'!G123</f>
        <v>3.1364521202336695E-4</v>
      </c>
      <c r="L291" s="188">
        <f>'Fish and seafood'!G125</f>
        <v>3.2073170731707317E-4</v>
      </c>
      <c r="M291" s="188">
        <f>Table1[[#This Row],[kg CH4 fossil at retail-gate per kg of product]]*'Summary pivot'!$D$5</f>
        <v>9.3466273182963352E-3</v>
      </c>
      <c r="N291" s="188">
        <f>Table1[[#This Row],[kg CH4 bio at retail-gate per kg of product]]*'Summary pivot'!$D$4</f>
        <v>0</v>
      </c>
      <c r="O291" s="188">
        <f>Table1[[#This Row],[kg N2O at retail-gate per kg of product]]*'Summary pivot'!$D$6</f>
        <v>8.5625142882379171E-2</v>
      </c>
      <c r="P291" s="188">
        <f>Table1[[#This Row],[kg HCFC-22 at retail-gate per kg of product]]*'Summary pivot'!$D$7</f>
        <v>0.62863414634146342</v>
      </c>
    </row>
    <row r="292" spans="1:16">
      <c r="A292" s="52" t="s">
        <v>5</v>
      </c>
      <c r="B292" s="52" t="s">
        <v>231</v>
      </c>
      <c r="C292" t="str">
        <f>'Fish and seafood'!A127</f>
        <v>Sweden</v>
      </c>
      <c r="D292" t="str">
        <f>'Fish and seafood'!B127</f>
        <v>Farmed</v>
      </c>
      <c r="E292">
        <f>'Fish and seafood'!C127</f>
        <v>1</v>
      </c>
      <c r="F292" s="750" t="str">
        <f>'Summary pivot'!$C$1</f>
        <v>GWP100 with fb AR6</v>
      </c>
      <c r="G292" s="188">
        <f>Table1[[#This Row],[kg CO2 at retail-gate per kg of product]]+Table1[[#This Row],[Kg CO2e from CH4 fossil]]+Table1[[#This Row],[Kg CO2e from N2O]]</f>
        <v>4.5259298742168506</v>
      </c>
      <c r="H292" s="188">
        <f>'Fish and seafood'!G128</f>
        <v>2.7043315023171961</v>
      </c>
      <c r="I292" s="188">
        <f>'Fish and seafood'!G129</f>
        <v>4.4522497636439307E-4</v>
      </c>
      <c r="J292" s="188">
        <v>0</v>
      </c>
      <c r="K292" s="188">
        <f>'Fish and seafood'!G130</f>
        <v>6.623921859355294E-3</v>
      </c>
      <c r="L292" s="188">
        <f>'Fish and seafood'!G131</f>
        <v>0</v>
      </c>
      <c r="M292" s="188">
        <f>Table1[[#This Row],[kg CH4 fossil at retail-gate per kg of product]]*'Summary pivot'!$D$5</f>
        <v>1.3267704295658914E-2</v>
      </c>
      <c r="N292" s="188">
        <f>Table1[[#This Row],[kg CH4 bio at retail-gate per kg of product]]*'Summary pivot'!$D$4</f>
        <v>0</v>
      </c>
      <c r="O292" s="188">
        <f>Table1[[#This Row],[kg N2O at retail-gate per kg of product]]*'Summary pivot'!$D$6</f>
        <v>1.8083306676039952</v>
      </c>
      <c r="P292" s="188">
        <f>Table1[[#This Row],[kg HCFC-22 at retail-gate per kg of product]]*'Summary pivot'!$D$7</f>
        <v>0</v>
      </c>
    </row>
    <row r="293" spans="1:16">
      <c r="A293" s="52" t="s">
        <v>5</v>
      </c>
      <c r="B293" s="52" t="s">
        <v>232</v>
      </c>
      <c r="C293" s="756" t="s">
        <v>233</v>
      </c>
      <c r="D293" t="s">
        <v>218</v>
      </c>
      <c r="E293" s="5">
        <f>'Fish and seafood'!C133</f>
        <v>1</v>
      </c>
      <c r="F293" s="750" t="str">
        <f>'Summary pivot'!$C$1</f>
        <v>GWP100 with fb AR6</v>
      </c>
      <c r="G293" s="188">
        <f>Table1[[#This Row],[kg CO2 at retail-gate per kg of product]]+Table1[[#This Row],[Kg CO2e from CH4 fossil]]+Table1[[#This Row],[Kg CO2e from N2O]]</f>
        <v>8.9757527322066206</v>
      </c>
      <c r="H293" s="188">
        <f>'Fish and seafood'!G134</f>
        <v>5.7892949919497987</v>
      </c>
      <c r="I293" s="188">
        <f>'Fish and seafood'!G135</f>
        <v>7.7881633733153737E-4</v>
      </c>
      <c r="J293" s="188">
        <v>0</v>
      </c>
      <c r="K293" s="188">
        <f>'Fish and seafood'!G136</f>
        <v>1.1586992723092828E-2</v>
      </c>
      <c r="L293" s="188">
        <f>'Fish and seafood'!G137</f>
        <v>0</v>
      </c>
      <c r="M293" s="188">
        <f>Table1[[#This Row],[kg CH4 fossil at retail-gate per kg of product]]*'Summary pivot'!$D$5</f>
        <v>2.3208726852479815E-2</v>
      </c>
      <c r="N293" s="188">
        <f>Table1[[#This Row],[kg CH4 bio at retail-gate per kg of product]]*'Summary pivot'!$D$4</f>
        <v>0</v>
      </c>
      <c r="O293" s="188">
        <f>Table1[[#This Row],[kg N2O at retail-gate per kg of product]]*'Summary pivot'!$D$6</f>
        <v>3.1632490134043421</v>
      </c>
      <c r="P293" s="188">
        <f>Table1[[#This Row],[kg HCFC-22 at retail-gate per kg of product]]*'Summary pivot'!$D$7</f>
        <v>0</v>
      </c>
    </row>
    <row r="294" spans="1:16">
      <c r="A294" s="52" t="s">
        <v>5</v>
      </c>
      <c r="B294" s="52" t="s">
        <v>234</v>
      </c>
      <c r="C294" t="s">
        <v>120</v>
      </c>
      <c r="D294" s="52" t="s">
        <v>128</v>
      </c>
      <c r="E294" s="5">
        <f>'Fish and seafood'!C139</f>
        <v>1</v>
      </c>
      <c r="F294" s="750" t="str">
        <f>'Summary pivot'!$C$1</f>
        <v>GWP100 with fb AR6</v>
      </c>
      <c r="G294" s="188">
        <f>Table1[[#This Row],[kg CO2 at retail-gate per kg of product]]+Table1[[#This Row],[Kg CO2e from CH4 fossil]]+Table1[[#This Row],[Kg CO2e from N2O]]</f>
        <v>18.834269963193606</v>
      </c>
      <c r="H294" s="188">
        <f>'Fish and seafood'!G140</f>
        <v>18.467917890315181</v>
      </c>
      <c r="I294" s="188">
        <f>'Fish and seafood'!G141</f>
        <v>7.9022946729968933E-3</v>
      </c>
      <c r="J294" s="188">
        <v>0</v>
      </c>
      <c r="K294" s="188">
        <f>'Fish and seafood'!G142</f>
        <v>4.793541817696599E-4</v>
      </c>
      <c r="L294" s="188">
        <f>'Fish and seafood'!G143</f>
        <v>4.8979591836734691E-4</v>
      </c>
      <c r="M294" s="188">
        <f>Table1[[#This Row],[kg CH4 fossil at retail-gate per kg of product]]*'Summary pivot'!$D$5</f>
        <v>0.23548838125530744</v>
      </c>
      <c r="N294" s="188">
        <f>Table1[[#This Row],[kg CH4 bio at retail-gate per kg of product]]*'Summary pivot'!$D$4</f>
        <v>0</v>
      </c>
      <c r="O294" s="188">
        <f>Table1[[#This Row],[kg N2O at retail-gate per kg of product]]*'Summary pivot'!$D$6</f>
        <v>0.13086369162311715</v>
      </c>
      <c r="P294" s="188">
        <f>Table1[[#This Row],[kg HCFC-22 at retail-gate per kg of product]]*'Summary pivot'!$D$7</f>
        <v>0.96</v>
      </c>
    </row>
    <row r="295" spans="1:16" ht="30">
      <c r="A295" s="52" t="s">
        <v>5</v>
      </c>
      <c r="B295" s="52" t="s">
        <v>234</v>
      </c>
      <c r="C295" s="52" t="s">
        <v>235</v>
      </c>
      <c r="D295" s="52" t="s">
        <v>220</v>
      </c>
      <c r="E295">
        <f>'Fish and seafood'!C144</f>
        <v>0.5</v>
      </c>
      <c r="F295" s="750" t="str">
        <f>'Summary pivot'!$C$1</f>
        <v>GWP100 with fb AR6</v>
      </c>
      <c r="G295" s="188">
        <f>Table1[[#This Row],[kg CO2 at retail-gate per kg of product]]+Table1[[#This Row],[Kg CO2e from CH4 fossil]]+Table1[[#This Row],[Kg CO2e from N2O]]</f>
        <v>18.834269963193606</v>
      </c>
      <c r="H295" s="188">
        <f>'Fish and seafood'!G145</f>
        <v>18.467917890315181</v>
      </c>
      <c r="I295" s="188">
        <f>'Fish and seafood'!G146</f>
        <v>7.9022946729968933E-3</v>
      </c>
      <c r="J295" s="188">
        <v>0</v>
      </c>
      <c r="K295" s="188">
        <f>'Fish and seafood'!G147</f>
        <v>4.793541817696599E-4</v>
      </c>
      <c r="L295" s="188">
        <f>'Fish and seafood'!G148</f>
        <v>4.8979591836734691E-4</v>
      </c>
      <c r="M295" s="188">
        <f>Table1[[#This Row],[kg CH4 fossil at retail-gate per kg of product]]*'Summary pivot'!$D$5</f>
        <v>0.23548838125530744</v>
      </c>
      <c r="N295" s="188">
        <f>Table1[[#This Row],[kg CH4 bio at retail-gate per kg of product]]*'Summary pivot'!$D$4</f>
        <v>0</v>
      </c>
      <c r="O295" s="188">
        <f>Table1[[#This Row],[kg N2O at retail-gate per kg of product]]*'Summary pivot'!$D$6</f>
        <v>0.13086369162311715</v>
      </c>
      <c r="P295" s="188">
        <f>Table1[[#This Row],[kg HCFC-22 at retail-gate per kg of product]]*'Summary pivot'!$D$7</f>
        <v>0.96</v>
      </c>
    </row>
    <row r="296" spans="1:16" ht="30">
      <c r="A296" s="52" t="s">
        <v>5</v>
      </c>
      <c r="B296" s="52" t="s">
        <v>234</v>
      </c>
      <c r="C296" s="52" t="s">
        <v>235</v>
      </c>
      <c r="D296" s="52" t="s">
        <v>225</v>
      </c>
      <c r="E296">
        <f>'Fish and seafood'!C149</f>
        <v>0.5</v>
      </c>
      <c r="F296" s="750" t="str">
        <f>'Summary pivot'!$C$1</f>
        <v>GWP100 with fb AR6</v>
      </c>
      <c r="G296" s="188">
        <f>Table1[[#This Row],[kg CO2 at retail-gate per kg of product]]+Table1[[#This Row],[Kg CO2e from CH4 fossil]]+Table1[[#This Row],[Kg CO2e from N2O]]</f>
        <v>18.834269963193606</v>
      </c>
      <c r="H296" s="188">
        <f>'Fish and seafood'!G150</f>
        <v>18.467917890315181</v>
      </c>
      <c r="I296" s="188">
        <f>'Fish and seafood'!G151</f>
        <v>7.9022946729968933E-3</v>
      </c>
      <c r="J296" s="188">
        <v>0</v>
      </c>
      <c r="K296" s="188">
        <f>'Fish and seafood'!G152</f>
        <v>4.793541817696599E-4</v>
      </c>
      <c r="L296" s="188">
        <f>'Fish and seafood'!G153</f>
        <v>4.8979591836734691E-4</v>
      </c>
      <c r="M296" s="188">
        <f>Table1[[#This Row],[kg CH4 fossil at retail-gate per kg of product]]*'Summary pivot'!$D$5</f>
        <v>0.23548838125530744</v>
      </c>
      <c r="N296" s="188">
        <f>Table1[[#This Row],[kg CH4 bio at retail-gate per kg of product]]*'Summary pivot'!$D$4</f>
        <v>0</v>
      </c>
      <c r="O296" s="188">
        <f>Table1[[#This Row],[kg N2O at retail-gate per kg of product]]*'Summary pivot'!$D$6</f>
        <v>0.13086369162311715</v>
      </c>
      <c r="P296" s="188">
        <f>Table1[[#This Row],[kg HCFC-22 at retail-gate per kg of product]]*'Summary pivot'!$D$7</f>
        <v>0.96</v>
      </c>
    </row>
    <row r="297" spans="1:16">
      <c r="A297" s="52" t="s">
        <v>5</v>
      </c>
      <c r="B297" s="52" t="s">
        <v>93</v>
      </c>
      <c r="C297" t="s">
        <v>120</v>
      </c>
      <c r="D297" s="52" t="s">
        <v>128</v>
      </c>
      <c r="E297" s="5">
        <f>'Fish and seafood'!C155</f>
        <v>1</v>
      </c>
      <c r="F297" s="750" t="str">
        <f>'Summary pivot'!$C$1</f>
        <v>GWP100 with fb AR6</v>
      </c>
      <c r="G297" s="188">
        <f>Table1[[#This Row],[kg CO2 at retail-gate per kg of product]]+Table1[[#This Row],[Kg CO2e from CH4 fossil]]+Table1[[#This Row],[Kg CO2e from N2O]]</f>
        <v>5.5664207485288264</v>
      </c>
      <c r="H297" s="188">
        <f>'Fish and seafood'!G156</f>
        <v>5.4820574900838368</v>
      </c>
      <c r="I297" s="188">
        <f>'Fish and seafood'!G157</f>
        <v>1.8197340131544401E-3</v>
      </c>
      <c r="J297" s="188">
        <v>0</v>
      </c>
      <c r="K297" s="188">
        <f>'Fish and seafood'!G158</f>
        <v>1.1038529250178585E-4</v>
      </c>
      <c r="L297" s="188">
        <f>'Fish and seafood'!G159</f>
        <v>2.4811320754716977E-4</v>
      </c>
      <c r="M297" s="188">
        <f>Table1[[#This Row],[kg CH4 fossil at retail-gate per kg of product]]*'Summary pivot'!$D$5</f>
        <v>5.4228073592002317E-2</v>
      </c>
      <c r="N297" s="188">
        <f>Table1[[#This Row],[kg CH4 bio at retail-gate per kg of product]]*'Summary pivot'!$D$4</f>
        <v>0</v>
      </c>
      <c r="O297" s="188">
        <f>Table1[[#This Row],[kg N2O at retail-gate per kg of product]]*'Summary pivot'!$D$6</f>
        <v>3.0135184852987537E-2</v>
      </c>
      <c r="P297" s="188">
        <f>Table1[[#This Row],[kg HCFC-22 at retail-gate per kg of product]]*'Summary pivot'!$D$7</f>
        <v>0.48630188679245273</v>
      </c>
    </row>
    <row r="298" spans="1:16" ht="30">
      <c r="A298" s="52" t="s">
        <v>5</v>
      </c>
      <c r="B298" s="52" t="s">
        <v>93</v>
      </c>
      <c r="C298" t="s">
        <v>236</v>
      </c>
      <c r="D298" s="52" t="s">
        <v>225</v>
      </c>
      <c r="E298">
        <f>'Fish and seafood'!C160</f>
        <v>0.5</v>
      </c>
      <c r="F298" s="750" t="str">
        <f>'Summary pivot'!$C$1</f>
        <v>GWP100 with fb AR6</v>
      </c>
      <c r="G298" s="188">
        <f>Table1[[#This Row],[kg CO2 at retail-gate per kg of product]]+Table1[[#This Row],[Kg CO2e from CH4 fossil]]+Table1[[#This Row],[Kg CO2e from N2O]]</f>
        <v>5.5353657287250382</v>
      </c>
      <c r="H298" s="188">
        <f>'Fish and seafood'!G161</f>
        <v>5.4516273833055671</v>
      </c>
      <c r="I298" s="188">
        <f>'Fish and seafood'!G162</f>
        <v>1.8062545019458889E-3</v>
      </c>
      <c r="J298" s="188">
        <v>0</v>
      </c>
      <c r="K298" s="188">
        <f>'Fish and seafood'!G163</f>
        <v>1.095676236684393E-4</v>
      </c>
      <c r="L298" s="188">
        <f>'Fish and seafood'!G164</f>
        <v>2.4811320754716977E-4</v>
      </c>
      <c r="M298" s="188">
        <f>Table1[[#This Row],[kg CH4 fossil at retail-gate per kg of product]]*'Summary pivot'!$D$5</f>
        <v>5.3826384157987489E-2</v>
      </c>
      <c r="N298" s="188">
        <f>Table1[[#This Row],[kg CH4 bio at retail-gate per kg of product]]*'Summary pivot'!$D$4</f>
        <v>0</v>
      </c>
      <c r="O298" s="188">
        <f>Table1[[#This Row],[kg N2O at retail-gate per kg of product]]*'Summary pivot'!$D$6</f>
        <v>2.9911961261483929E-2</v>
      </c>
      <c r="P298" s="188">
        <f>Table1[[#This Row],[kg HCFC-22 at retail-gate per kg of product]]*'Summary pivot'!$D$7</f>
        <v>0.48630188679245273</v>
      </c>
    </row>
    <row r="299" spans="1:16" ht="30">
      <c r="A299" s="52" t="s">
        <v>5</v>
      </c>
      <c r="B299" s="52" t="s">
        <v>93</v>
      </c>
      <c r="C299" t="s">
        <v>236</v>
      </c>
      <c r="D299" s="52" t="s">
        <v>225</v>
      </c>
      <c r="E299">
        <f>'Fish and seafood'!C165</f>
        <v>0.5</v>
      </c>
      <c r="F299" s="750" t="str">
        <f>'Summary pivot'!$C$1</f>
        <v>GWP100 with fb AR6</v>
      </c>
      <c r="G299" s="188">
        <f>Table1[[#This Row],[kg CO2 at retail-gate per kg of product]]+Table1[[#This Row],[Kg CO2e from CH4 fossil]]+Table1[[#This Row],[Kg CO2e from N2O]]</f>
        <v>5.5974757683326146</v>
      </c>
      <c r="H299" s="188">
        <f>'Fish and seafood'!G166</f>
        <v>5.5124875968621065</v>
      </c>
      <c r="I299" s="188">
        <f>'Fish and seafood'!G167</f>
        <v>1.8332135243629916E-3</v>
      </c>
      <c r="J299" s="188">
        <v>0</v>
      </c>
      <c r="K299" s="188">
        <f>'Fish and seafood'!G168</f>
        <v>1.1120296133513241E-4</v>
      </c>
      <c r="L299" s="188">
        <f>'Fish and seafood'!G169</f>
        <v>2.4811320754716977E-4</v>
      </c>
      <c r="M299" s="188">
        <f>Table1[[#This Row],[kg CH4 fossil at retail-gate per kg of product]]*'Summary pivot'!$D$5</f>
        <v>5.4629763026017152E-2</v>
      </c>
      <c r="N299" s="188">
        <f>Table1[[#This Row],[kg CH4 bio at retail-gate per kg of product]]*'Summary pivot'!$D$4</f>
        <v>0</v>
      </c>
      <c r="O299" s="188">
        <f>Table1[[#This Row],[kg N2O at retail-gate per kg of product]]*'Summary pivot'!$D$6</f>
        <v>3.0358408444491149E-2</v>
      </c>
      <c r="P299" s="188">
        <f>Table1[[#This Row],[kg HCFC-22 at retail-gate per kg of product]]*'Summary pivot'!$D$7</f>
        <v>0.48630188679245273</v>
      </c>
    </row>
    <row r="300" spans="1:16">
      <c r="A300" s="52" t="s">
        <v>9</v>
      </c>
      <c r="B300" s="52" t="s">
        <v>29</v>
      </c>
      <c r="C300" t="s">
        <v>120</v>
      </c>
      <c r="D300" s="52" t="s">
        <v>128</v>
      </c>
      <c r="E300" s="5">
        <f>'Processed products'!B8</f>
        <v>1</v>
      </c>
      <c r="F300" s="750" t="str">
        <f>'Summary pivot'!$C$1</f>
        <v>GWP100 with fb AR6</v>
      </c>
      <c r="G300" s="188">
        <f>Table1[[#This Row],[kg CO2 at retail-gate per kg of product]]+Table1[[#This Row],[Kg CO2e from CH4 fossil]]+Table1[[#This Row],[Kg CO2e from N2O]]</f>
        <v>1.5564625995049579</v>
      </c>
      <c r="H300" s="188">
        <f>'Processed products'!F9</f>
        <v>1.1530035685549713</v>
      </c>
      <c r="I300" s="188">
        <f>'Processed products'!F10</f>
        <v>0</v>
      </c>
      <c r="J300" s="188">
        <v>0</v>
      </c>
      <c r="K300" s="188">
        <f>'Processed products'!F12</f>
        <v>1.4778719082417092E-3</v>
      </c>
      <c r="L300" s="188">
        <v>0</v>
      </c>
      <c r="M300" s="188">
        <f>Table1[[#This Row],[kg CH4 fossil at retail-gate per kg of product]]*'Summary pivot'!$D$5</f>
        <v>0</v>
      </c>
      <c r="N300" s="188">
        <f>Table1[[#This Row],[kg CH4 bio at retail-gate per kg of product]]*'Summary pivot'!$D$4</f>
        <v>0</v>
      </c>
      <c r="O300" s="188">
        <f>Table1[[#This Row],[kg N2O at retail-gate per kg of product]]*'Summary pivot'!$D$6</f>
        <v>0.40345903094998664</v>
      </c>
      <c r="P300" s="188">
        <f>Table1[[#This Row],[kg HCFC-22 at retail-gate per kg of product]]*'Summary pivot'!$D$7</f>
        <v>0</v>
      </c>
    </row>
    <row r="301" spans="1:16">
      <c r="A301" s="52" t="s">
        <v>9</v>
      </c>
      <c r="B301" s="52" t="s">
        <v>29</v>
      </c>
      <c r="C301" t="s">
        <v>122</v>
      </c>
      <c r="D301" s="52" t="s">
        <v>128</v>
      </c>
      <c r="E301" s="5">
        <f>'Processed products'!B13</f>
        <v>0.3</v>
      </c>
      <c r="F301" s="750" t="str">
        <f>'Summary pivot'!$C$1</f>
        <v>GWP100 with fb AR6</v>
      </c>
      <c r="G301" s="188">
        <f>Table1[[#This Row],[kg CO2 at retail-gate per kg of product]]+Table1[[#This Row],[Kg CO2e from CH4 fossil]]+Table1[[#This Row],[Kg CO2e from N2O]]</f>
        <v>1.2535136199131212</v>
      </c>
      <c r="H301" s="188">
        <f>'Processed products'!F14</f>
        <v>0.85005458896313457</v>
      </c>
      <c r="I301" s="188">
        <f>'Processed products'!F15</f>
        <v>0</v>
      </c>
      <c r="J301" s="188">
        <v>0</v>
      </c>
      <c r="K301" s="188">
        <f>'Processed products'!F17</f>
        <v>1.4778719082417094E-3</v>
      </c>
      <c r="L301" s="188">
        <v>0</v>
      </c>
      <c r="M301" s="188">
        <f>Table1[[#This Row],[kg CH4 fossil at retail-gate per kg of product]]*'Summary pivot'!$D$5</f>
        <v>0</v>
      </c>
      <c r="N301" s="188">
        <f>Table1[[#This Row],[kg CH4 bio at retail-gate per kg of product]]*'Summary pivot'!$D$4</f>
        <v>0</v>
      </c>
      <c r="O301" s="188">
        <f>Table1[[#This Row],[kg N2O at retail-gate per kg of product]]*'Summary pivot'!$D$6</f>
        <v>0.4034590309499867</v>
      </c>
      <c r="P301" s="188">
        <f>Table1[[#This Row],[kg HCFC-22 at retail-gate per kg of product]]*'Summary pivot'!$D$7</f>
        <v>0</v>
      </c>
    </row>
    <row r="302" spans="1:16">
      <c r="A302" s="52" t="s">
        <v>9</v>
      </c>
      <c r="B302" s="52" t="s">
        <v>29</v>
      </c>
      <c r="C302" t="s">
        <v>123</v>
      </c>
      <c r="D302" s="52" t="s">
        <v>128</v>
      </c>
      <c r="E302" s="5">
        <f>'Processed products'!B18</f>
        <v>0.503</v>
      </c>
      <c r="F302" s="750" t="str">
        <f>'Summary pivot'!$C$1</f>
        <v>GWP100 with fb AR6</v>
      </c>
      <c r="G302" s="188">
        <f>Table1[[#This Row],[kg CO2 at retail-gate per kg of product]]+Table1[[#This Row],[Kg CO2e from CH4 fossil]]+Table1[[#This Row],[Kg CO2e from N2O]]</f>
        <v>1.5800442321580195</v>
      </c>
      <c r="H302" s="188">
        <f>'Processed products'!F19</f>
        <v>1.1765852012080327</v>
      </c>
      <c r="I302" s="188">
        <f>'Processed products'!F20</f>
        <v>0</v>
      </c>
      <c r="J302" s="188">
        <v>0</v>
      </c>
      <c r="K302" s="188">
        <f>'Processed products'!F22</f>
        <v>1.4778719082417094E-3</v>
      </c>
      <c r="L302" s="188">
        <v>0</v>
      </c>
      <c r="M302" s="188">
        <f>Table1[[#This Row],[kg CH4 fossil at retail-gate per kg of product]]*'Summary pivot'!$D$5</f>
        <v>0</v>
      </c>
      <c r="N302" s="188">
        <f>Table1[[#This Row],[kg CH4 bio at retail-gate per kg of product]]*'Summary pivot'!$D$4</f>
        <v>0</v>
      </c>
      <c r="O302" s="188">
        <f>Table1[[#This Row],[kg N2O at retail-gate per kg of product]]*'Summary pivot'!$D$6</f>
        <v>0.4034590309499867</v>
      </c>
      <c r="P302" s="188">
        <f>Table1[[#This Row],[kg HCFC-22 at retail-gate per kg of product]]*'Summary pivot'!$D$7</f>
        <v>0</v>
      </c>
    </row>
    <row r="303" spans="1:16">
      <c r="A303" s="52" t="s">
        <v>9</v>
      </c>
      <c r="B303" s="52" t="s">
        <v>29</v>
      </c>
      <c r="C303" t="s">
        <v>134</v>
      </c>
      <c r="D303" s="52" t="s">
        <v>128</v>
      </c>
      <c r="E303" s="5">
        <f>'Processed products'!B23</f>
        <v>0.19700000000000001</v>
      </c>
      <c r="F303" s="750" t="str">
        <f>'Summary pivot'!$C$1</f>
        <v>GWP100 with fb AR6</v>
      </c>
      <c r="G303" s="188">
        <f>Table1[[#This Row],[kg CO2 at retail-gate per kg of product]]+Table1[[#This Row],[Kg CO2e from CH4 fossil]]+Table1[[#This Row],[Kg CO2e from N2O]]</f>
        <v>1.9575952525661826</v>
      </c>
      <c r="H303" s="188">
        <f>'Processed products'!F24</f>
        <v>1.5541362216161958</v>
      </c>
      <c r="I303" s="188">
        <f>'Processed products'!F25</f>
        <v>0</v>
      </c>
      <c r="J303" s="188">
        <v>0</v>
      </c>
      <c r="K303" s="188">
        <f>'Processed products'!F27</f>
        <v>1.4778719082417094E-3</v>
      </c>
      <c r="L303" s="188">
        <v>0</v>
      </c>
      <c r="M303" s="188">
        <f>Table1[[#This Row],[kg CH4 fossil at retail-gate per kg of product]]*'Summary pivot'!$D$5</f>
        <v>0</v>
      </c>
      <c r="N303" s="188">
        <f>Table1[[#This Row],[kg CH4 bio at retail-gate per kg of product]]*'Summary pivot'!$D$4</f>
        <v>0</v>
      </c>
      <c r="O303" s="188">
        <f>Table1[[#This Row],[kg N2O at retail-gate per kg of product]]*'Summary pivot'!$D$6</f>
        <v>0.4034590309499867</v>
      </c>
      <c r="P303" s="188">
        <f>Table1[[#This Row],[kg HCFC-22 at retail-gate per kg of product]]*'Summary pivot'!$D$7</f>
        <v>0</v>
      </c>
    </row>
    <row r="304" spans="1:16">
      <c r="A304" s="52" t="s">
        <v>9</v>
      </c>
      <c r="B304" s="52" t="s">
        <v>36</v>
      </c>
      <c r="C304" t="s">
        <v>122</v>
      </c>
      <c r="D304" s="52" t="s">
        <v>128</v>
      </c>
      <c r="E304" s="5">
        <f>'Processed products'!B29</f>
        <v>1</v>
      </c>
      <c r="F304" s="750" t="str">
        <f>'Summary pivot'!$C$1</f>
        <v>GWP100 with fb AR6</v>
      </c>
      <c r="G304" s="188">
        <f>Table1[[#This Row],[kg CO2 at retail-gate per kg of product]]+Table1[[#This Row],[Kg CO2e from CH4 fossil]]+Table1[[#This Row],[Kg CO2e from N2O]]</f>
        <v>1.0108151845137805</v>
      </c>
      <c r="H304" s="188">
        <f>'Processed products'!F30</f>
        <v>0.74555052743979866</v>
      </c>
      <c r="I304" s="188">
        <f>'Processed products'!F31</f>
        <v>0</v>
      </c>
      <c r="J304" s="188">
        <v>0</v>
      </c>
      <c r="K304" s="188">
        <f>'Processed products'!F33</f>
        <v>9.7166541052740594E-4</v>
      </c>
      <c r="L304" s="188">
        <v>0</v>
      </c>
      <c r="M304" s="188">
        <f>Table1[[#This Row],[kg CH4 fossil at retail-gate per kg of product]]*'Summary pivot'!$D$5</f>
        <v>0</v>
      </c>
      <c r="N304" s="188">
        <f>Table1[[#This Row],[kg CH4 bio at retail-gate per kg of product]]*'Summary pivot'!$D$4</f>
        <v>0</v>
      </c>
      <c r="O304" s="188">
        <f>Table1[[#This Row],[kg N2O at retail-gate per kg of product]]*'Summary pivot'!$D$6</f>
        <v>0.26526465707398184</v>
      </c>
      <c r="P304" s="188">
        <f>Table1[[#This Row],[kg HCFC-22 at retail-gate per kg of product]]*'Summary pivot'!$D$7</f>
        <v>0</v>
      </c>
    </row>
    <row r="305" spans="1:16">
      <c r="A305" s="52" t="s">
        <v>9</v>
      </c>
      <c r="B305" s="52" t="s">
        <v>43</v>
      </c>
      <c r="C305" t="s">
        <v>122</v>
      </c>
      <c r="D305" s="52" t="s">
        <v>128</v>
      </c>
      <c r="E305" s="5">
        <f>'Processed products'!B35</f>
        <v>1</v>
      </c>
      <c r="F305" s="750" t="str">
        <f>'Summary pivot'!$C$1</f>
        <v>GWP100 with fb AR6</v>
      </c>
      <c r="G305" s="188">
        <f>Table1[[#This Row],[kg CO2 at retail-gate per kg of product]]+Table1[[#This Row],[Kg CO2e from CH4 fossil]]+Table1[[#This Row],[Kg CO2e from N2O]]</f>
        <v>0.98558505142971609</v>
      </c>
      <c r="H305" s="188">
        <f>'Processed products'!F36</f>
        <v>0.76146092904671869</v>
      </c>
      <c r="I305" s="188">
        <f>'Processed products'!F37</f>
        <v>0</v>
      </c>
      <c r="J305" s="188">
        <v>0</v>
      </c>
      <c r="K305" s="188">
        <f>'Processed products'!F39</f>
        <v>8.2096748125640075E-4</v>
      </c>
      <c r="L305" s="188">
        <v>0</v>
      </c>
      <c r="M305" s="188">
        <f>Table1[[#This Row],[kg CH4 fossil at retail-gate per kg of product]]*'Summary pivot'!$D$5</f>
        <v>0</v>
      </c>
      <c r="N305" s="188">
        <f>Table1[[#This Row],[kg CH4 bio at retail-gate per kg of product]]*'Summary pivot'!$D$4</f>
        <v>0</v>
      </c>
      <c r="O305" s="188">
        <f>Table1[[#This Row],[kg N2O at retail-gate per kg of product]]*'Summary pivot'!$D$6</f>
        <v>0.22412412238299739</v>
      </c>
      <c r="P305" s="188">
        <f>Table1[[#This Row],[kg HCFC-22 at retail-gate per kg of product]]*'Summary pivot'!$D$7</f>
        <v>0</v>
      </c>
    </row>
    <row r="306" spans="1:16">
      <c r="A306" s="52" t="s">
        <v>9</v>
      </c>
      <c r="B306" s="52" t="s">
        <v>50</v>
      </c>
      <c r="C306" t="s">
        <v>122</v>
      </c>
      <c r="D306" s="52" t="s">
        <v>128</v>
      </c>
      <c r="E306" s="5">
        <f>'Processed products'!B41</f>
        <v>1</v>
      </c>
      <c r="F306" s="750" t="str">
        <f>'Summary pivot'!$C$1</f>
        <v>GWP100 with fb AR6</v>
      </c>
      <c r="G306" s="188">
        <f>Table1[[#This Row],[kg CO2 at retail-gate per kg of product]]+Table1[[#This Row],[Kg CO2e from CH4 fossil]]+Table1[[#This Row],[Kg CO2e from N2O]]</f>
        <v>1.2574353043295941</v>
      </c>
      <c r="H306" s="188">
        <f>'Processed products'!F42</f>
        <v>0.94012727395716933</v>
      </c>
      <c r="I306" s="188">
        <f>'Processed products'!F43</f>
        <v>0</v>
      </c>
      <c r="J306" s="188">
        <v>0</v>
      </c>
      <c r="K306" s="188">
        <f>'Processed products'!F45</f>
        <v>1.162300477554669E-3</v>
      </c>
      <c r="L306" s="188">
        <v>0</v>
      </c>
      <c r="M306" s="188">
        <f>Table1[[#This Row],[kg CH4 fossil at retail-gate per kg of product]]*'Summary pivot'!$D$5</f>
        <v>0</v>
      </c>
      <c r="N306" s="188">
        <f>Table1[[#This Row],[kg CH4 bio at retail-gate per kg of product]]*'Summary pivot'!$D$4</f>
        <v>0</v>
      </c>
      <c r="O306" s="188">
        <f>Table1[[#This Row],[kg N2O at retail-gate per kg of product]]*'Summary pivot'!$D$6</f>
        <v>0.31730803037242461</v>
      </c>
      <c r="P306" s="188">
        <f>Table1[[#This Row],[kg HCFC-22 at retail-gate per kg of product]]*'Summary pivot'!$D$7</f>
        <v>0</v>
      </c>
    </row>
    <row r="307" spans="1:16">
      <c r="A307" s="52" t="s">
        <v>9</v>
      </c>
      <c r="B307" s="52" t="s">
        <v>56</v>
      </c>
      <c r="C307" t="s">
        <v>122</v>
      </c>
      <c r="D307" s="52" t="s">
        <v>128</v>
      </c>
      <c r="E307" s="5">
        <f>'Processed products'!B47</f>
        <v>1</v>
      </c>
      <c r="F307" s="750" t="str">
        <f>'Summary pivot'!$C$1</f>
        <v>GWP100 with fb AR6</v>
      </c>
      <c r="G307" s="188">
        <f>Table1[[#This Row],[kg CO2 at retail-gate per kg of product]]+Table1[[#This Row],[Kg CO2e from CH4 fossil]]+Table1[[#This Row],[Kg CO2e from N2O]]</f>
        <v>1.2792556598174585</v>
      </c>
      <c r="H307" s="188">
        <f>'Processed products'!F48</f>
        <v>0.94496669100261543</v>
      </c>
      <c r="I307" s="188">
        <f>'Processed products'!F49</f>
        <v>0</v>
      </c>
      <c r="J307" s="188">
        <v>0</v>
      </c>
      <c r="K307" s="188">
        <f>'Processed products'!F51</f>
        <v>1.2245017172704874E-3</v>
      </c>
      <c r="L307" s="188">
        <v>0</v>
      </c>
      <c r="M307" s="188">
        <f>Table1[[#This Row],[kg CH4 fossil at retail-gate per kg of product]]*'Summary pivot'!$D$5</f>
        <v>0</v>
      </c>
      <c r="N307" s="188">
        <f>Table1[[#This Row],[kg CH4 bio at retail-gate per kg of product]]*'Summary pivot'!$D$4</f>
        <v>0</v>
      </c>
      <c r="O307" s="188">
        <f>Table1[[#This Row],[kg N2O at retail-gate per kg of product]]*'Summary pivot'!$D$6</f>
        <v>0.33428896881484305</v>
      </c>
      <c r="P307" s="188">
        <f>Table1[[#This Row],[kg HCFC-22 at retail-gate per kg of product]]*'Summary pivot'!$D$7</f>
        <v>0</v>
      </c>
    </row>
    <row r="308" spans="1:16">
      <c r="A308" s="52" t="s">
        <v>9</v>
      </c>
      <c r="B308" s="52" t="s">
        <v>237</v>
      </c>
      <c r="C308" t="s">
        <v>122</v>
      </c>
      <c r="D308" s="52" t="s">
        <v>128</v>
      </c>
      <c r="E308" s="5">
        <f>'Processed products'!B53</f>
        <v>1</v>
      </c>
      <c r="F308" s="750" t="str">
        <f>'Summary pivot'!$C$1</f>
        <v>GWP100 with fb AR6</v>
      </c>
      <c r="G308" s="188">
        <f>Table1[[#This Row],[kg CO2 at retail-gate per kg of product]]+Table1[[#This Row],[Kg CO2e from CH4 fossil]]+Table1[[#This Row],[Kg CO2e from N2O]]</f>
        <v>0.92534709787828962</v>
      </c>
      <c r="H308" s="188">
        <f>'Processed products'!F54</f>
        <v>0.72640616492261634</v>
      </c>
      <c r="I308" s="188">
        <f>'Processed products'!F55</f>
        <v>0</v>
      </c>
      <c r="J308" s="188">
        <v>0</v>
      </c>
      <c r="K308" s="188">
        <f>'Processed products'!F57</f>
        <v>7.2872136613799741E-4</v>
      </c>
      <c r="L308" s="188">
        <v>0</v>
      </c>
      <c r="M308" s="188">
        <f>Table1[[#This Row],[kg CH4 fossil at retail-gate per kg of product]]*'Summary pivot'!$D$5</f>
        <v>0</v>
      </c>
      <c r="N308" s="188">
        <f>Table1[[#This Row],[kg CH4 bio at retail-gate per kg of product]]*'Summary pivot'!$D$4</f>
        <v>0</v>
      </c>
      <c r="O308" s="188">
        <f>Table1[[#This Row],[kg N2O at retail-gate per kg of product]]*'Summary pivot'!$D$6</f>
        <v>0.19894093295567331</v>
      </c>
      <c r="P308" s="188">
        <f>Table1[[#This Row],[kg HCFC-22 at retail-gate per kg of product]]*'Summary pivot'!$D$7</f>
        <v>0</v>
      </c>
    </row>
    <row r="309" spans="1:16">
      <c r="A309" s="52" t="s">
        <v>9</v>
      </c>
      <c r="B309" s="52" t="s">
        <v>68</v>
      </c>
      <c r="C309" t="s">
        <v>122</v>
      </c>
      <c r="D309" s="52" t="s">
        <v>128</v>
      </c>
      <c r="E309" s="5">
        <f>'Processed products'!B59</f>
        <v>1</v>
      </c>
      <c r="F309" s="750" t="str">
        <f>'Summary pivot'!$C$1</f>
        <v>GWP100 with fb AR6</v>
      </c>
      <c r="G309" s="188">
        <f>Table1[[#This Row],[kg CO2 at retail-gate per kg of product]]+Table1[[#This Row],[Kg CO2e from CH4 fossil]]+Table1[[#This Row],[Kg CO2e from N2O]]</f>
        <v>0.93444698379801872</v>
      </c>
      <c r="H309" s="188">
        <f>'Processed products'!F60</f>
        <v>0.74687476023042842</v>
      </c>
      <c r="I309" s="188">
        <f>'Processed products'!F61</f>
        <v>0</v>
      </c>
      <c r="J309" s="188">
        <v>0</v>
      </c>
      <c r="K309" s="188">
        <f>'Processed products'!F63</f>
        <v>6.870777420058254E-4</v>
      </c>
      <c r="L309" s="188">
        <v>0</v>
      </c>
      <c r="M309" s="188">
        <f>Table1[[#This Row],[kg CH4 fossil at retail-gate per kg of product]]*'Summary pivot'!$D$5</f>
        <v>0</v>
      </c>
      <c r="N309" s="188">
        <f>Table1[[#This Row],[kg CH4 bio at retail-gate per kg of product]]*'Summary pivot'!$D$4</f>
        <v>0</v>
      </c>
      <c r="O309" s="188">
        <f>Table1[[#This Row],[kg N2O at retail-gate per kg of product]]*'Summary pivot'!$D$6</f>
        <v>0.18757222356759035</v>
      </c>
      <c r="P309" s="188">
        <f>Table1[[#This Row],[kg HCFC-22 at retail-gate per kg of product]]*'Summary pivot'!$D$7</f>
        <v>0</v>
      </c>
    </row>
    <row r="310" spans="1:16">
      <c r="A310" s="52" t="s">
        <v>9</v>
      </c>
      <c r="B310" s="52" t="s">
        <v>74</v>
      </c>
      <c r="C310" t="s">
        <v>122</v>
      </c>
      <c r="D310" s="52" t="s">
        <v>128</v>
      </c>
      <c r="E310" s="5">
        <f>'Processed products'!B65</f>
        <v>1</v>
      </c>
      <c r="F310" s="750" t="str">
        <f>'Summary pivot'!$C$1</f>
        <v>GWP100 with fb AR6</v>
      </c>
      <c r="G310" s="188">
        <f>Table1[[#This Row],[kg CO2 at retail-gate per kg of product]]+Table1[[#This Row],[Kg CO2e from CH4 fossil]]+Table1[[#This Row],[Kg CO2e from N2O]]</f>
        <v>0.98161509025015403</v>
      </c>
      <c r="H310" s="188">
        <f>'Processed products'!F66</f>
        <v>0.79815288880820734</v>
      </c>
      <c r="I310" s="188">
        <f>'Processed products'!F67</f>
        <v>0</v>
      </c>
      <c r="J310" s="188">
        <v>0</v>
      </c>
      <c r="K310" s="188">
        <f>'Processed products'!F69</f>
        <v>6.7202271590456652E-4</v>
      </c>
      <c r="L310" s="188">
        <v>0</v>
      </c>
      <c r="M310" s="188">
        <f>Table1[[#This Row],[kg CH4 fossil at retail-gate per kg of product]]*'Summary pivot'!$D$5</f>
        <v>0</v>
      </c>
      <c r="N310" s="188">
        <f>Table1[[#This Row],[kg CH4 bio at retail-gate per kg of product]]*'Summary pivot'!$D$4</f>
        <v>0</v>
      </c>
      <c r="O310" s="188">
        <f>Table1[[#This Row],[kg N2O at retail-gate per kg of product]]*'Summary pivot'!$D$6</f>
        <v>0.18346220144194667</v>
      </c>
      <c r="P310" s="188">
        <f>Table1[[#This Row],[kg HCFC-22 at retail-gate per kg of product]]*'Summary pivot'!$D$7</f>
        <v>0</v>
      </c>
    </row>
    <row r="311" spans="1:16">
      <c r="A311" s="52" t="s">
        <v>9</v>
      </c>
      <c r="B311" s="52" t="s">
        <v>80</v>
      </c>
      <c r="C311" t="s">
        <v>122</v>
      </c>
      <c r="D311" s="52" t="s">
        <v>128</v>
      </c>
      <c r="E311" s="5">
        <f>'Processed products'!B71</f>
        <v>1</v>
      </c>
      <c r="F311" s="750" t="str">
        <f>'Summary pivot'!$C$1</f>
        <v>GWP100 with fb AR6</v>
      </c>
      <c r="G311" s="188">
        <f>Table1[[#This Row],[kg CO2 at retail-gate per kg of product]]+Table1[[#This Row],[Kg CO2e from CH4 fossil]]+Table1[[#This Row],[Kg CO2e from N2O]]</f>
        <v>2.017068369704381</v>
      </c>
      <c r="H311" s="188">
        <f>'Processed products'!F72</f>
        <v>1.3694846710779336</v>
      </c>
      <c r="I311" s="188"/>
      <c r="J311" s="188">
        <f>'Processed products'!F73</f>
        <v>3.5625540860861601E-2</v>
      </c>
      <c r="K311" s="188">
        <f>'Processed products'!F75</f>
        <v>2.3721014601701365E-3</v>
      </c>
      <c r="L311" s="188">
        <v>0</v>
      </c>
      <c r="M311" s="188">
        <f>Table1[[#This Row],[kg CH4 fossil at retail-gate per kg of product]]*'Summary pivot'!$D$5</f>
        <v>0</v>
      </c>
      <c r="N311" s="188">
        <f>Table1[[#This Row],[kg CH4 bio at retail-gate per kg of product]]*'Summary pivot'!$D$4</f>
        <v>0.96188960324326322</v>
      </c>
      <c r="O311" s="188">
        <f>Table1[[#This Row],[kg N2O at retail-gate per kg of product]]*'Summary pivot'!$D$6</f>
        <v>0.64758369862644727</v>
      </c>
      <c r="P311" s="188">
        <f>Table1[[#This Row],[kg HCFC-22 at retail-gate per kg of product]]*'Summary pivot'!$D$7</f>
        <v>0</v>
      </c>
    </row>
    <row r="312" spans="1:16">
      <c r="A312" s="52" t="s">
        <v>9</v>
      </c>
      <c r="B312" s="52" t="s">
        <v>84</v>
      </c>
      <c r="C312" t="s">
        <v>122</v>
      </c>
      <c r="D312" s="52" t="s">
        <v>128</v>
      </c>
      <c r="E312" s="5">
        <f>'Processed products'!B77</f>
        <v>1</v>
      </c>
      <c r="F312" s="750" t="str">
        <f>'Summary pivot'!$C$1</f>
        <v>GWP100 with fb AR6</v>
      </c>
      <c r="G312" s="188">
        <f>Table1[[#This Row],[kg CO2 at retail-gate per kg of product]]+Table1[[#This Row],[Kg CO2e from CH4 fossil]]+Table1[[#This Row],[Kg CO2e from N2O]]</f>
        <v>2.8905801218282781</v>
      </c>
      <c r="H312" s="188">
        <f>'Processed products'!F78</f>
        <v>2.3812618957744904</v>
      </c>
      <c r="I312" s="188">
        <f>'Processed products'!F79</f>
        <v>0</v>
      </c>
      <c r="J312" s="188">
        <v>0</v>
      </c>
      <c r="K312" s="188">
        <f>'Processed products'!F81</f>
        <v>1.8656345276695512E-3</v>
      </c>
      <c r="L312" s="188">
        <v>0</v>
      </c>
      <c r="M312" s="188">
        <f>Table1[[#This Row],[kg CH4 fossil at retail-gate per kg of product]]*'Summary pivot'!$D$5</f>
        <v>0</v>
      </c>
      <c r="N312" s="188">
        <f>Table1[[#This Row],[kg CH4 bio at retail-gate per kg of product]]*'Summary pivot'!$D$4</f>
        <v>0</v>
      </c>
      <c r="O312" s="188">
        <f>Table1[[#This Row],[kg N2O at retail-gate per kg of product]]*'Summary pivot'!$D$6</f>
        <v>0.50931822605378752</v>
      </c>
      <c r="P312" s="188">
        <f>Table1[[#This Row],[kg HCFC-22 at retail-gate per kg of product]]*'Summary pivot'!$D$7</f>
        <v>0</v>
      </c>
    </row>
    <row r="313" spans="1:16">
      <c r="A313" s="52" t="s">
        <v>9</v>
      </c>
      <c r="B313" s="52" t="s">
        <v>88</v>
      </c>
      <c r="C313" t="s">
        <v>122</v>
      </c>
      <c r="D313" s="52" t="s">
        <v>128</v>
      </c>
      <c r="E313" s="5">
        <f>'Processed products'!B83</f>
        <v>1</v>
      </c>
      <c r="F313" s="750" t="str">
        <f>'Summary pivot'!$C$1</f>
        <v>GWP100 with fb AR6</v>
      </c>
      <c r="G313" s="188">
        <f>Table1[[#This Row],[kg CO2 at retail-gate per kg of product]]+Table1[[#This Row],[Kg CO2e from CH4 fossil]]+Table1[[#This Row],[Kg CO2e from N2O]]</f>
        <v>1.503165469627985</v>
      </c>
      <c r="H313" s="188">
        <f>'Processed products'!F84</f>
        <v>1.2547175544797959</v>
      </c>
      <c r="I313" s="188">
        <f>'Processed products'!F85</f>
        <v>0</v>
      </c>
      <c r="J313" s="188">
        <v>0</v>
      </c>
      <c r="K313" s="188">
        <f>'Processed products'!F87</f>
        <v>9.1006562325343979E-4</v>
      </c>
      <c r="L313" s="188">
        <v>0</v>
      </c>
      <c r="M313" s="188">
        <f>Table1[[#This Row],[kg CH4 fossil at retail-gate per kg of product]]*'Summary pivot'!$D$5</f>
        <v>0</v>
      </c>
      <c r="N313" s="188">
        <f>Table1[[#This Row],[kg CH4 bio at retail-gate per kg of product]]*'Summary pivot'!$D$4</f>
        <v>0</v>
      </c>
      <c r="O313" s="188">
        <f>Table1[[#This Row],[kg N2O at retail-gate per kg of product]]*'Summary pivot'!$D$6</f>
        <v>0.24844791514818906</v>
      </c>
      <c r="P313" s="188">
        <f>Table1[[#This Row],[kg HCFC-22 at retail-gate per kg of product]]*'Summary pivot'!$D$7</f>
        <v>0</v>
      </c>
    </row>
    <row r="314" spans="1:16">
      <c r="A314" s="52" t="s">
        <v>9</v>
      </c>
      <c r="B314" s="52" t="s">
        <v>92</v>
      </c>
      <c r="C314" t="s">
        <v>122</v>
      </c>
      <c r="D314" s="52" t="s">
        <v>128</v>
      </c>
      <c r="E314" s="5">
        <f>'Processed products'!B89</f>
        <v>1</v>
      </c>
      <c r="F314" s="750" t="str">
        <f>'Summary pivot'!$C$1</f>
        <v>GWP100 with fb AR6</v>
      </c>
      <c r="G314" s="188">
        <f>Table1[[#This Row],[kg CO2 at retail-gate per kg of product]]+Table1[[#This Row],[Kg CO2e from CH4 fossil]]+Table1[[#This Row],[Kg CO2e from N2O]]</f>
        <v>1.753593682051483</v>
      </c>
      <c r="H314" s="188">
        <f>'Processed products'!F90</f>
        <v>1.3657337045775526</v>
      </c>
      <c r="I314" s="188">
        <f>'Processed products'!F91</f>
        <v>0</v>
      </c>
      <c r="J314" s="188">
        <v>0</v>
      </c>
      <c r="K314" s="188">
        <f>'Processed products'!F93</f>
        <v>1.4207325182195255E-3</v>
      </c>
      <c r="L314" s="188">
        <v>0</v>
      </c>
      <c r="M314" s="188">
        <f>Table1[[#This Row],[kg CH4 fossil at retail-gate per kg of product]]*'Summary pivot'!$D$5</f>
        <v>0</v>
      </c>
      <c r="N314" s="188">
        <f>Table1[[#This Row],[kg CH4 bio at retail-gate per kg of product]]*'Summary pivot'!$D$4</f>
        <v>0</v>
      </c>
      <c r="O314" s="188">
        <f>Table1[[#This Row],[kg N2O at retail-gate per kg of product]]*'Summary pivot'!$D$6</f>
        <v>0.38785997747393047</v>
      </c>
      <c r="P314" s="188">
        <f>Table1[[#This Row],[kg HCFC-22 at retail-gate per kg of product]]*'Summary pivot'!$D$7</f>
        <v>0</v>
      </c>
    </row>
    <row r="315" spans="1:16">
      <c r="A315" s="52" t="s">
        <v>9</v>
      </c>
      <c r="B315" s="52" t="s">
        <v>95</v>
      </c>
      <c r="C315" t="s">
        <v>122</v>
      </c>
      <c r="D315" s="52" t="s">
        <v>128</v>
      </c>
      <c r="E315" s="5">
        <f>'Processed products'!B95</f>
        <v>1</v>
      </c>
      <c r="F315" s="750" t="str">
        <f>'Summary pivot'!$C$1</f>
        <v>GWP100 with fb AR6</v>
      </c>
      <c r="G315" s="188">
        <f>Table1[[#This Row],[kg CO2 at retail-gate per kg of product]]+Table1[[#This Row],[Kg CO2e from CH4 fossil]]+Table1[[#This Row],[Kg CO2e from N2O]]</f>
        <v>0.40091244990951863</v>
      </c>
      <c r="H315" s="188">
        <f>'Processed products'!F96</f>
        <v>0.37674199316613521</v>
      </c>
      <c r="I315" s="188">
        <f>'Processed products'!F97</f>
        <v>0</v>
      </c>
      <c r="J315" s="188">
        <v>0</v>
      </c>
      <c r="K315" s="188">
        <f>'Processed products'!F99</f>
        <v>8.8536471587485026E-5</v>
      </c>
      <c r="L315" s="188">
        <v>0</v>
      </c>
      <c r="M315" s="188">
        <f>Table1[[#This Row],[kg CH4 fossil at retail-gate per kg of product]]*'Summary pivot'!$D$5</f>
        <v>0</v>
      </c>
      <c r="N315" s="188">
        <f>Table1[[#This Row],[kg CH4 bio at retail-gate per kg of product]]*'Summary pivot'!$D$4</f>
        <v>0</v>
      </c>
      <c r="O315" s="188">
        <f>Table1[[#This Row],[kg N2O at retail-gate per kg of product]]*'Summary pivot'!$D$6</f>
        <v>2.4170456743383414E-2</v>
      </c>
      <c r="P315" s="188">
        <f>Table1[[#This Row],[kg HCFC-22 at retail-gate per kg of product]]*'Summary pivot'!$D$7</f>
        <v>0</v>
      </c>
    </row>
    <row r="316" spans="1:16">
      <c r="A316" s="52" t="s">
        <v>9</v>
      </c>
      <c r="B316" s="52" t="s">
        <v>96</v>
      </c>
      <c r="C316" t="s">
        <v>122</v>
      </c>
      <c r="D316" s="52" t="s">
        <v>128</v>
      </c>
      <c r="E316" s="5">
        <f>'Processed products'!B101</f>
        <v>1</v>
      </c>
      <c r="F316" s="750" t="str">
        <f>'Summary pivot'!$C$1</f>
        <v>GWP100 with fb AR6</v>
      </c>
      <c r="G316" s="188">
        <f>Table1[[#This Row],[kg CO2 at retail-gate per kg of product]]+Table1[[#This Row],[Kg CO2e from CH4 fossil]]+Table1[[#This Row],[Kg CO2e from N2O]]</f>
        <v>0.48576512181749548</v>
      </c>
      <c r="H316" s="188">
        <f>'Processed products'!F102</f>
        <v>0.45792929332701304</v>
      </c>
      <c r="I316" s="188">
        <f>'Processed products'!F103</f>
        <v>0</v>
      </c>
      <c r="J316" s="188">
        <v>0</v>
      </c>
      <c r="K316" s="188">
        <f>'Processed products'!F105</f>
        <v>1.0196274172337891E-4</v>
      </c>
      <c r="L316" s="188">
        <v>0</v>
      </c>
      <c r="M316" s="188">
        <f>Table1[[#This Row],[kg CH4 fossil at retail-gate per kg of product]]*'Summary pivot'!$D$5</f>
        <v>0</v>
      </c>
      <c r="N316" s="188">
        <f>Table1[[#This Row],[kg CH4 bio at retail-gate per kg of product]]*'Summary pivot'!$D$4</f>
        <v>0</v>
      </c>
      <c r="O316" s="188">
        <f>Table1[[#This Row],[kg N2O at retail-gate per kg of product]]*'Summary pivot'!$D$6</f>
        <v>2.7835828490482443E-2</v>
      </c>
      <c r="P316" s="188">
        <f>Table1[[#This Row],[kg HCFC-22 at retail-gate per kg of product]]*'Summary pivot'!$D$7</f>
        <v>0</v>
      </c>
    </row>
    <row r="317" spans="1:16">
      <c r="A317" s="52" t="s">
        <v>9</v>
      </c>
      <c r="B317" s="52" t="s">
        <v>97</v>
      </c>
      <c r="C317" t="s">
        <v>120</v>
      </c>
      <c r="D317" s="52" t="s">
        <v>128</v>
      </c>
      <c r="E317" s="5">
        <f>'Processed products'!B107</f>
        <v>1</v>
      </c>
      <c r="F317" s="750" t="str">
        <f>'Summary pivot'!$C$1</f>
        <v>GWP100 with fb AR6</v>
      </c>
      <c r="G317" s="188">
        <f>Table1[[#This Row],[kg CO2 at retail-gate per kg of product]]+Table1[[#This Row],[Kg CO2e from CH4 fossil]]+Table1[[#This Row],[Kg CO2e from N2O]]</f>
        <v>0.43013148072099466</v>
      </c>
      <c r="H317" s="188">
        <f>'Processed products'!F108</f>
        <v>0.38600555340437193</v>
      </c>
      <c r="I317" s="188">
        <f>'Processed products'!F109</f>
        <v>0</v>
      </c>
      <c r="J317" s="188">
        <v>0</v>
      </c>
      <c r="K317" s="188">
        <f>'Processed products'!F111</f>
        <v>1.6163343339422253E-4</v>
      </c>
      <c r="L317" s="188">
        <v>0</v>
      </c>
      <c r="M317" s="188">
        <f>Table1[[#This Row],[kg CH4 fossil at retail-gate per kg of product]]*'Summary pivot'!$D$5</f>
        <v>0</v>
      </c>
      <c r="N317" s="188">
        <f>Table1[[#This Row],[kg CH4 bio at retail-gate per kg of product]]*'Summary pivot'!$D$4</f>
        <v>0</v>
      </c>
      <c r="O317" s="188">
        <f>Table1[[#This Row],[kg N2O at retail-gate per kg of product]]*'Summary pivot'!$D$6</f>
        <v>4.4125927316622751E-2</v>
      </c>
      <c r="P317" s="188">
        <f>Table1[[#This Row],[kg HCFC-22 at retail-gate per kg of product]]*'Summary pivot'!$D$7</f>
        <v>0</v>
      </c>
    </row>
    <row r="318" spans="1:16">
      <c r="A318" s="52" t="s">
        <v>9</v>
      </c>
      <c r="B318" s="52" t="s">
        <v>97</v>
      </c>
      <c r="C318" t="s">
        <v>122</v>
      </c>
      <c r="D318" s="52" t="s">
        <v>128</v>
      </c>
      <c r="E318" s="5">
        <f>'Processed products'!B112</f>
        <v>0.76</v>
      </c>
      <c r="F318" s="750" t="str">
        <f>'Summary pivot'!$C$1</f>
        <v>GWP100 with fb AR6</v>
      </c>
      <c r="G318" s="188">
        <f>Table1[[#This Row],[kg CO2 at retail-gate per kg of product]]+Table1[[#This Row],[Kg CO2e from CH4 fossil]]+Table1[[#This Row],[Kg CO2e from N2O]]</f>
        <v>0.40427006571679175</v>
      </c>
      <c r="H318" s="188">
        <f>'Processed products'!F113</f>
        <v>0.34620963503702495</v>
      </c>
      <c r="I318" s="188">
        <f>'Processed products'!F114</f>
        <v>0</v>
      </c>
      <c r="J318" s="188">
        <v>0</v>
      </c>
      <c r="K318" s="188">
        <f>'Processed products'!F116</f>
        <v>2.1267557025555594E-4</v>
      </c>
      <c r="L318" s="188">
        <v>0</v>
      </c>
      <c r="M318" s="188">
        <f>Table1[[#This Row],[kg CH4 fossil at retail-gate per kg of product]]*'Summary pivot'!$D$5</f>
        <v>0</v>
      </c>
      <c r="N318" s="188">
        <f>Table1[[#This Row],[kg CH4 bio at retail-gate per kg of product]]*'Summary pivot'!$D$4</f>
        <v>0</v>
      </c>
      <c r="O318" s="188">
        <f>Table1[[#This Row],[kg N2O at retail-gate per kg of product]]*'Summary pivot'!$D$6</f>
        <v>5.8060430679766774E-2</v>
      </c>
      <c r="P318" s="188">
        <f>Table1[[#This Row],[kg HCFC-22 at retail-gate per kg of product]]*'Summary pivot'!$D$7</f>
        <v>0</v>
      </c>
    </row>
    <row r="319" spans="1:16">
      <c r="A319" s="52" t="s">
        <v>9</v>
      </c>
      <c r="B319" s="52" t="s">
        <v>97</v>
      </c>
      <c r="C319" t="s">
        <v>176</v>
      </c>
      <c r="D319" s="52" t="s">
        <v>128</v>
      </c>
      <c r="E319" s="5">
        <f>'Processed products'!B117</f>
        <v>0.09</v>
      </c>
      <c r="F319" s="750" t="str">
        <f>'Summary pivot'!$C$1</f>
        <v>GWP100 with fb AR6</v>
      </c>
      <c r="G319" s="188">
        <f>Table1[[#This Row],[kg CO2 at retail-gate per kg of product]]+Table1[[#This Row],[Kg CO2e from CH4 fossil]]+Table1[[#This Row],[Kg CO2e from N2O]]</f>
        <v>0.39723004320029026</v>
      </c>
      <c r="H319" s="188">
        <f>'Processed products'!F118</f>
        <v>0.39723004320029026</v>
      </c>
      <c r="I319" s="188">
        <f>'Processed products'!F119</f>
        <v>0</v>
      </c>
      <c r="J319" s="188">
        <v>0</v>
      </c>
      <c r="K319" s="188">
        <f>'Processed products'!F121</f>
        <v>0</v>
      </c>
      <c r="L319" s="188">
        <v>0</v>
      </c>
      <c r="M319" s="188">
        <f>Table1[[#This Row],[kg CH4 fossil at retail-gate per kg of product]]*'Summary pivot'!$D$5</f>
        <v>0</v>
      </c>
      <c r="N319" s="188">
        <f>Table1[[#This Row],[kg CH4 bio at retail-gate per kg of product]]*'Summary pivot'!$D$4</f>
        <v>0</v>
      </c>
      <c r="O319" s="188">
        <f>Table1[[#This Row],[kg N2O at retail-gate per kg of product]]*'Summary pivot'!$D$6</f>
        <v>0</v>
      </c>
      <c r="P319" s="188">
        <f>Table1[[#This Row],[kg HCFC-22 at retail-gate per kg of product]]*'Summary pivot'!$D$7</f>
        <v>0</v>
      </c>
    </row>
    <row r="320" spans="1:16">
      <c r="A320" s="52" t="s">
        <v>9</v>
      </c>
      <c r="B320" s="52" t="s">
        <v>97</v>
      </c>
      <c r="C320" t="s">
        <v>125</v>
      </c>
      <c r="D320" s="52" t="s">
        <v>128</v>
      </c>
      <c r="E320" s="5">
        <f>'Processed products'!B122</f>
        <v>0.15</v>
      </c>
      <c r="F320" s="750" t="str">
        <f>'Summary pivot'!$C$1</f>
        <v>GWP100 with fb AR6</v>
      </c>
      <c r="G320" s="188">
        <f>Table1[[#This Row],[kg CO2 at retail-gate per kg of product]]+Table1[[#This Row],[Kg CO2e from CH4 fossil]]+Table1[[#This Row],[Kg CO2e from N2O]]</f>
        <v>0.5809035125880454</v>
      </c>
      <c r="H320" s="188">
        <f>'Processed products'!F123</f>
        <v>0.5809035125880454</v>
      </c>
      <c r="I320" s="188">
        <f>'Processed products'!F124</f>
        <v>0</v>
      </c>
      <c r="J320" s="188">
        <v>0</v>
      </c>
      <c r="K320" s="188">
        <f>'Processed products'!F126</f>
        <v>0</v>
      </c>
      <c r="L320" s="188">
        <v>0</v>
      </c>
      <c r="M320" s="188">
        <f>Table1[[#This Row],[kg CH4 fossil at retail-gate per kg of product]]*'Summary pivot'!$D$5</f>
        <v>0</v>
      </c>
      <c r="N320" s="188">
        <f>Table1[[#This Row],[kg CH4 bio at retail-gate per kg of product]]*'Summary pivot'!$D$4</f>
        <v>0</v>
      </c>
      <c r="O320" s="188">
        <f>Table1[[#This Row],[kg N2O at retail-gate per kg of product]]*'Summary pivot'!$D$6</f>
        <v>0</v>
      </c>
      <c r="P320" s="188">
        <f>Table1[[#This Row],[kg HCFC-22 at retail-gate per kg of product]]*'Summary pivot'!$D$7</f>
        <v>0</v>
      </c>
    </row>
    <row r="321" spans="1:16">
      <c r="A321" s="52" t="s">
        <v>9</v>
      </c>
      <c r="B321" s="52" t="s">
        <v>98</v>
      </c>
      <c r="C321" t="s">
        <v>120</v>
      </c>
      <c r="D321" s="52" t="s">
        <v>128</v>
      </c>
      <c r="E321" s="5">
        <f>'Processed products'!B128</f>
        <v>1</v>
      </c>
      <c r="F321" s="750" t="str">
        <f>'Summary pivot'!$C$1</f>
        <v>GWP100 with fb AR6</v>
      </c>
      <c r="G321" s="188">
        <f>Table1[[#This Row],[kg CO2 at retail-gate per kg of product]]+Table1[[#This Row],[Kg CO2e from CH4 fossil]]+Table1[[#This Row],[Kg CO2e from N2O]]</f>
        <v>0.27724057772117233</v>
      </c>
      <c r="H321" s="188">
        <f>'Processed products'!F129</f>
        <v>0.27724057772117233</v>
      </c>
      <c r="I321" s="188">
        <f>'Processed products'!F130</f>
        <v>0</v>
      </c>
      <c r="J321" s="188">
        <v>0</v>
      </c>
      <c r="K321" s="188">
        <f>'Processed products'!F132</f>
        <v>0</v>
      </c>
      <c r="L321" s="188">
        <v>0</v>
      </c>
      <c r="M321" s="188">
        <f>Table1[[#This Row],[kg CH4 fossil at retail-gate per kg of product]]*'Summary pivot'!$D$5</f>
        <v>0</v>
      </c>
      <c r="N321" s="188">
        <f>Table1[[#This Row],[kg CH4 bio at retail-gate per kg of product]]*'Summary pivot'!$D$4</f>
        <v>0</v>
      </c>
      <c r="O321" s="188">
        <f>Table1[[#This Row],[kg N2O at retail-gate per kg of product]]*'Summary pivot'!$D$6</f>
        <v>0</v>
      </c>
      <c r="P321" s="188">
        <f>Table1[[#This Row],[kg HCFC-22 at retail-gate per kg of product]]*'Summary pivot'!$D$7</f>
        <v>0</v>
      </c>
    </row>
    <row r="322" spans="1:16">
      <c r="A322" s="52" t="s">
        <v>9</v>
      </c>
      <c r="B322" s="52" t="s">
        <v>98</v>
      </c>
      <c r="C322" t="s">
        <v>122</v>
      </c>
      <c r="D322" s="52" t="s">
        <v>128</v>
      </c>
      <c r="E322" s="5">
        <f>'Processed products'!B133</f>
        <v>0.62424968014597004</v>
      </c>
      <c r="F322" s="750" t="str">
        <f>'Summary pivot'!$C$1</f>
        <v>GWP100 with fb AR6</v>
      </c>
      <c r="G322" s="188">
        <f>Table1[[#This Row],[kg CO2 at retail-gate per kg of product]]+Table1[[#This Row],[Kg CO2e from CH4 fossil]]+Table1[[#This Row],[Kg CO2e from N2O]]</f>
        <v>0.23</v>
      </c>
      <c r="H322" s="188">
        <f>'Processed products'!F134</f>
        <v>0.23</v>
      </c>
      <c r="I322" s="188">
        <f>'Processed products'!F135</f>
        <v>0</v>
      </c>
      <c r="J322" s="188">
        <v>0</v>
      </c>
      <c r="K322" s="188">
        <f>'Processed products'!F137</f>
        <v>0</v>
      </c>
      <c r="L322" s="188">
        <v>0</v>
      </c>
      <c r="M322" s="188">
        <f>Table1[[#This Row],[kg CH4 fossil at retail-gate per kg of product]]*'Summary pivot'!$D$5</f>
        <v>0</v>
      </c>
      <c r="N322" s="188">
        <f>Table1[[#This Row],[kg CH4 bio at retail-gate per kg of product]]*'Summary pivot'!$D$4</f>
        <v>0</v>
      </c>
      <c r="O322" s="188">
        <f>Table1[[#This Row],[kg N2O at retail-gate per kg of product]]*'Summary pivot'!$D$6</f>
        <v>0</v>
      </c>
      <c r="P322" s="188">
        <f>Table1[[#This Row],[kg HCFC-22 at retail-gate per kg of product]]*'Summary pivot'!$D$7</f>
        <v>0</v>
      </c>
    </row>
    <row r="323" spans="1:16">
      <c r="A323" s="52" t="s">
        <v>9</v>
      </c>
      <c r="B323" s="52" t="s">
        <v>98</v>
      </c>
      <c r="C323" t="s">
        <v>217</v>
      </c>
      <c r="D323" s="52" t="s">
        <v>128</v>
      </c>
      <c r="E323" s="5">
        <f>'Processed products'!B138</f>
        <v>0.21767775469585898</v>
      </c>
      <c r="F323" s="750" t="str">
        <f>'Summary pivot'!$C$1</f>
        <v>GWP100 with fb AR6</v>
      </c>
      <c r="G323" s="188">
        <f>Table1[[#This Row],[kg CO2 at retail-gate per kg of product]]+Table1[[#This Row],[Kg CO2e from CH4 fossil]]+Table1[[#This Row],[Kg CO2e from N2O]]</f>
        <v>0.28000000000000003</v>
      </c>
      <c r="H323" s="188">
        <f>'Processed products'!F139</f>
        <v>0.28000000000000003</v>
      </c>
      <c r="I323" s="188">
        <f>'Processed products'!F140</f>
        <v>0</v>
      </c>
      <c r="J323" s="188">
        <v>0</v>
      </c>
      <c r="K323" s="188">
        <f>'Processed products'!F142</f>
        <v>0</v>
      </c>
      <c r="L323" s="188">
        <v>0</v>
      </c>
      <c r="M323" s="188">
        <f>Table1[[#This Row],[kg CH4 fossil at retail-gate per kg of product]]*'Summary pivot'!$D$5</f>
        <v>0</v>
      </c>
      <c r="N323" s="188">
        <f>Table1[[#This Row],[kg CH4 bio at retail-gate per kg of product]]*'Summary pivot'!$D$4</f>
        <v>0</v>
      </c>
      <c r="O323" s="188">
        <f>Table1[[#This Row],[kg N2O at retail-gate per kg of product]]*'Summary pivot'!$D$6</f>
        <v>0</v>
      </c>
      <c r="P323" s="188">
        <f>Table1[[#This Row],[kg HCFC-22 at retail-gate per kg of product]]*'Summary pivot'!$D$7</f>
        <v>0</v>
      </c>
    </row>
    <row r="324" spans="1:16">
      <c r="A324" s="52" t="s">
        <v>9</v>
      </c>
      <c r="B324" s="52" t="s">
        <v>98</v>
      </c>
      <c r="C324" t="s">
        <v>125</v>
      </c>
      <c r="D324" s="52" t="s">
        <v>128</v>
      </c>
      <c r="E324" s="5">
        <f>'Processed products'!B143</f>
        <v>0.158072565158171</v>
      </c>
      <c r="F324" s="750" t="str">
        <f>'Summary pivot'!$C$1</f>
        <v>GWP100 with fb AR6</v>
      </c>
      <c r="G324" s="188">
        <f>Table1[[#This Row],[kg CO2 at retail-gate per kg of product]]+Table1[[#This Row],[Kg CO2e from CH4 fossil]]+Table1[[#This Row],[Kg CO2e from N2O]]</f>
        <v>0.46</v>
      </c>
      <c r="H324" s="188">
        <f>'Processed products'!F144</f>
        <v>0.46</v>
      </c>
      <c r="I324" s="188">
        <f>'Processed products'!F145</f>
        <v>0</v>
      </c>
      <c r="J324" s="188">
        <v>0</v>
      </c>
      <c r="K324" s="188">
        <f>'Processed products'!F147</f>
        <v>0</v>
      </c>
      <c r="L324" s="188">
        <v>0</v>
      </c>
      <c r="M324" s="188">
        <f>Table1[[#This Row],[kg CH4 fossil at retail-gate per kg of product]]*'Summary pivot'!$D$5</f>
        <v>0</v>
      </c>
      <c r="N324" s="188">
        <f>Table1[[#This Row],[kg CH4 bio at retail-gate per kg of product]]*'Summary pivot'!$D$4</f>
        <v>0</v>
      </c>
      <c r="O324" s="188">
        <f>Table1[[#This Row],[kg N2O at retail-gate per kg of product]]*'Summary pivot'!$D$6</f>
        <v>0</v>
      </c>
      <c r="P324" s="188">
        <f>Table1[[#This Row],[kg HCFC-22 at retail-gate per kg of product]]*'Summary pivot'!$D$7</f>
        <v>0</v>
      </c>
    </row>
    <row r="325" spans="1:16">
      <c r="A325" s="52" t="s">
        <v>9</v>
      </c>
      <c r="B325" s="52" t="s">
        <v>238</v>
      </c>
      <c r="C325" t="s">
        <v>122</v>
      </c>
      <c r="D325" s="52" t="s">
        <v>128</v>
      </c>
      <c r="E325" s="5">
        <f>'Processed products'!B149</f>
        <v>1</v>
      </c>
      <c r="F325" s="750" t="str">
        <f>'Summary pivot'!$C$1</f>
        <v>GWP100 with fb AR6</v>
      </c>
      <c r="G325" s="188">
        <f>Table1[[#This Row],[kg CO2 at retail-gate per kg of product]]+Table1[[#This Row],[Kg CO2e from CH4 fossil]]+Table1[[#This Row],[Kg CO2e from N2O]]</f>
        <v>1.0166647197116343</v>
      </c>
      <c r="H325" s="188">
        <f>'Processed products'!F150</f>
        <v>0.94776539311095243</v>
      </c>
      <c r="I325" s="188">
        <f>'Processed products'!F151</f>
        <v>0</v>
      </c>
      <c r="J325" s="188">
        <v>0</v>
      </c>
      <c r="K325" s="188">
        <f>'Processed products'!F153</f>
        <v>2.5237848571678378E-4</v>
      </c>
      <c r="L325" s="188">
        <v>0</v>
      </c>
      <c r="M325" s="188">
        <f>Table1[[#This Row],[kg CH4 fossil at retail-gate per kg of product]]*'Summary pivot'!$D$5</f>
        <v>0</v>
      </c>
      <c r="N325" s="188">
        <f>Table1[[#This Row],[kg CH4 bio at retail-gate per kg of product]]*'Summary pivot'!$D$4</f>
        <v>0</v>
      </c>
      <c r="O325" s="188">
        <f>Table1[[#This Row],[kg N2O at retail-gate per kg of product]]*'Summary pivot'!$D$6</f>
        <v>6.8899326600681973E-2</v>
      </c>
      <c r="P325" s="188">
        <f>Table1[[#This Row],[kg HCFC-22 at retail-gate per kg of product]]*'Summary pivot'!$D$7</f>
        <v>0</v>
      </c>
    </row>
    <row r="326" spans="1:16">
      <c r="A326" s="52" t="s">
        <v>9</v>
      </c>
      <c r="B326" s="52" t="s">
        <v>239</v>
      </c>
      <c r="C326" t="s">
        <v>122</v>
      </c>
      <c r="D326" s="52" t="s">
        <v>128</v>
      </c>
      <c r="E326" s="5">
        <f>'Processed products'!B155</f>
        <v>0.5</v>
      </c>
      <c r="F326" s="750" t="str">
        <f>'Summary pivot'!$C$1</f>
        <v>GWP100 with fb AR6</v>
      </c>
      <c r="G326" s="188">
        <f>Table1[[#This Row],[kg CO2 at retail-gate per kg of product]]+Table1[[#This Row],[Kg CO2e from CH4 fossil]]+Table1[[#This Row],[Kg CO2e from N2O]]</f>
        <v>1.3267854427925119</v>
      </c>
      <c r="H326" s="188">
        <f>'Processed products'!F156</f>
        <v>1.2116317064197362</v>
      </c>
      <c r="I326" s="188">
        <f>'Processed products'!F157</f>
        <v>0</v>
      </c>
      <c r="J326" s="188">
        <v>0</v>
      </c>
      <c r="K326" s="188">
        <f>'Processed products'!F159</f>
        <v>4.218085581420356E-4</v>
      </c>
      <c r="L326" s="188">
        <v>0</v>
      </c>
      <c r="M326" s="188">
        <f>Table1[[#This Row],[kg CH4 fossil at retail-gate per kg of product]]*'Summary pivot'!$D$5</f>
        <v>0</v>
      </c>
      <c r="N326" s="188">
        <f>Table1[[#This Row],[kg CH4 bio at retail-gate per kg of product]]*'Summary pivot'!$D$4</f>
        <v>0</v>
      </c>
      <c r="O326" s="188">
        <f>Table1[[#This Row],[kg N2O at retail-gate per kg of product]]*'Summary pivot'!$D$6</f>
        <v>0.11515373637277572</v>
      </c>
      <c r="P326" s="188">
        <f>Table1[[#This Row],[kg HCFC-22 at retail-gate per kg of product]]*'Summary pivot'!$D$7</f>
        <v>0</v>
      </c>
    </row>
    <row r="327" spans="1:16">
      <c r="A327" s="52" t="s">
        <v>9</v>
      </c>
      <c r="B327" s="52" t="s">
        <v>240</v>
      </c>
      <c r="C327" t="s">
        <v>122</v>
      </c>
      <c r="D327" s="52" t="s">
        <v>128</v>
      </c>
      <c r="E327" s="5">
        <f>'Processed products'!B161</f>
        <v>0.5</v>
      </c>
      <c r="F327" s="750" t="str">
        <f>'Summary pivot'!$C$1</f>
        <v>GWP100 with fb AR6</v>
      </c>
      <c r="G327" s="188">
        <f>Table1[[#This Row],[kg CO2 at retail-gate per kg of product]]+Table1[[#This Row],[Kg CO2e from CH4 fossil]]+Table1[[#This Row],[Kg CO2e from N2O]]</f>
        <v>0.70654399663075707</v>
      </c>
      <c r="H327" s="188">
        <f>'Processed products'!F162</f>
        <v>0.6838990798021688</v>
      </c>
      <c r="I327" s="188">
        <f>'Processed products'!F163</f>
        <v>0</v>
      </c>
      <c r="J327" s="188">
        <v>0</v>
      </c>
      <c r="K327" s="188">
        <f>'Processed products'!F165</f>
        <v>8.2948413291531958E-5</v>
      </c>
      <c r="L327" s="188">
        <v>0</v>
      </c>
      <c r="M327" s="188">
        <f>Table1[[#This Row],[kg CH4 fossil at retail-gate per kg of product]]*'Summary pivot'!$D$5</f>
        <v>0</v>
      </c>
      <c r="N327" s="188">
        <f>Table1[[#This Row],[kg CH4 bio at retail-gate per kg of product]]*'Summary pivot'!$D$4</f>
        <v>0</v>
      </c>
      <c r="O327" s="188">
        <f>Table1[[#This Row],[kg N2O at retail-gate per kg of product]]*'Summary pivot'!$D$6</f>
        <v>2.2644916828588223E-2</v>
      </c>
      <c r="P327" s="188">
        <f>Table1[[#This Row],[kg HCFC-22 at retail-gate per kg of product]]*'Summary pivot'!$D$7</f>
        <v>0</v>
      </c>
    </row>
    <row r="328" spans="1:16" ht="30">
      <c r="A328" s="52" t="s">
        <v>9</v>
      </c>
      <c r="B328" s="52" t="s">
        <v>241</v>
      </c>
      <c r="C328" t="s">
        <v>122</v>
      </c>
      <c r="D328" s="52" t="s">
        <v>128</v>
      </c>
      <c r="E328" s="5">
        <f>'Processed products'!B167</f>
        <v>1</v>
      </c>
      <c r="F328" s="750" t="str">
        <f>'Summary pivot'!$C$1</f>
        <v>GWP100 with fb AR6</v>
      </c>
      <c r="G328" s="188">
        <f>Table1[[#This Row],[kg CO2 at retail-gate per kg of product]]+Table1[[#This Row],[Kg CO2e from CH4 fossil]]+Table1[[#This Row],[Kg CO2e from N2O]]</f>
        <v>1.0754123680646672</v>
      </c>
      <c r="H328" s="188">
        <f>'Processed products'!F168</f>
        <v>0.89170877631447931</v>
      </c>
      <c r="I328" s="188">
        <f>'Processed products'!F169</f>
        <v>0</v>
      </c>
      <c r="J328" s="188">
        <v>0</v>
      </c>
      <c r="K328" s="188">
        <f>'Processed products'!F171</f>
        <v>6.7290692948786756E-4</v>
      </c>
      <c r="L328" s="188">
        <v>0</v>
      </c>
      <c r="M328" s="188">
        <f>Table1[[#This Row],[kg CH4 fossil at retail-gate per kg of product]]*'Summary pivot'!$D$5</f>
        <v>0</v>
      </c>
      <c r="N328" s="188">
        <f>Table1[[#This Row],[kg CH4 bio at retail-gate per kg of product]]*'Summary pivot'!$D$4</f>
        <v>0</v>
      </c>
      <c r="O328" s="188">
        <f>Table1[[#This Row],[kg N2O at retail-gate per kg of product]]*'Summary pivot'!$D$6</f>
        <v>0.18370359175018786</v>
      </c>
      <c r="P328" s="188">
        <f>Table1[[#This Row],[kg HCFC-22 at retail-gate per kg of product]]*'Summary pivot'!$D$7</f>
        <v>0</v>
      </c>
    </row>
    <row r="329" spans="1:16" ht="30">
      <c r="A329" s="52" t="s">
        <v>9</v>
      </c>
      <c r="B329" s="52" t="s">
        <v>242</v>
      </c>
      <c r="C329" t="s">
        <v>122</v>
      </c>
      <c r="D329" s="52" t="s">
        <v>128</v>
      </c>
      <c r="E329" s="5">
        <f>'Processed products'!B173</f>
        <v>0.5</v>
      </c>
      <c r="F329" s="750" t="str">
        <f>'Summary pivot'!$C$1</f>
        <v>GWP100 with fb AR6</v>
      </c>
      <c r="G329" s="188">
        <f>Table1[[#This Row],[kg CO2 at retail-gate per kg of product]]+Table1[[#This Row],[Kg CO2e from CH4 fossil]]+Table1[[#This Row],[Kg CO2e from N2O]]</f>
        <v>1.0391745911851336</v>
      </c>
      <c r="H329" s="188">
        <f>'Processed products'!F174</f>
        <v>0.9596237176003406</v>
      </c>
      <c r="I329" s="188">
        <f>'Processed products'!F175</f>
        <v>0</v>
      </c>
      <c r="J329" s="188">
        <v>0</v>
      </c>
      <c r="K329" s="188">
        <f>'Processed products'!F177</f>
        <v>2.9139514133623792E-4</v>
      </c>
      <c r="L329" s="188">
        <v>0</v>
      </c>
      <c r="M329" s="188">
        <f>Table1[[#This Row],[kg CH4 fossil at retail-gate per kg of product]]*'Summary pivot'!$D$5</f>
        <v>0</v>
      </c>
      <c r="N329" s="188">
        <f>Table1[[#This Row],[kg CH4 bio at retail-gate per kg of product]]*'Summary pivot'!$D$4</f>
        <v>0</v>
      </c>
      <c r="O329" s="188">
        <f>Table1[[#This Row],[kg N2O at retail-gate per kg of product]]*'Summary pivot'!$D$6</f>
        <v>7.9550873584792958E-2</v>
      </c>
      <c r="P329" s="188">
        <f>Table1[[#This Row],[kg HCFC-22 at retail-gate per kg of product]]*'Summary pivot'!$D$7</f>
        <v>0</v>
      </c>
    </row>
    <row r="330" spans="1:16" ht="30">
      <c r="A330" s="52" t="s">
        <v>9</v>
      </c>
      <c r="B330" s="52" t="s">
        <v>243</v>
      </c>
      <c r="C330" t="s">
        <v>122</v>
      </c>
      <c r="D330" s="52" t="s">
        <v>128</v>
      </c>
      <c r="E330" s="5">
        <f>'Processed products'!B179</f>
        <v>0.5</v>
      </c>
      <c r="F330" s="750" t="str">
        <f>'Summary pivot'!$C$1</f>
        <v>GWP100 with fb AR6</v>
      </c>
      <c r="G330" s="188">
        <f>Table1[[#This Row],[kg CO2 at retail-gate per kg of product]]+Table1[[#This Row],[Kg CO2e from CH4 fossil]]+Table1[[#This Row],[Kg CO2e from N2O]]</f>
        <v>1.1116501449442009</v>
      </c>
      <c r="H330" s="188">
        <f>'Processed products'!F180</f>
        <v>0.82379383502861814</v>
      </c>
      <c r="I330" s="188">
        <f>'Processed products'!F181</f>
        <v>0</v>
      </c>
      <c r="J330" s="188">
        <v>0</v>
      </c>
      <c r="K330" s="188">
        <f>'Processed products'!F183</f>
        <v>1.0544187176394972E-3</v>
      </c>
      <c r="L330" s="188">
        <v>0</v>
      </c>
      <c r="M330" s="188">
        <f>Table1[[#This Row],[kg CH4 fossil at retail-gate per kg of product]]*'Summary pivot'!$D$5</f>
        <v>0</v>
      </c>
      <c r="N330" s="188">
        <f>Table1[[#This Row],[kg CH4 bio at retail-gate per kg of product]]*'Summary pivot'!$D$4</f>
        <v>0</v>
      </c>
      <c r="O330" s="188">
        <f>Table1[[#This Row],[kg N2O at retail-gate per kg of product]]*'Summary pivot'!$D$6</f>
        <v>0.28785630991558275</v>
      </c>
      <c r="P330" s="188">
        <f>Table1[[#This Row],[kg HCFC-22 at retail-gate per kg of product]]*'Summary pivot'!$D$7</f>
        <v>0</v>
      </c>
    </row>
    <row r="331" spans="1:16">
      <c r="A331" s="52" t="s">
        <v>9</v>
      </c>
      <c r="B331" s="52" t="s">
        <v>101</v>
      </c>
      <c r="C331" t="s">
        <v>122</v>
      </c>
      <c r="D331" s="52" t="s">
        <v>128</v>
      </c>
      <c r="E331" s="5">
        <f>'Processed products'!B185</f>
        <v>1</v>
      </c>
      <c r="F331" s="750" t="str">
        <f>'Summary pivot'!$C$1</f>
        <v>GWP100 with fb AR6</v>
      </c>
      <c r="G331" s="188">
        <f>Table1[[#This Row],[kg CO2 at retail-gate per kg of product]]+Table1[[#This Row],[Kg CO2e from CH4 fossil]]+Table1[[#This Row],[Kg CO2e from N2O]]</f>
        <v>3.1240891499167369</v>
      </c>
      <c r="H331" s="188">
        <f>'Processed products'!F186</f>
        <v>1.9229148311980127</v>
      </c>
      <c r="I331" s="188"/>
      <c r="J331" s="188">
        <f>'Processed products'!F187</f>
        <v>5.50717829765838E-2</v>
      </c>
      <c r="K331" s="188">
        <f>'Processed products'!F189</f>
        <v>4.3999059293726162E-3</v>
      </c>
      <c r="L331" s="188">
        <v>0</v>
      </c>
      <c r="M331" s="188">
        <f>Table1[[#This Row],[kg CH4 fossil at retail-gate per kg of product]]*'Summary pivot'!$D$5</f>
        <v>0</v>
      </c>
      <c r="N331" s="188">
        <f>Table1[[#This Row],[kg CH4 bio at retail-gate per kg of product]]*'Summary pivot'!$D$4</f>
        <v>1.4869381403677626</v>
      </c>
      <c r="O331" s="188">
        <f>Table1[[#This Row],[kg N2O at retail-gate per kg of product]]*'Summary pivot'!$D$6</f>
        <v>1.2011743187187243</v>
      </c>
      <c r="P331" s="188">
        <f>Table1[[#This Row],[kg HCFC-22 at retail-gate per kg of product]]*'Summary pivot'!$D$7</f>
        <v>0</v>
      </c>
    </row>
    <row r="332" spans="1:16">
      <c r="A332" s="52" t="s">
        <v>9</v>
      </c>
      <c r="B332" s="52" t="s">
        <v>102</v>
      </c>
      <c r="C332" t="s">
        <v>122</v>
      </c>
      <c r="D332" s="52" t="s">
        <v>128</v>
      </c>
      <c r="E332" s="5">
        <f>'Processed products'!B191</f>
        <v>1</v>
      </c>
      <c r="F332" s="750" t="str">
        <f>'Summary pivot'!$C$1</f>
        <v>GWP100 with fb AR6</v>
      </c>
      <c r="G332" s="188">
        <f>Table1[[#This Row],[kg CO2 at retail-gate per kg of product]]+Table1[[#This Row],[Kg CO2e from CH4 fossil]]+Table1[[#This Row],[Kg CO2e from N2O]]</f>
        <v>3.2101111339925064</v>
      </c>
      <c r="H332" s="188">
        <f>'Processed products'!F192</f>
        <v>2.9741660334892419</v>
      </c>
      <c r="I332" s="188">
        <f>'Processed products'!F193</f>
        <v>0</v>
      </c>
      <c r="J332" s="188">
        <v>0</v>
      </c>
      <c r="K332" s="188">
        <f>'Processed products'!F195</f>
        <v>8.6426776741122457E-4</v>
      </c>
      <c r="L332" s="188">
        <v>0</v>
      </c>
      <c r="M332" s="188">
        <f>Table1[[#This Row],[kg CH4 fossil at retail-gate per kg of product]]*'Summary pivot'!$D$5</f>
        <v>0</v>
      </c>
      <c r="N332" s="188">
        <f>Table1[[#This Row],[kg CH4 bio at retail-gate per kg of product]]*'Summary pivot'!$D$4</f>
        <v>0</v>
      </c>
      <c r="O332" s="188">
        <f>Table1[[#This Row],[kg N2O at retail-gate per kg of product]]*'Summary pivot'!$D$6</f>
        <v>0.23594510050326431</v>
      </c>
      <c r="P332" s="188">
        <f>Table1[[#This Row],[kg HCFC-22 at retail-gate per kg of product]]*'Summary pivot'!$D$7</f>
        <v>0</v>
      </c>
    </row>
    <row r="333" spans="1:16" ht="30">
      <c r="A333" s="52" t="s">
        <v>9</v>
      </c>
      <c r="B333" s="52" t="s">
        <v>244</v>
      </c>
      <c r="C333" t="s">
        <v>122</v>
      </c>
      <c r="D333" s="52" t="s">
        <v>128</v>
      </c>
      <c r="E333" s="5">
        <f>'Processed products'!B197</f>
        <v>1</v>
      </c>
      <c r="F333" s="750" t="str">
        <f>'Summary pivot'!$C$1</f>
        <v>GWP100 with fb AR6</v>
      </c>
      <c r="G333" s="188">
        <f>Table1[[#This Row],[kg CO2 at retail-gate per kg of product]]+Table1[[#This Row],[Kg CO2e from CH4 fossil]]+Table1[[#This Row],[Kg CO2e from N2O]]</f>
        <v>1.8526147161382966</v>
      </c>
      <c r="H333" s="188">
        <f>'Processed products'!F198</f>
        <v>1.1458069647989859</v>
      </c>
      <c r="I333" s="188">
        <v>0</v>
      </c>
      <c r="J333" s="188">
        <f>'Processed products'!F199</f>
        <v>4.9888377957315051E-2</v>
      </c>
      <c r="K333" s="188">
        <f>'Processed products'!F201</f>
        <v>2.5890393821952776E-3</v>
      </c>
      <c r="L333" s="188">
        <v>0</v>
      </c>
      <c r="M333" s="188">
        <f>Table1[[#This Row],[kg CH4 fossil at retail-gate per kg of product]]*'Summary pivot'!$D$5</f>
        <v>0</v>
      </c>
      <c r="N333" s="188">
        <f>Table1[[#This Row],[kg CH4 bio at retail-gate per kg of product]]*'Summary pivot'!$D$4</f>
        <v>1.3469862048475063</v>
      </c>
      <c r="O333" s="188">
        <f>Table1[[#This Row],[kg N2O at retail-gate per kg of product]]*'Summary pivot'!$D$6</f>
        <v>0.70680775133931084</v>
      </c>
      <c r="P333" s="188">
        <f>Table1[[#This Row],[kg HCFC-22 at retail-gate per kg of product]]*'Summary pivot'!$D$7</f>
        <v>0</v>
      </c>
    </row>
    <row r="334" spans="1:16">
      <c r="A334" s="52" t="s">
        <v>9</v>
      </c>
      <c r="B334" s="52" t="s">
        <v>245</v>
      </c>
      <c r="C334" t="s">
        <v>122</v>
      </c>
      <c r="D334" s="52" t="s">
        <v>128</v>
      </c>
      <c r="E334" s="5">
        <f>'Processed products'!B198</f>
        <v>0</v>
      </c>
      <c r="F334" t="str">
        <f>'Summary pivot'!$C$1</f>
        <v>GWP100 with fb AR6</v>
      </c>
      <c r="G334" s="188">
        <f>Table1[[#This Row],[kg CO2 at retail-gate per kg of product]]+Table1[[#This Row],[Kg CO2e from CH4 fossil]]+Table1[[#This Row],[Kg CO2e from N2O]]</f>
        <v>3.0753768844221097</v>
      </c>
      <c r="H334" s="188">
        <f>'Processed products'!F204</f>
        <v>3.0753768844221097</v>
      </c>
      <c r="I334" s="188">
        <f>'Processed products'!F206</f>
        <v>0</v>
      </c>
      <c r="J334" s="188">
        <f>'Processed products'!F205</f>
        <v>0</v>
      </c>
      <c r="K334" s="188">
        <f>'Processed products'!F207</f>
        <v>0</v>
      </c>
      <c r="L334" s="188">
        <v>0</v>
      </c>
      <c r="M334" s="188">
        <f>Table1[[#This Row],[kg CH4 fossil at retail-gate per kg of product]]*'Summary pivot'!$D$5</f>
        <v>0</v>
      </c>
      <c r="N334" s="188">
        <f>Table1[[#This Row],[kg CH4 bio at retail-gate per kg of product]]*'Summary pivot'!$D$4</f>
        <v>0</v>
      </c>
      <c r="O334" s="188">
        <f>Table1[[#This Row],[kg N2O at retail-gate per kg of product]]*'Summary pivot'!$D$6</f>
        <v>0</v>
      </c>
      <c r="P334" s="188">
        <f>Table1[[#This Row],[kg HCFC-22 at retail-gate per kg of product]]*'Summary pivot'!$D$7</f>
        <v>0</v>
      </c>
    </row>
    <row r="335" spans="1:16">
      <c r="A335" s="52" t="s">
        <v>9</v>
      </c>
      <c r="B335" s="52" t="s">
        <v>246</v>
      </c>
      <c r="C335" t="s">
        <v>120</v>
      </c>
      <c r="D335" s="52" t="s">
        <v>128</v>
      </c>
      <c r="E335" s="5">
        <f>'Processed products'!B209</f>
        <v>1</v>
      </c>
      <c r="F335" t="str">
        <f>'Summary pivot'!$C$1</f>
        <v>GWP100 with fb AR6</v>
      </c>
      <c r="G335" s="188">
        <f>Table1[[#This Row],[kg CO2 at retail-gate per kg of product]]+Table1[[#This Row],[Kg CO2e from CH4 fossil]]+Table1[[#This Row],[Kg CO2e from N2O]]</f>
        <v>1.9842012521040182</v>
      </c>
      <c r="H335" s="188">
        <f>'Processed products'!F210</f>
        <v>1.9842012521040182</v>
      </c>
      <c r="I335" s="188">
        <f>'Processed products'!F212</f>
        <v>0</v>
      </c>
      <c r="J335" s="188">
        <f>'Processed products'!F211</f>
        <v>0</v>
      </c>
      <c r="K335" s="188">
        <f>'Processed products'!F213</f>
        <v>0</v>
      </c>
      <c r="L335" s="188">
        <v>0</v>
      </c>
      <c r="M335" s="188">
        <f>Table1[[#This Row],[kg CH4 fossil at retail-gate per kg of product]]*'Summary pivot'!$D$5</f>
        <v>0</v>
      </c>
      <c r="N335" s="188">
        <f>Table1[[#This Row],[kg CH4 bio at retail-gate per kg of product]]*'Summary pivot'!$D$4</f>
        <v>0</v>
      </c>
      <c r="O335" s="188">
        <f>Table1[[#This Row],[kg N2O at retail-gate per kg of product]]*'Summary pivot'!$D$6</f>
        <v>0</v>
      </c>
      <c r="P335" s="188">
        <f>Table1[[#This Row],[kg HCFC-22 at retail-gate per kg of product]]*'Summary pivot'!$D$7</f>
        <v>0</v>
      </c>
    </row>
    <row r="336" spans="1:16">
      <c r="A336" s="52" t="s">
        <v>9</v>
      </c>
      <c r="B336" s="52" t="s">
        <v>246</v>
      </c>
      <c r="C336" t="s">
        <v>123</v>
      </c>
      <c r="D336" s="52" t="s">
        <v>128</v>
      </c>
      <c r="E336" s="5">
        <f>'Processed products'!B214</f>
        <v>0.12550094711264553</v>
      </c>
      <c r="F336" t="str">
        <f>'Summary pivot'!$C$1</f>
        <v>GWP100 with fb AR6</v>
      </c>
      <c r="G336" s="188">
        <f>Table1[[#This Row],[kg CO2 at retail-gate per kg of product]]+Table1[[#This Row],[Kg CO2e from CH4 fossil]]+Table1[[#This Row],[Kg CO2e from N2O]]</f>
        <v>1.8199999999999998</v>
      </c>
      <c r="H336" s="188">
        <f>'Processed products'!F215</f>
        <v>1.8199999999999998</v>
      </c>
      <c r="I336" s="188">
        <f>'Processed products'!F217</f>
        <v>0</v>
      </c>
      <c r="J336" s="188">
        <f>'Processed products'!F216</f>
        <v>0</v>
      </c>
      <c r="K336" s="188">
        <f>'Processed products'!F218</f>
        <v>0</v>
      </c>
      <c r="L336" s="188">
        <v>0</v>
      </c>
      <c r="M336" s="188">
        <f>Table1[[#This Row],[kg CH4 fossil at retail-gate per kg of product]]*'Summary pivot'!$D$5</f>
        <v>0</v>
      </c>
      <c r="N336" s="188">
        <f>Table1[[#This Row],[kg CH4 bio at retail-gate per kg of product]]*'Summary pivot'!$D$4</f>
        <v>0</v>
      </c>
      <c r="O336" s="188">
        <f>Table1[[#This Row],[kg N2O at retail-gate per kg of product]]*'Summary pivot'!$D$6</f>
        <v>0</v>
      </c>
      <c r="P336" s="188">
        <f>Table1[[#This Row],[kg HCFC-22 at retail-gate per kg of product]]*'Summary pivot'!$D$7</f>
        <v>0</v>
      </c>
    </row>
    <row r="337" spans="1:16">
      <c r="A337" s="52" t="s">
        <v>9</v>
      </c>
      <c r="B337" s="52" t="s">
        <v>246</v>
      </c>
      <c r="C337" t="s">
        <v>153</v>
      </c>
      <c r="D337" s="52" t="s">
        <v>128</v>
      </c>
      <c r="E337" s="5">
        <f>'Processed products'!B219</f>
        <v>0.20957728098324416</v>
      </c>
      <c r="F337" t="str">
        <f>'Summary pivot'!$C$1</f>
        <v>GWP100 with fb AR6</v>
      </c>
      <c r="G337" s="188">
        <f>Table1[[#This Row],[kg CO2 at retail-gate per kg of product]]+Table1[[#This Row],[Kg CO2e from CH4 fossil]]+Table1[[#This Row],[Kg CO2e from N2O]]</f>
        <v>2.02</v>
      </c>
      <c r="H337" s="188">
        <f>'Processed products'!F220</f>
        <v>2.02</v>
      </c>
      <c r="I337" s="188">
        <f>'Processed products'!F222</f>
        <v>0</v>
      </c>
      <c r="J337" s="188">
        <f>'Processed products'!F221</f>
        <v>0</v>
      </c>
      <c r="K337" s="188">
        <f>'Processed products'!F223</f>
        <v>0</v>
      </c>
      <c r="L337" s="188">
        <v>0</v>
      </c>
      <c r="M337" s="188">
        <f>Table1[[#This Row],[kg CH4 fossil at retail-gate per kg of product]]*'Summary pivot'!$D$5</f>
        <v>0</v>
      </c>
      <c r="N337" s="188">
        <f>Table1[[#This Row],[kg CH4 bio at retail-gate per kg of product]]*'Summary pivot'!$D$4</f>
        <v>0</v>
      </c>
      <c r="O337" s="188">
        <f>Table1[[#This Row],[kg N2O at retail-gate per kg of product]]*'Summary pivot'!$D$6</f>
        <v>0</v>
      </c>
      <c r="P337" s="188">
        <f>Table1[[#This Row],[kg HCFC-22 at retail-gate per kg of product]]*'Summary pivot'!$D$7</f>
        <v>0</v>
      </c>
    </row>
    <row r="338" spans="1:16">
      <c r="A338" s="52" t="s">
        <v>9</v>
      </c>
      <c r="B338" s="52" t="s">
        <v>246</v>
      </c>
      <c r="C338" t="s">
        <v>247</v>
      </c>
      <c r="D338" s="52" t="s">
        <v>128</v>
      </c>
      <c r="E338" s="5">
        <f>'Processed products'!B224</f>
        <v>0.10698558473452441</v>
      </c>
      <c r="F338" t="str">
        <f>'Summary pivot'!$C$1</f>
        <v>GWP100 with fb AR6</v>
      </c>
      <c r="G338" s="188">
        <f>Table1[[#This Row],[kg CO2 at retail-gate per kg of product]]+Table1[[#This Row],[Kg CO2e from CH4 fossil]]+Table1[[#This Row],[Kg CO2e from N2O]]</f>
        <v>1.92</v>
      </c>
      <c r="H338" s="188">
        <f>'Processed products'!F225</f>
        <v>1.92</v>
      </c>
      <c r="I338" s="188">
        <f>'Processed products'!F227</f>
        <v>0</v>
      </c>
      <c r="J338" s="188">
        <f>'Processed products'!F226</f>
        <v>0</v>
      </c>
      <c r="K338" s="188">
        <f>'Processed products'!F228</f>
        <v>0</v>
      </c>
      <c r="L338" s="188">
        <v>0</v>
      </c>
      <c r="M338" s="188">
        <f>Table1[[#This Row],[kg CH4 fossil at retail-gate per kg of product]]*'Summary pivot'!$D$5</f>
        <v>0</v>
      </c>
      <c r="N338" s="188">
        <f>Table1[[#This Row],[kg CH4 bio at retail-gate per kg of product]]*'Summary pivot'!$D$4</f>
        <v>0</v>
      </c>
      <c r="O338" s="188">
        <f>Table1[[#This Row],[kg N2O at retail-gate per kg of product]]*'Summary pivot'!$D$6</f>
        <v>0</v>
      </c>
      <c r="P338" s="188">
        <f>Table1[[#This Row],[kg HCFC-22 at retail-gate per kg of product]]*'Summary pivot'!$D$7</f>
        <v>0</v>
      </c>
    </row>
    <row r="339" spans="1:16">
      <c r="A339" s="52" t="s">
        <v>9</v>
      </c>
      <c r="B339" s="52" t="s">
        <v>246</v>
      </c>
      <c r="C339" t="s">
        <v>134</v>
      </c>
      <c r="D339" s="52" t="s">
        <v>128</v>
      </c>
      <c r="E339" s="5">
        <f>'Processed products'!B229</f>
        <v>0.55793618716958582</v>
      </c>
      <c r="F339" t="str">
        <f>'Summary pivot'!$C$1</f>
        <v>GWP100 with fb AR6</v>
      </c>
      <c r="G339" s="188">
        <f>Table1[[#This Row],[kg CO2 at retail-gate per kg of product]]+Table1[[#This Row],[Kg CO2e from CH4 fossil]]+Table1[[#This Row],[Kg CO2e from N2O]]</f>
        <v>2.02</v>
      </c>
      <c r="H339" s="188">
        <f>'Processed products'!F230</f>
        <v>2.02</v>
      </c>
      <c r="I339" s="188">
        <f>'Processed products'!F232</f>
        <v>0</v>
      </c>
      <c r="J339" s="188">
        <f>'Processed products'!F231</f>
        <v>0</v>
      </c>
      <c r="K339" s="188">
        <f>'Processed products'!F233</f>
        <v>0</v>
      </c>
      <c r="L339" s="188">
        <v>0</v>
      </c>
      <c r="M339" s="188">
        <f>Table1[[#This Row],[kg CH4 fossil at retail-gate per kg of product]]*'Summary pivot'!$D$5</f>
        <v>0</v>
      </c>
      <c r="N339" s="188">
        <f>Table1[[#This Row],[kg CH4 bio at retail-gate per kg of product]]*'Summary pivot'!$D$4</f>
        <v>0</v>
      </c>
      <c r="O339" s="188">
        <f>Table1[[#This Row],[kg N2O at retail-gate per kg of product]]*'Summary pivot'!$D$6</f>
        <v>0</v>
      </c>
      <c r="P339" s="188">
        <f>Table1[[#This Row],[kg HCFC-22 at retail-gate per kg of product]]*'Summary pivot'!$D$7</f>
        <v>0</v>
      </c>
    </row>
    <row r="340" spans="1:16">
      <c r="A340" s="52" t="s">
        <v>9</v>
      </c>
      <c r="B340" s="52" t="s">
        <v>248</v>
      </c>
      <c r="C340" t="s">
        <v>120</v>
      </c>
      <c r="D340" s="52" t="s">
        <v>128</v>
      </c>
      <c r="E340" s="5">
        <f>'Processed products'!B235</f>
        <v>1</v>
      </c>
      <c r="F340" t="str">
        <f>'Summary pivot'!$C$1</f>
        <v>GWP100 with fb AR6</v>
      </c>
      <c r="G340" s="188">
        <f>Table1[[#This Row],[kg CO2 at retail-gate per kg of product]]+Table1[[#This Row],[Kg CO2e from CH4 fossil]]+Table1[[#This Row],[Kg CO2e from N2O]]</f>
        <v>1.7052568947887989</v>
      </c>
      <c r="H340" s="188">
        <f>'Processed products'!F236</f>
        <v>1.7052568947887989</v>
      </c>
      <c r="I340" s="188">
        <f>'Processed products'!F238</f>
        <v>0</v>
      </c>
      <c r="J340" s="188">
        <f>'Processed products'!F237</f>
        <v>0</v>
      </c>
      <c r="K340" s="188">
        <f>'Processed products'!F239</f>
        <v>0</v>
      </c>
      <c r="L340" s="188">
        <v>0</v>
      </c>
      <c r="M340" s="188">
        <f>Table1[[#This Row],[kg CH4 fossil at retail-gate per kg of product]]*'Summary pivot'!$D$5</f>
        <v>0</v>
      </c>
      <c r="N340" s="188">
        <f>Table1[[#This Row],[kg CH4 bio at retail-gate per kg of product]]*'Summary pivot'!$D$4</f>
        <v>0</v>
      </c>
      <c r="O340" s="188">
        <f>Table1[[#This Row],[kg N2O at retail-gate per kg of product]]*'Summary pivot'!$D$6</f>
        <v>0</v>
      </c>
      <c r="P340" s="188">
        <f>Table1[[#This Row],[kg HCFC-22 at retail-gate per kg of product]]*'Summary pivot'!$D$7</f>
        <v>0</v>
      </c>
    </row>
    <row r="341" spans="1:16">
      <c r="A341" s="52" t="s">
        <v>9</v>
      </c>
      <c r="B341" s="52" t="s">
        <v>248</v>
      </c>
      <c r="C341" t="s">
        <v>122</v>
      </c>
      <c r="D341" s="52" t="s">
        <v>128</v>
      </c>
      <c r="E341" s="5">
        <f>'Processed products'!B240</f>
        <v>9.1446639135860736E-2</v>
      </c>
      <c r="F341" t="str">
        <f>'Summary pivot'!$C$1</f>
        <v>GWP100 with fb AR6</v>
      </c>
      <c r="G341" s="188">
        <f>Table1[[#This Row],[kg CO2 at retail-gate per kg of product]]+Table1[[#This Row],[Kg CO2e from CH4 fossil]]+Table1[[#This Row],[Kg CO2e from N2O]]</f>
        <v>1.28</v>
      </c>
      <c r="H341" s="188">
        <f>'Processed products'!F241</f>
        <v>1.28</v>
      </c>
      <c r="I341" s="188">
        <f>'Processed products'!F243</f>
        <v>0</v>
      </c>
      <c r="J341" s="188">
        <f>'Processed products'!F242</f>
        <v>0</v>
      </c>
      <c r="K341" s="188">
        <f>'Processed products'!F244</f>
        <v>0</v>
      </c>
      <c r="L341" s="188">
        <v>0</v>
      </c>
      <c r="M341" s="188">
        <f>Table1[[#This Row],[kg CH4 fossil at retail-gate per kg of product]]*'Summary pivot'!$D$5</f>
        <v>0</v>
      </c>
      <c r="N341" s="188">
        <f>Table1[[#This Row],[kg CH4 bio at retail-gate per kg of product]]*'Summary pivot'!$D$4</f>
        <v>0</v>
      </c>
      <c r="O341" s="188">
        <f>Table1[[#This Row],[kg N2O at retail-gate per kg of product]]*'Summary pivot'!$D$6</f>
        <v>0</v>
      </c>
      <c r="P341" s="188">
        <f>Table1[[#This Row],[kg HCFC-22 at retail-gate per kg of product]]*'Summary pivot'!$D$7</f>
        <v>0</v>
      </c>
    </row>
    <row r="342" spans="1:16">
      <c r="A342" s="52" t="s">
        <v>9</v>
      </c>
      <c r="B342" s="52" t="s">
        <v>248</v>
      </c>
      <c r="C342" t="s">
        <v>249</v>
      </c>
      <c r="D342" s="52" t="s">
        <v>128</v>
      </c>
      <c r="E342" s="5">
        <f>'Processed products'!B245</f>
        <v>0.317035205433574</v>
      </c>
      <c r="F342" t="str">
        <f>'Summary pivot'!$C$1</f>
        <v>GWP100 with fb AR6</v>
      </c>
      <c r="G342" s="188">
        <f>Table1[[#This Row],[kg CO2 at retail-gate per kg of product]]+Table1[[#This Row],[Kg CO2e from CH4 fossil]]+Table1[[#This Row],[Kg CO2e from N2O]]</f>
        <v>1.2639999999999998</v>
      </c>
      <c r="H342" s="188">
        <f>'Processed products'!F246</f>
        <v>1.2639999999999998</v>
      </c>
      <c r="I342" s="188">
        <f>'Processed products'!F248</f>
        <v>0</v>
      </c>
      <c r="J342" s="188">
        <f>'Processed products'!F247</f>
        <v>0</v>
      </c>
      <c r="K342" s="188">
        <f>'Processed products'!F249</f>
        <v>0</v>
      </c>
      <c r="L342" s="188">
        <v>0</v>
      </c>
      <c r="M342" s="188">
        <f>Table1[[#This Row],[kg CH4 fossil at retail-gate per kg of product]]*'Summary pivot'!$D$5</f>
        <v>0</v>
      </c>
      <c r="N342" s="188">
        <f>Table1[[#This Row],[kg CH4 bio at retail-gate per kg of product]]*'Summary pivot'!$D$4</f>
        <v>0</v>
      </c>
      <c r="O342" s="188">
        <f>Table1[[#This Row],[kg N2O at retail-gate per kg of product]]*'Summary pivot'!$D$6</f>
        <v>0</v>
      </c>
      <c r="P342" s="188">
        <f>Table1[[#This Row],[kg HCFC-22 at retail-gate per kg of product]]*'Summary pivot'!$D$7</f>
        <v>0</v>
      </c>
    </row>
    <row r="343" spans="1:16">
      <c r="A343" s="52" t="s">
        <v>9</v>
      </c>
      <c r="B343" s="52" t="s">
        <v>248</v>
      </c>
      <c r="C343" t="s">
        <v>134</v>
      </c>
      <c r="D343" s="52" t="s">
        <v>128</v>
      </c>
      <c r="E343" s="5">
        <f>'Processed products'!B250</f>
        <v>0.5915181554305653</v>
      </c>
      <c r="F343" t="str">
        <f>'Summary pivot'!$C$1</f>
        <v>GWP100 with fb AR6</v>
      </c>
      <c r="G343" s="188">
        <f>Table1[[#This Row],[kg CO2 at retail-gate per kg of product]]+Table1[[#This Row],[Kg CO2e from CH4 fossil]]+Table1[[#This Row],[Kg CO2e from N2O]]</f>
        <v>2.0074999999999998</v>
      </c>
      <c r="H343" s="188">
        <f>'Processed products'!F251</f>
        <v>2.0074999999999998</v>
      </c>
      <c r="I343" s="188">
        <f>'Processed products'!F253</f>
        <v>0</v>
      </c>
      <c r="J343" s="188">
        <f>'Processed products'!F252</f>
        <v>0</v>
      </c>
      <c r="K343" s="188">
        <f>'Processed products'!F254</f>
        <v>0</v>
      </c>
      <c r="L343" s="188">
        <v>0</v>
      </c>
      <c r="M343" s="188">
        <f>Table1[[#This Row],[kg CH4 fossil at retail-gate per kg of product]]*'Summary pivot'!$D$5</f>
        <v>0</v>
      </c>
      <c r="N343" s="188">
        <f>Table1[[#This Row],[kg CH4 bio at retail-gate per kg of product]]*'Summary pivot'!$D$4</f>
        <v>0</v>
      </c>
      <c r="O343" s="188">
        <f>Table1[[#This Row],[kg N2O at retail-gate per kg of product]]*'Summary pivot'!$D$6</f>
        <v>0</v>
      </c>
      <c r="P343" s="188">
        <f>Table1[[#This Row],[kg HCFC-22 at retail-gate per kg of product]]*'Summary pivot'!$D$7</f>
        <v>0</v>
      </c>
    </row>
    <row r="344" spans="1:16">
      <c r="A344" s="52" t="s">
        <v>9</v>
      </c>
      <c r="B344" s="52" t="s">
        <v>250</v>
      </c>
      <c r="C344" t="s">
        <v>120</v>
      </c>
      <c r="D344" s="52" t="s">
        <v>128</v>
      </c>
      <c r="E344" s="5">
        <f>'Processed products'!B256</f>
        <v>1</v>
      </c>
      <c r="F344" t="str">
        <f>'Summary pivot'!$C$1</f>
        <v>GWP100 with fb AR6</v>
      </c>
      <c r="G344" s="188">
        <f>Table1[[#This Row],[kg CO2 at retail-gate per kg of product]]+Table1[[#This Row],[Kg CO2e from CH4 fossil]]+Table1[[#This Row],[Kg CO2e from N2O]]</f>
        <v>0.96204838400797255</v>
      </c>
      <c r="H344" s="188">
        <f>'Processed products'!F257</f>
        <v>0.76749030598724177</v>
      </c>
      <c r="I344" s="188">
        <f>'Processed products'!F259</f>
        <v>1.1074497650830001E-3</v>
      </c>
      <c r="J344" s="188">
        <f>'Processed products'!F258</f>
        <v>0</v>
      </c>
      <c r="K344" s="188">
        <f>'Processed products'!F260</f>
        <v>5.9178049458336003E-4</v>
      </c>
      <c r="L344" s="188">
        <v>0</v>
      </c>
      <c r="M344" s="188">
        <f>Table1[[#This Row],[kg CH4 fossil at retail-gate per kg of product]]*'Summary pivot'!$D$5</f>
        <v>3.3002002999473402E-2</v>
      </c>
      <c r="N344" s="188">
        <f>Table1[[#This Row],[kg CH4 bio at retail-gate per kg of product]]*'Summary pivot'!$D$4</f>
        <v>0</v>
      </c>
      <c r="O344" s="188">
        <f>Table1[[#This Row],[kg N2O at retail-gate per kg of product]]*'Summary pivot'!$D$6</f>
        <v>0.16155607502125729</v>
      </c>
      <c r="P344" s="188">
        <f>Table1[[#This Row],[kg HCFC-22 at retail-gate per kg of product]]*'Summary pivot'!$D$7</f>
        <v>0</v>
      </c>
    </row>
    <row r="345" spans="1:16">
      <c r="A345" s="52" t="s">
        <v>9</v>
      </c>
      <c r="B345" s="52" t="s">
        <v>250</v>
      </c>
      <c r="C345" t="s">
        <v>122</v>
      </c>
      <c r="D345" s="52" t="s">
        <v>128</v>
      </c>
      <c r="E345" s="5">
        <f>'Processed products'!B261</f>
        <v>0.7</v>
      </c>
      <c r="F345" t="str">
        <f>'Summary pivot'!$C$1</f>
        <v>GWP100 with fb AR6</v>
      </c>
      <c r="G345" s="188">
        <f>Table1[[#This Row],[kg CO2 at retail-gate per kg of product]]+Table1[[#This Row],[Kg CO2e from CH4 fossil]]+Table1[[#This Row],[Kg CO2e from N2O]]</f>
        <v>0.80922324465873086</v>
      </c>
      <c r="H345" s="188">
        <f>'Processed products'!F262</f>
        <v>0.61466516663800008</v>
      </c>
      <c r="I345" s="188">
        <f>'Processed products'!F264</f>
        <v>1.1074497650829999E-3</v>
      </c>
      <c r="J345" s="188">
        <f>'Processed products'!F263</f>
        <v>0</v>
      </c>
      <c r="K345" s="188">
        <f>'Processed products'!F265</f>
        <v>5.9178049458336003E-4</v>
      </c>
      <c r="L345" s="188">
        <v>0</v>
      </c>
      <c r="M345" s="188">
        <f>Table1[[#This Row],[kg CH4 fossil at retail-gate per kg of product]]*'Summary pivot'!$D$5</f>
        <v>3.3002002999473395E-2</v>
      </c>
      <c r="N345" s="188">
        <f>Table1[[#This Row],[kg CH4 bio at retail-gate per kg of product]]*'Summary pivot'!$D$4</f>
        <v>0</v>
      </c>
      <c r="O345" s="188">
        <f>Table1[[#This Row],[kg N2O at retail-gate per kg of product]]*'Summary pivot'!$D$6</f>
        <v>0.16155607502125729</v>
      </c>
      <c r="P345" s="188">
        <f>Table1[[#This Row],[kg HCFC-22 at retail-gate per kg of product]]*'Summary pivot'!$D$7</f>
        <v>0</v>
      </c>
    </row>
    <row r="346" spans="1:16">
      <c r="A346" s="52" t="s">
        <v>9</v>
      </c>
      <c r="B346" s="52" t="s">
        <v>250</v>
      </c>
      <c r="C346" t="s">
        <v>148</v>
      </c>
      <c r="D346" s="52" t="s">
        <v>128</v>
      </c>
      <c r="E346" s="5">
        <f>'Processed products'!B266</f>
        <v>0.27174860650758298</v>
      </c>
      <c r="F346" t="str">
        <f>'Summary pivot'!$C$1</f>
        <v>GWP100 with fb AR6</v>
      </c>
      <c r="G346" s="188">
        <f>Table1[[#This Row],[kg CO2 at retail-gate per kg of product]]+Table1[[#This Row],[Kg CO2e from CH4 fossil]]+Table1[[#This Row],[Kg CO2e from N2O]]</f>
        <v>1.3092232446587304</v>
      </c>
      <c r="H346" s="188">
        <f>'Processed products'!F267</f>
        <v>1.1146651666379999</v>
      </c>
      <c r="I346" s="188">
        <f>'Processed products'!F269</f>
        <v>1.1074497650829999E-3</v>
      </c>
      <c r="J346" s="188">
        <f>'Processed products'!F268</f>
        <v>0</v>
      </c>
      <c r="K346" s="188">
        <f>'Processed products'!F270</f>
        <v>5.9178049458336003E-4</v>
      </c>
      <c r="L346" s="188">
        <v>0</v>
      </c>
      <c r="M346" s="188">
        <f>Table1[[#This Row],[kg CH4 fossil at retail-gate per kg of product]]*'Summary pivot'!$D$5</f>
        <v>3.3002002999473395E-2</v>
      </c>
      <c r="N346" s="188">
        <f>Table1[[#This Row],[kg CH4 bio at retail-gate per kg of product]]*'Summary pivot'!$D$4</f>
        <v>0</v>
      </c>
      <c r="O346" s="188">
        <f>Table1[[#This Row],[kg N2O at retail-gate per kg of product]]*'Summary pivot'!$D$6</f>
        <v>0.16155607502125729</v>
      </c>
      <c r="P346" s="188">
        <f>Table1[[#This Row],[kg HCFC-22 at retail-gate per kg of product]]*'Summary pivot'!$D$7</f>
        <v>0</v>
      </c>
    </row>
    <row r="347" spans="1:16">
      <c r="A347" s="52" t="s">
        <v>9</v>
      </c>
      <c r="B347" s="52" t="s">
        <v>250</v>
      </c>
      <c r="C347" t="s">
        <v>125</v>
      </c>
      <c r="D347" s="52" t="s">
        <v>128</v>
      </c>
      <c r="E347" s="5">
        <f>'Processed products'!B271</f>
        <v>2.8251393492417121E-2</v>
      </c>
      <c r="F347" t="str">
        <f>'Summary pivot'!$C$1</f>
        <v>GWP100 with fb AR6</v>
      </c>
      <c r="G347" s="188">
        <f>Table1[[#This Row],[kg CO2 at retail-gate per kg of product]]+Table1[[#This Row],[Kg CO2e from CH4 fossil]]+Table1[[#This Row],[Kg CO2e from N2O]]</f>
        <v>1.4092232446587305</v>
      </c>
      <c r="H347" s="188">
        <f>'Processed products'!F272</f>
        <v>1.2146651666379999</v>
      </c>
      <c r="I347" s="188">
        <f>'Processed products'!F274</f>
        <v>1.1074497650829999E-3</v>
      </c>
      <c r="J347" s="188">
        <f>'Processed products'!F273</f>
        <v>0</v>
      </c>
      <c r="K347" s="188">
        <f>'Processed products'!F275</f>
        <v>5.9178049458336003E-4</v>
      </c>
      <c r="L347" s="188">
        <v>0</v>
      </c>
      <c r="M347" s="188">
        <f>Table1[[#This Row],[kg CH4 fossil at retail-gate per kg of product]]*'Summary pivot'!$D$5</f>
        <v>3.3002002999473395E-2</v>
      </c>
      <c r="N347" s="188">
        <f>Table1[[#This Row],[kg CH4 bio at retail-gate per kg of product]]*'Summary pivot'!$D$4</f>
        <v>0</v>
      </c>
      <c r="O347" s="188">
        <f>Table1[[#This Row],[kg N2O at retail-gate per kg of product]]*'Summary pivot'!$D$6</f>
        <v>0.16155607502125729</v>
      </c>
      <c r="P347" s="188">
        <f>Table1[[#This Row],[kg HCFC-22 at retail-gate per kg of product]]*'Summary pivot'!$D$7</f>
        <v>0</v>
      </c>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32"/>
  <sheetViews>
    <sheetView topLeftCell="B1" zoomScale="85" zoomScaleNormal="85" workbookViewId="0"/>
  </sheetViews>
  <sheetFormatPr defaultColWidth="8.7109375" defaultRowHeight="15"/>
  <cols>
    <col min="1" max="1" width="15.28515625" style="183" customWidth="1"/>
    <col min="2" max="2" width="26" style="183" customWidth="1"/>
    <col min="3" max="3" width="22.7109375" style="183" customWidth="1"/>
    <col min="4" max="4" width="16.42578125" style="183" customWidth="1"/>
    <col min="5" max="5" width="18.7109375" style="183" customWidth="1"/>
    <col min="6" max="6" width="18.42578125" style="183" customWidth="1"/>
    <col min="7" max="7" width="19.28515625" style="183" customWidth="1"/>
    <col min="8" max="8" width="21.28515625" style="183" customWidth="1"/>
    <col min="9" max="9" width="17.42578125" style="183" customWidth="1"/>
    <col min="10" max="10" width="20.28515625" style="183" customWidth="1"/>
    <col min="11" max="11" width="16.42578125" style="183" customWidth="1"/>
    <col min="12" max="12" width="14.28515625" style="183" customWidth="1"/>
    <col min="13" max="13" width="14.42578125" style="183" customWidth="1"/>
    <col min="14" max="14" width="16.7109375" style="183" customWidth="1"/>
    <col min="15" max="213" width="4.42578125" bestFit="1" customWidth="1"/>
    <col min="214" max="238" width="5.42578125" bestFit="1" customWidth="1"/>
    <col min="239" max="239" width="6.42578125" bestFit="1" customWidth="1"/>
    <col min="240" max="240" width="11.28515625" bestFit="1" customWidth="1"/>
  </cols>
  <sheetData>
    <row r="1" spans="1:14" ht="18" thickBot="1">
      <c r="C1" s="1364" t="s">
        <v>251</v>
      </c>
      <c r="D1" s="1365"/>
    </row>
    <row r="2" spans="1:14">
      <c r="C2" s="1210" t="s">
        <v>252</v>
      </c>
      <c r="D2" s="1211"/>
    </row>
    <row r="3" spans="1:14">
      <c r="C3" s="1212" t="s">
        <v>253</v>
      </c>
      <c r="D3" s="946">
        <v>1</v>
      </c>
    </row>
    <row r="4" spans="1:14">
      <c r="C4" s="1212" t="s">
        <v>254</v>
      </c>
      <c r="D4" s="946">
        <f>INDEX('Common input data'!A5:F15,MATCH(C1,'Common input data'!A5:A15,0),3)</f>
        <v>27</v>
      </c>
    </row>
    <row r="5" spans="1:14">
      <c r="C5" s="1212" t="s">
        <v>255</v>
      </c>
      <c r="D5" s="946">
        <f>INDEX('Common input data'!A5:F15,MATCH(C1,'Common input data'!A5:A15,0),4)</f>
        <v>29.8</v>
      </c>
    </row>
    <row r="6" spans="1:14">
      <c r="C6" s="1212" t="s">
        <v>256</v>
      </c>
      <c r="D6" s="946">
        <f>INDEX('Common input data'!A5:F15,MATCH(C1,'Common input data'!A5:A15,0),5)</f>
        <v>273</v>
      </c>
    </row>
    <row r="7" spans="1:14" ht="15.75" thickBot="1">
      <c r="C7" s="1213" t="s">
        <v>257</v>
      </c>
      <c r="D7" s="947">
        <f>INDEX('Common input data'!A5:F15,MATCH(C1,'Common input data'!A5:A15,0),6)</f>
        <v>1960</v>
      </c>
    </row>
    <row r="8" spans="1:14" ht="4.5" customHeight="1"/>
    <row r="9" spans="1:14" ht="45">
      <c r="A9" s="1208" t="s">
        <v>104</v>
      </c>
      <c r="B9" s="1208" t="s">
        <v>105</v>
      </c>
      <c r="C9" s="1209" t="s">
        <v>106</v>
      </c>
      <c r="D9" s="266" t="s">
        <v>258</v>
      </c>
      <c r="E9" s="266" t="s">
        <v>259</v>
      </c>
      <c r="F9" s="266" t="s">
        <v>260</v>
      </c>
      <c r="G9" s="266" t="s">
        <v>261</v>
      </c>
      <c r="H9" s="266" t="s">
        <v>262</v>
      </c>
      <c r="I9" s="266" t="s">
        <v>263</v>
      </c>
      <c r="J9" s="266" t="s">
        <v>264</v>
      </c>
      <c r="K9" s="266" t="s">
        <v>265</v>
      </c>
      <c r="L9" s="266" t="s">
        <v>266</v>
      </c>
      <c r="M9" s="266" t="s">
        <v>267</v>
      </c>
      <c r="N9" s="266" t="s">
        <v>268</v>
      </c>
    </row>
    <row r="10" spans="1:14">
      <c r="A10" s="183" t="s">
        <v>209</v>
      </c>
      <c r="B10" s="183" t="s">
        <v>211</v>
      </c>
      <c r="C10" s="183" t="s">
        <v>120</v>
      </c>
      <c r="D10" s="183">
        <v>1</v>
      </c>
      <c r="E10" s="183">
        <v>5.1928723528525165</v>
      </c>
      <c r="F10" s="183">
        <v>2.3818856034324125</v>
      </c>
      <c r="G10" s="183">
        <v>2.1467841133308531E-3</v>
      </c>
      <c r="H10" s="183">
        <v>0.21052782715827184</v>
      </c>
      <c r="I10" s="183">
        <v>1.0062317153270495E-2</v>
      </c>
      <c r="J10" s="183">
        <v>0</v>
      </c>
      <c r="K10" s="183">
        <v>6.397416657725942E-2</v>
      </c>
      <c r="L10" s="183">
        <v>5.726356898704994</v>
      </c>
      <c r="M10" s="183">
        <v>2.7470125828428449</v>
      </c>
      <c r="N10" s="183">
        <v>0</v>
      </c>
    </row>
    <row r="11" spans="1:14">
      <c r="C11" s="183" t="s">
        <v>176</v>
      </c>
      <c r="D11" s="183">
        <v>0</v>
      </c>
      <c r="E11" s="183">
        <v>5.0319517359782253</v>
      </c>
      <c r="F11" s="183">
        <v>2.2212941532354926</v>
      </c>
      <c r="G11" s="183">
        <v>2.1408263094701151E-3</v>
      </c>
      <c r="H11" s="183">
        <v>0.21052782715827181</v>
      </c>
      <c r="I11" s="183">
        <v>1.0061761753555032E-2</v>
      </c>
      <c r="J11" s="183">
        <v>0</v>
      </c>
      <c r="K11" s="183">
        <v>6.3796624022209425E-2</v>
      </c>
      <c r="L11" s="183">
        <v>5.7263568987049931</v>
      </c>
      <c r="M11" s="183">
        <v>2.7468609587205237</v>
      </c>
      <c r="N11" s="183">
        <v>0</v>
      </c>
    </row>
    <row r="12" spans="1:14">
      <c r="C12" s="183" t="s">
        <v>125</v>
      </c>
      <c r="D12" s="183">
        <v>0.16099071210000004</v>
      </c>
      <c r="E12" s="183">
        <v>6.2979154933005166</v>
      </c>
      <c r="F12" s="183">
        <v>3.4852132790813619</v>
      </c>
      <c r="G12" s="183">
        <v>2.177833437291484E-3</v>
      </c>
      <c r="H12" s="183">
        <v>0.21052782715827181</v>
      </c>
      <c r="I12" s="183">
        <v>1.0065211640248602E-2</v>
      </c>
      <c r="J12" s="183">
        <v>0</v>
      </c>
      <c r="K12" s="183">
        <v>6.489943643128622E-2</v>
      </c>
      <c r="L12" s="183">
        <v>5.7263568987049931</v>
      </c>
      <c r="M12" s="183">
        <v>2.7478027777878684</v>
      </c>
      <c r="N12" s="183">
        <v>0</v>
      </c>
    </row>
    <row r="13" spans="1:14">
      <c r="C13" s="183" t="s">
        <v>122</v>
      </c>
      <c r="D13" s="183">
        <v>0.83900928789999996</v>
      </c>
      <c r="E13" s="183">
        <v>4.9808345546450337</v>
      </c>
      <c r="F13" s="183">
        <v>2.170176971902301</v>
      </c>
      <c r="G13" s="183">
        <v>2.1408263094701151E-3</v>
      </c>
      <c r="H13" s="183">
        <v>0.21052782715827181</v>
      </c>
      <c r="I13" s="183">
        <v>1.0061761753555032E-2</v>
      </c>
      <c r="J13" s="183">
        <v>0</v>
      </c>
      <c r="K13" s="183">
        <v>6.3796624022209425E-2</v>
      </c>
      <c r="L13" s="183">
        <v>5.7263568987049931</v>
      </c>
      <c r="M13" s="183">
        <v>2.7468609587205237</v>
      </c>
      <c r="N13" s="183">
        <v>0</v>
      </c>
    </row>
    <row r="14" spans="1:14">
      <c r="B14" s="183" t="s">
        <v>213</v>
      </c>
      <c r="C14" s="183" t="s">
        <v>120</v>
      </c>
      <c r="D14" s="183">
        <v>1</v>
      </c>
      <c r="E14" s="183">
        <v>2.6335681230112238</v>
      </c>
      <c r="F14" s="183">
        <v>1.205281278608977</v>
      </c>
      <c r="G14" s="183">
        <v>1.0897581384659706E-3</v>
      </c>
      <c r="H14" s="183">
        <v>0.10697552193001617</v>
      </c>
      <c r="I14" s="183">
        <v>5.112864658886304E-3</v>
      </c>
      <c r="J14" s="183">
        <v>0</v>
      </c>
      <c r="K14" s="183">
        <v>3.2474792526285927E-2</v>
      </c>
      <c r="L14" s="183">
        <v>2.9097341964964398</v>
      </c>
      <c r="M14" s="183">
        <v>1.3958120518759609</v>
      </c>
      <c r="N14" s="183">
        <v>0</v>
      </c>
    </row>
    <row r="15" spans="1:14">
      <c r="C15" s="183" t="s">
        <v>125</v>
      </c>
      <c r="D15" s="183">
        <v>0.10316139769999999</v>
      </c>
      <c r="E15" s="183">
        <v>3.3041816977152854</v>
      </c>
      <c r="F15" s="183">
        <v>1.8749630929291297</v>
      </c>
      <c r="G15" s="183">
        <v>1.1066226815505508E-3</v>
      </c>
      <c r="H15" s="183">
        <v>0.10697552193001617</v>
      </c>
      <c r="I15" s="183">
        <v>5.1144368090694113E-3</v>
      </c>
      <c r="J15" s="183">
        <v>0</v>
      </c>
      <c r="K15" s="183">
        <v>3.2977355910206417E-2</v>
      </c>
      <c r="L15" s="183">
        <v>2.9097341964964398</v>
      </c>
      <c r="M15" s="183">
        <v>1.3962412488759492</v>
      </c>
      <c r="N15" s="183">
        <v>0</v>
      </c>
    </row>
    <row r="16" spans="1:14">
      <c r="C16" s="183" t="s">
        <v>122</v>
      </c>
      <c r="D16" s="183">
        <v>0.89683860230000001</v>
      </c>
      <c r="E16" s="183">
        <v>2.5564288991802648</v>
      </c>
      <c r="F16" s="183">
        <v>1.1282492331524534</v>
      </c>
      <c r="G16" s="183">
        <v>1.0878182466819691E-3</v>
      </c>
      <c r="H16" s="183">
        <v>0.10697552193001617</v>
      </c>
      <c r="I16" s="183">
        <v>5.112683817863329E-3</v>
      </c>
      <c r="J16" s="183">
        <v>0</v>
      </c>
      <c r="K16" s="183">
        <v>3.2416983751122681E-2</v>
      </c>
      <c r="L16" s="183">
        <v>2.9097341964964398</v>
      </c>
      <c r="M16" s="183">
        <v>1.3957626822766889</v>
      </c>
      <c r="N16" s="183">
        <v>0</v>
      </c>
    </row>
    <row r="17" spans="2:14">
      <c r="B17" s="183" t="s">
        <v>216</v>
      </c>
      <c r="C17" s="183" t="s">
        <v>120</v>
      </c>
      <c r="D17" s="183">
        <v>1</v>
      </c>
      <c r="E17" s="183">
        <v>4.8245950301966705</v>
      </c>
      <c r="F17" s="183">
        <v>2.3490512740937302</v>
      </c>
      <c r="G17" s="183">
        <v>9.4692081912047324E-4</v>
      </c>
      <c r="H17" s="183">
        <v>0.18756022502153244</v>
      </c>
      <c r="I17" s="183">
        <v>8.9645623285463365E-3</v>
      </c>
      <c r="J17" s="183">
        <v>0</v>
      </c>
      <c r="K17" s="183">
        <v>2.8218240409790103E-2</v>
      </c>
      <c r="L17" s="183">
        <v>5.1016381205856822</v>
      </c>
      <c r="M17" s="183">
        <v>2.4473255156931497</v>
      </c>
      <c r="N17" s="183">
        <v>0</v>
      </c>
    </row>
    <row r="18" spans="2:14">
      <c r="C18" s="183" t="s">
        <v>125</v>
      </c>
      <c r="D18" s="183">
        <v>0.23199999999999998</v>
      </c>
      <c r="E18" s="183">
        <v>6.1169526054926333</v>
      </c>
      <c r="F18" s="183">
        <v>3.6403309025783956</v>
      </c>
      <c r="G18" s="183">
        <v>9.5944186490432763E-4</v>
      </c>
      <c r="H18" s="183">
        <v>0.18756022502153244</v>
      </c>
      <c r="I18" s="183">
        <v>8.9671440854948315E-3</v>
      </c>
      <c r="J18" s="183">
        <v>0</v>
      </c>
      <c r="K18" s="183">
        <v>2.8591367574148964E-2</v>
      </c>
      <c r="L18" s="183">
        <v>5.1016381205856822</v>
      </c>
      <c r="M18" s="183">
        <v>2.4480303353400892</v>
      </c>
      <c r="N18" s="183">
        <v>0</v>
      </c>
    </row>
    <row r="19" spans="2:14">
      <c r="C19" s="183" t="s">
        <v>122</v>
      </c>
      <c r="D19" s="183">
        <v>0.76800000000000002</v>
      </c>
      <c r="E19" s="183">
        <v>4.5783900388645122</v>
      </c>
      <c r="F19" s="183">
        <v>2.1030932496204606</v>
      </c>
      <c r="G19" s="183">
        <v>9.4313841987326728E-4</v>
      </c>
      <c r="H19" s="183">
        <v>0.18756022502153244</v>
      </c>
      <c r="I19" s="183">
        <v>8.9640705653180521E-3</v>
      </c>
      <c r="J19" s="183">
        <v>0</v>
      </c>
      <c r="K19" s="183">
        <v>2.8105524912223366E-2</v>
      </c>
      <c r="L19" s="183">
        <v>5.1016381205856822</v>
      </c>
      <c r="M19" s="183">
        <v>2.4471912643318281</v>
      </c>
      <c r="N19" s="183">
        <v>0</v>
      </c>
    </row>
    <row r="20" spans="2:14">
      <c r="B20" s="183" t="s">
        <v>215</v>
      </c>
      <c r="C20" s="183" t="s">
        <v>120</v>
      </c>
      <c r="D20" s="183">
        <v>1</v>
      </c>
      <c r="E20" s="183">
        <v>3.7434616749759266</v>
      </c>
      <c r="F20" s="183">
        <v>2.037647860083764</v>
      </c>
      <c r="G20" s="183">
        <v>0</v>
      </c>
      <c r="H20" s="183">
        <v>0.13072408779847977</v>
      </c>
      <c r="I20" s="183">
        <v>6.2484022523522451E-3</v>
      </c>
      <c r="J20" s="183">
        <v>0</v>
      </c>
      <c r="K20" s="183">
        <v>0</v>
      </c>
      <c r="L20" s="183">
        <v>3.5556951881186496</v>
      </c>
      <c r="M20" s="183">
        <v>1.7058138148921629</v>
      </c>
      <c r="N20" s="183">
        <v>0</v>
      </c>
    </row>
    <row r="21" spans="2:14">
      <c r="C21" s="183" t="s">
        <v>176</v>
      </c>
      <c r="D21" s="183">
        <v>0.16</v>
      </c>
      <c r="E21" s="183">
        <v>3.39311078277942</v>
      </c>
      <c r="F21" s="183">
        <v>1.6874887850373066</v>
      </c>
      <c r="G21" s="183">
        <v>0</v>
      </c>
      <c r="H21" s="183">
        <v>0.13072408779847977</v>
      </c>
      <c r="I21" s="183">
        <v>6.2476996254289879E-3</v>
      </c>
      <c r="J21" s="183">
        <v>0</v>
      </c>
      <c r="K21" s="183">
        <v>0</v>
      </c>
      <c r="L21" s="183">
        <v>3.5556951881186496</v>
      </c>
      <c r="M21" s="183">
        <v>1.7056219977421136</v>
      </c>
      <c r="N21" s="183">
        <v>0</v>
      </c>
    </row>
    <row r="22" spans="2:14">
      <c r="C22" s="183" t="s">
        <v>125</v>
      </c>
      <c r="D22" s="183">
        <v>0.21799999999999986</v>
      </c>
      <c r="E22" s="183">
        <v>4.5753323344026002</v>
      </c>
      <c r="F22" s="183">
        <v>2.8691255282761898</v>
      </c>
      <c r="G22" s="183">
        <v>0</v>
      </c>
      <c r="H22" s="183">
        <v>0.13072408779847977</v>
      </c>
      <c r="I22" s="183">
        <v>6.2498417806828212E-3</v>
      </c>
      <c r="J22" s="183">
        <v>0</v>
      </c>
      <c r="K22" s="183">
        <v>0</v>
      </c>
      <c r="L22" s="183">
        <v>3.5556951881186496</v>
      </c>
      <c r="M22" s="183">
        <v>1.7062068061264102</v>
      </c>
      <c r="N22" s="183">
        <v>0</v>
      </c>
    </row>
    <row r="23" spans="2:14">
      <c r="C23" s="183" t="s">
        <v>122</v>
      </c>
      <c r="D23" s="183">
        <v>0.51200000000000012</v>
      </c>
      <c r="E23" s="183">
        <v>3.3419936014462288</v>
      </c>
      <c r="F23" s="183">
        <v>1.6363716037041152</v>
      </c>
      <c r="G23" s="183">
        <v>0</v>
      </c>
      <c r="H23" s="183">
        <v>0.13072408779847977</v>
      </c>
      <c r="I23" s="183">
        <v>6.2476996254289879E-3</v>
      </c>
      <c r="J23" s="183">
        <v>0</v>
      </c>
      <c r="K23" s="183">
        <v>0</v>
      </c>
      <c r="L23" s="183">
        <v>3.5556951881186496</v>
      </c>
      <c r="M23" s="183">
        <v>1.7056219977421136</v>
      </c>
      <c r="N23" s="183">
        <v>0</v>
      </c>
    </row>
    <row r="24" spans="2:14">
      <c r="C24" s="183" t="s">
        <v>127</v>
      </c>
      <c r="D24" s="183">
        <v>0.11</v>
      </c>
      <c r="E24" s="183">
        <v>4.4730979717362178</v>
      </c>
      <c r="F24" s="183">
        <v>2.7668911656098074</v>
      </c>
      <c r="G24" s="183">
        <v>0</v>
      </c>
      <c r="H24" s="183">
        <v>0.13072408779847977</v>
      </c>
      <c r="I24" s="183">
        <v>6.2498417806828212E-3</v>
      </c>
      <c r="J24" s="183">
        <v>0</v>
      </c>
      <c r="K24" s="183">
        <v>0</v>
      </c>
      <c r="L24" s="183">
        <v>3.5556951881186496</v>
      </c>
      <c r="M24" s="183">
        <v>1.7062068061264102</v>
      </c>
      <c r="N24" s="183">
        <v>0</v>
      </c>
    </row>
    <row r="25" spans="2:14">
      <c r="B25" s="183" t="s">
        <v>214</v>
      </c>
      <c r="C25" s="183" t="s">
        <v>120</v>
      </c>
      <c r="D25" s="183">
        <v>1</v>
      </c>
      <c r="E25" s="183">
        <v>5.5188309087882841</v>
      </c>
      <c r="F25" s="183">
        <v>2.8332124854600531</v>
      </c>
      <c r="G25" s="183">
        <v>2.0566938704794637E-3</v>
      </c>
      <c r="H25" s="183">
        <v>0.20111398122843038</v>
      </c>
      <c r="I25" s="183">
        <v>9.6129265420803762E-3</v>
      </c>
      <c r="J25" s="183">
        <v>0</v>
      </c>
      <c r="K25" s="183">
        <v>6.1289477340288022E-2</v>
      </c>
      <c r="L25" s="183">
        <v>5.4703002894133066</v>
      </c>
      <c r="M25" s="183">
        <v>2.6243289459879429</v>
      </c>
      <c r="N25" s="183">
        <v>0</v>
      </c>
    </row>
    <row r="26" spans="2:14">
      <c r="C26" s="183" t="s">
        <v>176</v>
      </c>
      <c r="D26" s="183">
        <v>0.16</v>
      </c>
      <c r="E26" s="183">
        <v>5.0543113630128751</v>
      </c>
      <c r="F26" s="183">
        <v>2.3693335908805895</v>
      </c>
      <c r="G26" s="183">
        <v>2.0450983037621018E-3</v>
      </c>
      <c r="H26" s="183">
        <v>0.20111398122843038</v>
      </c>
      <c r="I26" s="183">
        <v>9.6118455775830586E-3</v>
      </c>
      <c r="J26" s="183">
        <v>0</v>
      </c>
      <c r="K26" s="183">
        <v>6.0943929452110635E-2</v>
      </c>
      <c r="L26" s="183">
        <v>5.4703002894133066</v>
      </c>
      <c r="M26" s="183">
        <v>2.6240338426801748</v>
      </c>
      <c r="N26" s="183">
        <v>0</v>
      </c>
    </row>
    <row r="27" spans="2:14">
      <c r="C27" s="183" t="s">
        <v>125</v>
      </c>
      <c r="D27" s="183">
        <v>0.21799999999999986</v>
      </c>
      <c r="E27" s="183">
        <v>6.5846080779863678</v>
      </c>
      <c r="F27" s="183">
        <v>3.8976771009883944</v>
      </c>
      <c r="G27" s="183">
        <v>2.0804506413150351E-3</v>
      </c>
      <c r="H27" s="183">
        <v>0.20111398122843038</v>
      </c>
      <c r="I27" s="183">
        <v>9.6151412010504946E-3</v>
      </c>
      <c r="J27" s="183">
        <v>0</v>
      </c>
      <c r="K27" s="183">
        <v>6.1997429111188045E-2</v>
      </c>
      <c r="L27" s="183">
        <v>5.4703002894133066</v>
      </c>
      <c r="M27" s="183">
        <v>2.6249335478867852</v>
      </c>
      <c r="N27" s="183">
        <v>0</v>
      </c>
    </row>
    <row r="28" spans="2:14">
      <c r="C28" s="183" t="s">
        <v>122</v>
      </c>
      <c r="D28" s="183">
        <v>0.51200000000000012</v>
      </c>
      <c r="E28" s="183">
        <v>5.0031941816796834</v>
      </c>
      <c r="F28" s="183">
        <v>2.3182164095473978</v>
      </c>
      <c r="G28" s="183">
        <v>2.0450983037621018E-3</v>
      </c>
      <c r="H28" s="183">
        <v>0.20111398122843038</v>
      </c>
      <c r="I28" s="183">
        <v>9.6118455775830586E-3</v>
      </c>
      <c r="J28" s="183">
        <v>0</v>
      </c>
      <c r="K28" s="183">
        <v>6.0943929452110635E-2</v>
      </c>
      <c r="L28" s="183">
        <v>5.4703002894133066</v>
      </c>
      <c r="M28" s="183">
        <v>2.6240338426801748</v>
      </c>
      <c r="N28" s="183">
        <v>0</v>
      </c>
    </row>
    <row r="29" spans="2:14">
      <c r="C29" s="183" t="s">
        <v>127</v>
      </c>
      <c r="D29" s="183">
        <v>0.11</v>
      </c>
      <c r="E29" s="183">
        <v>6.4823737153199854</v>
      </c>
      <c r="F29" s="183">
        <v>3.7954427383220115</v>
      </c>
      <c r="G29" s="183">
        <v>2.0804506413150351E-3</v>
      </c>
      <c r="H29" s="183">
        <v>0.20111398122843038</v>
      </c>
      <c r="I29" s="183">
        <v>9.6151412010504946E-3</v>
      </c>
      <c r="J29" s="183">
        <v>0</v>
      </c>
      <c r="K29" s="183">
        <v>6.1997429111188045E-2</v>
      </c>
      <c r="L29" s="183">
        <v>5.4703002894133066</v>
      </c>
      <c r="M29" s="183">
        <v>2.6249335478867852</v>
      </c>
      <c r="N29" s="183">
        <v>0</v>
      </c>
    </row>
    <row r="30" spans="2:14">
      <c r="B30" s="183" t="s">
        <v>75</v>
      </c>
      <c r="C30" s="183" t="s">
        <v>120</v>
      </c>
      <c r="D30" s="183">
        <v>1</v>
      </c>
      <c r="E30" s="183">
        <v>4.8533707003694255</v>
      </c>
      <c r="F30" s="183">
        <v>2.3490512740937302</v>
      </c>
      <c r="G30" s="183">
        <v>1.9125473349847549E-3</v>
      </c>
      <c r="H30" s="183">
        <v>0.18756022502153244</v>
      </c>
      <c r="I30" s="183">
        <v>8.9645623285463365E-3</v>
      </c>
      <c r="J30" s="183">
        <v>0</v>
      </c>
      <c r="K30" s="183">
        <v>5.6993910582545694E-2</v>
      </c>
      <c r="L30" s="183">
        <v>5.1016381205856822</v>
      </c>
      <c r="M30" s="183">
        <v>2.4473255156931497</v>
      </c>
      <c r="N30" s="183">
        <v>0</v>
      </c>
    </row>
    <row r="31" spans="2:14">
      <c r="C31" s="183" t="s">
        <v>125</v>
      </c>
      <c r="D31" s="183">
        <v>0.15999999999999992</v>
      </c>
      <c r="E31" s="183">
        <v>6.1461804491131717</v>
      </c>
      <c r="F31" s="183">
        <v>3.6403309025783956</v>
      </c>
      <c r="G31" s="183">
        <v>1.9402419863988932E-3</v>
      </c>
      <c r="H31" s="183">
        <v>0.18756022502153244</v>
      </c>
      <c r="I31" s="183">
        <v>8.9671440854948315E-3</v>
      </c>
      <c r="J31" s="183">
        <v>0</v>
      </c>
      <c r="K31" s="183">
        <v>5.7819211194687019E-2</v>
      </c>
      <c r="L31" s="183">
        <v>5.1016381205856822</v>
      </c>
      <c r="M31" s="183">
        <v>2.4480303353400892</v>
      </c>
      <c r="N31" s="183">
        <v>0</v>
      </c>
    </row>
    <row r="32" spans="2:14">
      <c r="C32" s="183" t="s">
        <v>122</v>
      </c>
      <c r="D32" s="183">
        <v>0.84000000000000008</v>
      </c>
      <c r="E32" s="183">
        <v>4.6071212244182362</v>
      </c>
      <c r="F32" s="183">
        <v>2.1030932496204606</v>
      </c>
      <c r="G32" s="183">
        <v>1.907272163286824E-3</v>
      </c>
      <c r="H32" s="183">
        <v>0.18756022502153244</v>
      </c>
      <c r="I32" s="183">
        <v>8.9640705653180521E-3</v>
      </c>
      <c r="J32" s="183">
        <v>0</v>
      </c>
      <c r="K32" s="183">
        <v>5.6836710465947356E-2</v>
      </c>
      <c r="L32" s="183">
        <v>5.1016381205856822</v>
      </c>
      <c r="M32" s="183">
        <v>2.4471912643318281</v>
      </c>
      <c r="N32" s="183">
        <v>0</v>
      </c>
    </row>
    <row r="33" spans="1:14">
      <c r="B33" s="183" t="s">
        <v>210</v>
      </c>
      <c r="C33" s="183" t="s">
        <v>122</v>
      </c>
      <c r="D33" s="183">
        <v>1</v>
      </c>
      <c r="E33" s="183">
        <v>0.60534139348912497</v>
      </c>
      <c r="F33" s="183">
        <v>0.31970546028356261</v>
      </c>
      <c r="G33" s="183">
        <v>2.1756364933639384E-4</v>
      </c>
      <c r="H33" s="183">
        <v>2.1395104386003231E-2</v>
      </c>
      <c r="I33" s="183">
        <v>1.0225367635726659E-3</v>
      </c>
      <c r="J33" s="183">
        <v>0</v>
      </c>
      <c r="K33" s="183">
        <v>6.4833967502245368E-3</v>
      </c>
      <c r="L33" s="183">
        <v>0.58194683929928792</v>
      </c>
      <c r="M33" s="183">
        <v>0.27915253645533777</v>
      </c>
      <c r="N33" s="183">
        <v>0</v>
      </c>
    </row>
    <row r="34" spans="1:14">
      <c r="B34" s="183" t="s">
        <v>212</v>
      </c>
      <c r="C34" s="183" t="s">
        <v>120</v>
      </c>
      <c r="D34" s="183">
        <v>1</v>
      </c>
      <c r="E34" s="183">
        <v>0.78441657967312195</v>
      </c>
      <c r="F34" s="183">
        <v>0.49873243970917247</v>
      </c>
      <c r="G34" s="183">
        <v>2.1843617511429602E-4</v>
      </c>
      <c r="H34" s="183">
        <v>2.1395104386003231E-2</v>
      </c>
      <c r="I34" s="183">
        <v>1.0226181023646282E-3</v>
      </c>
      <c r="J34" s="183">
        <v>0</v>
      </c>
      <c r="K34" s="183">
        <v>6.5093980184060219E-3</v>
      </c>
      <c r="L34" s="183">
        <v>0.58194683929928792</v>
      </c>
      <c r="M34" s="183">
        <v>0.27917474194554348</v>
      </c>
      <c r="N34" s="183">
        <v>0</v>
      </c>
    </row>
    <row r="35" spans="1:14">
      <c r="C35" s="183" t="s">
        <v>125</v>
      </c>
      <c r="D35" s="183">
        <v>0.23199999999999998</v>
      </c>
      <c r="E35" s="183">
        <v>1.1403155004483914</v>
      </c>
      <c r="F35" s="183">
        <v>0.85447177949116015</v>
      </c>
      <c r="G35" s="183">
        <v>2.2132453631011016E-4</v>
      </c>
      <c r="H35" s="183">
        <v>2.1395104386003231E-2</v>
      </c>
      <c r="I35" s="183">
        <v>1.0228873618138823E-3</v>
      </c>
      <c r="J35" s="183">
        <v>0</v>
      </c>
      <c r="K35" s="183">
        <v>6.5954711820412825E-3</v>
      </c>
      <c r="L35" s="183">
        <v>0.58194683929928792</v>
      </c>
      <c r="M35" s="183">
        <v>0.27924824977518986</v>
      </c>
      <c r="N35" s="183">
        <v>0</v>
      </c>
    </row>
    <row r="36" spans="1:14">
      <c r="C36" s="183" t="s">
        <v>122</v>
      </c>
      <c r="D36" s="183">
        <v>0.76800000000000002</v>
      </c>
      <c r="E36" s="183">
        <v>0.67690544735559266</v>
      </c>
      <c r="F36" s="183">
        <v>0.39126951415003036</v>
      </c>
      <c r="G36" s="183">
        <v>2.1756364933639384E-4</v>
      </c>
      <c r="H36" s="183">
        <v>2.1395104386003231E-2</v>
      </c>
      <c r="I36" s="183">
        <v>1.0225367635726659E-3</v>
      </c>
      <c r="J36" s="183">
        <v>0</v>
      </c>
      <c r="K36" s="183">
        <v>6.4833967502245368E-3</v>
      </c>
      <c r="L36" s="183">
        <v>0.58194683929928792</v>
      </c>
      <c r="M36" s="183">
        <v>0.27915253645533777</v>
      </c>
      <c r="N36" s="183">
        <v>0</v>
      </c>
    </row>
    <row r="37" spans="1:14">
      <c r="A37"/>
      <c r="B37"/>
      <c r="C37"/>
      <c r="D37"/>
      <c r="E37"/>
      <c r="F37"/>
      <c r="G37"/>
      <c r="H37"/>
      <c r="I37"/>
      <c r="J37"/>
      <c r="K37"/>
      <c r="L37"/>
      <c r="M37"/>
      <c r="N37"/>
    </row>
    <row r="38" spans="1:14">
      <c r="A38"/>
      <c r="B38"/>
      <c r="C38"/>
      <c r="D38"/>
      <c r="E38"/>
      <c r="F38"/>
      <c r="G38"/>
      <c r="H38"/>
      <c r="I38"/>
      <c r="J38"/>
      <c r="K38"/>
      <c r="L38"/>
      <c r="M38"/>
      <c r="N38"/>
    </row>
    <row r="39" spans="1:14">
      <c r="A39"/>
      <c r="B39"/>
      <c r="C39"/>
      <c r="D39"/>
      <c r="E39"/>
      <c r="F39"/>
      <c r="G39"/>
      <c r="H39"/>
      <c r="I39"/>
      <c r="J39"/>
      <c r="K39"/>
      <c r="L39"/>
      <c r="M39"/>
      <c r="N39"/>
    </row>
    <row r="40" spans="1:14">
      <c r="A40"/>
      <c r="B40"/>
      <c r="C40"/>
      <c r="D40"/>
      <c r="E40"/>
      <c r="F40"/>
      <c r="G40"/>
      <c r="H40"/>
      <c r="I40"/>
      <c r="J40"/>
      <c r="K40"/>
      <c r="L40"/>
      <c r="M40"/>
      <c r="N40"/>
    </row>
    <row r="41" spans="1:14">
      <c r="A41"/>
      <c r="B41"/>
      <c r="C41"/>
      <c r="D41"/>
      <c r="E41"/>
      <c r="F41"/>
      <c r="G41"/>
      <c r="H41"/>
      <c r="I41"/>
      <c r="J41"/>
      <c r="K41"/>
      <c r="L41"/>
      <c r="M41"/>
      <c r="N41"/>
    </row>
    <row r="42" spans="1:14">
      <c r="A42"/>
      <c r="B42"/>
      <c r="C42"/>
      <c r="D42"/>
      <c r="E42"/>
      <c r="F42"/>
      <c r="G42"/>
      <c r="H42"/>
      <c r="I42"/>
      <c r="J42"/>
      <c r="K42"/>
      <c r="L42"/>
      <c r="M42"/>
      <c r="N42"/>
    </row>
    <row r="43" spans="1:14">
      <c r="A43"/>
      <c r="B43"/>
      <c r="C43"/>
      <c r="D43"/>
      <c r="E43"/>
      <c r="F43"/>
      <c r="G43"/>
      <c r="H43"/>
      <c r="I43"/>
      <c r="J43"/>
      <c r="K43"/>
      <c r="L43"/>
      <c r="M43"/>
      <c r="N43"/>
    </row>
    <row r="44" spans="1:14">
      <c r="A44"/>
      <c r="B44"/>
      <c r="C44"/>
      <c r="D44"/>
      <c r="E44"/>
      <c r="F44"/>
      <c r="G44"/>
      <c r="H44"/>
      <c r="I44"/>
      <c r="J44"/>
      <c r="K44"/>
      <c r="L44"/>
      <c r="M44"/>
      <c r="N44"/>
    </row>
    <row r="45" spans="1:14">
      <c r="A45"/>
      <c r="B45"/>
      <c r="C45"/>
      <c r="D45"/>
      <c r="E45"/>
      <c r="F45"/>
      <c r="G45"/>
      <c r="H45"/>
      <c r="I45"/>
      <c r="J45"/>
      <c r="K45"/>
      <c r="L45"/>
      <c r="M45"/>
      <c r="N45"/>
    </row>
    <row r="46" spans="1:14">
      <c r="A46"/>
      <c r="B46"/>
      <c r="C46"/>
      <c r="D46"/>
      <c r="E46"/>
      <c r="F46"/>
      <c r="G46"/>
      <c r="H46"/>
      <c r="I46"/>
      <c r="J46"/>
      <c r="K46"/>
      <c r="L46"/>
      <c r="M46"/>
      <c r="N46"/>
    </row>
    <row r="47" spans="1:14">
      <c r="A47"/>
      <c r="B47"/>
      <c r="C47"/>
      <c r="D47"/>
      <c r="E47"/>
      <c r="F47"/>
      <c r="G47"/>
      <c r="H47"/>
      <c r="I47"/>
      <c r="J47"/>
      <c r="K47"/>
      <c r="L47"/>
      <c r="M47"/>
      <c r="N47"/>
    </row>
    <row r="48" spans="1:14">
      <c r="A48"/>
      <c r="B48"/>
      <c r="C48"/>
      <c r="D48"/>
      <c r="E48"/>
      <c r="F48"/>
      <c r="G48"/>
      <c r="H48"/>
      <c r="I48"/>
      <c r="J48"/>
      <c r="K48"/>
      <c r="L48"/>
      <c r="M48"/>
      <c r="N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sheetData>
  <mergeCells count="1">
    <mergeCell ref="C1:D1"/>
  </mergeCells>
  <pageMargins left="0.7" right="0.7" top="0.75" bottom="0.75" header="0.3" footer="0.3"/>
  <pageSetup orientation="portrait" horizontalDpi="1200" verticalDpi="1200" r:id="rId2"/>
  <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'Common input data'!$A$5:$A$15</xm:f>
          </x14:formula1>
          <xm:sqref>C1</xm:sqref>
        </x14:dataValidation>
      </x14:dataValidation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DP273"/>
  <sheetViews>
    <sheetView topLeftCell="A71" zoomScale="70" zoomScaleNormal="70" workbookViewId="0">
      <pane xSplit="9720" topLeftCell="AH1"/>
      <selection activeCell="C144" sqref="C144"/>
      <selection pane="topRight" activeCell="X257" sqref="X257"/>
    </sheetView>
  </sheetViews>
  <sheetFormatPr defaultColWidth="8.7109375" defaultRowHeight="15"/>
  <cols>
    <col min="1" max="1" width="37.42578125" customWidth="1"/>
    <col min="2" max="2" width="67" style="55" bestFit="1" customWidth="1"/>
    <col min="3" max="3" width="19.7109375" bestFit="1" customWidth="1"/>
    <col min="4" max="4" width="19.7109375" customWidth="1"/>
    <col min="5" max="5" width="28" customWidth="1"/>
    <col min="6" max="7" width="38.7109375" customWidth="1"/>
    <col min="8" max="8" width="41.42578125" customWidth="1"/>
    <col min="9" max="9" width="54.42578125" customWidth="1"/>
    <col min="10" max="10" width="26" bestFit="1" customWidth="1"/>
    <col min="11" max="11" width="36.42578125" bestFit="1" customWidth="1"/>
    <col min="12" max="12" width="32.42578125" bestFit="1" customWidth="1"/>
    <col min="13" max="13" width="37.7109375" bestFit="1" customWidth="1"/>
    <col min="14" max="14" width="38.42578125" bestFit="1" customWidth="1"/>
    <col min="15" max="15" width="26" bestFit="1" customWidth="1"/>
    <col min="16" max="16" width="37.28515625" bestFit="1" customWidth="1"/>
    <col min="17" max="17" width="41.42578125" bestFit="1" customWidth="1"/>
    <col min="18" max="18" width="39.42578125" bestFit="1" customWidth="1"/>
    <col min="19" max="19" width="19.42578125" bestFit="1" customWidth="1"/>
    <col min="20" max="20" width="41.42578125" bestFit="1" customWidth="1"/>
    <col min="21" max="21" width="36.42578125" bestFit="1" customWidth="1"/>
    <col min="22" max="22" width="23.42578125" customWidth="1"/>
    <col min="23" max="23" width="28" bestFit="1" customWidth="1"/>
    <col min="24" max="24" width="14.42578125" customWidth="1"/>
    <col min="25" max="25" width="12.28515625" bestFit="1" customWidth="1"/>
    <col min="26" max="26" width="26.7109375" bestFit="1" customWidth="1"/>
    <col min="27" max="27" width="17.42578125" customWidth="1"/>
    <col min="28" max="28" width="15" customWidth="1"/>
    <col min="29" max="29" width="11.7109375" customWidth="1"/>
    <col min="30" max="30" width="34.28515625" bestFit="1" customWidth="1"/>
    <col min="31" max="31" width="17.28515625" customWidth="1"/>
    <col min="32" max="32" width="19.42578125" bestFit="1" customWidth="1"/>
    <col min="33" max="33" width="18" bestFit="1" customWidth="1"/>
    <col min="34" max="34" width="15.42578125" bestFit="1" customWidth="1"/>
    <col min="35" max="35" width="11.28515625" customWidth="1"/>
    <col min="36" max="36" width="28.28515625" bestFit="1" customWidth="1"/>
    <col min="37" max="37" width="12.7109375" bestFit="1" customWidth="1"/>
    <col min="38" max="38" width="22" customWidth="1"/>
    <col min="39" max="39" width="12" bestFit="1" customWidth="1"/>
    <col min="40" max="40" width="24" customWidth="1"/>
    <col min="41" max="41" width="12.42578125" bestFit="1" customWidth="1"/>
    <col min="42" max="42" width="16.28515625" bestFit="1" customWidth="1"/>
    <col min="43" max="43" width="12.42578125" bestFit="1" customWidth="1"/>
    <col min="44" max="44" width="41.28515625" customWidth="1"/>
    <col min="45" max="46" width="16.28515625" bestFit="1" customWidth="1"/>
    <col min="47" max="47" width="12.42578125" bestFit="1" customWidth="1"/>
    <col min="48" max="48" width="30.42578125" customWidth="1"/>
    <col min="49" max="49" width="12.42578125" bestFit="1" customWidth="1"/>
    <col min="50" max="50" width="16.28515625" bestFit="1" customWidth="1"/>
    <col min="51" max="51" width="12.42578125" bestFit="1" customWidth="1"/>
    <col min="52" max="52" width="15.42578125" bestFit="1" customWidth="1"/>
    <col min="53" max="53" width="12.28515625" bestFit="1" customWidth="1"/>
    <col min="54" max="54" width="12.42578125" bestFit="1" customWidth="1"/>
    <col min="55" max="55" width="16.28515625" bestFit="1" customWidth="1"/>
    <col min="56" max="56" width="12.42578125" bestFit="1" customWidth="1"/>
    <col min="57" max="57" width="16.28515625" bestFit="1" customWidth="1"/>
    <col min="58" max="58" width="12.42578125" bestFit="1" customWidth="1"/>
    <col min="59" max="59" width="12.28515625" bestFit="1" customWidth="1"/>
    <col min="60" max="60" width="11.7109375" bestFit="1" customWidth="1"/>
    <col min="61" max="61" width="12.28515625" bestFit="1" customWidth="1"/>
    <col min="62" max="62" width="13.42578125" bestFit="1" customWidth="1"/>
    <col min="63" max="67" width="12.28515625" bestFit="1" customWidth="1"/>
    <col min="68" max="68" width="16.28515625" bestFit="1" customWidth="1"/>
    <col min="69" max="69" width="11.7109375" bestFit="1" customWidth="1"/>
    <col min="70" max="71" width="12.28515625" bestFit="1" customWidth="1"/>
    <col min="73" max="73" width="14" customWidth="1"/>
    <col min="74" max="74" width="13.28515625" customWidth="1"/>
    <col min="75" max="75" width="18.7109375" customWidth="1"/>
    <col min="78" max="80" width="0" hidden="1" customWidth="1"/>
  </cols>
  <sheetData>
    <row r="1" spans="1:120" ht="31.5">
      <c r="A1" s="326" t="s">
        <v>11</v>
      </c>
      <c r="F1" s="327" t="s">
        <v>269</v>
      </c>
      <c r="G1" s="328" t="s">
        <v>270</v>
      </c>
    </row>
    <row r="2" spans="1:120" ht="31.5">
      <c r="B2" s="329"/>
      <c r="F2" s="327" t="s">
        <v>271</v>
      </c>
      <c r="G2" s="328" t="s">
        <v>272</v>
      </c>
    </row>
    <row r="3" spans="1:120" ht="69.75">
      <c r="A3" s="278"/>
      <c r="F3" s="330" t="s">
        <v>273</v>
      </c>
      <c r="G3" s="328" t="s">
        <v>272</v>
      </c>
      <c r="AR3" s="1168" t="s">
        <v>274</v>
      </c>
      <c r="AS3" s="1169">
        <v>100</v>
      </c>
      <c r="BP3" s="29"/>
      <c r="BQ3" s="29"/>
      <c r="BR3" s="29"/>
      <c r="BS3" s="29"/>
      <c r="BT3" s="29"/>
      <c r="BU3" s="29"/>
      <c r="BV3" s="29"/>
      <c r="BW3" s="29"/>
      <c r="BX3" s="29"/>
      <c r="BY3" s="29"/>
      <c r="BZ3" s="29"/>
      <c r="CA3" s="29"/>
      <c r="CB3" s="29"/>
      <c r="CC3" s="29"/>
      <c r="CD3" s="29"/>
      <c r="CE3" s="23"/>
      <c r="CF3" s="23"/>
      <c r="CG3" s="23"/>
      <c r="CH3" s="23"/>
      <c r="CI3" s="23"/>
      <c r="CJ3" s="23"/>
      <c r="CK3" s="23"/>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row>
    <row r="4" spans="1:120" ht="17.25">
      <c r="A4" s="278"/>
      <c r="F4" s="330"/>
      <c r="G4" s="328"/>
    </row>
    <row r="5" spans="1:120" ht="21.75" thickBot="1">
      <c r="E5" s="774" t="s">
        <v>275</v>
      </c>
      <c r="F5" s="839"/>
      <c r="G5" s="840"/>
      <c r="H5" s="841"/>
      <c r="I5" s="842"/>
      <c r="J5" s="842"/>
      <c r="K5" s="842"/>
      <c r="L5" s="842"/>
      <c r="M5" s="842"/>
      <c r="N5" s="842"/>
      <c r="O5" s="842"/>
      <c r="P5" s="842"/>
      <c r="Q5" s="842"/>
      <c r="R5" s="842"/>
      <c r="S5" s="842"/>
      <c r="T5" s="842"/>
      <c r="U5" s="188"/>
      <c r="V5" s="843" t="s">
        <v>276</v>
      </c>
      <c r="W5" s="844"/>
      <c r="X5" s="845"/>
      <c r="Y5" s="406"/>
      <c r="Z5" s="843" t="s">
        <v>277</v>
      </c>
      <c r="AA5" s="844"/>
      <c r="AB5" s="845"/>
      <c r="AD5" s="843" t="s">
        <v>278</v>
      </c>
      <c r="AE5" s="844"/>
      <c r="AF5" s="845"/>
      <c r="AH5" s="843" t="s">
        <v>279</v>
      </c>
      <c r="AI5" s="844"/>
      <c r="AJ5" s="845"/>
      <c r="AK5" s="188"/>
      <c r="AL5" s="843" t="s">
        <v>280</v>
      </c>
      <c r="AM5" s="844"/>
      <c r="AN5" s="844"/>
      <c r="AO5" s="844"/>
      <c r="AP5" s="845"/>
      <c r="AR5" s="843" t="s">
        <v>281</v>
      </c>
      <c r="AS5" s="844"/>
      <c r="AT5" s="845"/>
      <c r="AU5" s="1013"/>
      <c r="AV5" s="843" t="s">
        <v>282</v>
      </c>
      <c r="AW5" s="844"/>
      <c r="AX5" s="845"/>
      <c r="AZ5" s="843" t="s">
        <v>283</v>
      </c>
      <c r="BA5" s="844"/>
      <c r="BB5" s="845"/>
      <c r="BD5" s="843" t="s">
        <v>284</v>
      </c>
      <c r="BE5" s="845"/>
      <c r="BI5" s="188"/>
      <c r="BJ5" s="188"/>
    </row>
    <row r="6" spans="1:120" ht="21">
      <c r="E6" s="775" t="s">
        <v>285</v>
      </c>
      <c r="F6" s="846"/>
      <c r="G6" s="846"/>
      <c r="H6" s="847"/>
      <c r="I6" s="848" t="s">
        <v>286</v>
      </c>
      <c r="J6" s="849"/>
      <c r="K6" s="849"/>
      <c r="L6" s="849"/>
      <c r="M6" s="849"/>
      <c r="N6" s="849"/>
      <c r="O6" s="849"/>
      <c r="P6" s="849"/>
      <c r="Q6" s="849"/>
      <c r="R6" s="849"/>
      <c r="S6" s="849"/>
      <c r="T6" s="849"/>
      <c r="U6" s="188"/>
      <c r="V6" s="850" t="s">
        <v>286</v>
      </c>
      <c r="W6" s="849"/>
      <c r="X6" s="851"/>
      <c r="Y6" s="406"/>
      <c r="Z6" s="850" t="s">
        <v>286</v>
      </c>
      <c r="AA6" s="849"/>
      <c r="AB6" s="851"/>
      <c r="AD6" s="850" t="s">
        <v>286</v>
      </c>
      <c r="AE6" s="849"/>
      <c r="AF6" s="851"/>
      <c r="AH6" s="850" t="s">
        <v>286</v>
      </c>
      <c r="AI6" s="849"/>
      <c r="AJ6" s="851"/>
      <c r="AK6" s="188"/>
      <c r="AL6" s="850" t="s">
        <v>286</v>
      </c>
      <c r="AM6" s="849"/>
      <c r="AN6" s="849"/>
      <c r="AO6" s="849"/>
      <c r="AP6" s="851"/>
      <c r="AR6" s="850" t="s">
        <v>286</v>
      </c>
      <c r="AS6" s="849"/>
      <c r="AT6" s="851"/>
      <c r="AU6" s="188"/>
      <c r="AV6" s="850" t="s">
        <v>286</v>
      </c>
      <c r="AW6" s="849"/>
      <c r="AX6" s="851"/>
      <c r="AZ6" s="850" t="s">
        <v>286</v>
      </c>
      <c r="BA6" s="849"/>
      <c r="BB6" s="851"/>
      <c r="BD6" s="850" t="s">
        <v>286</v>
      </c>
      <c r="BE6" s="851"/>
      <c r="BI6" s="188"/>
      <c r="BJ6" s="188"/>
      <c r="BZ6" s="286" t="s">
        <v>252</v>
      </c>
      <c r="CA6" s="286"/>
    </row>
    <row r="7" spans="1:120" ht="113.65" customHeight="1">
      <c r="A7" s="331"/>
      <c r="B7" s="332"/>
      <c r="C7" s="765"/>
      <c r="D7" s="406"/>
      <c r="E7" s="339"/>
      <c r="F7" s="912" t="s">
        <v>287</v>
      </c>
      <c r="G7" s="912"/>
      <c r="H7" s="913"/>
      <c r="I7" s="336" t="s">
        <v>288</v>
      </c>
      <c r="J7" s="337"/>
      <c r="K7" s="336" t="s">
        <v>289</v>
      </c>
      <c r="L7" s="338"/>
      <c r="M7" s="339"/>
      <c r="N7" s="340"/>
      <c r="O7" s="340"/>
      <c r="P7" s="340"/>
      <c r="Q7" s="340"/>
      <c r="R7" s="340"/>
      <c r="S7" s="340"/>
      <c r="T7" s="341"/>
      <c r="V7" s="418" t="s">
        <v>290</v>
      </c>
      <c r="W7" s="958" t="s">
        <v>291</v>
      </c>
      <c r="X7" s="959" t="s">
        <v>292</v>
      </c>
      <c r="Y7" s="52"/>
      <c r="Z7" s="422" t="s">
        <v>290</v>
      </c>
      <c r="AA7" s="1014" t="s">
        <v>291</v>
      </c>
      <c r="AB7" s="940" t="s">
        <v>292</v>
      </c>
      <c r="AD7" s="422" t="s">
        <v>290</v>
      </c>
      <c r="AE7" s="1014" t="s">
        <v>291</v>
      </c>
      <c r="AF7" s="940" t="s">
        <v>292</v>
      </c>
      <c r="AH7" s="422" t="s">
        <v>290</v>
      </c>
      <c r="AI7" s="1014" t="s">
        <v>291</v>
      </c>
      <c r="AJ7" s="940" t="s">
        <v>292</v>
      </c>
      <c r="AK7" s="1015"/>
      <c r="AL7" s="418" t="s">
        <v>293</v>
      </c>
      <c r="AM7" s="401" t="s">
        <v>294</v>
      </c>
      <c r="AN7" s="401" t="s">
        <v>290</v>
      </c>
      <c r="AO7" s="958" t="s">
        <v>291</v>
      </c>
      <c r="AP7" s="959" t="s">
        <v>292</v>
      </c>
      <c r="AQ7" s="52"/>
      <c r="AR7" s="422" t="s">
        <v>290</v>
      </c>
      <c r="AS7" s="1014" t="s">
        <v>291</v>
      </c>
      <c r="AT7" s="940" t="s">
        <v>292</v>
      </c>
      <c r="AU7" s="1015"/>
      <c r="AV7" s="422" t="s">
        <v>290</v>
      </c>
      <c r="AW7" s="1014" t="s">
        <v>291</v>
      </c>
      <c r="AX7" s="940" t="s">
        <v>292</v>
      </c>
      <c r="AY7" s="52"/>
      <c r="AZ7" s="422" t="s">
        <v>290</v>
      </c>
      <c r="BA7" s="1014" t="s">
        <v>291</v>
      </c>
      <c r="BB7" s="940" t="s">
        <v>292</v>
      </c>
      <c r="BD7" s="1326" t="s">
        <v>291</v>
      </c>
      <c r="BE7" s="940" t="s">
        <v>292</v>
      </c>
      <c r="BI7" s="188"/>
      <c r="BJ7" s="188"/>
      <c r="BZ7" s="286" t="s">
        <v>253</v>
      </c>
      <c r="CA7" s="286">
        <v>1</v>
      </c>
    </row>
    <row r="8" spans="1:120" s="55" customFormat="1" ht="61.35" customHeight="1" thickBot="1">
      <c r="A8" s="269"/>
      <c r="B8" s="342" t="s">
        <v>107</v>
      </c>
      <c r="C8" s="347" t="s">
        <v>108</v>
      </c>
      <c r="D8" s="345"/>
      <c r="E8" s="422"/>
      <c r="F8" s="345" t="s">
        <v>295</v>
      </c>
      <c r="G8" s="345" t="s">
        <v>290</v>
      </c>
      <c r="H8" s="423" t="s">
        <v>296</v>
      </c>
      <c r="I8" s="345" t="s">
        <v>297</v>
      </c>
      <c r="J8" s="347" t="s">
        <v>298</v>
      </c>
      <c r="K8" s="345" t="s">
        <v>299</v>
      </c>
      <c r="L8" s="343" t="s">
        <v>300</v>
      </c>
      <c r="M8" s="348" t="s">
        <v>301</v>
      </c>
      <c r="N8" s="342" t="s">
        <v>302</v>
      </c>
      <c r="O8" s="342" t="s">
        <v>303</v>
      </c>
      <c r="P8" s="343" t="s">
        <v>304</v>
      </c>
      <c r="Q8" s="343" t="s">
        <v>305</v>
      </c>
      <c r="R8" s="342" t="s">
        <v>306</v>
      </c>
      <c r="S8" s="342" t="s">
        <v>307</v>
      </c>
      <c r="T8" s="349" t="s">
        <v>308</v>
      </c>
      <c r="V8" s="71" t="s">
        <v>309</v>
      </c>
      <c r="W8" s="56" t="s">
        <v>309</v>
      </c>
      <c r="X8" s="59" t="s">
        <v>309</v>
      </c>
      <c r="Y8" s="1014"/>
      <c r="Z8" s="71" t="s">
        <v>309</v>
      </c>
      <c r="AA8" s="56" t="s">
        <v>309</v>
      </c>
      <c r="AB8" s="59" t="s">
        <v>309</v>
      </c>
      <c r="AD8" s="71" t="s">
        <v>309</v>
      </c>
      <c r="AE8" s="56" t="s">
        <v>309</v>
      </c>
      <c r="AF8" s="59" t="s">
        <v>309</v>
      </c>
      <c r="AH8" s="71" t="s">
        <v>309</v>
      </c>
      <c r="AI8" s="56" t="s">
        <v>309</v>
      </c>
      <c r="AJ8" s="59" t="s">
        <v>309</v>
      </c>
      <c r="AL8" s="71" t="s">
        <v>309</v>
      </c>
      <c r="AM8" s="56" t="s">
        <v>309</v>
      </c>
      <c r="AN8" s="56" t="s">
        <v>309</v>
      </c>
      <c r="AO8" s="56" t="s">
        <v>309</v>
      </c>
      <c r="AP8" s="59" t="s">
        <v>309</v>
      </c>
      <c r="AR8" s="71" t="s">
        <v>309</v>
      </c>
      <c r="AS8" s="56" t="s">
        <v>309</v>
      </c>
      <c r="AT8" s="59" t="s">
        <v>309</v>
      </c>
      <c r="AV8" s="71" t="s">
        <v>309</v>
      </c>
      <c r="AW8" s="56" t="s">
        <v>309</v>
      </c>
      <c r="AX8" s="59" t="s">
        <v>309</v>
      </c>
      <c r="AZ8" s="71" t="s">
        <v>309</v>
      </c>
      <c r="BA8" s="56" t="s">
        <v>309</v>
      </c>
      <c r="BB8" s="59" t="s">
        <v>309</v>
      </c>
      <c r="BD8" s="71" t="s">
        <v>309</v>
      </c>
      <c r="BE8" s="59" t="s">
        <v>309</v>
      </c>
      <c r="BJ8" s="860"/>
      <c r="BZ8" s="1200" t="s">
        <v>310</v>
      </c>
      <c r="CA8" s="1201">
        <f>INDEX('Common input data'!A5:F15,MATCH(G1,'Common input data'!A5:A15,0),3)</f>
        <v>4.7</v>
      </c>
    </row>
    <row r="9" spans="1:120" ht="13.35" customHeight="1">
      <c r="A9" s="350" t="s">
        <v>311</v>
      </c>
      <c r="B9" s="351"/>
      <c r="C9" s="902"/>
      <c r="D9" s="54"/>
      <c r="E9" s="941"/>
      <c r="F9" s="1175" t="s">
        <v>312</v>
      </c>
      <c r="G9" s="1176" t="s">
        <v>312</v>
      </c>
      <c r="H9" s="1177" t="s">
        <v>313</v>
      </c>
      <c r="I9" s="889"/>
      <c r="J9" s="889"/>
      <c r="K9" s="889"/>
      <c r="L9" s="889"/>
      <c r="M9" s="966"/>
      <c r="N9" s="967"/>
      <c r="O9" s="967"/>
      <c r="P9" s="968"/>
      <c r="Q9" s="967"/>
      <c r="R9" s="967"/>
      <c r="S9" s="967"/>
      <c r="T9" s="967"/>
      <c r="U9" s="18"/>
      <c r="V9" s="858"/>
      <c r="W9" s="188"/>
      <c r="X9" s="859"/>
      <c r="Y9" s="188"/>
      <c r="Z9" s="858"/>
      <c r="AA9" s="188"/>
      <c r="AB9" s="859"/>
      <c r="AC9" s="188"/>
      <c r="AD9" s="858"/>
      <c r="AE9" s="188"/>
      <c r="AF9" s="859"/>
      <c r="AG9" s="188"/>
      <c r="AH9" s="858"/>
      <c r="AI9" s="188"/>
      <c r="AJ9" s="859"/>
      <c r="AK9" s="188"/>
      <c r="AL9" s="858"/>
      <c r="AM9" s="188"/>
      <c r="AN9" s="188"/>
      <c r="AO9" s="188"/>
      <c r="AP9" s="859"/>
      <c r="AQ9" s="188"/>
      <c r="AR9" s="858"/>
      <c r="AS9" s="188"/>
      <c r="AT9" s="859"/>
      <c r="AU9" s="188"/>
      <c r="AV9" s="858"/>
      <c r="AW9" s="188"/>
      <c r="AX9" s="859"/>
      <c r="AY9" s="188"/>
      <c r="AZ9" s="858"/>
      <c r="BA9" s="188"/>
      <c r="BB9" s="859"/>
      <c r="BC9" s="877"/>
      <c r="BD9" s="858"/>
      <c r="BE9" s="859"/>
      <c r="BF9" s="183"/>
      <c r="BG9" s="183"/>
      <c r="BH9" s="993"/>
      <c r="BI9" s="993"/>
      <c r="BJ9" s="189"/>
      <c r="BK9" s="183"/>
      <c r="BL9" s="183"/>
      <c r="BO9" s="183"/>
      <c r="BP9" s="183"/>
      <c r="BQ9" s="183"/>
      <c r="BR9" s="183"/>
      <c r="BS9" s="183"/>
      <c r="BT9" s="183"/>
      <c r="BU9" s="183"/>
      <c r="BV9" s="183"/>
      <c r="BZ9" s="1200" t="s">
        <v>314</v>
      </c>
      <c r="CA9" s="1201">
        <f>INDEX('Common input data'!A5:F15,MATCH(G1,'Common input data'!A5:A15,0),4)</f>
        <v>4.7</v>
      </c>
    </row>
    <row r="10" spans="1:120">
      <c r="A10" s="108" t="s">
        <v>315</v>
      </c>
      <c r="B10" s="93"/>
      <c r="C10" s="903">
        <f>SUM(C15:C32)</f>
        <v>1</v>
      </c>
      <c r="D10" s="26"/>
      <c r="E10" s="513" t="s">
        <v>316</v>
      </c>
      <c r="F10" s="930">
        <f>SUMPRODUCT($CA$7:$CA$10,F11:F14)</f>
        <v>1.3728347144370314</v>
      </c>
      <c r="G10" s="872">
        <f>SUMPRODUCT($CA$7:$CA$10,G11:G14)</f>
        <v>2.8198189778158325</v>
      </c>
      <c r="H10" s="873">
        <f>SUMPRODUCT($CA$7:$CA$10,H11:H14)</f>
        <v>5.989486238592578</v>
      </c>
      <c r="I10" s="1178"/>
      <c r="J10" s="1178"/>
      <c r="K10" s="1178"/>
      <c r="L10" s="1178"/>
      <c r="M10" s="1178"/>
      <c r="N10" s="1178"/>
      <c r="O10" s="1178"/>
      <c r="P10" s="1178"/>
      <c r="Q10" s="1178"/>
      <c r="R10" s="1178"/>
      <c r="S10" s="1178"/>
      <c r="T10" s="1229"/>
      <c r="U10" s="835"/>
      <c r="V10" s="1226">
        <f>V15*$C$15+V20*$C$20+V25*$C$25+V30*$C$30</f>
        <v>7.6308498454240929</v>
      </c>
      <c r="W10" s="1225">
        <f t="shared" ref="W10:BE10" si="0">W15*$C$15+W20*$C$20+W25*$C$25+W30*$C$30</f>
        <v>8.3023646318214137</v>
      </c>
      <c r="X10" s="1227">
        <f t="shared" si="0"/>
        <v>9.2156247413217685</v>
      </c>
      <c r="Y10" s="1185"/>
      <c r="Z10" s="1220"/>
      <c r="AA10" s="1185"/>
      <c r="AB10" s="1221"/>
      <c r="AC10" s="1185"/>
      <c r="AD10" s="1226">
        <f t="shared" si="0"/>
        <v>9.2264168902388852E-2</v>
      </c>
      <c r="AE10" s="1225">
        <f t="shared" si="0"/>
        <v>0.10038341576579908</v>
      </c>
      <c r="AF10" s="1227">
        <f t="shared" si="0"/>
        <v>0.11142559150003699</v>
      </c>
      <c r="AG10" s="1185"/>
      <c r="AH10" s="1226">
        <f t="shared" si="0"/>
        <v>8.8979281290813526E-3</v>
      </c>
      <c r="AI10" s="1225">
        <f t="shared" si="0"/>
        <v>9.6809458044405123E-3</v>
      </c>
      <c r="AJ10" s="1227">
        <f t="shared" si="0"/>
        <v>1.074584984292897E-2</v>
      </c>
      <c r="AK10" s="1225"/>
      <c r="AL10" s="1226">
        <f t="shared" si="0"/>
        <v>4.8975406187082033E-3</v>
      </c>
      <c r="AM10" s="1225">
        <f t="shared" si="0"/>
        <v>0.19144552098007267</v>
      </c>
      <c r="AN10" s="1225">
        <f t="shared" si="0"/>
        <v>0.1963430615987809</v>
      </c>
      <c r="AO10" s="1225">
        <f t="shared" si="0"/>
        <v>0.21362125101947363</v>
      </c>
      <c r="AP10" s="1227">
        <f t="shared" si="0"/>
        <v>0.23711958863161572</v>
      </c>
      <c r="AQ10" s="1225"/>
      <c r="AR10" s="1226">
        <f t="shared" si="0"/>
        <v>1.761683849879948E-12</v>
      </c>
      <c r="AS10" s="1225">
        <f t="shared" si="0"/>
        <v>1.9167120286693835E-12</v>
      </c>
      <c r="AT10" s="1227">
        <f t="shared" si="0"/>
        <v>2.1275503518230156E-12</v>
      </c>
      <c r="AU10" s="1225"/>
      <c r="AV10" s="1226">
        <f t="shared" si="0"/>
        <v>3.7729610027404715E-4</v>
      </c>
      <c r="AW10" s="1225">
        <f t="shared" si="0"/>
        <v>4.1049815709816328E-4</v>
      </c>
      <c r="AX10" s="1227">
        <f t="shared" si="0"/>
        <v>4.556529543789613E-4</v>
      </c>
      <c r="AY10" s="1225">
        <f t="shared" si="0"/>
        <v>0</v>
      </c>
      <c r="AZ10" s="1226">
        <f t="shared" si="0"/>
        <v>5.3058422713266875E-3</v>
      </c>
      <c r="BA10" s="1225">
        <f t="shared" si="0"/>
        <v>5.7727563912034355E-3</v>
      </c>
      <c r="BB10" s="1227">
        <f t="shared" si="0"/>
        <v>6.4077595942358132E-3</v>
      </c>
      <c r="BC10" s="1225"/>
      <c r="BD10" s="1226">
        <f t="shared" si="0"/>
        <v>0.3144913302026236</v>
      </c>
      <c r="BE10" s="1227">
        <f t="shared" si="0"/>
        <v>0.34908537652491217</v>
      </c>
      <c r="BF10" s="183"/>
      <c r="BG10" s="183"/>
      <c r="BH10" s="189"/>
      <c r="BI10" s="189"/>
      <c r="BJ10" s="183"/>
      <c r="BK10" s="183"/>
      <c r="BL10" s="183"/>
      <c r="BO10" s="183"/>
      <c r="BP10" s="183"/>
      <c r="BQ10" s="183"/>
      <c r="BR10" s="183"/>
      <c r="BS10" s="183"/>
      <c r="BT10" s="183"/>
      <c r="BU10" s="183"/>
      <c r="BV10" s="183"/>
      <c r="BZ10" s="1200" t="s">
        <v>256</v>
      </c>
      <c r="CA10" s="1200">
        <f>INDEX('Common input data'!A5:F15,MATCH(G1,'Common input data'!A5:A15,0),5)</f>
        <v>233</v>
      </c>
    </row>
    <row r="11" spans="1:120">
      <c r="A11" s="97"/>
      <c r="C11" s="64"/>
      <c r="E11" s="511" t="s">
        <v>317</v>
      </c>
      <c r="F11" s="928">
        <f t="shared" ref="F11:T11" si="1">$C$15*F16+$C$20*F21+$C$25*F26+$C$30*F31</f>
        <v>0.43557752581064735</v>
      </c>
      <c r="G11" s="877">
        <f t="shared" si="1"/>
        <v>1.6031648573778039</v>
      </c>
      <c r="H11" s="878">
        <f t="shared" si="1"/>
        <v>3.7260347059419328</v>
      </c>
      <c r="I11" s="877">
        <f t="shared" si="1"/>
        <v>1.0085755248500459</v>
      </c>
      <c r="J11" s="877">
        <f t="shared" si="1"/>
        <v>0</v>
      </c>
      <c r="K11" s="877">
        <f t="shared" si="1"/>
        <v>0</v>
      </c>
      <c r="L11" s="877">
        <f t="shared" si="1"/>
        <v>0</v>
      </c>
      <c r="M11" s="877">
        <f t="shared" si="1"/>
        <v>0</v>
      </c>
      <c r="N11" s="877">
        <f t="shared" si="1"/>
        <v>0.41516526832445894</v>
      </c>
      <c r="O11" s="877">
        <f t="shared" si="1"/>
        <v>2.0412257486188381E-2</v>
      </c>
      <c r="P11" s="877">
        <f t="shared" si="1"/>
        <v>0.15901180671711071</v>
      </c>
      <c r="Q11" s="877">
        <f t="shared" si="1"/>
        <v>0.30517894960712794</v>
      </c>
      <c r="R11" s="877">
        <f>($C$15*R16+$C$20*R21+$C$25*R26+$C$30*R31)</f>
        <v>3.2344810287880201</v>
      </c>
      <c r="S11" s="877">
        <f t="shared" si="1"/>
        <v>0.10000000000000002</v>
      </c>
      <c r="T11" s="886">
        <f t="shared" si="1"/>
        <v>6.3662623031022186E-2</v>
      </c>
      <c r="U11" s="1228"/>
      <c r="V11" s="879"/>
      <c r="W11" s="877"/>
      <c r="X11" s="886"/>
      <c r="Y11" s="877"/>
      <c r="Z11" s="879"/>
      <c r="AA11" s="877"/>
      <c r="AB11" s="886"/>
      <c r="AC11" s="877"/>
      <c r="AD11" s="879"/>
      <c r="AE11" s="877"/>
      <c r="AF11" s="886"/>
      <c r="AG11" s="877"/>
      <c r="AH11" s="879"/>
      <c r="AI11" s="877"/>
      <c r="AJ11" s="886"/>
      <c r="AK11" s="877"/>
      <c r="AL11" s="879"/>
      <c r="AM11" s="877"/>
      <c r="AN11" s="877"/>
      <c r="AO11" s="877"/>
      <c r="AP11" s="886"/>
      <c r="AQ11" s="877"/>
      <c r="AR11" s="879"/>
      <c r="AS11" s="877"/>
      <c r="AT11" s="886"/>
      <c r="AU11" s="877"/>
      <c r="AV11" s="879"/>
      <c r="AW11" s="877"/>
      <c r="AX11" s="886"/>
      <c r="AY11" s="877"/>
      <c r="AZ11" s="879"/>
      <c r="BA11" s="877"/>
      <c r="BB11" s="886"/>
      <c r="BC11" s="877"/>
      <c r="BD11" s="879"/>
      <c r="BE11" s="886"/>
      <c r="BF11" s="183"/>
      <c r="BG11" s="183"/>
      <c r="BH11" s="183"/>
      <c r="BI11" s="183"/>
      <c r="BJ11" s="183"/>
      <c r="BK11" s="183"/>
      <c r="BL11" s="183"/>
      <c r="BO11" s="183"/>
      <c r="BP11" s="183"/>
      <c r="BQ11" s="183"/>
      <c r="BR11" s="183"/>
      <c r="BS11" s="183"/>
      <c r="BT11" s="183"/>
      <c r="BU11" s="183"/>
      <c r="BV11" s="183"/>
      <c r="BZ11" s="1200" t="s">
        <v>257</v>
      </c>
      <c r="CA11" s="1200">
        <f>INDEX('Common input data'!A5:F15,MATCH(G1,'Common input data'!A5:A15,0),6)</f>
        <v>379</v>
      </c>
    </row>
    <row r="12" spans="1:120">
      <c r="A12" s="195"/>
      <c r="B12" s="135"/>
      <c r="C12" s="595"/>
      <c r="D12" s="50"/>
      <c r="E12" s="511" t="s">
        <v>318</v>
      </c>
      <c r="F12" s="928">
        <f t="shared" ref="F12:H14" si="2">$C$15*F17+$C$20*F22+$C$25*F27+$C$30*F32</f>
        <v>1.7577087271767402E-2</v>
      </c>
      <c r="G12" s="877">
        <f t="shared" si="2"/>
        <v>1.7577087271767402E-2</v>
      </c>
      <c r="H12" s="878">
        <f t="shared" si="2"/>
        <v>3.2666308489011683E-2</v>
      </c>
      <c r="I12" s="877">
        <f>$C$15*I18+$C$20*I23+$C$25*I28+$C$30*I33</f>
        <v>3.1713321389721389E-4</v>
      </c>
      <c r="J12" s="877">
        <f>$C$15*J18+$C$20*J23+$C$25*J28+$C$30*J32</f>
        <v>0</v>
      </c>
      <c r="K12" s="877">
        <f>$C$15*K17+$C$20*K22+$C$25*K27+$C$30*K32</f>
        <v>9.0806721951876279E-3</v>
      </c>
      <c r="L12" s="877">
        <f>$C$15*L17+$C$20*L22+$C$25*L27+$C$30*L32</f>
        <v>0</v>
      </c>
      <c r="M12" s="877">
        <f>$C$15*M17+$C$20*M22+$C$25*M27+$C$30*M32</f>
        <v>8.4964150765797723E-3</v>
      </c>
      <c r="N12" s="877">
        <f>$C$15*N17+$C$20*N22+$C$25*N27+$C$30*N33</f>
        <v>0</v>
      </c>
      <c r="O12" s="877">
        <f>$C$15*O17+$C$20*O22+$C$25*O27+$C$30*O32</f>
        <v>0</v>
      </c>
      <c r="P12" s="877">
        <f>$C$15*P17+$C$20*P22+$C$25*P27+$C$30*P32</f>
        <v>0</v>
      </c>
      <c r="Q12" s="877">
        <f>$C$15*Q18+$C$20*Q23+$C$25*Q28+$C$30*Q33</f>
        <v>4.7836602739726037E-5</v>
      </c>
      <c r="R12" s="877">
        <f>$C$15*R17+$C$20*R22+$C$25*R27+$C$30*R32</f>
        <v>2.9791673341978648E-2</v>
      </c>
      <c r="S12" s="877">
        <f>$C$15*S17+$C$20*S22+$C$25*S27+$C$30*S32</f>
        <v>0</v>
      </c>
      <c r="T12" s="886">
        <f>$C$15*T17+$C$20*T22+$C$25*T27+$C$30*T32</f>
        <v>0</v>
      </c>
      <c r="U12" s="1228"/>
      <c r="V12" s="879"/>
      <c r="W12" s="877"/>
      <c r="X12" s="886"/>
      <c r="Y12" s="877"/>
      <c r="Z12" s="879"/>
      <c r="AA12" s="877"/>
      <c r="AB12" s="886"/>
      <c r="AC12" s="877"/>
      <c r="AD12" s="879"/>
      <c r="AE12" s="877"/>
      <c r="AF12" s="886"/>
      <c r="AG12" s="877"/>
      <c r="AH12" s="879"/>
      <c r="AI12" s="877"/>
      <c r="AJ12" s="886"/>
      <c r="AK12" s="877"/>
      <c r="AL12" s="879"/>
      <c r="AM12" s="877"/>
      <c r="AN12" s="877"/>
      <c r="AO12" s="877"/>
      <c r="AP12" s="886"/>
      <c r="AQ12" s="877"/>
      <c r="AR12" s="879"/>
      <c r="AS12" s="877"/>
      <c r="AT12" s="886"/>
      <c r="AU12" s="877"/>
      <c r="AV12" s="879"/>
      <c r="AW12" s="877"/>
      <c r="AX12" s="886"/>
      <c r="AY12" s="877"/>
      <c r="AZ12" s="879"/>
      <c r="BA12" s="877"/>
      <c r="BB12" s="886"/>
      <c r="BC12" s="877"/>
      <c r="BD12" s="879"/>
      <c r="BE12" s="886"/>
      <c r="BF12" s="183"/>
      <c r="BG12" s="183"/>
      <c r="BH12" s="183"/>
      <c r="BI12" s="183"/>
      <c r="BJ12" s="183"/>
      <c r="BK12" s="183"/>
      <c r="BL12" s="183"/>
      <c r="BO12" s="183"/>
      <c r="BP12" s="183"/>
      <c r="BQ12" s="183"/>
      <c r="BR12" s="183"/>
      <c r="BS12" s="183"/>
      <c r="BT12" s="183"/>
      <c r="BU12" s="183"/>
      <c r="BV12" s="183"/>
    </row>
    <row r="13" spans="1:120">
      <c r="A13" s="195"/>
      <c r="B13" s="135"/>
      <c r="C13" s="595"/>
      <c r="D13" s="50"/>
      <c r="E13" s="511" t="s">
        <v>319</v>
      </c>
      <c r="F13" s="928">
        <f t="shared" si="2"/>
        <v>0</v>
      </c>
      <c r="G13" s="877">
        <f t="shared" si="2"/>
        <v>3.1713321389721389E-4</v>
      </c>
      <c r="H13" s="878">
        <f t="shared" si="2"/>
        <v>6.7828169907251698E-4</v>
      </c>
      <c r="I13" s="877">
        <f>$C$15*I19+$C$20*I24+$C$25*I29+$C$30*I34</f>
        <v>1.1927313549627812E-3</v>
      </c>
      <c r="J13" s="877">
        <f t="shared" ref="J13:T13" si="3">$C$15*J19+$C$20*J24+$C$25*J29+$C$30*J34</f>
        <v>3.0147441171820733E-3</v>
      </c>
      <c r="K13" s="877">
        <f t="shared" si="3"/>
        <v>4.3684029769859453E-4</v>
      </c>
      <c r="L13" s="877">
        <f t="shared" si="3"/>
        <v>2.1641935528704528E-4</v>
      </c>
      <c r="M13" s="877">
        <f t="shared" si="3"/>
        <v>0</v>
      </c>
      <c r="N13" s="877">
        <f t="shared" si="3"/>
        <v>0</v>
      </c>
      <c r="O13" s="877">
        <f t="shared" si="3"/>
        <v>0</v>
      </c>
      <c r="P13" s="877">
        <f t="shared" si="3"/>
        <v>0</v>
      </c>
      <c r="Q13" s="877">
        <f t="shared" si="3"/>
        <v>4.4594344109589049E-6</v>
      </c>
      <c r="R13" s="877">
        <f t="shared" si="3"/>
        <v>8.2460924737990729E-3</v>
      </c>
      <c r="S13" s="877">
        <f t="shared" si="3"/>
        <v>0</v>
      </c>
      <c r="T13" s="886">
        <f t="shared" si="3"/>
        <v>0</v>
      </c>
      <c r="U13" s="1228"/>
      <c r="V13" s="879"/>
      <c r="W13" s="877"/>
      <c r="X13" s="886"/>
      <c r="Y13" s="877"/>
      <c r="Z13" s="879"/>
      <c r="AA13" s="877"/>
      <c r="AB13" s="886"/>
      <c r="AC13" s="877"/>
      <c r="AD13" s="879"/>
      <c r="AE13" s="877"/>
      <c r="AF13" s="886"/>
      <c r="AG13" s="877"/>
      <c r="AH13" s="879"/>
      <c r="AI13" s="877"/>
      <c r="AJ13" s="886"/>
      <c r="AK13" s="877"/>
      <c r="AL13" s="879"/>
      <c r="AM13" s="877"/>
      <c r="AN13" s="877"/>
      <c r="AO13" s="877"/>
      <c r="AP13" s="886"/>
      <c r="AQ13" s="877"/>
      <c r="AR13" s="879"/>
      <c r="AS13" s="877"/>
      <c r="AT13" s="886"/>
      <c r="AU13" s="877"/>
      <c r="AV13" s="879"/>
      <c r="AW13" s="877"/>
      <c r="AX13" s="886"/>
      <c r="AY13" s="877"/>
      <c r="AZ13" s="879"/>
      <c r="BA13" s="877"/>
      <c r="BB13" s="886"/>
      <c r="BC13" s="877"/>
      <c r="BD13" s="879"/>
      <c r="BE13" s="886"/>
      <c r="BF13" s="183"/>
      <c r="BG13" s="183"/>
      <c r="BH13" s="183"/>
      <c r="BI13" s="183"/>
      <c r="BJ13" s="183"/>
      <c r="BK13" s="183"/>
      <c r="BL13" s="183"/>
      <c r="BM13" s="183"/>
      <c r="BN13" s="183"/>
      <c r="BO13" s="183"/>
      <c r="BP13" s="183"/>
      <c r="BQ13" s="183"/>
      <c r="BR13" s="183"/>
      <c r="BS13" s="183"/>
      <c r="BT13" s="183"/>
      <c r="BU13" s="183"/>
      <c r="BV13" s="183"/>
    </row>
    <row r="14" spans="1:120">
      <c r="A14" s="195"/>
      <c r="B14" s="135"/>
      <c r="C14" s="83"/>
      <c r="D14" s="54"/>
      <c r="E14" s="512" t="s">
        <v>320</v>
      </c>
      <c r="F14" s="928">
        <f t="shared" si="2"/>
        <v>3.6680037701677134E-3</v>
      </c>
      <c r="G14" s="877">
        <f t="shared" si="2"/>
        <v>4.8607351251304942E-3</v>
      </c>
      <c r="H14" s="878">
        <f t="shared" si="2"/>
        <v>9.0417680633761779E-3</v>
      </c>
      <c r="I14" s="877">
        <f t="shared" ref="I14:T14" si="4">$C$15*I19+$C$20*I24+$C$25*I29+$C$30*I34</f>
        <v>1.1927313549627812E-3</v>
      </c>
      <c r="J14" s="877">
        <f t="shared" si="4"/>
        <v>3.0147441171820733E-3</v>
      </c>
      <c r="K14" s="877">
        <f t="shared" si="4"/>
        <v>4.3684029769859453E-4</v>
      </c>
      <c r="L14" s="877">
        <f t="shared" si="4"/>
        <v>2.1641935528704528E-4</v>
      </c>
      <c r="M14" s="877">
        <f t="shared" si="4"/>
        <v>0</v>
      </c>
      <c r="N14" s="877">
        <f t="shared" si="4"/>
        <v>0</v>
      </c>
      <c r="O14" s="877">
        <f t="shared" si="4"/>
        <v>0</v>
      </c>
      <c r="P14" s="877">
        <f t="shared" si="4"/>
        <v>0</v>
      </c>
      <c r="Q14" s="877">
        <f t="shared" si="4"/>
        <v>4.4594344109589049E-6</v>
      </c>
      <c r="R14" s="877">
        <f t="shared" si="4"/>
        <v>8.2460924737990729E-3</v>
      </c>
      <c r="S14" s="877">
        <f t="shared" si="4"/>
        <v>0</v>
      </c>
      <c r="T14" s="886">
        <f t="shared" si="4"/>
        <v>0</v>
      </c>
      <c r="U14" s="1228"/>
      <c r="V14" s="879"/>
      <c r="W14" s="877"/>
      <c r="X14" s="886"/>
      <c r="Y14" s="877"/>
      <c r="Z14" s="879"/>
      <c r="AA14" s="877"/>
      <c r="AB14" s="886"/>
      <c r="AC14" s="877"/>
      <c r="AD14" s="879"/>
      <c r="AE14" s="877"/>
      <c r="AF14" s="886"/>
      <c r="AG14" s="877"/>
      <c r="AH14" s="879"/>
      <c r="AI14" s="877"/>
      <c r="AJ14" s="886"/>
      <c r="AK14" s="877"/>
      <c r="AL14" s="879"/>
      <c r="AM14" s="877"/>
      <c r="AN14" s="877"/>
      <c r="AO14" s="877"/>
      <c r="AP14" s="886"/>
      <c r="AQ14" s="877"/>
      <c r="AR14" s="879"/>
      <c r="AS14" s="877"/>
      <c r="AT14" s="886"/>
      <c r="AU14" s="877"/>
      <c r="AV14" s="879"/>
      <c r="AW14" s="877"/>
      <c r="AX14" s="886"/>
      <c r="AY14" s="877"/>
      <c r="AZ14" s="879"/>
      <c r="BA14" s="877"/>
      <c r="BB14" s="886"/>
      <c r="BC14" s="877"/>
      <c r="BD14" s="879"/>
      <c r="BE14" s="886"/>
      <c r="BF14" s="183"/>
      <c r="BG14" s="183"/>
      <c r="BH14" s="183"/>
      <c r="BI14" s="183"/>
      <c r="BJ14" s="183"/>
      <c r="BK14" s="183"/>
      <c r="BL14" s="183"/>
      <c r="BM14" s="183"/>
      <c r="BN14" s="183"/>
      <c r="BO14" s="183"/>
      <c r="BP14" s="183"/>
      <c r="BQ14" s="183"/>
      <c r="BR14" s="183"/>
      <c r="BS14" s="183"/>
      <c r="BT14" s="183"/>
      <c r="BU14" s="183"/>
      <c r="BV14" s="183"/>
    </row>
    <row r="15" spans="1:120">
      <c r="A15" s="108" t="s">
        <v>122</v>
      </c>
      <c r="B15" s="93" t="s">
        <v>198</v>
      </c>
      <c r="C15" s="903">
        <f>'Input data meat and eggs'!D15</f>
        <v>0.69686847599164914</v>
      </c>
      <c r="D15" s="26"/>
      <c r="E15" s="513" t="s">
        <v>316</v>
      </c>
      <c r="F15" s="930">
        <f>SUMPRODUCT($CA$7:$CA$10,F16:F19)</f>
        <v>1.3187767520794837</v>
      </c>
      <c r="G15" s="872">
        <f>SUMPRODUCT($CA$7:$CA$10,G16:G19)</f>
        <v>2.674761340573609</v>
      </c>
      <c r="H15" s="873">
        <f>SUMPRODUCT($CA$7:$CA$10,H16:H19)</f>
        <v>5.5333048281298876</v>
      </c>
      <c r="I15" s="1178"/>
      <c r="J15" s="1178"/>
      <c r="K15" s="1178"/>
      <c r="L15" s="1178"/>
      <c r="M15" s="1178"/>
      <c r="N15" s="1178"/>
      <c r="O15" s="1178"/>
      <c r="P15" s="1178"/>
      <c r="Q15" s="1178"/>
      <c r="R15" s="884"/>
      <c r="S15" s="884"/>
      <c r="T15" s="885"/>
      <c r="V15" s="1220">
        <f>'Input data meat and eggs'!$B135*(SUMPRODUCT('Input data meat and eggs'!$B$74:$B$75,'Input data meat and eggs'!E$35:E$36)+'Input data meat and eggs'!$B$76*SUMPRODUCT('Input data meat and eggs'!$B$77:$B$86,'Input data meat and eggs'!E$37:E$46))</f>
        <v>7.5161895485666212</v>
      </c>
      <c r="W15" s="1185">
        <f>V15+V15*'Common input data'!$B$145</f>
        <v>8.1776142288404845</v>
      </c>
      <c r="X15" s="1221">
        <f>W15+W15*'Common input data'!$B$179</f>
        <v>9.0771517940129378</v>
      </c>
      <c r="Y15" s="877"/>
      <c r="Z15" s="879"/>
      <c r="AA15" s="877"/>
      <c r="AB15" s="886"/>
      <c r="AC15" s="877"/>
      <c r="AD15" s="1220">
        <f>'Input data meat and eggs'!$B135*(SUMPRODUCT('Input data meat and eggs'!$B$74:$B$75,'Input data meat and eggs'!G$35:G$36)+'Input data meat and eggs'!$B$76*SUMPRODUCT('Input data meat and eggs'!$B$77:$B$86,'Input data meat and eggs'!G$37:G$46))</f>
        <v>9.0877817813066919E-2</v>
      </c>
      <c r="AE15" s="1185">
        <f>AD15+AD15*'Common input data'!$B$145</f>
        <v>9.8875065780616819E-2</v>
      </c>
      <c r="AF15" s="1221">
        <f>AE15+AE15*'Common input data'!$B$179</f>
        <v>0.10975132301648467</v>
      </c>
      <c r="AG15" s="1185"/>
      <c r="AH15" s="1220">
        <f>'Input data meat and eggs'!$B135*(SUMPRODUCT('Input data meat and eggs'!$B$74:$B$75,'Input data meat and eggs'!H$35:H$36)+'Input data meat and eggs'!$B$76*SUMPRODUCT('Input data meat and eggs'!$B$77:$B$86,'Input data meat and eggs'!H$37:H$46))</f>
        <v>8.7642288555582707E-3</v>
      </c>
      <c r="AI15" s="1185">
        <f>AH15+AH15*'Common input data'!$B$145</f>
        <v>9.5354809948473996E-3</v>
      </c>
      <c r="AJ15" s="1221">
        <f>AI15+AI15*'Common input data'!$B$179</f>
        <v>1.0584383904280613E-2</v>
      </c>
      <c r="AK15" s="1203"/>
      <c r="AL15" s="1220">
        <f>'Input data meat and eggs'!$B135*(SUMPRODUCT('Input data meat and eggs'!$B$74:$B$75,'Input data meat and eggs'!I$35:I$36)+'Input data meat and eggs'!$B$76*SUMPRODUCT('Input data meat and eggs'!$B$77:$B$86,'Input data meat and eggs'!I$37:I$46))</f>
        <v>4.8239507207823058E-3</v>
      </c>
      <c r="AM15" s="877">
        <f>'Input data meat and eggs'!B54</f>
        <v>0.19026004110092165</v>
      </c>
      <c r="AN15" s="877">
        <f>SUM(AL15:AM15)</f>
        <v>0.19508399182170397</v>
      </c>
      <c r="AO15" s="1185">
        <f>AN15+AN15*'Common input data'!$B$145</f>
        <v>0.21225138310201394</v>
      </c>
      <c r="AP15" s="1221">
        <f>AO15+AO15*'Common input data'!$B$179</f>
        <v>0.23559903524323547</v>
      </c>
      <c r="AQ15" s="1185"/>
      <c r="AR15" s="1220">
        <f>('Input data meat and eggs'!$B135*(SUMPRODUCT('Input data meat and eggs'!$B$74:$B$75,'Input data meat and eggs'!J$35:J$36)+'Input data meat and eggs'!$B$76*SUMPRODUCT('Input data meat and eggs'!$B$77:$B$86,'Input data meat and eggs'!J$37:J$46)))/$AS$3</f>
        <v>1.1870228040008876E-12</v>
      </c>
      <c r="AS15" s="1185">
        <f>AR15+AR15*'Common input data'!$B$145</f>
        <v>1.2914808107529658E-12</v>
      </c>
      <c r="AT15" s="1221">
        <f>AS15+AS15*'Common input data'!$B$179</f>
        <v>1.433543699935792E-12</v>
      </c>
      <c r="AU15" s="877"/>
      <c r="AV15" s="1220">
        <f>'Input data meat and eggs'!$B135*(SUMPRODUCT('Input data meat and eggs'!$B$74:$B$75,'Input data meat and eggs'!P$35:P$36)+'Input data meat and eggs'!$B$76*SUMPRODUCT('Input data meat and eggs'!$B$77:$B$86,'Input data meat and eggs'!P$37:P$46))</f>
        <v>4.9837248602785465E-4</v>
      </c>
      <c r="AW15" s="1185">
        <f>AV15+AV15*'Common input data'!$B$145</f>
        <v>5.4222926479830587E-4</v>
      </c>
      <c r="AX15" s="1221">
        <f>AW15+AW15*'Common input data'!$B$179</f>
        <v>6.0187448392611952E-4</v>
      </c>
      <c r="AY15" s="1185"/>
      <c r="AZ15" s="1220">
        <f>'Input data meat and eggs'!$B135*(SUMPRODUCT('Input data meat and eggs'!$B$74:$B$75,'Input data meat and eggs'!W$35:W$36)+'Input data meat and eggs'!$B$76*SUMPRODUCT('Input data meat and eggs'!$B$77:$B$86,'Input data meat and eggs'!W$37:W$46))</f>
        <v>5.2261172784054781E-3</v>
      </c>
      <c r="BA15" s="1185">
        <f>AZ15+AZ15*'Common input data'!$B$145</f>
        <v>5.6860155989051607E-3</v>
      </c>
      <c r="BB15" s="1221">
        <f>BA15+BA15*'Common input data'!$B$179</f>
        <v>6.311477314784728E-3</v>
      </c>
      <c r="BC15" s="877"/>
      <c r="BD15" s="1220">
        <f>'Common input data'!C202+'Common input data'!C202*'Common input data'!$B$145</f>
        <v>0.15580160000000001</v>
      </c>
      <c r="BE15" s="1221">
        <f>BD15+BD15*'Common input data'!$B$179</f>
        <v>0.17293977600000002</v>
      </c>
      <c r="BF15" s="183"/>
      <c r="BG15" s="183"/>
      <c r="BH15" s="183"/>
      <c r="BI15" s="183"/>
      <c r="BJ15" s="183"/>
      <c r="BK15" s="183"/>
      <c r="BL15" s="183"/>
      <c r="BM15" s="183"/>
      <c r="BN15" s="183"/>
      <c r="BO15" s="183"/>
      <c r="BP15" s="183"/>
      <c r="BQ15" s="183"/>
      <c r="BR15" s="183"/>
      <c r="BS15" s="183"/>
      <c r="BT15" s="183"/>
      <c r="BU15" s="183"/>
      <c r="BV15" s="183"/>
    </row>
    <row r="16" spans="1:120">
      <c r="A16" s="97"/>
      <c r="C16" s="64"/>
      <c r="E16" s="511" t="s">
        <v>317</v>
      </c>
      <c r="F16" s="928">
        <f>IF(AND($G$2="No",$G$3="No"),SUM(J16:M16),IF(AND($G$2="Yes", $G$3="No"), SUM(J16:M16)+O16, IF(AND($G$2="No", $G$3="Yes"),SUM(J16:M16)+N16, SUM(J16:M16)+O16+N16)))</f>
        <v>0.42903258659344584</v>
      </c>
      <c r="G16" s="877">
        <f>IF(AND($G$2="No",$G$3="No"),SUM(I16:M16,P16),IF(AND($G$2="Yes", $G$3="No"), SUM(I16:M16,P16)+O16, IF(AND($G$2="No", $G$3="Yes"),SUM(I16:M16,P16)+N16, SUM(I16:M16,P16)+O16+N16)))</f>
        <v>1.5098184303444087</v>
      </c>
      <c r="H16" s="878">
        <f>SUM(R16:T16)/(1-'Common input data'!B$145)</f>
        <v>3.36595649613496</v>
      </c>
      <c r="I16" s="877">
        <f>'Input data meat and eggs'!$B$135*('Input data meat and eggs'!B74*'Input data meat and eggs'!B35+'Input data meat and eggs'!B75*'Input data meat and eggs'!B36+'Input data meat and eggs'!B76*SUMPRODUCT('Input data meat and eggs'!B37:'Input data meat and eggs'!B46,'Input data meat and eggs'!B77:'Input data meat and eggs'!B86))*'Input data meat and eggs'!B68</f>
        <v>0.99342078174475024</v>
      </c>
      <c r="J16" s="877">
        <f>'Input data meat and eggs'!$B$135*('Input data meat and eggs'!B74*'Input data meat and eggs'!B35+'Input data meat and eggs'!B75*'Input data meat and eggs'!B36+'Input data meat and eggs'!B76*SUMPRODUCT('Input data meat and eggs'!B37:'Input data meat and eggs'!B46,'Input data meat and eggs'!B77:'Input data meat and eggs'!B86))*'Input data meat and eggs'!C68</f>
        <v>0</v>
      </c>
      <c r="K16" s="877">
        <v>0</v>
      </c>
      <c r="L16" s="877">
        <v>0</v>
      </c>
      <c r="M16" s="877">
        <v>0</v>
      </c>
      <c r="N16" s="877">
        <f>'Input data meat and eggs'!B135*(('Input data meat and eggs'!B74*'Common input data'!B19)+('Input data meat and eggs'!B76*('Input data meat and eggs'!B77*'Common input data'!B19*'Common input data'!G42/'Common input data'!F42+'Input data meat and eggs'!B81*'Common input data'!D19*'Common input data'!G40/'Common input data'!F40+'Input data meat and eggs'!B83*'Common input data'!C19*'Common input data'!G44/'Common input data'!F44+'Input data meat and eggs'!B84*'Common input data'!C19)))</f>
        <v>0.40892704140671399</v>
      </c>
      <c r="O16" s="877">
        <f>'Input data meat and eggs'!B135*'Input data meat and eggs'!B76*'Input data meat and eggs'!B83*'Common input data'!AR27*'Common input data'!G44/'Common input data'!F44</f>
        <v>2.0105545186731851E-2</v>
      </c>
      <c r="P16" s="877">
        <f>(('Input data meat and eggs'!B90*'Input data meat and eggs'!B113+'Input data meat and eggs'!B91*'Input data meat and eggs'!B122)*'Common input data'!B80)/'Input data meat and eggs'!B113</f>
        <v>8.7365062006212552E-2</v>
      </c>
      <c r="Q16" s="877">
        <f>'Input data meat and eggs'!B102*'Common input data'!B80+'Input data meat and eggs'!C102*3.6*'Common input data'!B66</f>
        <v>0.22463544109589045</v>
      </c>
      <c r="R16" s="877">
        <f>(G16+Q16)/'Input data meat and eggs'!$B$30</f>
        <v>2.9397523244750832</v>
      </c>
      <c r="S16" s="877">
        <f>'Common input data'!B109</f>
        <v>0.1</v>
      </c>
      <c r="T16" s="886">
        <f>'Common input data'!C115</f>
        <v>0.03</v>
      </c>
      <c r="U16" s="1228"/>
      <c r="V16" s="879"/>
      <c r="W16" s="877"/>
      <c r="X16" s="886"/>
      <c r="Y16" s="877"/>
      <c r="Z16" s="879"/>
      <c r="AA16" s="877"/>
      <c r="AB16" s="886"/>
      <c r="AC16" s="877"/>
      <c r="AD16" s="879"/>
      <c r="AE16" s="877"/>
      <c r="AF16" s="886"/>
      <c r="AG16" s="877"/>
      <c r="AH16" s="879"/>
      <c r="AI16" s="877"/>
      <c r="AJ16" s="886"/>
      <c r="AK16" s="877"/>
      <c r="AL16" s="879"/>
      <c r="AM16" s="877"/>
      <c r="AN16" s="877"/>
      <c r="AO16" s="877"/>
      <c r="AP16" s="886"/>
      <c r="AQ16" s="877"/>
      <c r="AR16" s="879"/>
      <c r="AS16" s="877"/>
      <c r="AT16" s="886"/>
      <c r="AU16" s="877"/>
      <c r="AV16" s="879"/>
      <c r="AW16" s="877"/>
      <c r="AX16" s="886"/>
      <c r="AY16" s="877"/>
      <c r="AZ16" s="879"/>
      <c r="BA16" s="877"/>
      <c r="BB16" s="886"/>
      <c r="BC16" s="877"/>
      <c r="BD16" s="879"/>
      <c r="BE16" s="886"/>
      <c r="BF16" s="183"/>
      <c r="BG16" s="183"/>
      <c r="BH16" s="183"/>
      <c r="BI16" s="183"/>
      <c r="BJ16" s="183"/>
      <c r="BK16" s="183"/>
      <c r="BL16" s="183"/>
      <c r="BM16" s="183"/>
      <c r="BN16" s="183"/>
      <c r="BO16" s="183"/>
      <c r="BP16" s="183"/>
      <c r="BQ16" s="183"/>
      <c r="BR16" s="183"/>
      <c r="BS16" s="183"/>
      <c r="BT16" s="183"/>
      <c r="BU16" s="183"/>
      <c r="BV16" s="183"/>
    </row>
    <row r="17" spans="1:74">
      <c r="A17" s="68"/>
      <c r="C17" s="595"/>
      <c r="D17" s="50"/>
      <c r="E17" s="511" t="s">
        <v>321</v>
      </c>
      <c r="F17" s="928">
        <f>SUM(J17:M17)</f>
        <v>1.5156641980287903E-2</v>
      </c>
      <c r="G17" s="877">
        <f>SUM(I17:M17,P17)</f>
        <v>1.5156641980287903E-2</v>
      </c>
      <c r="H17" s="878">
        <f>SUM(R17:T17)/(1-'Common input data'!B$145)</f>
        <v>2.8168008437942139E-2</v>
      </c>
      <c r="I17" s="877">
        <v>0</v>
      </c>
      <c r="J17" s="877">
        <v>0</v>
      </c>
      <c r="K17" s="877">
        <f>('Input data meat and eggs'!B203*'Input data meat and eggs'!B204*'Input data meat and eggs'!B205*('Input data meat and eggs'!B144*'Input data meat and eggs'!B194+'Input data meat and eggs'!B145*'Input data meat and eggs'!B195+'Input data meat and eggs'!B146*'Input data meat and eggs'!B196))/'Input data meat and eggs'!B113</f>
        <v>6.1710185727365079E-3</v>
      </c>
      <c r="L17" s="877">
        <v>0</v>
      </c>
      <c r="M17" s="877">
        <f>('Input data meat and eggs'!B126*('Input data meat and eggs'!B119+'Input data meat and eggs'!B120)+'Input data meat and eggs'!B127*'Input data meat and eggs'!B121*'Input data meat and eggs'!B109/365+'Input data meat and eggs'!B128*'Input data meat and eggs'!B122*'Input data meat and eggs'!B108/365)/'Input data meat and eggs'!B113</f>
        <v>8.9856234075513953E-3</v>
      </c>
      <c r="N17" s="877">
        <v>0</v>
      </c>
      <c r="O17" s="877">
        <v>0</v>
      </c>
      <c r="P17" s="877">
        <v>0</v>
      </c>
      <c r="Q17" s="877">
        <v>0</v>
      </c>
      <c r="R17" s="877">
        <f>(G17+Q17)/'Input data meat and eggs'!$B$30</f>
        <v>2.5689223695403229E-2</v>
      </c>
      <c r="S17" s="877">
        <v>0</v>
      </c>
      <c r="T17" s="886">
        <v>0</v>
      </c>
      <c r="U17" s="1228"/>
      <c r="V17" s="879"/>
      <c r="W17" s="877"/>
      <c r="X17" s="886"/>
      <c r="Y17" s="877"/>
      <c r="Z17" s="879"/>
      <c r="AA17" s="877"/>
      <c r="AB17" s="886"/>
      <c r="AC17" s="877"/>
      <c r="AD17" s="879"/>
      <c r="AE17" s="877"/>
      <c r="AF17" s="886"/>
      <c r="AG17" s="877"/>
      <c r="AH17" s="879"/>
      <c r="AI17" s="877"/>
      <c r="AJ17" s="886"/>
      <c r="AK17" s="877"/>
      <c r="AL17" s="879"/>
      <c r="AM17" s="877"/>
      <c r="AN17" s="877"/>
      <c r="AO17" s="877"/>
      <c r="AP17" s="886"/>
      <c r="AQ17" s="877"/>
      <c r="AR17" s="879"/>
      <c r="AS17" s="877"/>
      <c r="AT17" s="886"/>
      <c r="AU17" s="877"/>
      <c r="AV17" s="879"/>
      <c r="AW17" s="877"/>
      <c r="AX17" s="886"/>
      <c r="AY17" s="877"/>
      <c r="AZ17" s="879"/>
      <c r="BA17" s="877"/>
      <c r="BB17" s="886"/>
      <c r="BC17" s="877"/>
      <c r="BD17" s="879"/>
      <c r="BE17" s="886"/>
      <c r="BF17" s="183"/>
      <c r="BG17" s="183"/>
      <c r="BH17" s="183"/>
      <c r="BI17" s="183"/>
      <c r="BJ17" s="183"/>
      <c r="BK17" s="183"/>
      <c r="BL17" s="183"/>
      <c r="BM17" s="183"/>
      <c r="BN17" s="183"/>
      <c r="BO17" s="183"/>
      <c r="BP17" s="183"/>
      <c r="BQ17" s="183"/>
      <c r="BR17" s="183"/>
      <c r="BS17" s="183"/>
      <c r="BT17" s="183"/>
      <c r="BU17" s="183"/>
      <c r="BV17" s="183"/>
    </row>
    <row r="18" spans="1:74">
      <c r="A18" s="68"/>
      <c r="C18" s="595"/>
      <c r="D18" s="50"/>
      <c r="E18" s="511" t="s">
        <v>319</v>
      </c>
      <c r="F18" s="928">
        <f>SUM(J18:M18)</f>
        <v>0</v>
      </c>
      <c r="G18" s="877">
        <f>SUM(I18:M18,P18)</f>
        <v>3.1236800567199579E-4</v>
      </c>
      <c r="H18" s="878">
        <f>SUM(R18:T18)/(1-'Common input data'!B$145)</f>
        <v>6.6942575158289083E-4</v>
      </c>
      <c r="I18" s="877">
        <f>'Input data meat and eggs'!$B$135*('Input data meat and eggs'!B74*'Input data meat and eggs'!C35+'Input data meat and eggs'!B75*'Input data meat and eggs'!C36+'Input data meat and eggs'!B76*SUMPRODUCT('Input data meat and eggs'!C37:'Input data meat and eggs'!C46,'Input data meat and eggs'!B77:'Input data meat and eggs'!B86))*'Input data meat and eggs'!B69</f>
        <v>3.1236800567199579E-4</v>
      </c>
      <c r="J18" s="877">
        <f>'Input data meat and eggs'!$B$135*('Input data meat and eggs'!B74*'Input data meat and eggs'!C35+'Input data meat and eggs'!B75*'Input data meat and eggs'!C36+'Input data meat and eggs'!B76*SUMPRODUCT('Input data meat and eggs'!C37:'Input data meat and eggs'!C46,'Input data meat and eggs'!B77:'Input data meat and eggs'!B86))*'Input data meat and eggs'!C69</f>
        <v>0</v>
      </c>
      <c r="K18" s="877">
        <v>0</v>
      </c>
      <c r="L18" s="877">
        <v>0</v>
      </c>
      <c r="M18" s="877">
        <v>0</v>
      </c>
      <c r="N18" s="877">
        <v>0</v>
      </c>
      <c r="O18" s="877">
        <v>0</v>
      </c>
      <c r="P18" s="877">
        <v>0</v>
      </c>
      <c r="Q18" s="877">
        <f>'Input data meat and eggs'!C102*3.6*'Common input data'!B67</f>
        <v>4.7836602739726037E-5</v>
      </c>
      <c r="R18" s="877">
        <f>(G18+Q18)/'Input data meat and eggs'!$B$30</f>
        <v>6.1051628544359635E-4</v>
      </c>
      <c r="S18" s="877">
        <v>0</v>
      </c>
      <c r="T18" s="886">
        <v>0</v>
      </c>
      <c r="U18" s="1228"/>
      <c r="V18" s="879"/>
      <c r="W18" s="877"/>
      <c r="X18" s="886"/>
      <c r="Y18" s="877"/>
      <c r="Z18" s="879"/>
      <c r="AA18" s="877"/>
      <c r="AB18" s="886"/>
      <c r="AC18" s="877"/>
      <c r="AD18" s="879"/>
      <c r="AE18" s="877"/>
      <c r="AF18" s="886"/>
      <c r="AG18" s="877"/>
      <c r="AH18" s="879"/>
      <c r="AI18" s="877"/>
      <c r="AJ18" s="886"/>
      <c r="AK18" s="877"/>
      <c r="AL18" s="879"/>
      <c r="AM18" s="877"/>
      <c r="AN18" s="877"/>
      <c r="AO18" s="877"/>
      <c r="AP18" s="886"/>
      <c r="AQ18" s="877"/>
      <c r="AR18" s="879"/>
      <c r="AS18" s="877"/>
      <c r="AT18" s="886"/>
      <c r="AU18" s="877"/>
      <c r="AV18" s="879"/>
      <c r="AW18" s="877"/>
      <c r="AX18" s="886"/>
      <c r="AY18" s="877"/>
      <c r="AZ18" s="879"/>
      <c r="BA18" s="877"/>
      <c r="BB18" s="886"/>
      <c r="BC18" s="877"/>
      <c r="BD18" s="879"/>
      <c r="BE18" s="886"/>
      <c r="BF18" s="183"/>
      <c r="BG18" s="183"/>
      <c r="BH18" s="183"/>
      <c r="BI18" s="183"/>
      <c r="BJ18" s="183"/>
      <c r="BK18" s="183"/>
      <c r="BL18" s="183"/>
      <c r="BM18" s="183"/>
      <c r="BN18" s="183"/>
      <c r="BO18" s="183"/>
      <c r="BP18" s="183"/>
      <c r="BQ18" s="183"/>
      <c r="BR18" s="183"/>
      <c r="BS18" s="183"/>
      <c r="BT18" s="183"/>
      <c r="BU18" s="183"/>
      <c r="BV18" s="183"/>
    </row>
    <row r="19" spans="1:74">
      <c r="A19" s="359"/>
      <c r="B19" s="360"/>
      <c r="C19" s="83"/>
      <c r="D19" s="54"/>
      <c r="E19" s="512" t="s">
        <v>320</v>
      </c>
      <c r="F19" s="928">
        <f>SUM(J19:M19)</f>
        <v>3.5129096488355567E-3</v>
      </c>
      <c r="G19" s="877">
        <f>SUM(I19:M19,P19)</f>
        <v>4.6877191557733429E-3</v>
      </c>
      <c r="H19" s="878">
        <f>SUM(R19:T19)/(1-'Common input data'!B$145)</f>
        <v>8.7202248553826609E-3</v>
      </c>
      <c r="I19" s="877">
        <f>'Input data meat and eggs'!$B$135*('Input data meat and eggs'!B74*'Input data meat and eggs'!D35+'Input data meat and eggs'!B75*'Input data meat and eggs'!D36+'Input data meat and eggs'!B76*SUMPRODUCT('Input data meat and eggs'!D37:'Input data meat and eggs'!D46,'Input data meat and eggs'!B77:'Input data meat and eggs'!B86))*'Input data meat and eggs'!B70</f>
        <v>1.174809506937786E-3</v>
      </c>
      <c r="J19" s="877">
        <f>'Input data meat and eggs'!$B$135*('Input data meat and eggs'!B74*'Input data meat and eggs'!D35+'Input data meat and eggs'!B75*'Input data meat and eggs'!D36+'Input data meat and eggs'!B76*SUMPRODUCT('Input data meat and eggs'!D37:'Input data meat and eggs'!D46,'Input data meat and eggs'!B77:'Input data meat and eggs'!B86))*'Input data meat and eggs'!C70</f>
        <v>2.9694449090430616E-3</v>
      </c>
      <c r="K19" s="877">
        <f>((SUM('Input data meat and eggs'!B177:B180)*'Input data meat and eggs'!B199+SUM('Input data meat and eggs'!B182:B185)*'Input data meat and eggs'!B200+SUM('Input data meat and eggs'!B187:B190)*'Input data meat and eggs'!B201)*44/28)/'Input data meat and eggs'!B113</f>
        <v>3.9130311965501074E-4</v>
      </c>
      <c r="L19" s="877">
        <f>SUM('Input data meat and eggs'!B228:B241)*'Input data meat and eggs'!B202*44/28/'Input data meat and eggs'!B113</f>
        <v>1.5216162013748449E-4</v>
      </c>
      <c r="M19" s="877">
        <v>0</v>
      </c>
      <c r="N19" s="877">
        <v>0</v>
      </c>
      <c r="O19" s="877">
        <v>0</v>
      </c>
      <c r="P19" s="877">
        <v>0</v>
      </c>
      <c r="Q19" s="877">
        <f>'Input data meat and eggs'!C102*3.6*'Common input data'!B68</f>
        <v>4.4594344109589041E-6</v>
      </c>
      <c r="R19" s="877">
        <f>(G19+Q19)/'Input data meat and eggs'!$B$30</f>
        <v>7.9528450681089855E-3</v>
      </c>
      <c r="S19" s="877">
        <v>0</v>
      </c>
      <c r="T19" s="886">
        <v>0</v>
      </c>
      <c r="U19" s="1228"/>
      <c r="V19" s="879"/>
      <c r="W19" s="877"/>
      <c r="X19" s="886"/>
      <c r="Y19" s="877"/>
      <c r="Z19" s="879"/>
      <c r="AA19" s="877"/>
      <c r="AB19" s="886"/>
      <c r="AC19" s="877"/>
      <c r="AD19" s="879"/>
      <c r="AE19" s="877"/>
      <c r="AF19" s="886"/>
      <c r="AG19" s="877"/>
      <c r="AH19" s="879"/>
      <c r="AI19" s="877"/>
      <c r="AJ19" s="886"/>
      <c r="AK19" s="877"/>
      <c r="AL19" s="879"/>
      <c r="AM19" s="877"/>
      <c r="AN19" s="877"/>
      <c r="AO19" s="877"/>
      <c r="AP19" s="886"/>
      <c r="AQ19" s="877"/>
      <c r="AR19" s="879"/>
      <c r="AS19" s="877"/>
      <c r="AT19" s="886"/>
      <c r="AU19" s="877"/>
      <c r="AV19" s="879"/>
      <c r="AW19" s="877"/>
      <c r="AX19" s="886"/>
      <c r="AY19" s="877"/>
      <c r="AZ19" s="879"/>
      <c r="BA19" s="877"/>
      <c r="BB19" s="886"/>
      <c r="BC19" s="877"/>
      <c r="BD19" s="879"/>
      <c r="BE19" s="886"/>
      <c r="BF19" s="183"/>
      <c r="BG19" s="183"/>
      <c r="BH19" s="183"/>
      <c r="BI19" s="183"/>
      <c r="BJ19" s="183"/>
      <c r="BK19" s="183"/>
      <c r="BL19" s="183"/>
      <c r="BM19" s="183"/>
      <c r="BN19" s="183"/>
      <c r="BO19" s="183"/>
      <c r="BP19" s="183"/>
      <c r="BQ19" s="183"/>
      <c r="BR19" s="183"/>
      <c r="BS19" s="183"/>
      <c r="BT19" s="183"/>
      <c r="BU19" s="183"/>
      <c r="BV19" s="183"/>
    </row>
    <row r="20" spans="1:74">
      <c r="A20" s="108" t="s">
        <v>176</v>
      </c>
      <c r="B20" s="93" t="s">
        <v>198</v>
      </c>
      <c r="C20" s="903">
        <f>'Input data meat and eggs'!D16</f>
        <v>9.6615662056578289E-2</v>
      </c>
      <c r="D20" s="26"/>
      <c r="E20" s="513" t="s">
        <v>316</v>
      </c>
      <c r="F20" s="930">
        <f>SUMPRODUCT($CA$7:$CA$10,F21:F24)</f>
        <v>1.4056716195538439</v>
      </c>
      <c r="G20" s="872">
        <f>SUMPRODUCT($CA$7:$CA$10,G21:G24)</f>
        <v>2.8196405742435724</v>
      </c>
      <c r="H20" s="873">
        <f>SUMPRODUCT($CA$7:$CA$10,H21:H24)</f>
        <v>5.8573816079209289</v>
      </c>
      <c r="I20" s="884"/>
      <c r="J20" s="884"/>
      <c r="K20" s="884"/>
      <c r="L20" s="884"/>
      <c r="M20" s="884"/>
      <c r="N20" s="884"/>
      <c r="O20" s="884"/>
      <c r="P20" s="884"/>
      <c r="Q20" s="884"/>
      <c r="R20" s="884"/>
      <c r="S20" s="884"/>
      <c r="T20" s="885"/>
      <c r="V20" s="1220">
        <f>'Input data meat and eggs'!$C135*(SUMPRODUCT('Input data meat and eggs'!$B$74:$B$75,'Input data meat and eggs'!E$35:E$36)+'Input data meat and eggs'!$B$76*SUMPRODUCT('Input data meat and eggs'!$B$77:$B$86,'Input data meat and eggs'!E$37:E$46))</f>
        <v>7.8290917611123385</v>
      </c>
      <c r="W20" s="1185">
        <f>V20+V20*'Common input data'!$B$145</f>
        <v>8.5180518360902244</v>
      </c>
      <c r="X20" s="1221">
        <f>W20+W20*'Common input data'!$B$179</f>
        <v>9.4550375380601483</v>
      </c>
      <c r="Y20" s="877"/>
      <c r="Z20" s="879"/>
      <c r="AA20" s="877"/>
      <c r="AB20" s="886"/>
      <c r="AC20" s="877"/>
      <c r="AD20" s="1220">
        <f>'Input data meat and eggs'!$C135*(SUMPRODUCT('Input data meat and eggs'!$B$74:$B$75,'Input data meat and eggs'!G$35:G$36)+'Input data meat and eggs'!$B$76*SUMPRODUCT('Input data meat and eggs'!$B$77:$B$86,'Input data meat and eggs'!G$37:G$46))</f>
        <v>9.4661100563095221E-2</v>
      </c>
      <c r="AE20" s="1185">
        <f>AD20+AD20*'Common input data'!$B$145</f>
        <v>0.1029912774126476</v>
      </c>
      <c r="AF20" s="1221">
        <f>AE20+AE20*'Common input data'!$B$179</f>
        <v>0.11432031792803884</v>
      </c>
      <c r="AG20" s="877"/>
      <c r="AH20" s="1220">
        <f>'Input data meat and eggs'!$C135*(SUMPRODUCT('Input data meat and eggs'!$B$74:$B$75,'Input data meat and eggs'!H$35:H$36)+'Input data meat and eggs'!$B$76*SUMPRODUCT('Input data meat and eggs'!$B$77:$B$86,'Input data meat and eggs'!H$37:H$46))</f>
        <v>9.1290874827178511E-3</v>
      </c>
      <c r="AI20" s="1185">
        <f>AH20+AH20*'Common input data'!$B$145</f>
        <v>9.9324471811970232E-3</v>
      </c>
      <c r="AJ20" s="1221">
        <f>AI20+AI20*'Common input data'!$B$179</f>
        <v>1.1025016371128696E-2</v>
      </c>
      <c r="AK20" s="877"/>
      <c r="AL20" s="1220">
        <f>'Input data meat and eggs'!$C135*(SUMPRODUCT('Input data meat and eggs'!$B$74:$B$75,'Input data meat and eggs'!I$35:I$36)+'Input data meat and eggs'!$B$76*SUMPRODUCT('Input data meat and eggs'!$B$77:$B$86,'Input data meat and eggs'!I$37:I$46))</f>
        <v>5.0247738697983052E-3</v>
      </c>
      <c r="AM20" s="877">
        <f>'Input data meat and eggs'!B55</f>
        <v>0.20888938255902417</v>
      </c>
      <c r="AN20" s="877">
        <f>SUM(AL20:AM20)</f>
        <v>0.21391415642882247</v>
      </c>
      <c r="AO20" s="1185">
        <f>AN20+AN20*'Common input data'!$B$145</f>
        <v>0.23273860219455886</v>
      </c>
      <c r="AP20" s="1221">
        <f>AO20+AO20*'Common input data'!$B$179</f>
        <v>0.25833984843596031</v>
      </c>
      <c r="AQ20" s="877"/>
      <c r="AR20" s="1220">
        <f>('Input data meat and eggs'!$C135*(SUMPRODUCT('Input data meat and eggs'!$B$74:$B$75,'Input data meat and eggs'!K$35:K$36)+'Input data meat and eggs'!$B$76*SUMPRODUCT('Input data meat and eggs'!$B$77:$B$86,'Input data meat and eggs'!K$37:K$46)))/$AS$3</f>
        <v>3.6512998152867241E-12</v>
      </c>
      <c r="AS20" s="1185">
        <f>AR20+AR20*'Common input data'!$B$145</f>
        <v>3.9726141990319559E-12</v>
      </c>
      <c r="AT20" s="1221">
        <f>AS20+AS20*'Common input data'!$B$179</f>
        <v>4.4096017609254713E-12</v>
      </c>
      <c r="AU20" s="877"/>
      <c r="AV20" s="1220">
        <f>'Input data meat and eggs'!$C135*(SUMPRODUCT('Input data meat and eggs'!$B$74:$B$75,'Input data meat and eggs'!Q$35:Q$36)+'Input data meat and eggs'!$B$76*SUMPRODUCT('Input data meat and eggs'!$B$77:$B$86,'Input data meat and eggs'!Q$37:Q$46))</f>
        <v>4.9332265736806869E-5</v>
      </c>
      <c r="AW20" s="1185">
        <f>AV20+AV20*'Common input data'!$B$145</f>
        <v>5.3673505121645878E-5</v>
      </c>
      <c r="AX20" s="1221">
        <f>AW20+AW20*'Common input data'!$B$179</f>
        <v>5.9577590685026922E-5</v>
      </c>
      <c r="AY20" s="877"/>
      <c r="AZ20" s="1220">
        <f>'Input data meat and eggs'!$C135*(SUMPRODUCT('Input data meat and eggs'!$B$74:$B$75,'Input data meat and eggs'!W$35:W$36)+'Input data meat and eggs'!$B$76*SUMPRODUCT('Input data meat and eggs'!$B$77:$B$86,'Input data meat and eggs'!W$37:W$46))</f>
        <v>5.4436827946647542E-3</v>
      </c>
      <c r="BA20" s="1185">
        <f>AZ20+AZ20*'Common input data'!$B$145</f>
        <v>5.9227268805952527E-3</v>
      </c>
      <c r="BB20" s="1221">
        <f>BA20+BA20*'Common input data'!$B$179</f>
        <v>6.5742268374607308E-3</v>
      </c>
      <c r="BC20" s="877"/>
      <c r="BD20" s="1220">
        <f>('Common input data'!$B$204+'Common input data'!C204)+('Common input data'!$B$204+'Common input data'!C204)*'Common input data'!$B$145</f>
        <v>0.39624959999999998</v>
      </c>
      <c r="BE20" s="1221">
        <f>BD20+BD20*'Common input data'!$B$179</f>
        <v>0.439837056</v>
      </c>
      <c r="BF20" s="183"/>
      <c r="BG20" s="183"/>
      <c r="BH20" s="183"/>
      <c r="BI20" s="183"/>
      <c r="BJ20" s="183"/>
      <c r="BK20" s="183"/>
      <c r="BL20" s="183"/>
      <c r="BM20" s="183"/>
      <c r="BN20" s="183"/>
      <c r="BO20" s="183"/>
      <c r="BP20" s="183"/>
      <c r="BQ20" s="183"/>
      <c r="BR20" s="183"/>
      <c r="BS20" s="183"/>
      <c r="BT20" s="183"/>
      <c r="BU20" s="183"/>
      <c r="BV20" s="183"/>
    </row>
    <row r="21" spans="1:74">
      <c r="A21" s="97"/>
      <c r="C21" s="64"/>
      <c r="E21" s="511" t="s">
        <v>317</v>
      </c>
      <c r="F21" s="928">
        <f>IF(AND($G$2="No",$G$3="No"),SUM(J21:M21),IF(AND($G$2="Yes", $G$3="No"), SUM(J21:M21)+O21, IF(AND($G$2="No", $G$3="Yes"),SUM(J21:M21)+N21, SUM(J21:M21)+O21+N21)))</f>
        <v>0.44689339820973911</v>
      </c>
      <c r="G21" s="877">
        <f>IF(AND($G$2="No",$G$3="No"),SUM(I21:M21,P21),IF(AND($G$2="Yes", $G$3="No"), SUM(I21:M21,P21)+O21, IF(AND($G$2="No", $G$3="Yes"),SUM(I21:M21,P21)+N21, SUM(I21:M21,P21)+O21+N21)))</f>
        <v>1.5742069657228579</v>
      </c>
      <c r="H21" s="878">
        <f>SUM(R21:T21)/(1-'Common input data'!B$145)</f>
        <v>3.5404445562346654</v>
      </c>
      <c r="I21" s="877">
        <f>'Input data meat and eggs'!$C$135*('Input data meat and eggs'!B74*'Input data meat and eggs'!B35+'Input data meat and eggs'!B75*'Input data meat and eggs'!B36+'Input data meat and eggs'!B76*SUMPRODUCT('Input data meat and eggs'!B37:'Input data meat and eggs'!B46,'Input data meat and eggs'!B77:'Input data meat and eggs'!B86))*'Input data meat and eggs'!B68</f>
        <v>1.0347773173387877</v>
      </c>
      <c r="J21" s="877">
        <f>'Input data meat and eggs'!$C$135*('Input data meat and eggs'!B74*'Input data meat and eggs'!B35+'Input data meat and eggs'!B75*'Input data meat and eggs'!B36+'Input data meat and eggs'!B76*SUMPRODUCT('Input data meat and eggs'!B37:'Input data meat and eggs'!B46,'Input data meat and eggs'!B77:'Input data meat and eggs'!B86))*'Input data meat and eggs'!C68</f>
        <v>0</v>
      </c>
      <c r="K21" s="877">
        <v>0</v>
      </c>
      <c r="L21" s="877">
        <v>0</v>
      </c>
      <c r="M21" s="877">
        <v>0</v>
      </c>
      <c r="N21" s="877">
        <f>'Input data meat and eggs'!C135*(('Input data meat and eggs'!B74*'Common input data'!B19)+('Input data meat and eggs'!B76*('Input data meat and eggs'!B77*'Common input data'!B19*'Common input data'!G42/'Common input data'!F42+'Input data meat and eggs'!B81*'Common input data'!D19*'Common input data'!G40/'Common input data'!F40+'Input data meat and eggs'!B83*'Common input data'!C19*'Common input data'!G44/'Common input data'!F44+'Input data meat and eggs'!B84*'Common input data'!C19)))</f>
        <v>0.42595085050561254</v>
      </c>
      <c r="O21" s="877">
        <f>'Input data meat and eggs'!C135*'Input data meat and eggs'!B76*'Input data meat and eggs'!B83*'Common input data'!AR27*'Common input data'!G44/'Common input data'!F44</f>
        <v>2.0942547704126589E-2</v>
      </c>
      <c r="P21" s="877">
        <f>(('Input data meat and eggs'!B90*'Input data meat and eggs'!C113+'Input data meat and eggs'!B91*'Input data meat and eggs'!C122)*'Common input data'!B80)/'Input data meat and eggs'!C113</f>
        <v>9.253625017433123E-2</v>
      </c>
      <c r="Q21" s="877">
        <f>'Input data meat and eggs'!B102*'Common input data'!B80+'Input data meat and eggs'!C102*3.6*'Common input data'!B66</f>
        <v>0.22463544109589045</v>
      </c>
      <c r="R21" s="877">
        <f>(G21+Q21)/'Input data meat and eggs'!$B$30</f>
        <v>3.0488854352860142</v>
      </c>
      <c r="S21" s="877">
        <f>'Common input data'!B109</f>
        <v>0.1</v>
      </c>
      <c r="T21" s="886">
        <f>'Common input data'!B115+'Common input data'!C115</f>
        <v>0.08</v>
      </c>
      <c r="U21" s="1228"/>
      <c r="V21" s="879"/>
      <c r="W21" s="877"/>
      <c r="X21" s="886"/>
      <c r="Y21" s="877"/>
      <c r="Z21" s="879"/>
      <c r="AA21" s="877"/>
      <c r="AB21" s="886"/>
      <c r="AC21" s="877"/>
      <c r="AD21" s="879"/>
      <c r="AE21" s="877"/>
      <c r="AF21" s="886"/>
      <c r="AG21" s="877"/>
      <c r="AH21" s="879"/>
      <c r="AI21" s="877"/>
      <c r="AJ21" s="886"/>
      <c r="AK21" s="877"/>
      <c r="AL21" s="879"/>
      <c r="AM21" s="877"/>
      <c r="AN21" s="877"/>
      <c r="AO21" s="877"/>
      <c r="AP21" s="886"/>
      <c r="AQ21" s="877"/>
      <c r="AR21" s="879"/>
      <c r="AS21" s="877"/>
      <c r="AT21" s="886"/>
      <c r="AU21" s="877"/>
      <c r="AV21" s="879"/>
      <c r="AW21" s="877"/>
      <c r="AX21" s="886"/>
      <c r="AY21" s="877"/>
      <c r="AZ21" s="879"/>
      <c r="BA21" s="877"/>
      <c r="BB21" s="886"/>
      <c r="BC21" s="877"/>
      <c r="BD21" s="879"/>
      <c r="BE21" s="886"/>
      <c r="BF21" s="183"/>
      <c r="BG21" s="183"/>
      <c r="BH21" s="183"/>
      <c r="BI21" s="183"/>
      <c r="BJ21" s="183"/>
      <c r="BK21" s="183"/>
      <c r="BL21" s="183"/>
      <c r="BM21" s="183"/>
      <c r="BN21" s="183"/>
      <c r="BO21" s="183"/>
      <c r="BP21" s="183"/>
      <c r="BQ21" s="183"/>
      <c r="BR21" s="183"/>
      <c r="BS21" s="183"/>
      <c r="BT21" s="183"/>
      <c r="BU21" s="183"/>
      <c r="BV21" s="183"/>
    </row>
    <row r="22" spans="1:74">
      <c r="A22" s="68"/>
      <c r="C22" s="58"/>
      <c r="D22" s="55"/>
      <c r="E22" s="511" t="s">
        <v>321</v>
      </c>
      <c r="F22" s="928">
        <f>SUM(J22:M22)</f>
        <v>1.7192979613495748E-2</v>
      </c>
      <c r="G22" s="877">
        <f>SUM(I22:M22,P22)</f>
        <v>1.7192979613495748E-2</v>
      </c>
      <c r="H22" s="878">
        <f>SUM(R22:T22)/(1-'Common input data'!B$145)</f>
        <v>3.1952459882351604E-2</v>
      </c>
      <c r="I22" s="877">
        <v>0</v>
      </c>
      <c r="J22" s="877">
        <v>0</v>
      </c>
      <c r="K22" s="877">
        <f>('Input data meat and eggs'!C203*'Input data meat and eggs'!C204*'Input data meat and eggs'!C205*('Input data meat and eggs'!C144*'Input data meat and eggs'!C194+'Input data meat and eggs'!C145*'Input data meat and eggs'!C195+('Input data meat and eggs'!C147*'Input data meat and eggs'!C196+'Input data meat and eggs'!C148*'Input data meat and eggs'!C196+'Input data meat and eggs'!C149*'Input data meat and eggs'!C197+'Input data meat and eggs'!C150*'Input data meat and eggs'!C198)))/'Input data meat and eggs'!C113</f>
        <v>9.1550377660553177E-3</v>
      </c>
      <c r="L22" s="877">
        <v>0</v>
      </c>
      <c r="M22" s="877">
        <f>('Input data meat and eggs'!C126*('Input data meat and eggs'!C119+'Input data meat and eggs'!C120)+'Input data meat and eggs'!C127*'Input data meat and eggs'!C121*'Input data meat and eggs'!B109/365+'Input data meat and eggs'!C128*'Input data meat and eggs'!C122*'Input data meat and eggs'!B108/365)/'Input data meat and eggs'!C113</f>
        <v>8.0379418474404302E-3</v>
      </c>
      <c r="N22" s="877">
        <v>0</v>
      </c>
      <c r="O22" s="877">
        <v>0</v>
      </c>
      <c r="P22" s="877">
        <v>0</v>
      </c>
      <c r="Q22" s="877">
        <v>0</v>
      </c>
      <c r="R22" s="877">
        <f>(G22+Q22)/'Input data meat and eggs'!$B$30</f>
        <v>2.9140643412704659E-2</v>
      </c>
      <c r="S22" s="877">
        <v>0</v>
      </c>
      <c r="T22" s="886">
        <v>0</v>
      </c>
      <c r="U22" s="1228"/>
      <c r="V22" s="879"/>
      <c r="W22" s="877"/>
      <c r="X22" s="886"/>
      <c r="Y22" s="877"/>
      <c r="Z22" s="879"/>
      <c r="AA22" s="877"/>
      <c r="AB22" s="886"/>
      <c r="AC22" s="877"/>
      <c r="AD22" s="879"/>
      <c r="AE22" s="877"/>
      <c r="AF22" s="886"/>
      <c r="AG22" s="877"/>
      <c r="AH22" s="879"/>
      <c r="AI22" s="877"/>
      <c r="AJ22" s="886"/>
      <c r="AK22" s="877"/>
      <c r="AL22" s="879"/>
      <c r="AM22" s="877"/>
      <c r="AN22" s="877"/>
      <c r="AO22" s="877"/>
      <c r="AP22" s="886"/>
      <c r="AQ22" s="877"/>
      <c r="AR22" s="879"/>
      <c r="AS22" s="877"/>
      <c r="AT22" s="886"/>
      <c r="AU22" s="877"/>
      <c r="AV22" s="879"/>
      <c r="AW22" s="877"/>
      <c r="AX22" s="886"/>
      <c r="AY22" s="877"/>
      <c r="AZ22" s="879"/>
      <c r="BA22" s="877"/>
      <c r="BB22" s="886"/>
      <c r="BC22" s="877"/>
      <c r="BD22" s="879"/>
      <c r="BE22" s="886"/>
      <c r="BF22" s="183"/>
      <c r="BG22" s="183"/>
      <c r="BH22" s="183"/>
      <c r="BI22" s="183"/>
      <c r="BJ22" s="183"/>
      <c r="BK22" s="183"/>
      <c r="BL22" s="183"/>
      <c r="BM22" s="183"/>
      <c r="BN22" s="183"/>
      <c r="BO22" s="183"/>
      <c r="BP22" s="183"/>
      <c r="BQ22" s="183"/>
      <c r="BR22" s="183"/>
      <c r="BS22" s="183"/>
      <c r="BT22" s="183"/>
      <c r="BU22" s="183"/>
      <c r="BV22" s="183"/>
    </row>
    <row r="23" spans="1:74">
      <c r="A23" s="68"/>
      <c r="C23" s="58"/>
      <c r="D23" s="55"/>
      <c r="E23" s="511" t="s">
        <v>319</v>
      </c>
      <c r="F23" s="928">
        <f>SUM(J23:M23)</f>
        <v>0</v>
      </c>
      <c r="G23" s="877">
        <f>SUM(I23:M23,P23)</f>
        <v>3.2537202046854921E-4</v>
      </c>
      <c r="H23" s="878">
        <f>SUM(R23:T23)/(1-'Common input data'!B$145)</f>
        <v>6.9359318913223922E-4</v>
      </c>
      <c r="I23" s="877">
        <f>'Input data meat and eggs'!$C$135*('Input data meat and eggs'!B74*'Input data meat and eggs'!C35+'Input data meat and eggs'!B75*'Input data meat and eggs'!C36+'Input data meat and eggs'!B76*SUMPRODUCT('Input data meat and eggs'!C37:'Input data meat and eggs'!C46,'Input data meat and eggs'!B77:'Input data meat and eggs'!B86))*'Input data meat and eggs'!B69</f>
        <v>3.2537202046854921E-4</v>
      </c>
      <c r="J23" s="877">
        <f>'Input data meat and eggs'!$C$135*('Input data meat and eggs'!B74*'Input data meat and eggs'!C35+'Input data meat and eggs'!B75*'Input data meat and eggs'!C36+'Input data meat and eggs'!B76*SUMPRODUCT('Input data meat and eggs'!C37:'Input data meat and eggs'!C46,'Input data meat and eggs'!B77:'Input data meat and eggs'!B86))*'Input data meat and eggs'!C69</f>
        <v>0</v>
      </c>
      <c r="K23" s="877">
        <v>0</v>
      </c>
      <c r="L23" s="877">
        <v>0</v>
      </c>
      <c r="M23" s="877">
        <v>0</v>
      </c>
      <c r="N23" s="877">
        <v>0</v>
      </c>
      <c r="O23" s="877">
        <v>0</v>
      </c>
      <c r="P23" s="877">
        <v>0</v>
      </c>
      <c r="Q23" s="877">
        <f>'Input data meat and eggs'!C102*3.6*'Common input data'!B67</f>
        <v>4.7836602739726037E-5</v>
      </c>
      <c r="R23" s="877">
        <f>(G23+Q23)/'Input data meat and eggs'!$B$30</f>
        <v>6.3255698848860211E-4</v>
      </c>
      <c r="S23" s="877">
        <v>0</v>
      </c>
      <c r="T23" s="886">
        <v>0</v>
      </c>
      <c r="U23" s="1228"/>
      <c r="V23" s="879"/>
      <c r="W23" s="877"/>
      <c r="X23" s="886"/>
      <c r="Y23" s="877"/>
      <c r="Z23" s="879"/>
      <c r="AA23" s="877"/>
      <c r="AB23" s="886"/>
      <c r="AC23" s="877"/>
      <c r="AD23" s="879"/>
      <c r="AE23" s="877"/>
      <c r="AF23" s="886"/>
      <c r="AG23" s="877"/>
      <c r="AH23" s="879"/>
      <c r="AI23" s="877"/>
      <c r="AJ23" s="886"/>
      <c r="AK23" s="877"/>
      <c r="AL23" s="879"/>
      <c r="AM23" s="877"/>
      <c r="AN23" s="877"/>
      <c r="AO23" s="877"/>
      <c r="AP23" s="886"/>
      <c r="AQ23" s="877"/>
      <c r="AR23" s="879"/>
      <c r="AS23" s="877"/>
      <c r="AT23" s="886"/>
      <c r="AU23" s="877"/>
      <c r="AV23" s="879"/>
      <c r="AW23" s="877"/>
      <c r="AX23" s="886"/>
      <c r="AY23" s="877"/>
      <c r="AZ23" s="879"/>
      <c r="BA23" s="877"/>
      <c r="BB23" s="886"/>
      <c r="BC23" s="877"/>
      <c r="BD23" s="879"/>
      <c r="BE23" s="886"/>
      <c r="BF23" s="183"/>
      <c r="BG23" s="183"/>
      <c r="BH23" s="183"/>
      <c r="BI23" s="183"/>
      <c r="BJ23" s="183"/>
      <c r="BK23" s="183"/>
      <c r="BL23" s="183"/>
      <c r="BM23" s="183"/>
      <c r="BN23" s="183"/>
      <c r="BO23" s="183"/>
      <c r="BP23" s="183"/>
      <c r="BQ23" s="183"/>
      <c r="BR23" s="183"/>
      <c r="BS23" s="183"/>
      <c r="BT23" s="183"/>
      <c r="BU23" s="183"/>
      <c r="BV23" s="183"/>
    </row>
    <row r="24" spans="1:74">
      <c r="A24" s="68"/>
      <c r="C24" s="83"/>
      <c r="D24" s="54"/>
      <c r="E24" s="512" t="s">
        <v>320</v>
      </c>
      <c r="F24" s="928">
        <f>SUM(J24:M24)</f>
        <v>3.7681168118483895E-3</v>
      </c>
      <c r="G24" s="877">
        <f>SUM(I24:M24,P24)</f>
        <v>4.9918341452406959E-3</v>
      </c>
      <c r="H24" s="878">
        <f>SUM(R24:T24)/(1-'Common input data'!B$145)</f>
        <v>9.2854103100870802E-3</v>
      </c>
      <c r="I24" s="877">
        <f>'Input data meat and eggs'!$C$135*('Input data meat and eggs'!B74*'Input data meat and eggs'!D35+'Input data meat and eggs'!B75*'Input data meat and eggs'!D36+'Input data meat and eggs'!B76*SUMPRODUCT('Input data meat and eggs'!D37:'Input data meat and eggs'!D46,'Input data meat and eggs'!B77:'Input data meat and eggs'!B86))*'Input data meat and eggs'!B70</f>
        <v>1.2237173333923062E-3</v>
      </c>
      <c r="J24" s="877">
        <f>'Input data meat and eggs'!$C$135*('Input data meat and eggs'!B74*'Input data meat and eggs'!D35+'Input data meat and eggs'!B75*'Input data meat and eggs'!D36+'Input data meat and eggs'!B76*SUMPRODUCT('Input data meat and eggs'!D37:'Input data meat and eggs'!D46,'Input data meat and eggs'!B77:'Input data meat and eggs'!B86))*'Input data meat and eggs'!C70</f>
        <v>3.0930641812911088E-3</v>
      </c>
      <c r="K24" s="877">
        <f>((SUM('Input data meat and eggs'!C177:C180)*'Input data meat and eggs'!C199+SUM('Input data meat and eggs'!C182:C185)*'Input data meat and eggs'!C200+SUM('Input data meat and eggs'!C187:C190)*'Input data meat and eggs'!C201)*44/28)/'Input data meat and eggs'!C113</f>
        <v>5.0939885798092501E-4</v>
      </c>
      <c r="L24" s="877">
        <f>SUM('Input data meat and eggs'!C228:C241)*'Input data meat and eggs'!C202*44/28/'Input data meat and eggs'!C113</f>
        <v>1.6565377257635557E-4</v>
      </c>
      <c r="M24" s="877">
        <v>0</v>
      </c>
      <c r="N24" s="877">
        <v>0</v>
      </c>
      <c r="O24" s="877">
        <v>0</v>
      </c>
      <c r="P24" s="877">
        <v>0</v>
      </c>
      <c r="Q24" s="877">
        <f>'Input data meat and eggs'!C102*3.6*'Common input data'!B68</f>
        <v>4.4594344109589041E-6</v>
      </c>
      <c r="R24" s="877">
        <f>(G24+Q24)/'Input data meat and eggs'!$B$30</f>
        <v>8.4682942027994156E-3</v>
      </c>
      <c r="S24" s="1179">
        <v>0</v>
      </c>
      <c r="T24" s="886">
        <v>0</v>
      </c>
      <c r="U24" s="1228"/>
      <c r="V24" s="879"/>
      <c r="W24" s="877"/>
      <c r="X24" s="886"/>
      <c r="Y24" s="877"/>
      <c r="Z24" s="879"/>
      <c r="AA24" s="877"/>
      <c r="AB24" s="886"/>
      <c r="AC24" s="877"/>
      <c r="AD24" s="879"/>
      <c r="AE24" s="877"/>
      <c r="AF24" s="886"/>
      <c r="AG24" s="877"/>
      <c r="AH24" s="879"/>
      <c r="AI24" s="877"/>
      <c r="AJ24" s="886"/>
      <c r="AK24" s="877"/>
      <c r="AL24" s="879"/>
      <c r="AM24" s="877"/>
      <c r="AN24" s="877"/>
      <c r="AO24" s="877"/>
      <c r="AP24" s="886"/>
      <c r="AQ24" s="877"/>
      <c r="AR24" s="879"/>
      <c r="AS24" s="877"/>
      <c r="AT24" s="886"/>
      <c r="AU24" s="877"/>
      <c r="AV24" s="879"/>
      <c r="AW24" s="877"/>
      <c r="AX24" s="886"/>
      <c r="AY24" s="877"/>
      <c r="AZ24" s="879"/>
      <c r="BA24" s="877"/>
      <c r="BB24" s="886"/>
      <c r="BC24" s="877"/>
      <c r="BD24" s="879"/>
      <c r="BE24" s="886"/>
      <c r="BF24" s="183"/>
      <c r="BG24" s="183"/>
      <c r="BH24" s="183"/>
      <c r="BI24" s="183"/>
      <c r="BJ24" s="183"/>
      <c r="BK24" s="183"/>
      <c r="BL24" s="183"/>
      <c r="BM24" s="183"/>
      <c r="BN24" s="183"/>
      <c r="BO24" s="183"/>
      <c r="BP24" s="183"/>
      <c r="BQ24" s="183"/>
      <c r="BR24" s="183"/>
      <c r="BS24" s="183"/>
      <c r="BT24" s="183"/>
      <c r="BU24" s="183"/>
      <c r="BV24" s="183"/>
    </row>
    <row r="25" spans="1:74">
      <c r="A25" s="108" t="s">
        <v>199</v>
      </c>
      <c r="B25" s="93" t="s">
        <v>198</v>
      </c>
      <c r="C25" s="903">
        <f>'Input data meat and eggs'!D17</f>
        <v>0.12471332462161271</v>
      </c>
      <c r="D25" s="26"/>
      <c r="E25" s="513" t="s">
        <v>316</v>
      </c>
      <c r="F25" s="930">
        <f>SUMPRODUCT($CA$7:$CA$10,F26:F29)</f>
        <v>1.6036360222554622</v>
      </c>
      <c r="G25" s="872">
        <f>SUMPRODUCT($CA$7:$CA$10,G26:G29)</f>
        <v>3.3884209850495126</v>
      </c>
      <c r="H25" s="873">
        <f>SUMPRODUCT($CA$7:$CA$10,H26:H29)</f>
        <v>7.694081831287976</v>
      </c>
      <c r="I25" s="884"/>
      <c r="J25" s="884"/>
      <c r="K25" s="884"/>
      <c r="L25" s="884"/>
      <c r="M25" s="884"/>
      <c r="N25" s="884"/>
      <c r="O25" s="884"/>
      <c r="P25" s="884"/>
      <c r="Q25" s="884"/>
      <c r="R25" s="884"/>
      <c r="S25" s="884"/>
      <c r="T25" s="885"/>
      <c r="V25" s="879">
        <f>'Input data meat and eggs'!$D135*(SUMPRODUCT('Input data meat and eggs'!$B$74:$B$75,'Input data meat and eggs'!E$35:E$36)+'Input data meat and eggs'!$B$76*SUMPRODUCT('Input data meat and eggs'!$B$77:$B$86,'Input data meat and eggs'!E$37:E$46))</f>
        <v>8.0155747271519022</v>
      </c>
      <c r="W25" s="1185">
        <f>V25+V25*'Common input data'!$B$145</f>
        <v>8.7209453031412707</v>
      </c>
      <c r="X25" s="1221">
        <f>W25+W25*'Common input data'!$B$179</f>
        <v>9.680249286486811</v>
      </c>
      <c r="Y25" s="877"/>
      <c r="Z25" s="879"/>
      <c r="AA25" s="877"/>
      <c r="AB25" s="886"/>
      <c r="AC25" s="877"/>
      <c r="AD25" s="879">
        <f>'Input data meat and eggs'!$D135*(SUMPRODUCT('Input data meat and eggs'!$B$74:$B$75,'Input data meat and eggs'!G$35:G$36)+'Input data meat and eggs'!$B$76*SUMPRODUCT('Input data meat and eggs'!$B$77:$B$86,'Input data meat and eggs'!G$37:G$46))</f>
        <v>9.691585543635621E-2</v>
      </c>
      <c r="AE25" s="1185">
        <f>AD25+AD25*'Common input data'!$B$145</f>
        <v>0.10544445071475557</v>
      </c>
      <c r="AF25" s="1221">
        <f>AE25+AE25*'Common input data'!$B$179</f>
        <v>0.11704334029337868</v>
      </c>
      <c r="AG25" s="877"/>
      <c r="AH25" s="879">
        <f>'Input data meat and eggs'!$D135*(SUMPRODUCT('Input data meat and eggs'!$B$74:$B$75,'Input data meat and eggs'!H$35:H$36)+'Input data meat and eggs'!$B$76*SUMPRODUCT('Input data meat and eggs'!$B$77:$B$86,'Input data meat and eggs'!H$37:H$46))</f>
        <v>9.3465353506133244E-3</v>
      </c>
      <c r="AI25" s="1185">
        <f>AH25+AH25*'Common input data'!$B$145</f>
        <v>1.0169030461467297E-2</v>
      </c>
      <c r="AJ25" s="1221">
        <f>AI25+AI25*'Common input data'!$B$179</f>
        <v>1.1287623812228701E-2</v>
      </c>
      <c r="AK25" s="877"/>
      <c r="AL25" s="879">
        <f>'Input data meat and eggs'!$D135*(SUMPRODUCT('Input data meat and eggs'!$B$74:$B$75,'Input data meat and eggs'!I$35:I$36)+'Input data meat and eggs'!$B$76*SUMPRODUCT('Input data meat and eggs'!$B$77:$B$86,'Input data meat and eggs'!I$37:I$46))</f>
        <v>5.1444601327148296E-3</v>
      </c>
      <c r="AM25" s="877">
        <f>'Input data meat and eggs'!B56</f>
        <v>0.1828750174282166</v>
      </c>
      <c r="AN25" s="877">
        <f>SUM(AL25:AM25)</f>
        <v>0.18801947756093143</v>
      </c>
      <c r="AO25" s="1185">
        <f>AN25+AN25*'Common input data'!$B$145</f>
        <v>0.20456519158629341</v>
      </c>
      <c r="AP25" s="1221">
        <f>AO25+AO25*'Common input data'!$B$179</f>
        <v>0.2270673626607857</v>
      </c>
      <c r="AQ25" s="877"/>
      <c r="AR25" s="879">
        <f>('Input data meat and eggs'!$D135*(SUMPRODUCT('Input data meat and eggs'!$B$74:$B$75,'Input data meat and eggs'!L$35:L$36)+'Input data meat and eggs'!$B$76*SUMPRODUCT('Input data meat and eggs'!$B$77:$B$86,'Input data meat and eggs'!L$37:L$46)))/$AS$3</f>
        <v>2.9594738055602264E-12</v>
      </c>
      <c r="AS25" s="1185">
        <f>AR25+AR25*'Common input data'!$B$145</f>
        <v>3.2199075004495265E-12</v>
      </c>
      <c r="AT25" s="1221">
        <f>AS25+AS25*'Common input data'!$B$179</f>
        <v>3.5740973254989744E-12</v>
      </c>
      <c r="AU25" s="877"/>
      <c r="AV25" s="879">
        <f>'Input data meat and eggs'!$D135*(SUMPRODUCT('Input data meat and eggs'!$B$74:$B$75,'Input data meat and eggs'!S$35:S$36)+'Input data meat and eggs'!$B$76*SUMPRODUCT('Input data meat and eggs'!$B$77:$B$86,'Input data meat and eggs'!S$37:S$46))</f>
        <v>6.7740183627795192E-5</v>
      </c>
      <c r="AW25" s="1185">
        <f>AV25+AV25*'Common input data'!$B$145</f>
        <v>7.3701319787041172E-5</v>
      </c>
      <c r="AX25" s="1221">
        <f>AW25+AW25*'Common input data'!$B$179</f>
        <v>8.1808464963615705E-5</v>
      </c>
      <c r="AY25" s="877"/>
      <c r="AZ25" s="879">
        <f>'Input data meat and eggs'!$D135*(SUMPRODUCT('Input data meat and eggs'!$B$74:$B$75,'Input data meat and eggs'!W$35:W$36)+'Input data meat and eggs'!$B$76*SUMPRODUCT('Input data meat and eggs'!$B$77:$B$86,'Input data meat and eggs'!W$37:W$46))</f>
        <v>5.5733471471468617E-3</v>
      </c>
      <c r="BA25" s="1185">
        <f>AZ25+AZ25*'Common input data'!$B$145</f>
        <v>6.0638016960957858E-3</v>
      </c>
      <c r="BB25" s="1221">
        <f>BA25+BA25*'Common input data'!$B$179</f>
        <v>6.7308198826663227E-3</v>
      </c>
      <c r="BC25" s="877"/>
      <c r="BD25" s="1220">
        <f>('Common input data'!B206+'Common input data'!C206)+('Common input data'!B206+'Common input data'!C206)*'Common input data'!$B$145</f>
        <v>0.66607360000000004</v>
      </c>
      <c r="BE25" s="1221">
        <f>BD25+BD25*'Common input data'!$B$179</f>
        <v>0.7393416960000001</v>
      </c>
      <c r="BF25" s="183"/>
      <c r="BG25" s="183"/>
      <c r="BH25" s="183"/>
      <c r="BI25" s="183"/>
      <c r="BJ25" s="183"/>
      <c r="BK25" s="183"/>
      <c r="BL25" s="183"/>
      <c r="BM25" s="183"/>
      <c r="BN25" s="183"/>
      <c r="BO25" s="183"/>
      <c r="BP25" s="183"/>
      <c r="BQ25" s="183"/>
      <c r="BR25" s="183"/>
      <c r="BS25" s="183"/>
      <c r="BT25" s="183"/>
      <c r="BU25" s="183"/>
      <c r="BV25" s="183"/>
    </row>
    <row r="26" spans="1:74">
      <c r="A26" s="97"/>
      <c r="C26" s="64"/>
      <c r="E26" s="511" t="s">
        <v>317</v>
      </c>
      <c r="F26" s="928">
        <f>IF(AND($G$2="No",$G$3="No"),SUM(J26:M26),IF(AND($G$2="Yes", $G$3="No"), SUM(J26:M26)+O26, IF(AND($G$2="No", $G$3="Yes"),SUM(J26:M26)+N26, SUM(J26:M26)+O26+N26)))</f>
        <v>0.45753805648486606</v>
      </c>
      <c r="G26" s="877">
        <f>IF(AND($G$2="No",$G$3="No"),SUM(I26:M26,P26),IF(AND($G$2="Yes", $G$3="No"), SUM(I26:M26,P26)+O26, IF(AND($G$2="No", $G$3="Yes"),SUM(I26:M26,P26)+N26, SUM(I26:M26,P26)+O26+N26)))</f>
        <v>1.9488397204539296</v>
      </c>
      <c r="H26" s="878">
        <f>SUM(R26:T26)/(1-'Common input data'!B$145)</f>
        <v>5.0163291832686987</v>
      </c>
      <c r="I26" s="877">
        <f>'Input data meat and eggs'!$D$135*('Input data meat and eggs'!B74*'Input data meat and eggs'!B35+'Input data meat and eggs'!B75*'Input data meat and eggs'!B36+'Input data meat and eggs'!B76*SUMPRODUCT('Input data meat and eggs'!B37:'Input data meat and eggs'!B46,'Input data meat and eggs'!B77:'Input data meat and eggs'!B86))*'Input data meat and eggs'!B68</f>
        <v>1.0594249200513128</v>
      </c>
      <c r="J26" s="877">
        <f>'Input data meat and eggs'!$D$135*('Input data meat and eggs'!B74*'Input data meat and eggs'!B35+'Input data meat and eggs'!B75*'Input data meat and eggs'!B36+'Input data meat and eggs'!B76*SUMPRODUCT('Input data meat and eggs'!B37:'Input data meat and eggs'!B46,'Input data meat and eggs'!B77:'Input data meat and eggs'!B86))*'Input data meat and eggs'!C68</f>
        <v>0</v>
      </c>
      <c r="K26" s="877">
        <v>0</v>
      </c>
      <c r="L26" s="1180">
        <v>0</v>
      </c>
      <c r="M26" s="877">
        <v>0</v>
      </c>
      <c r="N26" s="877">
        <f>'Input data meat and eggs'!D135*(('Input data meat and eggs'!B74*'Common input data'!B19)+('Input data meat and eggs'!B76*('Input data meat and eggs'!B77*'Common input data'!B19*'Common input data'!G42/'Common input data'!F42+'Input data meat and eggs'!B81*'Common input data'!D19*'Common input data'!G40/'Common input data'!F40+'Input data meat and eggs'!B83*'Common input data'!C19*'Common input data'!G44/'Common input data'!F44+'Input data meat and eggs'!B84*'Common input data'!C19)))</f>
        <v>0.43609667334344276</v>
      </c>
      <c r="O26" s="877">
        <f>'Input data meat and eggs'!D135*'Input data meat and eggs'!B76*'Input data meat and eggs'!B83*'Common input data'!AR27*'Common input data'!G44/'Common input data'!F44</f>
        <v>2.1441383141423308E-2</v>
      </c>
      <c r="P26" s="877">
        <f>(('Input data meat and eggs'!B90*'Input data meat and eggs'!D113+'Input data meat and eggs'!B91*'Input data meat and eggs'!D122)*'Common input data'!C80)/'Input data meat and eggs'!D113</f>
        <v>0.43187674391775066</v>
      </c>
      <c r="Q26" s="877">
        <f>'Input data meat and eggs'!B102*'Common input data'!C80+'Input data meat and eggs'!C102*3.6*'Common input data'!B66</f>
        <v>0.61464668647929177</v>
      </c>
      <c r="R26" s="877">
        <f>(G26+Q26)/'Input data meat and eggs'!$B$30</f>
        <v>4.3448922151410532</v>
      </c>
      <c r="S26" s="877">
        <f>'Common input data'!B109</f>
        <v>0.1</v>
      </c>
      <c r="T26" s="886">
        <f>'Common input data'!B116+'Common input data'!C116</f>
        <v>0.13</v>
      </c>
      <c r="U26" s="1228"/>
      <c r="V26" s="879"/>
      <c r="W26" s="877"/>
      <c r="X26" s="886"/>
      <c r="Y26" s="877"/>
      <c r="Z26" s="879"/>
      <c r="AA26" s="877"/>
      <c r="AB26" s="886"/>
      <c r="AC26" s="877"/>
      <c r="AD26" s="879"/>
      <c r="AE26" s="877"/>
      <c r="AF26" s="886"/>
      <c r="AG26" s="877"/>
      <c r="AH26" s="879"/>
      <c r="AI26" s="877"/>
      <c r="AJ26" s="886"/>
      <c r="AK26" s="877"/>
      <c r="AL26" s="879"/>
      <c r="AM26" s="877"/>
      <c r="AN26" s="877"/>
      <c r="AO26" s="877"/>
      <c r="AP26" s="886"/>
      <c r="AQ26" s="877"/>
      <c r="AR26" s="879"/>
      <c r="AS26" s="877"/>
      <c r="AT26" s="886"/>
      <c r="AU26" s="877"/>
      <c r="AV26" s="879"/>
      <c r="AW26" s="877"/>
      <c r="AX26" s="886"/>
      <c r="AY26" s="877"/>
      <c r="AZ26" s="879"/>
      <c r="BA26" s="877"/>
      <c r="BB26" s="886"/>
      <c r="BC26" s="877"/>
      <c r="BD26" s="879"/>
      <c r="BE26" s="886"/>
      <c r="BF26" s="183"/>
      <c r="BG26" s="183"/>
      <c r="BH26" s="183"/>
      <c r="BI26" s="183"/>
      <c r="BJ26" s="183"/>
      <c r="BK26" s="183"/>
      <c r="BL26" s="183"/>
      <c r="BM26" s="183"/>
      <c r="BN26" s="183"/>
      <c r="BO26" s="183"/>
      <c r="BP26" s="183"/>
      <c r="BQ26" s="183"/>
      <c r="BR26" s="183"/>
      <c r="BS26" s="183"/>
      <c r="BT26" s="183"/>
      <c r="BU26" s="183"/>
      <c r="BV26" s="183"/>
    </row>
    <row r="27" spans="1:74">
      <c r="A27" s="68"/>
      <c r="C27" s="58"/>
      <c r="D27" s="55"/>
      <c r="E27" s="511" t="s">
        <v>321</v>
      </c>
      <c r="F27" s="928">
        <f>SUM(J27:M27)</f>
        <v>2.9422765019185726E-2</v>
      </c>
      <c r="G27" s="877">
        <f>SUM(I27:M27,P27)</f>
        <v>2.9422765019185726E-2</v>
      </c>
      <c r="H27" s="878">
        <f>SUM(R27:T27)/(1-'Common input data'!B$145)</f>
        <v>5.4681023303571455E-2</v>
      </c>
      <c r="I27" s="877">
        <v>0</v>
      </c>
      <c r="J27" s="877">
        <v>0</v>
      </c>
      <c r="K27" s="877">
        <f>('Input data meat and eggs'!D203*'Input data meat and eggs'!D204*'Input data meat and eggs'!D205*('Input data meat and eggs'!D144*'Input data meat and eggs'!D194+'Input data meat and eggs'!D145*'Input data meat and eggs'!D195+('Input data meat and eggs'!D147*'Input data meat and eggs'!D196+'Input data meat and eggs'!D148*'Input data meat and eggs'!D196+'Input data meat and eggs'!D149*'Input data meat and eggs'!D197+'Input data meat and eggs'!D150*'Input data meat and eggs'!D198)))/'Input data meat and eggs'!D113</f>
        <v>2.2883545632497723E-2</v>
      </c>
      <c r="L27" s="1180">
        <v>0</v>
      </c>
      <c r="M27" s="877">
        <f>('Input data meat and eggs'!D126*('Input data meat and eggs'!D119+'Input data meat and eggs'!D120)+'Input data meat and eggs'!D127*'Input data meat and eggs'!D121*'Input data meat and eggs'!B109/365+'Input data meat and eggs'!D128*'Input data meat and eggs'!D122*'Input data meat and eggs'!B108/365)/'Input data meat and eggs'!D113</f>
        <v>6.5392193866880052E-3</v>
      </c>
      <c r="N27" s="877">
        <v>0</v>
      </c>
      <c r="O27" s="877">
        <v>0</v>
      </c>
      <c r="P27" s="877">
        <v>0</v>
      </c>
      <c r="Q27" s="877">
        <v>0</v>
      </c>
      <c r="R27" s="877">
        <f>(G27+Q27)/'Input data meat and eggs'!$B$30</f>
        <v>4.9869093252857162E-2</v>
      </c>
      <c r="S27" s="877">
        <v>0</v>
      </c>
      <c r="T27" s="886">
        <v>0</v>
      </c>
      <c r="U27" s="1228"/>
      <c r="V27" s="879"/>
      <c r="W27" s="877"/>
      <c r="X27" s="886"/>
      <c r="Y27" s="877"/>
      <c r="Z27" s="879"/>
      <c r="AA27" s="877"/>
      <c r="AB27" s="886"/>
      <c r="AC27" s="877"/>
      <c r="AD27" s="879"/>
      <c r="AE27" s="877"/>
      <c r="AF27" s="886"/>
      <c r="AG27" s="877"/>
      <c r="AH27" s="879"/>
      <c r="AI27" s="877"/>
      <c r="AJ27" s="886"/>
      <c r="AK27" s="877"/>
      <c r="AL27" s="879"/>
      <c r="AM27" s="877"/>
      <c r="AN27" s="877"/>
      <c r="AO27" s="877"/>
      <c r="AP27" s="886"/>
      <c r="AQ27" s="877"/>
      <c r="AR27" s="879"/>
      <c r="AS27" s="877"/>
      <c r="AT27" s="886"/>
      <c r="AU27" s="877"/>
      <c r="AV27" s="879"/>
      <c r="AW27" s="877"/>
      <c r="AX27" s="886"/>
      <c r="AY27" s="877"/>
      <c r="AZ27" s="879"/>
      <c r="BA27" s="877"/>
      <c r="BB27" s="886"/>
      <c r="BC27" s="877"/>
      <c r="BD27" s="879"/>
      <c r="BE27" s="886"/>
      <c r="BF27" s="183"/>
      <c r="BG27" s="183"/>
      <c r="BH27" s="183"/>
      <c r="BI27" s="183"/>
      <c r="BJ27" s="183"/>
      <c r="BK27" s="183"/>
      <c r="BL27" s="183"/>
      <c r="BM27" s="183"/>
      <c r="BN27" s="183"/>
      <c r="BO27" s="183"/>
      <c r="BP27" s="183"/>
      <c r="BQ27" s="183"/>
      <c r="BR27" s="183"/>
      <c r="BS27" s="183"/>
      <c r="BT27" s="183"/>
      <c r="BU27" s="183"/>
      <c r="BV27" s="183"/>
    </row>
    <row r="28" spans="1:74">
      <c r="A28" s="68"/>
      <c r="C28" s="58"/>
      <c r="D28" s="55"/>
      <c r="E28" s="511" t="s">
        <v>319</v>
      </c>
      <c r="F28" s="928">
        <f>SUM(J28:M28)</f>
        <v>0</v>
      </c>
      <c r="G28" s="877">
        <f>SUM(I28:M28,P28)</f>
        <v>3.3312213265201403E-4</v>
      </c>
      <c r="H28" s="878">
        <f>SUM(R28:T28)/(1-'Common input data'!B$145)</f>
        <v>7.0799646036228835E-4</v>
      </c>
      <c r="I28" s="877">
        <f>'Input data meat and eggs'!$D$135*('Input data meat and eggs'!B74*'Input data meat and eggs'!C35+'Input data meat and eggs'!B75*'Input data meat and eggs'!C36+'Input data meat and eggs'!B76*SUMPRODUCT('Input data meat and eggs'!C37:'Input data meat and eggs'!C46,'Input data meat and eggs'!B77:'Input data meat and eggs'!B86))*'Input data meat and eggs'!B69</f>
        <v>3.3312213265201403E-4</v>
      </c>
      <c r="J28" s="877">
        <f>'Input data meat and eggs'!$D$135*('Input data meat and eggs'!B74*'Input data meat and eggs'!C35+'Input data meat and eggs'!B75*'Input data meat and eggs'!C36+'Input data meat and eggs'!B76*SUMPRODUCT('Input data meat and eggs'!C37:'Input data meat and eggs'!C46,'Input data meat and eggs'!B77:'Input data meat and eggs'!B86))*'Input data meat and eggs'!C69</f>
        <v>0</v>
      </c>
      <c r="K28" s="877">
        <v>0</v>
      </c>
      <c r="L28" s="1180">
        <v>0</v>
      </c>
      <c r="M28" s="877">
        <v>0</v>
      </c>
      <c r="N28" s="877">
        <v>0</v>
      </c>
      <c r="O28" s="877">
        <v>0</v>
      </c>
      <c r="P28" s="877">
        <v>0</v>
      </c>
      <c r="Q28" s="877">
        <f>'Input data meat and eggs'!C102*3.6*'Common input data'!B67</f>
        <v>4.7836602739726037E-5</v>
      </c>
      <c r="R28" s="877">
        <f>(G28+Q28)/'Input data meat and eggs'!$B$30</f>
        <v>6.4569277185040695E-4</v>
      </c>
      <c r="S28" s="877">
        <v>0</v>
      </c>
      <c r="T28" s="886">
        <v>0</v>
      </c>
      <c r="U28" s="1228"/>
      <c r="V28" s="879"/>
      <c r="W28" s="877"/>
      <c r="X28" s="886"/>
      <c r="Y28" s="877"/>
      <c r="Z28" s="879"/>
      <c r="AA28" s="877"/>
      <c r="AB28" s="886"/>
      <c r="AC28" s="877"/>
      <c r="AD28" s="879"/>
      <c r="AE28" s="877"/>
      <c r="AF28" s="886"/>
      <c r="AG28" s="877"/>
      <c r="AH28" s="879"/>
      <c r="AI28" s="877"/>
      <c r="AJ28" s="886"/>
      <c r="AK28" s="877"/>
      <c r="AL28" s="879"/>
      <c r="AM28" s="877"/>
      <c r="AN28" s="877"/>
      <c r="AO28" s="877"/>
      <c r="AP28" s="886"/>
      <c r="AQ28" s="877"/>
      <c r="AR28" s="879"/>
      <c r="AS28" s="877"/>
      <c r="AT28" s="886"/>
      <c r="AU28" s="877"/>
      <c r="AV28" s="879"/>
      <c r="AW28" s="877"/>
      <c r="AX28" s="886"/>
      <c r="AY28" s="877"/>
      <c r="AZ28" s="879"/>
      <c r="BA28" s="877"/>
      <c r="BB28" s="886"/>
      <c r="BC28" s="877"/>
      <c r="BD28" s="879"/>
      <c r="BE28" s="886"/>
      <c r="BF28" s="183"/>
      <c r="BG28" s="183"/>
      <c r="BH28" s="183"/>
      <c r="BI28" s="183"/>
      <c r="BJ28" s="183"/>
      <c r="BK28" s="183"/>
      <c r="BL28" s="183"/>
      <c r="BM28" s="183"/>
      <c r="BN28" s="183"/>
      <c r="BO28" s="183"/>
      <c r="BP28" s="183"/>
      <c r="BQ28" s="183"/>
      <c r="BR28" s="183"/>
      <c r="BS28" s="183"/>
      <c r="BT28" s="183"/>
      <c r="BU28" s="183"/>
      <c r="BV28" s="183"/>
    </row>
    <row r="29" spans="1:74">
      <c r="A29" s="68"/>
      <c r="C29" s="83"/>
      <c r="D29" s="54"/>
      <c r="E29" s="512" t="s">
        <v>320</v>
      </c>
      <c r="F29" s="928">
        <f>SUM(J29:M29)</f>
        <v>4.3253689707314297E-3</v>
      </c>
      <c r="G29" s="877">
        <f>SUM(I29:M29,P29)</f>
        <v>5.5782343132272337E-3</v>
      </c>
      <c r="H29" s="878">
        <f>SUM(R29:T29)/(1-'Common input data'!B$145)</f>
        <v>1.0375211395402529E-2</v>
      </c>
      <c r="I29" s="877">
        <f>'Input data meat and eggs'!$D$135*('Input data meat and eggs'!B74*'Input data meat and eggs'!D35+'Input data meat and eggs'!B75*'Input data meat and eggs'!D36+'Input data meat and eggs'!B76*SUMPRODUCT('Input data meat and eggs'!D37:'Input data meat and eggs'!D46,'Input data meat and eggs'!B77:'Input data meat and eggs'!B86))*'Input data meat and eggs'!B70</f>
        <v>1.2528653424958044E-3</v>
      </c>
      <c r="J29" s="877">
        <f>'Input data meat and eggs'!$D$135*('Input data meat and eggs'!B74*'Input data meat and eggs'!D35+'Input data meat and eggs'!B75*'Input data meat and eggs'!D36+'Input data meat and eggs'!B76*SUMPRODUCT('Input data meat and eggs'!D37:'Input data meat and eggs'!D46,'Input data meat and eggs'!B77:'Input data meat and eggs'!B86))*'Input data meat and eggs'!C70</f>
        <v>3.1667385997649006E-3</v>
      </c>
      <c r="K29" s="877">
        <f>((SUM('Input data meat and eggs'!D177:D180)*'Input data meat and eggs'!D199+SUM('Input data meat and eggs'!D182:D185)*'Input data meat and eggs'!D200+SUM('Input data meat and eggs'!D187:D190)*'Input data meat and eggs'!D201)*44/28)/'Input data meat and eggs'!D113</f>
        <v>5.9466496238281435E-4</v>
      </c>
      <c r="L29" s="1180">
        <f>SUM('Input data meat and eggs'!D228:D241)*'Input data meat and eggs'!D202*44/28/'Input data meat and eggs'!D113</f>
        <v>5.6396540858371486E-4</v>
      </c>
      <c r="M29" s="877">
        <v>0</v>
      </c>
      <c r="N29" s="877">
        <v>0</v>
      </c>
      <c r="O29" s="877">
        <v>0</v>
      </c>
      <c r="P29" s="877">
        <v>0</v>
      </c>
      <c r="Q29" s="877">
        <f>'Input data meat and eggs'!C102*3.6*'Common input data'!B68</f>
        <v>4.4594344109589041E-6</v>
      </c>
      <c r="R29" s="877">
        <f>(G29+Q29)/'Input data meat and eggs'!$B$30</f>
        <v>9.4621927926071062E-3</v>
      </c>
      <c r="S29" s="877">
        <v>0</v>
      </c>
      <c r="T29" s="886">
        <v>0</v>
      </c>
      <c r="U29" s="1228"/>
      <c r="V29" s="879"/>
      <c r="W29" s="877"/>
      <c r="X29" s="886"/>
      <c r="Y29" s="877"/>
      <c r="Z29" s="879"/>
      <c r="AA29" s="877"/>
      <c r="AB29" s="886"/>
      <c r="AC29" s="877"/>
      <c r="AD29" s="879"/>
      <c r="AE29" s="877"/>
      <c r="AF29" s="886"/>
      <c r="AG29" s="877"/>
      <c r="AH29" s="879"/>
      <c r="AI29" s="877"/>
      <c r="AJ29" s="886"/>
      <c r="AK29" s="877"/>
      <c r="AL29" s="879"/>
      <c r="AM29" s="877"/>
      <c r="AN29" s="877"/>
      <c r="AO29" s="877"/>
      <c r="AP29" s="886"/>
      <c r="AQ29" s="877"/>
      <c r="AR29" s="879"/>
      <c r="AS29" s="877"/>
      <c r="AT29" s="886"/>
      <c r="AU29" s="877"/>
      <c r="AV29" s="879"/>
      <c r="AW29" s="877"/>
      <c r="AX29" s="886"/>
      <c r="AY29" s="877"/>
      <c r="AZ29" s="879"/>
      <c r="BA29" s="877"/>
      <c r="BB29" s="886"/>
      <c r="BC29" s="877"/>
      <c r="BD29" s="879"/>
      <c r="BE29" s="886"/>
      <c r="BF29" s="183"/>
      <c r="BG29" s="183"/>
      <c r="BH29" s="183"/>
      <c r="BI29" s="183"/>
      <c r="BJ29" s="183"/>
      <c r="BK29" s="183"/>
      <c r="BL29" s="183"/>
      <c r="BM29" s="183"/>
      <c r="BN29" s="183"/>
      <c r="BO29" s="183"/>
      <c r="BP29" s="183"/>
      <c r="BQ29" s="183"/>
      <c r="BR29" s="183"/>
      <c r="BS29" s="183"/>
      <c r="BT29" s="183"/>
      <c r="BU29" s="183"/>
      <c r="BV29" s="183"/>
    </row>
    <row r="30" spans="1:74">
      <c r="A30" s="108" t="s">
        <v>125</v>
      </c>
      <c r="B30" s="93" t="s">
        <v>198</v>
      </c>
      <c r="C30" s="903">
        <f>'Input data meat and eggs'!D18</f>
        <v>8.1802537330159963E-2</v>
      </c>
      <c r="D30" s="26"/>
      <c r="E30" s="513" t="s">
        <v>316</v>
      </c>
      <c r="F30" s="930">
        <f>SUMPRODUCT($CA$7:$CA$10,F31:F34)</f>
        <v>1.4426947979629299</v>
      </c>
      <c r="G30" s="872">
        <f>SUMPRODUCT($CA$7:$CA$10,G31:G34)</f>
        <v>3.188891691840551</v>
      </c>
      <c r="H30" s="873">
        <f>SUMPRODUCT($CA$7:$CA$10,H31:H34)</f>
        <v>7.4329138019819965</v>
      </c>
      <c r="I30" s="884"/>
      <c r="J30" s="884"/>
      <c r="K30" s="884"/>
      <c r="L30" s="884"/>
      <c r="M30" s="884"/>
      <c r="N30" s="884"/>
      <c r="O30" s="884"/>
      <c r="P30" s="884"/>
      <c r="Q30" s="884"/>
      <c r="R30" s="884"/>
      <c r="S30" s="884"/>
      <c r="T30" s="885"/>
      <c r="V30" s="879">
        <f>AVERAGE('Input data meat and eggs'!$B135:$D135)*(SUMPRODUCT('Input data meat and eggs'!$B$74:$B$75,'Input data meat and eggs'!E$35:E$36)+'Input data meat and eggs'!$B$76*SUMPRODUCT('Input data meat and eggs'!$B$77:$B$86,'Input data meat and eggs'!E$37:E$46))</f>
        <v>7.786952012276954</v>
      </c>
      <c r="W30" s="1185">
        <f>V30+V30*'Common input data'!$B$145</f>
        <v>8.4722037893573265</v>
      </c>
      <c r="X30" s="1221">
        <f>W30+W30*'Common input data'!$B$179</f>
        <v>9.404146206186633</v>
      </c>
      <c r="Y30" s="877"/>
      <c r="Z30" s="879"/>
      <c r="AA30" s="877"/>
      <c r="AB30" s="886"/>
      <c r="AC30" s="877"/>
      <c r="AD30" s="879">
        <f>AVERAGE('Input data meat and eggs'!$B135:$D135)*(SUMPRODUCT('Input data meat and eggs'!$B$74:$B$75,'Input data meat and eggs'!G$35:G$36)+'Input data meat and eggs'!$B$76*SUMPRODUCT('Input data meat and eggs'!$B$77:$B$86,'Input data meat and eggs'!G$37:G$46))</f>
        <v>9.4151591270839441E-2</v>
      </c>
      <c r="AE30" s="1185">
        <f>AD30+AD30*'Common input data'!$B$145</f>
        <v>0.10243693130267331</v>
      </c>
      <c r="AF30" s="1221">
        <f>AE30+AE30*'Common input data'!$B$179</f>
        <v>0.11370499374596738</v>
      </c>
      <c r="AG30" s="877"/>
      <c r="AH30" s="879">
        <f>AVERAGE('Input data meat and eggs'!$B135:$D135)*(SUMPRODUCT('Input data meat and eggs'!$B$74:$B$75,'Input data meat and eggs'!H$35:H$36)+'Input data meat and eggs'!$B$76*SUMPRODUCT('Input data meat and eggs'!$B$77:$B$86,'Input data meat and eggs'!H$37:H$46))</f>
        <v>9.0799505629631481E-3</v>
      </c>
      <c r="AI30" s="1185">
        <f>AH30+AH30*'Common input data'!$B$145</f>
        <v>9.8789862125039062E-3</v>
      </c>
      <c r="AJ30" s="1221">
        <f>AI30+AI30*'Common input data'!$B$179</f>
        <v>1.0965674695879335E-2</v>
      </c>
      <c r="AK30" s="877"/>
      <c r="AL30" s="879">
        <f>AVERAGE('Input data meat and eggs'!$B135:$D135)*(SUMPRODUCT('Input data meat and eggs'!$B$74:$B$75,'Input data meat and eggs'!I$35:I$36)+'Input data meat and eggs'!$B$76*SUMPRODUCT('Input data meat and eggs'!$B$77:$B$86,'Input data meat and eggs'!I$37:I$46))</f>
        <v>4.9977282410984796E-3</v>
      </c>
      <c r="AM30" s="877">
        <f>'Input data meat and eggs'!B57</f>
        <v>0.19400814702938748</v>
      </c>
      <c r="AN30" s="877">
        <f>SUM(AL30:AM30)</f>
        <v>0.19900587527048597</v>
      </c>
      <c r="AO30" s="1185">
        <f>AN30+AN30*'Common input data'!$B$145</f>
        <v>0.21651839229428874</v>
      </c>
      <c r="AP30" s="1221">
        <f>AO30+AO30*'Common input data'!$B$179</f>
        <v>0.24033541544666048</v>
      </c>
      <c r="AQ30" s="877"/>
      <c r="AR30" s="879">
        <f>AVERAGE(AR15:AR25)</f>
        <v>2.5992654749492794E-12</v>
      </c>
      <c r="AS30" s="1185">
        <f>AR30+AR30*'Common input data'!$B$145</f>
        <v>2.8280008367448162E-12</v>
      </c>
      <c r="AT30" s="1221">
        <f>AS30+AS30*'Common input data'!$B$179</f>
        <v>3.1390809287867457E-12</v>
      </c>
      <c r="AU30" s="877"/>
      <c r="AV30" s="879">
        <f>AVERAGE(AV15:AV25)</f>
        <v>2.0514831179748556E-4</v>
      </c>
      <c r="AW30" s="1185">
        <f>AV30+AV30*'Common input data'!$B$145</f>
        <v>2.232013632356643E-4</v>
      </c>
      <c r="AX30" s="1221">
        <f>AW30+AW30*'Common input data'!$B$179</f>
        <v>2.477535131915874E-4</v>
      </c>
      <c r="AY30" s="877"/>
      <c r="AZ30" s="879">
        <f>AVERAGE('Input data meat and eggs'!$B135:$D135)*(SUMPRODUCT('Input data meat and eggs'!$B$74:$B$75,'Input data meat and eggs'!W$35:W$36)+'Input data meat and eggs'!$B$76*SUMPRODUCT('Input data meat and eggs'!$B$77:$B$86,'Input data meat and eggs'!W$37:W$46))</f>
        <v>5.414382406739031E-3</v>
      </c>
      <c r="BA30" s="1185">
        <f>AZ30+AZ30*'Common input data'!$B$145</f>
        <v>5.8908480585320661E-3</v>
      </c>
      <c r="BB30" s="1221">
        <f>BA30+BA30*'Common input data'!$B$179</f>
        <v>6.538841344970593E-3</v>
      </c>
      <c r="BC30" s="877"/>
      <c r="BD30" s="1220">
        <f>('Common input data'!B214+'Common input data'!C214)+('Common input data'!B214+'Common input data'!C214)*'Common input data'!$B$145</f>
        <v>1.0337813333333334</v>
      </c>
      <c r="BE30" s="1221">
        <f>BD30+BD30*'Common input data'!$B$179</f>
        <v>1.1474972800000001</v>
      </c>
      <c r="BF30" s="183"/>
      <c r="BG30" s="183"/>
      <c r="BH30" s="183"/>
      <c r="BI30" s="183"/>
      <c r="BJ30" s="183"/>
      <c r="BK30" s="183"/>
      <c r="BL30" s="183"/>
      <c r="BM30" s="183"/>
      <c r="BN30" s="183"/>
      <c r="BO30" s="183"/>
      <c r="BP30" s="183"/>
      <c r="BQ30" s="183"/>
      <c r="BR30" s="183"/>
      <c r="BS30" s="183"/>
      <c r="BT30" s="183"/>
      <c r="BU30" s="183"/>
      <c r="BV30" s="183"/>
    </row>
    <row r="31" spans="1:74">
      <c r="A31" s="97"/>
      <c r="C31" s="64"/>
      <c r="E31" s="511" t="s">
        <v>317</v>
      </c>
      <c r="F31" s="928">
        <f>IF(AND($G$2="No",$G$3="No"),SUM(J31:M31),IF(AND($G$2="Yes", $G$3="No"), SUM(J31:M31)+O31, IF(AND($G$2="No", $G$3="Yes"),SUM(J31:M31)+N31, SUM(J31:M31)+O31+N31)))</f>
        <v>0.44448801376268365</v>
      </c>
      <c r="G31" s="877">
        <f>IF(AND($G$2="No",$G$3="No"),SUM(I31:M31,P31),IF(AND($G$2="Yes", $G$3="No"), SUM(I31:M31,P31)+O31, IF(AND($G$2="No", $G$3="Yes"),SUM(I31:M31,P31)+N31, SUM(I31:M31,P31)+O31+N31)))</f>
        <v>1.9055724307253845</v>
      </c>
      <c r="H31" s="878">
        <f>SUM(R31:T31)/(1-'Common input data'!B$145)</f>
        <v>5.0455677914151735</v>
      </c>
      <c r="I31" s="877">
        <f t="shared" ref="I31:O31" si="5">AVERAGE(I16,I21,I26)</f>
        <v>1.0292076730449502</v>
      </c>
      <c r="J31" s="877">
        <f t="shared" si="5"/>
        <v>0</v>
      </c>
      <c r="K31" s="877">
        <f t="shared" si="5"/>
        <v>0</v>
      </c>
      <c r="L31" s="877">
        <f t="shared" si="5"/>
        <v>0</v>
      </c>
      <c r="M31" s="877">
        <f t="shared" si="5"/>
        <v>0</v>
      </c>
      <c r="N31" s="877">
        <f t="shared" si="5"/>
        <v>0.42365818841858977</v>
      </c>
      <c r="O31" s="877">
        <f t="shared" si="5"/>
        <v>2.0829825344093916E-2</v>
      </c>
      <c r="P31" s="877">
        <f>P26</f>
        <v>0.43187674391775066</v>
      </c>
      <c r="Q31" s="877">
        <f>'Input data meat and eggs'!B102*'Common input data'!C80+'Input data meat and eggs'!C102*3.6*'Common input data'!B66</f>
        <v>0.61464668647929177</v>
      </c>
      <c r="R31" s="877">
        <f>(G31+Q31)/'Input data meat and eggs'!$B$30</f>
        <v>4.2715578257706381</v>
      </c>
      <c r="S31" s="877">
        <f>'Common input data'!B109</f>
        <v>0.1</v>
      </c>
      <c r="T31" s="886">
        <f>'Common input data'!B119+'Common input data'!C119</f>
        <v>0.23000000000000004</v>
      </c>
      <c r="U31" s="1228"/>
      <c r="V31" s="879"/>
      <c r="W31" s="877"/>
      <c r="X31" s="886"/>
      <c r="Y31" s="877"/>
      <c r="Z31" s="879"/>
      <c r="AA31" s="877"/>
      <c r="AB31" s="886"/>
      <c r="AC31" s="877"/>
      <c r="AD31" s="879"/>
      <c r="AE31" s="877"/>
      <c r="AF31" s="886"/>
      <c r="AG31" s="877"/>
      <c r="AH31" s="879"/>
      <c r="AI31" s="877"/>
      <c r="AJ31" s="886"/>
      <c r="AK31" s="877"/>
      <c r="AL31" s="879"/>
      <c r="AM31" s="877"/>
      <c r="AN31" s="877"/>
      <c r="AO31" s="877"/>
      <c r="AP31" s="886"/>
      <c r="AQ31" s="877"/>
      <c r="AR31" s="879"/>
      <c r="AS31" s="877"/>
      <c r="AT31" s="886"/>
      <c r="AU31" s="877"/>
      <c r="AV31" s="879"/>
      <c r="AW31" s="877"/>
      <c r="AX31" s="886"/>
      <c r="AY31" s="877"/>
      <c r="AZ31" s="879"/>
      <c r="BA31" s="877"/>
      <c r="BB31" s="886"/>
      <c r="BC31" s="877"/>
      <c r="BD31" s="879"/>
      <c r="BE31" s="886"/>
      <c r="BF31" s="183"/>
      <c r="BG31" s="183"/>
      <c r="BH31" s="183"/>
      <c r="BI31" s="183"/>
      <c r="BJ31" s="183"/>
      <c r="BK31" s="183"/>
      <c r="BL31" s="183"/>
      <c r="BM31" s="183"/>
      <c r="BN31" s="183"/>
      <c r="BO31" s="183"/>
      <c r="BP31" s="183"/>
      <c r="BQ31" s="183"/>
      <c r="BR31" s="183"/>
      <c r="BS31" s="183"/>
      <c r="BT31" s="183"/>
      <c r="BU31" s="183"/>
      <c r="BV31" s="183"/>
    </row>
    <row r="32" spans="1:74">
      <c r="A32" s="68"/>
      <c r="C32" s="83"/>
      <c r="D32" s="54"/>
      <c r="E32" s="511" t="s">
        <v>321</v>
      </c>
      <c r="F32" s="928">
        <f>SUM(J32:M32)</f>
        <v>2.059079553765646E-2</v>
      </c>
      <c r="G32" s="877">
        <f>SUM(I32:M32,P32)</f>
        <v>2.059079553765646E-2</v>
      </c>
      <c r="H32" s="878">
        <f>SUM(R32:T32)/(1-'Common input data'!B$145)</f>
        <v>3.8267163874621736E-2</v>
      </c>
      <c r="I32" s="877">
        <v>0</v>
      </c>
      <c r="J32" s="877">
        <f>AVERAGE(J18,J23,J28)</f>
        <v>0</v>
      </c>
      <c r="K32" s="877">
        <f>AVERAGE(K17,K22,K27)</f>
        <v>1.2736533990429849E-2</v>
      </c>
      <c r="L32" s="877">
        <f>AVERAGE(L17,L22,L27)</f>
        <v>0</v>
      </c>
      <c r="M32" s="877">
        <f>AVERAGE(M17,M22,M27)</f>
        <v>7.8542615472266108E-3</v>
      </c>
      <c r="N32" s="877">
        <v>0</v>
      </c>
      <c r="O32" s="877">
        <f>AVERAGE(O17,O22,O27)</f>
        <v>0</v>
      </c>
      <c r="P32" s="877">
        <f>P27</f>
        <v>0</v>
      </c>
      <c r="Q32" s="877">
        <v>0</v>
      </c>
      <c r="R32" s="877">
        <f>(G32+Q32)/'Input data meat and eggs'!$B$30</f>
        <v>3.4899653453655019E-2</v>
      </c>
      <c r="S32" s="877">
        <v>0</v>
      </c>
      <c r="T32" s="886">
        <v>0</v>
      </c>
      <c r="U32" s="1228"/>
      <c r="V32" s="879"/>
      <c r="W32" s="877"/>
      <c r="X32" s="886"/>
      <c r="Y32" s="877"/>
      <c r="Z32" s="879"/>
      <c r="AA32" s="877"/>
      <c r="AB32" s="886"/>
      <c r="AC32" s="877"/>
      <c r="AD32" s="879"/>
      <c r="AE32" s="877"/>
      <c r="AF32" s="886"/>
      <c r="AG32" s="877"/>
      <c r="AH32" s="879"/>
      <c r="AI32" s="877"/>
      <c r="AJ32" s="886"/>
      <c r="AK32" s="877"/>
      <c r="AL32" s="879"/>
      <c r="AM32" s="877"/>
      <c r="AN32" s="877"/>
      <c r="AO32" s="877"/>
      <c r="AP32" s="886"/>
      <c r="AQ32" s="877"/>
      <c r="AR32" s="879"/>
      <c r="AS32" s="877"/>
      <c r="AT32" s="886"/>
      <c r="AU32" s="877"/>
      <c r="AV32" s="879"/>
      <c r="AW32" s="877"/>
      <c r="AX32" s="886"/>
      <c r="AY32" s="877"/>
      <c r="AZ32" s="879"/>
      <c r="BA32" s="877"/>
      <c r="BB32" s="886"/>
      <c r="BC32" s="877"/>
      <c r="BD32" s="879"/>
      <c r="BE32" s="886"/>
      <c r="BF32" s="183"/>
      <c r="BG32" s="183"/>
      <c r="BH32" s="183"/>
      <c r="BI32" s="183"/>
      <c r="BJ32" s="183"/>
      <c r="BK32" s="183"/>
      <c r="BL32" s="183"/>
      <c r="BM32" s="183"/>
      <c r="BN32" s="183"/>
      <c r="BO32" s="183"/>
      <c r="BP32" s="183"/>
      <c r="BQ32" s="183"/>
      <c r="BR32" s="183"/>
      <c r="BS32" s="183"/>
      <c r="BT32" s="183"/>
      <c r="BU32" s="183"/>
      <c r="BV32" s="183"/>
    </row>
    <row r="33" spans="1:74">
      <c r="A33" s="68"/>
      <c r="C33" s="83"/>
      <c r="D33" s="54"/>
      <c r="E33" s="511" t="s">
        <v>319</v>
      </c>
      <c r="F33" s="928">
        <f>SUM(J33:M33)</f>
        <v>0</v>
      </c>
      <c r="G33" s="877">
        <f>SUM(I33:M33,P33)</f>
        <v>3.236207195975197E-4</v>
      </c>
      <c r="H33" s="878">
        <f>SUM(R33:T33)/(1-'Common input data'!B$145)</f>
        <v>6.9033846702580613E-4</v>
      </c>
      <c r="I33" s="877">
        <f>AVERAGE(I18,I23,I28)</f>
        <v>3.236207195975197E-4</v>
      </c>
      <c r="J33" s="877">
        <v>0</v>
      </c>
      <c r="K33" s="877">
        <v>0</v>
      </c>
      <c r="L33" s="877">
        <v>0</v>
      </c>
      <c r="M33" s="877">
        <v>0</v>
      </c>
      <c r="N33" s="877">
        <f>AVERAGE(N17,N22,N27)</f>
        <v>0</v>
      </c>
      <c r="O33" s="877">
        <v>0</v>
      </c>
      <c r="P33" s="877">
        <v>0</v>
      </c>
      <c r="Q33" s="877">
        <f>'Input data meat and eggs'!C102*3.6*'Common input data'!B67</f>
        <v>4.7836602739726037E-5</v>
      </c>
      <c r="R33" s="877">
        <f>(G33+Q33)/'Input data meat and eggs'!$B$30</f>
        <v>6.295886819275351E-4</v>
      </c>
      <c r="S33" s="877">
        <v>0</v>
      </c>
      <c r="T33" s="886">
        <v>0</v>
      </c>
      <c r="U33" s="1228"/>
      <c r="V33" s="879"/>
      <c r="W33" s="877"/>
      <c r="X33" s="886"/>
      <c r="Y33" s="877"/>
      <c r="Z33" s="879"/>
      <c r="AA33" s="877"/>
      <c r="AB33" s="886"/>
      <c r="AC33" s="877"/>
      <c r="AD33" s="879"/>
      <c r="AE33" s="877"/>
      <c r="AF33" s="886"/>
      <c r="AG33" s="877"/>
      <c r="AH33" s="879"/>
      <c r="AI33" s="877"/>
      <c r="AJ33" s="886"/>
      <c r="AK33" s="877"/>
      <c r="AL33" s="879"/>
      <c r="AM33" s="877"/>
      <c r="AN33" s="877"/>
      <c r="AO33" s="877"/>
      <c r="AP33" s="886"/>
      <c r="AQ33" s="877"/>
      <c r="AR33" s="879"/>
      <c r="AS33" s="877"/>
      <c r="AT33" s="886"/>
      <c r="AU33" s="877"/>
      <c r="AV33" s="879"/>
      <c r="AW33" s="877"/>
      <c r="AX33" s="886"/>
      <c r="AY33" s="877"/>
      <c r="AZ33" s="879"/>
      <c r="BA33" s="877"/>
      <c r="BB33" s="886"/>
      <c r="BC33" s="877"/>
      <c r="BD33" s="879"/>
      <c r="BE33" s="886"/>
      <c r="BF33" s="183"/>
      <c r="BG33" s="183"/>
      <c r="BH33" s="183"/>
      <c r="BI33" s="183"/>
      <c r="BJ33" s="183"/>
      <c r="BK33" s="183"/>
      <c r="BL33" s="183"/>
      <c r="BM33" s="183"/>
      <c r="BN33" s="183"/>
      <c r="BO33" s="183"/>
      <c r="BP33" s="183"/>
      <c r="BQ33" s="183"/>
      <c r="BR33" s="183"/>
      <c r="BS33" s="183"/>
      <c r="BT33" s="183"/>
      <c r="BU33" s="183"/>
      <c r="BV33" s="183"/>
    </row>
    <row r="34" spans="1:74">
      <c r="A34" s="68"/>
      <c r="C34" s="58"/>
      <c r="D34" s="55"/>
      <c r="E34" s="512" t="s">
        <v>320</v>
      </c>
      <c r="F34" s="928">
        <f>SUM(J34:M34)</f>
        <v>3.8687984771384586E-3</v>
      </c>
      <c r="G34" s="877">
        <f>SUM(I34:M34,P34)</f>
        <v>5.0859292047470911E-3</v>
      </c>
      <c r="H34" s="878">
        <f>SUM(R34:T34)/(1-'Common input data'!B$145)</f>
        <v>9.4602821869574239E-3</v>
      </c>
      <c r="I34" s="877">
        <f>AVERAGE(I19,I24,I29)</f>
        <v>1.2171307276086323E-3</v>
      </c>
      <c r="J34" s="877">
        <f t="shared" ref="J34:O34" si="6">AVERAGE(J19,J24,J29)</f>
        <v>3.0764158966996905E-3</v>
      </c>
      <c r="K34" s="877">
        <f t="shared" si="6"/>
        <v>4.9845564667291668E-4</v>
      </c>
      <c r="L34" s="877">
        <f t="shared" si="6"/>
        <v>2.9392693376585166E-4</v>
      </c>
      <c r="M34" s="877">
        <f>AVERAGE(M19,M24,M29)</f>
        <v>0</v>
      </c>
      <c r="N34" s="877">
        <f>AVERAGE(N19,N24,N29)</f>
        <v>0</v>
      </c>
      <c r="O34" s="877">
        <f t="shared" si="6"/>
        <v>0</v>
      </c>
      <c r="P34" s="877">
        <f>P29</f>
        <v>0</v>
      </c>
      <c r="Q34" s="877">
        <f>'Input data meat and eggs'!C102*3.6*'Common input data'!B68</f>
        <v>4.4594344109589041E-6</v>
      </c>
      <c r="R34" s="877">
        <f>(G34+Q34)/'Input data meat and eggs'!$B$30</f>
        <v>8.6277773545051697E-3</v>
      </c>
      <c r="S34" s="877">
        <v>0</v>
      </c>
      <c r="T34" s="897">
        <v>0</v>
      </c>
      <c r="U34" s="1228"/>
      <c r="V34" s="879"/>
      <c r="W34" s="877"/>
      <c r="X34" s="886"/>
      <c r="Y34" s="877"/>
      <c r="Z34" s="879"/>
      <c r="AA34" s="877"/>
      <c r="AB34" s="886"/>
      <c r="AC34" s="877"/>
      <c r="AD34" s="879"/>
      <c r="AE34" s="877"/>
      <c r="AF34" s="886"/>
      <c r="AG34" s="877"/>
      <c r="AH34" s="879"/>
      <c r="AI34" s="877"/>
      <c r="AJ34" s="886"/>
      <c r="AK34" s="877"/>
      <c r="AL34" s="879"/>
      <c r="AM34" s="877"/>
      <c r="AN34" s="877"/>
      <c r="AO34" s="877"/>
      <c r="AP34" s="886"/>
      <c r="AQ34" s="877"/>
      <c r="AR34" s="879"/>
      <c r="AS34" s="877"/>
      <c r="AT34" s="886"/>
      <c r="AU34" s="877"/>
      <c r="AV34" s="879"/>
      <c r="AW34" s="877"/>
      <c r="AX34" s="886"/>
      <c r="AY34" s="877"/>
      <c r="AZ34" s="879"/>
      <c r="BA34" s="877"/>
      <c r="BB34" s="886"/>
      <c r="BC34" s="877"/>
      <c r="BD34" s="879"/>
      <c r="BE34" s="886"/>
      <c r="BF34" s="183"/>
      <c r="BG34" s="183"/>
      <c r="BH34" s="183"/>
      <c r="BI34" s="183"/>
      <c r="BJ34" s="183"/>
      <c r="BK34" s="183"/>
      <c r="BL34" s="183"/>
      <c r="BM34" s="183"/>
      <c r="BN34" s="183"/>
      <c r="BO34" s="183"/>
      <c r="BP34" s="183"/>
      <c r="BQ34" s="183"/>
      <c r="BR34" s="183"/>
      <c r="BS34" s="183"/>
      <c r="BT34" s="183"/>
      <c r="BU34" s="183"/>
      <c r="BV34" s="183"/>
    </row>
    <row r="35" spans="1:74">
      <c r="A35" s="362" t="s">
        <v>322</v>
      </c>
      <c r="B35" s="363"/>
      <c r="C35" s="770"/>
      <c r="D35" s="54"/>
      <c r="E35" s="939"/>
      <c r="F35" s="969" t="s">
        <v>312</v>
      </c>
      <c r="G35" s="892" t="s">
        <v>312</v>
      </c>
      <c r="H35" s="970" t="s">
        <v>313</v>
      </c>
      <c r="I35" s="889"/>
      <c r="J35" s="889"/>
      <c r="K35" s="889"/>
      <c r="L35" s="889"/>
      <c r="M35" s="889"/>
      <c r="N35" s="889"/>
      <c r="O35" s="889"/>
      <c r="P35" s="891"/>
      <c r="Q35" s="889"/>
      <c r="R35" s="889"/>
      <c r="S35" s="889"/>
      <c r="T35" s="889"/>
      <c r="U35" s="18"/>
      <c r="V35" s="879"/>
      <c r="W35" s="877"/>
      <c r="X35" s="886"/>
      <c r="Y35" s="877"/>
      <c r="Z35" s="879"/>
      <c r="AA35" s="877"/>
      <c r="AB35" s="886"/>
      <c r="AC35" s="877"/>
      <c r="AD35" s="879"/>
      <c r="AE35" s="877"/>
      <c r="AF35" s="886"/>
      <c r="AG35" s="877"/>
      <c r="AH35" s="879"/>
      <c r="AI35" s="877"/>
      <c r="AJ35" s="886"/>
      <c r="AK35" s="877"/>
      <c r="AL35" s="879"/>
      <c r="AM35" s="877"/>
      <c r="AN35" s="877"/>
      <c r="AO35" s="877"/>
      <c r="AP35" s="886"/>
      <c r="AQ35" s="877"/>
      <c r="AR35" s="879"/>
      <c r="AS35" s="877"/>
      <c r="AT35" s="886"/>
      <c r="AU35" s="877"/>
      <c r="AV35" s="879"/>
      <c r="AW35" s="877"/>
      <c r="AX35" s="886"/>
      <c r="AY35" s="877"/>
      <c r="AZ35" s="879"/>
      <c r="BA35" s="877"/>
      <c r="BB35" s="886"/>
      <c r="BC35" s="877"/>
      <c r="BD35" s="879"/>
      <c r="BE35" s="886"/>
      <c r="BF35" s="183"/>
      <c r="BG35" s="183"/>
      <c r="BH35" s="183"/>
      <c r="BI35" s="183"/>
      <c r="BJ35" s="183"/>
      <c r="BK35" s="183"/>
      <c r="BL35" s="183"/>
      <c r="BM35" s="183"/>
      <c r="BN35" s="183"/>
      <c r="BO35" s="183"/>
      <c r="BP35" s="183"/>
      <c r="BQ35" s="183"/>
      <c r="BR35" s="183"/>
      <c r="BS35" s="183"/>
      <c r="BT35" s="183"/>
      <c r="BU35" s="183"/>
      <c r="BV35" s="183"/>
    </row>
    <row r="36" spans="1:74" ht="13.35" customHeight="1">
      <c r="A36" s="108" t="s">
        <v>315</v>
      </c>
      <c r="B36" s="93"/>
      <c r="C36" s="903">
        <f>SUM(C41:C55)</f>
        <v>1</v>
      </c>
      <c r="D36" s="26"/>
      <c r="E36" s="513" t="s">
        <v>316</v>
      </c>
      <c r="F36" s="930">
        <f>SUMPRODUCT($CA$7:$CA$10,F37:F40)</f>
        <v>0.96827459340367505</v>
      </c>
      <c r="G36" s="872">
        <f>SUMPRODUCT($CA$7:$CA$10,G37:G40)</f>
        <v>2.1338545026123148</v>
      </c>
      <c r="H36" s="873">
        <f>SUMPRODUCT($CA$7:$CA$10,H37:H40)</f>
        <v>3.368506781821722</v>
      </c>
      <c r="I36" s="1178"/>
      <c r="J36" s="1178"/>
      <c r="K36" s="1178"/>
      <c r="L36" s="1178"/>
      <c r="M36" s="1178"/>
      <c r="N36" s="1178"/>
      <c r="O36" s="1178"/>
      <c r="P36" s="1178"/>
      <c r="Q36" s="1178"/>
      <c r="R36" s="1178"/>
      <c r="S36" s="1178"/>
      <c r="T36" s="1178"/>
      <c r="U36" s="369"/>
      <c r="V36" s="883">
        <f>$C$41*V41+$C$46*V46+$C$51*V51</f>
        <v>5.9259007402380428</v>
      </c>
      <c r="W36" s="884">
        <f t="shared" ref="W36:BE36" si="7">$C$41*W41+$C$46*W46+$C$51*W51</f>
        <v>6.4473800053789914</v>
      </c>
      <c r="X36" s="885">
        <f t="shared" si="7"/>
        <v>7.1565918059706801</v>
      </c>
      <c r="Y36" s="877"/>
      <c r="Z36" s="879"/>
      <c r="AA36" s="877"/>
      <c r="AB36" s="886"/>
      <c r="AC36" s="877"/>
      <c r="AD36" s="883">
        <f t="shared" si="7"/>
        <v>8.0651047013333782E-2</v>
      </c>
      <c r="AE36" s="884">
        <f t="shared" si="7"/>
        <v>8.7748339150507157E-2</v>
      </c>
      <c r="AF36" s="885">
        <f t="shared" si="7"/>
        <v>9.7400656457062945E-2</v>
      </c>
      <c r="AG36" s="877"/>
      <c r="AH36" s="883">
        <f t="shared" si="7"/>
        <v>9.4398056301055917E-3</v>
      </c>
      <c r="AI36" s="884">
        <f t="shared" si="7"/>
        <v>1.0270508525554884E-2</v>
      </c>
      <c r="AJ36" s="885">
        <f t="shared" si="7"/>
        <v>1.1400264463365921E-2</v>
      </c>
      <c r="AK36" s="877"/>
      <c r="AL36" s="883">
        <f t="shared" si="7"/>
        <v>2.5398429504559464E-2</v>
      </c>
      <c r="AM36" s="884">
        <f t="shared" si="7"/>
        <v>7.2803468059894601E-3</v>
      </c>
      <c r="AN36" s="884">
        <f t="shared" si="7"/>
        <v>3.2678776310548927E-2</v>
      </c>
      <c r="AO36" s="884">
        <f t="shared" si="7"/>
        <v>3.5554508625877231E-2</v>
      </c>
      <c r="AP36" s="885">
        <f t="shared" si="7"/>
        <v>3.9465504574723732E-2</v>
      </c>
      <c r="AQ36" s="877"/>
      <c r="AR36" s="883">
        <f t="shared" si="7"/>
        <v>3.8845699060675316E-12</v>
      </c>
      <c r="AS36" s="884">
        <f t="shared" si="7"/>
        <v>4.2264120578014751E-12</v>
      </c>
      <c r="AT36" s="885">
        <f t="shared" si="7"/>
        <v>4.6913173841596366E-12</v>
      </c>
      <c r="AU36" s="877"/>
      <c r="AV36" s="883">
        <f t="shared" si="7"/>
        <v>4.603937664310507E-4</v>
      </c>
      <c r="AW36" s="884">
        <f t="shared" si="7"/>
        <v>5.0090841787698323E-4</v>
      </c>
      <c r="AX36" s="885">
        <f t="shared" si="7"/>
        <v>5.560083438434513E-4</v>
      </c>
      <c r="AY36" s="877"/>
      <c r="AZ36" s="883">
        <f t="shared" si="7"/>
        <v>3.3155284251400498E-3</v>
      </c>
      <c r="BA36" s="884">
        <f t="shared" si="7"/>
        <v>3.6072949265523744E-3</v>
      </c>
      <c r="BB36" s="885">
        <f t="shared" si="7"/>
        <v>4.0040973684731355E-3</v>
      </c>
      <c r="BC36" s="877"/>
      <c r="BD36" s="883">
        <f t="shared" si="7"/>
        <v>0.29142634583530891</v>
      </c>
      <c r="BE36" s="885">
        <f t="shared" si="7"/>
        <v>0.32348324387719285</v>
      </c>
      <c r="BF36" s="183"/>
      <c r="BG36" s="183"/>
      <c r="BH36" s="183"/>
      <c r="BI36" s="183"/>
      <c r="BJ36" s="183"/>
      <c r="BK36" s="183"/>
      <c r="BL36" s="183"/>
      <c r="BM36" s="183"/>
      <c r="BN36" s="183"/>
      <c r="BO36" s="183"/>
      <c r="BP36" s="183"/>
      <c r="BQ36" s="183"/>
      <c r="BR36" s="183"/>
      <c r="BS36" s="183"/>
      <c r="BT36" s="183"/>
      <c r="BU36" s="183"/>
      <c r="BV36" s="183"/>
    </row>
    <row r="37" spans="1:74">
      <c r="A37" s="97"/>
      <c r="C37" s="64"/>
      <c r="E37" s="511" t="s">
        <v>317</v>
      </c>
      <c r="F37" s="928">
        <f t="shared" ref="F37:T37" si="8">$C$41*F42+$C$46*F47+$C$51*F52</f>
        <v>0.3965764560559053</v>
      </c>
      <c r="G37" s="877">
        <f t="shared" si="8"/>
        <v>1.3774130345253084</v>
      </c>
      <c r="H37" s="878">
        <f t="shared" si="8"/>
        <v>2.2903343147126658</v>
      </c>
      <c r="I37" s="877">
        <f t="shared" si="8"/>
        <v>0.83144356555573296</v>
      </c>
      <c r="J37" s="877">
        <f t="shared" si="8"/>
        <v>0</v>
      </c>
      <c r="K37" s="877">
        <f t="shared" si="8"/>
        <v>0</v>
      </c>
      <c r="L37" s="877">
        <f t="shared" si="8"/>
        <v>0</v>
      </c>
      <c r="M37" s="877">
        <f t="shared" si="8"/>
        <v>0</v>
      </c>
      <c r="N37" s="877">
        <f t="shared" si="8"/>
        <v>0.27198664478804507</v>
      </c>
      <c r="O37" s="877">
        <f t="shared" si="8"/>
        <v>0.12458981126786023</v>
      </c>
      <c r="P37" s="877">
        <f t="shared" si="8"/>
        <v>0.14939301291367024</v>
      </c>
      <c r="Q37" s="877">
        <f t="shared" si="8"/>
        <v>0.1077685146821068</v>
      </c>
      <c r="R37" s="877">
        <f t="shared" si="8"/>
        <v>1.9288072067628768</v>
      </c>
      <c r="S37" s="877">
        <f t="shared" si="8"/>
        <v>0.1</v>
      </c>
      <c r="T37" s="877">
        <f t="shared" si="8"/>
        <v>5.9977688255074005E-2</v>
      </c>
      <c r="U37" s="18"/>
      <c r="V37" s="879"/>
      <c r="W37" s="877"/>
      <c r="X37" s="886"/>
      <c r="Y37" s="877"/>
      <c r="Z37" s="879"/>
      <c r="AA37" s="877"/>
      <c r="AB37" s="886"/>
      <c r="AC37" s="877"/>
      <c r="AD37" s="879"/>
      <c r="AE37" s="877"/>
      <c r="AF37" s="886"/>
      <c r="AG37" s="877"/>
      <c r="AH37" s="879"/>
      <c r="AI37" s="877"/>
      <c r="AJ37" s="886"/>
      <c r="AK37" s="877"/>
      <c r="AL37" s="879"/>
      <c r="AM37" s="877"/>
      <c r="AN37" s="877"/>
      <c r="AO37" s="877"/>
      <c r="AP37" s="886"/>
      <c r="AQ37" s="877"/>
      <c r="AR37" s="879"/>
      <c r="AS37" s="877"/>
      <c r="AT37" s="886"/>
      <c r="AU37" s="877"/>
      <c r="AV37" s="879"/>
      <c r="AW37" s="877"/>
      <c r="AX37" s="886"/>
      <c r="AY37" s="877"/>
      <c r="AZ37" s="879"/>
      <c r="BA37" s="877"/>
      <c r="BB37" s="886"/>
      <c r="BC37" s="877"/>
      <c r="BD37" s="879"/>
      <c r="BE37" s="886"/>
      <c r="BF37" s="183"/>
      <c r="BG37" s="183"/>
      <c r="BH37" s="183"/>
      <c r="BI37" s="183"/>
      <c r="BJ37" s="183"/>
      <c r="BK37" s="183"/>
      <c r="BL37" s="183"/>
      <c r="BM37" s="183"/>
      <c r="BN37" s="183"/>
      <c r="BO37" s="183"/>
      <c r="BP37" s="183"/>
      <c r="BQ37" s="183"/>
      <c r="BR37" s="183"/>
      <c r="BS37" s="183"/>
      <c r="BT37" s="183"/>
      <c r="BU37" s="183"/>
      <c r="BV37" s="183"/>
    </row>
    <row r="38" spans="1:74">
      <c r="A38" s="195"/>
      <c r="B38" s="135"/>
      <c r="C38" s="595"/>
      <c r="D38" s="50"/>
      <c r="E38" s="511" t="s">
        <v>321</v>
      </c>
      <c r="F38" s="928">
        <f t="shared" ref="F38:H40" si="9">$C$41*F43+$C$46*F48+$C$51*F53</f>
        <v>1.4644029782378777E-3</v>
      </c>
      <c r="G38" s="877">
        <f t="shared" si="9"/>
        <v>1.4821709987278557E-3</v>
      </c>
      <c r="H38" s="878">
        <f t="shared" si="9"/>
        <v>2.1106331150715649E-3</v>
      </c>
      <c r="I38" s="877">
        <f>$C$41*I44+$C$46*I49+$C$51*I54</f>
        <v>4.7561476773279988E-4</v>
      </c>
      <c r="J38" s="877">
        <f>$C$41*J44+$C$46*J48+$C$51*J54</f>
        <v>0</v>
      </c>
      <c r="K38" s="877">
        <f t="shared" ref="K38:M40" si="10">$C$41*K43+$C$46*K48+$C$51*K53</f>
        <v>1.4644029782378777E-3</v>
      </c>
      <c r="L38" s="877">
        <f t="shared" si="10"/>
        <v>0</v>
      </c>
      <c r="M38" s="877">
        <f t="shared" si="10"/>
        <v>0</v>
      </c>
      <c r="N38" s="877">
        <f>$C$41*N43+$C$46*N48+$C$51*N54</f>
        <v>0</v>
      </c>
      <c r="O38" s="877">
        <f>$C$41*O43+$C$46*O48+$C$51*O54</f>
        <v>0</v>
      </c>
      <c r="P38" s="877">
        <f>$C$41*P44+$C$46*P49+$C$51*P54</f>
        <v>1.7768020489977709E-5</v>
      </c>
      <c r="Q38" s="877">
        <f>$C$41*Q44+$C$46*Q49+$C$51*Q54</f>
        <v>2.628102857142858E-5</v>
      </c>
      <c r="R38" s="877">
        <f t="shared" ref="R38:T40" si="11">$C$41*R43+$C$46*R48+$C$51*R53</f>
        <v>1.9248974009452669E-3</v>
      </c>
      <c r="S38" s="877">
        <f t="shared" si="11"/>
        <v>0</v>
      </c>
      <c r="T38" s="877">
        <f t="shared" si="11"/>
        <v>0</v>
      </c>
      <c r="U38" s="18"/>
      <c r="V38" s="879"/>
      <c r="W38" s="877"/>
      <c r="X38" s="886"/>
      <c r="Y38" s="877"/>
      <c r="Z38" s="879"/>
      <c r="AA38" s="877"/>
      <c r="AB38" s="886"/>
      <c r="AC38" s="877"/>
      <c r="AD38" s="879"/>
      <c r="AE38" s="877"/>
      <c r="AF38" s="886"/>
      <c r="AG38" s="877"/>
      <c r="AH38" s="879"/>
      <c r="AI38" s="877"/>
      <c r="AJ38" s="886"/>
      <c r="AK38" s="877"/>
      <c r="AL38" s="879"/>
      <c r="AM38" s="877"/>
      <c r="AN38" s="877"/>
      <c r="AO38" s="877"/>
      <c r="AP38" s="886"/>
      <c r="AQ38" s="877"/>
      <c r="AR38" s="879"/>
      <c r="AS38" s="877"/>
      <c r="AT38" s="886"/>
      <c r="AU38" s="877"/>
      <c r="AV38" s="879"/>
      <c r="AW38" s="877"/>
      <c r="AX38" s="886"/>
      <c r="AY38" s="877"/>
      <c r="AZ38" s="879"/>
      <c r="BA38" s="877"/>
      <c r="BB38" s="886"/>
      <c r="BC38" s="877"/>
      <c r="BD38" s="879"/>
      <c r="BE38" s="886"/>
      <c r="BF38" s="183"/>
      <c r="BG38" s="183"/>
      <c r="BH38" s="183"/>
      <c r="BI38" s="183"/>
      <c r="BJ38" s="183"/>
      <c r="BK38" s="183"/>
      <c r="BL38" s="183"/>
      <c r="BM38" s="183"/>
      <c r="BN38" s="183"/>
      <c r="BO38" s="183"/>
      <c r="BP38" s="183"/>
      <c r="BQ38" s="183"/>
      <c r="BR38" s="183"/>
      <c r="BS38" s="183"/>
      <c r="BT38" s="183"/>
      <c r="BU38" s="183"/>
      <c r="BV38" s="183"/>
    </row>
    <row r="39" spans="1:74">
      <c r="A39" s="195"/>
      <c r="B39" s="135"/>
      <c r="C39" s="595"/>
      <c r="D39" s="50"/>
      <c r="E39" s="511" t="s">
        <v>319</v>
      </c>
      <c r="F39" s="928">
        <f t="shared" si="9"/>
        <v>0</v>
      </c>
      <c r="G39" s="877">
        <f t="shared" si="9"/>
        <v>4.7937774425164178E-4</v>
      </c>
      <c r="H39" s="878">
        <f t="shared" si="9"/>
        <v>7.2006546597042369E-4</v>
      </c>
      <c r="I39" s="877">
        <f>$C$41*I45+$C$46*I50+$C$51*I55</f>
        <v>7.7909859277279308E-4</v>
      </c>
      <c r="J39" s="877">
        <f>$C$41*J45+$C$46*J49+$C$51*J55</f>
        <v>1.5830759600387303E-3</v>
      </c>
      <c r="K39" s="877">
        <f t="shared" si="10"/>
        <v>0</v>
      </c>
      <c r="L39" s="877">
        <f t="shared" si="10"/>
        <v>0</v>
      </c>
      <c r="M39" s="877">
        <f t="shared" si="10"/>
        <v>0</v>
      </c>
      <c r="N39" s="877">
        <f>$C$41*N44+$C$46*N49+$C$51*N55</f>
        <v>0</v>
      </c>
      <c r="O39" s="877">
        <f>$C$41*O44+$C$46*O49+$C$51*O55</f>
        <v>0</v>
      </c>
      <c r="P39" s="877">
        <f>$C$41*P45+$C$46*P50+$C$51*P55</f>
        <v>3.7629765188418685E-6</v>
      </c>
      <c r="Q39" s="877">
        <f>$C$41*Q45+$C$46*Q50+$C$51*Q55</f>
        <v>2.4499758857142863E-6</v>
      </c>
      <c r="R39" s="877">
        <f t="shared" si="11"/>
        <v>6.566997049650263E-4</v>
      </c>
      <c r="S39" s="877">
        <f t="shared" si="11"/>
        <v>0</v>
      </c>
      <c r="T39" s="877">
        <f t="shared" si="11"/>
        <v>0</v>
      </c>
      <c r="U39" s="18"/>
      <c r="V39" s="879"/>
      <c r="W39" s="877"/>
      <c r="X39" s="886"/>
      <c r="Y39" s="877"/>
      <c r="Z39" s="879"/>
      <c r="AA39" s="877"/>
      <c r="AB39" s="886"/>
      <c r="AC39" s="877"/>
      <c r="AD39" s="879"/>
      <c r="AE39" s="877"/>
      <c r="AF39" s="886"/>
      <c r="AG39" s="877"/>
      <c r="AH39" s="879"/>
      <c r="AI39" s="877"/>
      <c r="AJ39" s="886"/>
      <c r="AK39" s="877"/>
      <c r="AL39" s="879"/>
      <c r="AM39" s="877"/>
      <c r="AN39" s="877"/>
      <c r="AO39" s="877"/>
      <c r="AP39" s="886"/>
      <c r="AQ39" s="877"/>
      <c r="AR39" s="879"/>
      <c r="AS39" s="877"/>
      <c r="AT39" s="886"/>
      <c r="AU39" s="877"/>
      <c r="AV39" s="879"/>
      <c r="AW39" s="877"/>
      <c r="AX39" s="886"/>
      <c r="AY39" s="877"/>
      <c r="AZ39" s="879"/>
      <c r="BA39" s="877"/>
      <c r="BB39" s="886"/>
      <c r="BC39" s="877"/>
      <c r="BD39" s="879"/>
      <c r="BE39" s="886"/>
      <c r="BF39" s="183"/>
      <c r="BG39" s="183"/>
      <c r="BH39" s="183"/>
      <c r="BI39" s="183"/>
      <c r="BJ39" s="183"/>
      <c r="BK39" s="183"/>
      <c r="BL39" s="183"/>
      <c r="BM39" s="183"/>
      <c r="BN39" s="183"/>
      <c r="BO39" s="183"/>
      <c r="BP39" s="183"/>
      <c r="BQ39" s="183"/>
      <c r="BR39" s="183"/>
      <c r="BS39" s="183"/>
      <c r="BT39" s="183"/>
      <c r="BU39" s="183"/>
      <c r="BV39" s="183"/>
    </row>
    <row r="40" spans="1:74" ht="19.5" customHeight="1">
      <c r="A40" s="195"/>
      <c r="B40" s="135"/>
      <c r="C40" s="83"/>
      <c r="D40" s="54"/>
      <c r="E40" s="512" t="s">
        <v>320</v>
      </c>
      <c r="F40" s="928">
        <f t="shared" si="9"/>
        <v>2.4241006152362736E-3</v>
      </c>
      <c r="G40" s="877">
        <f t="shared" si="9"/>
        <v>3.2069621845279088E-3</v>
      </c>
      <c r="H40" s="878">
        <f t="shared" si="9"/>
        <v>4.5702497157860886E-3</v>
      </c>
      <c r="I40" s="877">
        <f>$C$41*I45+$C$46*I50+$C$51*I55</f>
        <v>7.7909859277279308E-4</v>
      </c>
      <c r="J40" s="877">
        <f>$C$41*J45+$C$46*J50+$C$51*J55</f>
        <v>1.9692472152204829E-3</v>
      </c>
      <c r="K40" s="877">
        <f t="shared" si="10"/>
        <v>3.8898696791366541E-4</v>
      </c>
      <c r="L40" s="877">
        <f t="shared" si="10"/>
        <v>6.5866432102125669E-5</v>
      </c>
      <c r="M40" s="877">
        <f t="shared" si="10"/>
        <v>0</v>
      </c>
      <c r="N40" s="877">
        <f>$C$41*N45+$C$46*N50+$C$51*N55</f>
        <v>0</v>
      </c>
      <c r="O40" s="877">
        <f>$C$41*O45+$C$46*O50+$C$51*O55</f>
        <v>0</v>
      </c>
      <c r="P40" s="877">
        <f>$C$41*P45+$C$46*P50+$C$51*P55</f>
        <v>3.7629765188418685E-6</v>
      </c>
      <c r="Q40" s="877">
        <f>$C$41*Q45+$C$46*Q50+$C$51*Q55</f>
        <v>2.4499758857142863E-6</v>
      </c>
      <c r="R40" s="877">
        <f t="shared" si="11"/>
        <v>4.1680677407969127E-3</v>
      </c>
      <c r="S40" s="877">
        <f t="shared" si="11"/>
        <v>0</v>
      </c>
      <c r="T40" s="877">
        <f t="shared" si="11"/>
        <v>0</v>
      </c>
      <c r="U40" s="18"/>
      <c r="V40" s="879"/>
      <c r="W40" s="877"/>
      <c r="X40" s="886"/>
      <c r="Y40" s="877"/>
      <c r="Z40" s="879"/>
      <c r="AA40" s="877"/>
      <c r="AB40" s="886"/>
      <c r="AC40" s="877"/>
      <c r="AD40" s="879"/>
      <c r="AE40" s="877"/>
      <c r="AF40" s="886"/>
      <c r="AG40" s="877"/>
      <c r="AH40" s="879"/>
      <c r="AI40" s="877"/>
      <c r="AJ40" s="886"/>
      <c r="AK40" s="877"/>
      <c r="AL40" s="879"/>
      <c r="AM40" s="877"/>
      <c r="AN40" s="877"/>
      <c r="AO40" s="877"/>
      <c r="AP40" s="886"/>
      <c r="AQ40" s="877"/>
      <c r="AR40" s="879"/>
      <c r="AS40" s="877"/>
      <c r="AT40" s="886"/>
      <c r="AU40" s="877"/>
      <c r="AV40" s="879"/>
      <c r="AW40" s="877"/>
      <c r="AX40" s="886"/>
      <c r="AY40" s="877"/>
      <c r="AZ40" s="879"/>
      <c r="BA40" s="877"/>
      <c r="BB40" s="886"/>
      <c r="BC40" s="877"/>
      <c r="BD40" s="879"/>
      <c r="BE40" s="886"/>
      <c r="BF40" s="183"/>
      <c r="BG40" s="183"/>
      <c r="BH40" s="183"/>
      <c r="BI40" s="183"/>
      <c r="BJ40" s="183"/>
      <c r="BK40" s="183"/>
      <c r="BL40" s="183"/>
      <c r="BM40" s="183"/>
      <c r="BN40" s="183"/>
      <c r="BO40" s="183"/>
      <c r="BP40" s="183"/>
      <c r="BQ40" s="183"/>
      <c r="BR40" s="183"/>
      <c r="BS40" s="183"/>
      <c r="BT40" s="183"/>
      <c r="BU40" s="183"/>
      <c r="BV40" s="183"/>
    </row>
    <row r="41" spans="1:74">
      <c r="A41" s="108" t="s">
        <v>122</v>
      </c>
      <c r="B41" s="93" t="s">
        <v>198</v>
      </c>
      <c r="C41" s="903">
        <f>'Input data meat and eggs'!D19</f>
        <v>0.70601336302895323</v>
      </c>
      <c r="D41" s="26"/>
      <c r="E41" s="513" t="s">
        <v>316</v>
      </c>
      <c r="F41" s="930">
        <f>SUMPRODUCT($CA$7:$CA$10,F42:F45)</f>
        <v>0.95051594318939514</v>
      </c>
      <c r="G41" s="872">
        <f>SUMPRODUCT($CA$7:$CA$10,G42:G45)</f>
        <v>2.0600723278098054</v>
      </c>
      <c r="H41" s="873">
        <f>SUMPRODUCT($CA$7:$CA$10,H42:H45)</f>
        <v>3.214803561496729</v>
      </c>
      <c r="I41" s="884"/>
      <c r="J41" s="884"/>
      <c r="K41" s="884"/>
      <c r="L41" s="884"/>
      <c r="M41" s="884"/>
      <c r="N41" s="884"/>
      <c r="O41" s="884"/>
      <c r="P41" s="884"/>
      <c r="Q41" s="884"/>
      <c r="R41" s="884"/>
      <c r="S41" s="884"/>
      <c r="T41" s="884"/>
      <c r="U41" s="18"/>
      <c r="V41" s="879">
        <f>'Input data meat and eggs'!$B264*(SUMPRODUCT('Input data meat and eggs'!$C$74:$C$75,'Input data meat and eggs'!E$35:E$36)+'Input data meat and eggs'!$C$76*SUMPRODUCT('Input data meat and eggs'!$C$77:$C$86,'Input data meat and eggs'!E$37:E$46))</f>
        <v>5.8865820068208246</v>
      </c>
      <c r="W41" s="1185">
        <f>V41+V41*'Common input data'!$B$145</f>
        <v>6.4046012234210572</v>
      </c>
      <c r="X41" s="1221">
        <f>W41+W41*'Common input data'!$B$179</f>
        <v>7.1091073579973738</v>
      </c>
      <c r="Y41" s="877"/>
      <c r="Z41" s="879"/>
      <c r="AA41" s="877"/>
      <c r="AB41" s="886"/>
      <c r="AC41" s="877"/>
      <c r="AD41" s="879">
        <f>'Input data meat and eggs'!$B264*(SUMPRODUCT('Input data meat and eggs'!$C$74:$C$75,'Input data meat and eggs'!G$35:G$36)+'Input data meat and eggs'!$C$76*SUMPRODUCT('Input data meat and eggs'!$C$77:$C$86,'Input data meat and eggs'!G$37:G$46))</f>
        <v>8.011592211733197E-2</v>
      </c>
      <c r="AE41" s="1185">
        <f>AD41+AD41*'Common input data'!$B$145</f>
        <v>8.7166123263657191E-2</v>
      </c>
      <c r="AF41" s="1221">
        <f>AE41+AE41*'Common input data'!$B$179</f>
        <v>9.6754396822659489E-2</v>
      </c>
      <c r="AG41" s="877"/>
      <c r="AH41" s="879">
        <f>'Input data meat and eggs'!$B264*(SUMPRODUCT('Input data meat and eggs'!$C$74:$C$75,'Input data meat and eggs'!H$35:H$36)+'Input data meat and eggs'!$C$76*SUMPRODUCT('Input data meat and eggs'!$C$77:$C$86,'Input data meat and eggs'!H$37:H$46))</f>
        <v>9.377171911224641E-3</v>
      </c>
      <c r="AI41" s="1185">
        <f>AH41+AH41*'Common input data'!$B$145</f>
        <v>1.020236303941241E-2</v>
      </c>
      <c r="AJ41" s="1221">
        <f>AI41+AI41*'Common input data'!$B$179</f>
        <v>1.1324622973747775E-2</v>
      </c>
      <c r="AK41" s="877"/>
      <c r="AL41" s="879">
        <f>'Input data meat and eggs'!$B264*(SUMPRODUCT('Input data meat and eggs'!$C$74:$C$75,'Input data meat and eggs'!I$35:I$36)+'Input data meat and eggs'!$C$76*SUMPRODUCT('Input data meat and eggs'!$C$77:$C$86,'Input data meat and eggs'!I$37:I$46))</f>
        <v>2.5229909287518892E-2</v>
      </c>
      <c r="AM41" s="877">
        <f>'Input data meat and eggs'!C54</f>
        <v>7.5294389039438792E-3</v>
      </c>
      <c r="AN41" s="877">
        <f>SUM(AL41:AM41)</f>
        <v>3.275934819146277E-2</v>
      </c>
      <c r="AO41" s="1185">
        <f>AN41+AN41*'Common input data'!$B$145</f>
        <v>3.5642170832311498E-2</v>
      </c>
      <c r="AP41" s="1221">
        <f>AO41+AO41*'Common input data'!$B$179</f>
        <v>3.9562809623865762E-2</v>
      </c>
      <c r="AQ41" s="877"/>
      <c r="AR41" s="879">
        <f>('Input data meat and eggs'!$B264*(SUMPRODUCT('Input data meat and eggs'!$C$74:$C$75,'Input data meat and eggs'!J$35:J$36)+'Input data meat and eggs'!$C$76*SUMPRODUCT('Input data meat and eggs'!$C$77:$C$86,'Input data meat and eggs'!J$37:J$46)))/$AS$3</f>
        <v>3.49818747974307E-12</v>
      </c>
      <c r="AS41" s="1185">
        <f>AR41+AR41*'Common input data'!$B$145</f>
        <v>3.8060279779604606E-12</v>
      </c>
      <c r="AT41" s="1221">
        <f>AS41+AS41*'Common input data'!$B$179</f>
        <v>4.2246910555361111E-12</v>
      </c>
      <c r="AU41" s="877"/>
      <c r="AV41" s="879">
        <f>'Input data meat and eggs'!$B264*(SUMPRODUCT('Input data meat and eggs'!$C$74:$C$75,'Input data meat and eggs'!P$35:P$36)+'Input data meat and eggs'!$C$76*SUMPRODUCT('Input data meat and eggs'!$C$77:$C$86,'Input data meat and eggs'!P$37:P$46))</f>
        <v>5.2286704709694667E-4</v>
      </c>
      <c r="AW41" s="1185">
        <f>AV41+AV41*'Common input data'!$B$145</f>
        <v>5.6887934724147798E-4</v>
      </c>
      <c r="AX41" s="1221">
        <f>AW41+AW41*'Common input data'!$B$179</f>
        <v>6.3145607543804055E-4</v>
      </c>
      <c r="AY41" s="877"/>
      <c r="AZ41" s="879">
        <f>'Input data meat and eggs'!$B264*(SUMPRODUCT('Input data meat and eggs'!$C$74:$C$75,'Input data meat and eggs'!W$35:W$36)+'Input data meat and eggs'!$C$76*SUMPRODUCT('Input data meat and eggs'!$C$77:$C$86,'Input data meat and eggs'!W$37:W$46))</f>
        <v>3.2935296803078746E-3</v>
      </c>
      <c r="BA41" s="1185">
        <f>AZ41+AZ41*'Common input data'!$B$145</f>
        <v>3.5833602921749677E-3</v>
      </c>
      <c r="BB41" s="1221">
        <f>BA41+BA41*'Common input data'!$B$179</f>
        <v>3.9775299243142142E-3</v>
      </c>
      <c r="BC41" s="877"/>
      <c r="BD41" s="1220">
        <f>'Common input data'!C202+'Common input data'!C202*'Common input data'!$B$145</f>
        <v>0.15580160000000001</v>
      </c>
      <c r="BE41" s="1221">
        <f>BD41+BD41*'Common input data'!$B$179</f>
        <v>0.17293977600000002</v>
      </c>
      <c r="BF41" s="183"/>
      <c r="BG41" s="183"/>
      <c r="BH41" s="183"/>
      <c r="BI41" s="183"/>
      <c r="BJ41" s="183"/>
      <c r="BK41" s="183"/>
      <c r="BL41" s="183"/>
      <c r="BM41" s="183"/>
      <c r="BN41" s="183"/>
      <c r="BO41" s="183"/>
      <c r="BP41" s="183"/>
      <c r="BQ41" s="183"/>
      <c r="BR41" s="183"/>
      <c r="BS41" s="183"/>
      <c r="BT41" s="183"/>
      <c r="BU41" s="183"/>
      <c r="BV41" s="183"/>
    </row>
    <row r="42" spans="1:74">
      <c r="A42" s="370"/>
      <c r="C42" s="64"/>
      <c r="E42" s="511" t="s">
        <v>317</v>
      </c>
      <c r="F42" s="928">
        <f>IF(AND($G$2="No",$G$3="No"),SUM(J42:M42),IF(AND($G$2="Yes", $G$3="No"), SUM(J42:M42)+O42, IF(AND($G$2="No", $G$3="Yes"),SUM(J42:M42)+N42, SUM(J42:M42)+O42+N42)))</f>
        <v>0.39415798695089377</v>
      </c>
      <c r="G42" s="877">
        <f>IF(AND($G$2="No",$G$3="No"),SUM(I42:M42,P42),IF(AND($G$2="Yes", $G$3="No"), SUM(I42:M42,P42)+O42, IF(AND($G$2="No", $G$3="Yes"),SUM(I42:M42,P42)+N42, SUM(I42:M42,P42)+O42+N42)))</f>
        <v>1.3201280788512004</v>
      </c>
      <c r="H42" s="878">
        <f>SUM(R42:T42)/(1-'Common input data'!B$145)</f>
        <v>2.1601233749874695</v>
      </c>
      <c r="I42" s="877">
        <f>'Input data meat and eggs'!$B$264*(('Input data meat and eggs'!C74*'Input data meat and eggs'!B35)+('Input data meat and eggs'!C75*'Input data meat and eggs'!B36)+('Input data meat and eggs'!C76*SUMPRODUCT('Input data meat and eggs'!C77:'Input data meat and eggs'!C86,'Input data meat and eggs'!B37:'Input data meat and eggs'!B46)))*'Input data meat and eggs'!B68</f>
        <v>0.82592688390030666</v>
      </c>
      <c r="J42" s="877">
        <f>'Input data meat and eggs'!$B$264*(('Input data meat and eggs'!C74*'Input data meat and eggs'!B35)+('Input data meat and eggs'!C75*'Input data meat and eggs'!B36)+('Input data meat and eggs'!C76*SUMPRODUCT('Input data meat and eggs'!C77:'Input data meat and eggs'!C86,'Input data meat and eggs'!B37:'Input data meat and eggs'!B46)))*'Input data meat and eggs'!C68</f>
        <v>0</v>
      </c>
      <c r="K42" s="877">
        <v>0</v>
      </c>
      <c r="L42" s="877">
        <v>0</v>
      </c>
      <c r="M42" s="877">
        <v>0</v>
      </c>
      <c r="N42" s="877">
        <f>'Input data meat and eggs'!B264*(('Input data meat and eggs'!C74+'Input data meat and eggs'!C75)*'Common input data'!B19)+('Input data meat and eggs'!C76*('Input data meat and eggs'!C77*'Common input data'!B19*'Common input data'!G42/'Common input data'!F42+'Input data meat and eggs'!C80*'Common input data'!D19+'Input data meat and eggs'!C81*'Common input data'!D19*'Common input data'!G40/'Common input data'!F40+'Input data meat and eggs'!C83*'Common input data'!C19*'Common input data'!G44/'Common input data'!F44+'Input data meat and eggs'!C84*'Common input data'!C19))</f>
        <v>0.27039483711232132</v>
      </c>
      <c r="O42" s="877">
        <f>'Input data meat and eggs'!B264*'Input data meat and eggs'!C76*'Input data meat and eggs'!C83*'Common input data'!AR27*'Common input data'!G44/'Common input data'!F44</f>
        <v>0.12376314983857246</v>
      </c>
      <c r="P42" s="877">
        <f>'Input data meat and eggs'!B92*'Common input data'!B80+'Input data meat and eggs'!D92*3.6*'Common input data'!B66+'Input data meat and eggs'!F92*3.6*'Common input data'!G66</f>
        <v>0.10004320800000001</v>
      </c>
      <c r="Q42" s="877">
        <f>'Input data meat and eggs'!B103*'Common input data'!B80+'Input data meat and eggs'!C103*3.6*'Common input data'!B66</f>
        <v>9.6696960000000012E-2</v>
      </c>
      <c r="R42" s="877">
        <f>(G42+Q42)/'Input data meat and eggs'!$B$31</f>
        <v>1.8400325179885719</v>
      </c>
      <c r="S42" s="877">
        <f>'Common input data'!B109</f>
        <v>0.1</v>
      </c>
      <c r="T42" s="877">
        <f>'Common input data'!C115</f>
        <v>0.03</v>
      </c>
      <c r="U42" s="18"/>
      <c r="V42" s="879"/>
      <c r="W42" s="877"/>
      <c r="X42" s="886"/>
      <c r="Y42" s="877"/>
      <c r="Z42" s="879"/>
      <c r="AA42" s="877"/>
      <c r="AB42" s="886"/>
      <c r="AC42" s="877"/>
      <c r="AD42" s="879"/>
      <c r="AE42" s="877"/>
      <c r="AF42" s="886"/>
      <c r="AG42" s="877"/>
      <c r="AH42" s="879"/>
      <c r="AI42" s="877"/>
      <c r="AJ42" s="886"/>
      <c r="AK42" s="877"/>
      <c r="AL42" s="879"/>
      <c r="AM42" s="877"/>
      <c r="AN42" s="877"/>
      <c r="AO42" s="877"/>
      <c r="AP42" s="886"/>
      <c r="AQ42" s="877"/>
      <c r="AR42" s="879"/>
      <c r="AS42" s="877"/>
      <c r="AT42" s="886"/>
      <c r="AU42" s="877"/>
      <c r="AV42" s="879"/>
      <c r="AW42" s="877"/>
      <c r="AX42" s="886"/>
      <c r="AY42" s="877"/>
      <c r="AZ42" s="879"/>
      <c r="BA42" s="877"/>
      <c r="BB42" s="886"/>
      <c r="BC42" s="877"/>
      <c r="BD42" s="879"/>
      <c r="BE42" s="886"/>
      <c r="BF42" s="183"/>
      <c r="BG42" s="183"/>
      <c r="BH42" s="183"/>
      <c r="BI42" s="183"/>
      <c r="BJ42" s="183"/>
      <c r="BK42" s="183"/>
      <c r="BL42" s="183"/>
      <c r="BM42" s="183"/>
      <c r="BN42" s="183"/>
      <c r="BO42" s="183"/>
      <c r="BP42" s="183"/>
      <c r="BQ42" s="183"/>
      <c r="BR42" s="183"/>
      <c r="BS42" s="183"/>
      <c r="BT42" s="183"/>
      <c r="BU42" s="183"/>
      <c r="BV42" s="183"/>
    </row>
    <row r="43" spans="1:74">
      <c r="A43" s="371"/>
      <c r="C43" s="595"/>
      <c r="D43" s="50"/>
      <c r="E43" s="511" t="s">
        <v>321</v>
      </c>
      <c r="F43" s="928">
        <f>SUM(J43:M43)</f>
        <v>1.3568883971333738E-3</v>
      </c>
      <c r="G43" s="877">
        <f>SUM(I43:M43,P44)</f>
        <v>1.3692111971333738E-3</v>
      </c>
      <c r="H43" s="878">
        <f>SUM(R43:T43)/(1-'Common input data'!B$145)</f>
        <v>1.9497767104314392E-3</v>
      </c>
      <c r="I43" s="877">
        <v>0</v>
      </c>
      <c r="J43" s="877">
        <v>0</v>
      </c>
      <c r="K43" s="877">
        <f>'Input data meat and eggs'!B308/'Input data meat and eggs'!B251</f>
        <v>1.3568883971333738E-3</v>
      </c>
      <c r="L43" s="877">
        <v>0</v>
      </c>
      <c r="M43" s="877">
        <v>0</v>
      </c>
      <c r="N43" s="877">
        <v>0</v>
      </c>
      <c r="O43" s="877">
        <v>0</v>
      </c>
      <c r="P43" s="877">
        <v>0</v>
      </c>
      <c r="Q43" s="877">
        <v>0</v>
      </c>
      <c r="R43" s="877">
        <f>(G43+Q43)/'Input data meat and eggs'!$B$31</f>
        <v>1.7781963599134724E-3</v>
      </c>
      <c r="S43" s="877">
        <v>0</v>
      </c>
      <c r="T43" s="877">
        <v>0</v>
      </c>
      <c r="U43" s="18"/>
      <c r="V43" s="879"/>
      <c r="W43" s="877"/>
      <c r="X43" s="886"/>
      <c r="Y43" s="877"/>
      <c r="Z43" s="879"/>
      <c r="AA43" s="877"/>
      <c r="AB43" s="886"/>
      <c r="AC43" s="877"/>
      <c r="AD43" s="879"/>
      <c r="AE43" s="877"/>
      <c r="AF43" s="886"/>
      <c r="AG43" s="877"/>
      <c r="AH43" s="879"/>
      <c r="AI43" s="877"/>
      <c r="AJ43" s="886"/>
      <c r="AK43" s="877"/>
      <c r="AL43" s="879"/>
      <c r="AM43" s="877"/>
      <c r="AN43" s="877"/>
      <c r="AO43" s="877"/>
      <c r="AP43" s="886"/>
      <c r="AQ43" s="877"/>
      <c r="AR43" s="879"/>
      <c r="AS43" s="877"/>
      <c r="AT43" s="886"/>
      <c r="AU43" s="877"/>
      <c r="AV43" s="879"/>
      <c r="AW43" s="877"/>
      <c r="AX43" s="886"/>
      <c r="AY43" s="877"/>
      <c r="AZ43" s="879"/>
      <c r="BA43" s="877"/>
      <c r="BB43" s="886"/>
      <c r="BC43" s="877"/>
      <c r="BD43" s="879"/>
      <c r="BE43" s="886"/>
      <c r="BF43" s="183"/>
      <c r="BG43" s="183"/>
      <c r="BH43" s="183"/>
      <c r="BI43" s="183"/>
      <c r="BJ43" s="183"/>
      <c r="BK43" s="183"/>
      <c r="BL43" s="183"/>
      <c r="BM43" s="183"/>
      <c r="BN43" s="183"/>
      <c r="BO43" s="183"/>
      <c r="BP43" s="183"/>
      <c r="BQ43" s="183"/>
      <c r="BR43" s="183"/>
      <c r="BS43" s="183"/>
      <c r="BT43" s="183"/>
      <c r="BU43" s="183"/>
      <c r="BV43" s="183"/>
    </row>
    <row r="44" spans="1:74">
      <c r="A44" s="371"/>
      <c r="C44" s="595"/>
      <c r="D44" s="50"/>
      <c r="E44" s="511" t="s">
        <v>319</v>
      </c>
      <c r="F44" s="928">
        <f>SUM(J44:M44)</f>
        <v>0</v>
      </c>
      <c r="G44" s="877">
        <f>SUM(I44:M44,P45)</f>
        <v>4.7659159116898475E-4</v>
      </c>
      <c r="H44" s="878">
        <f>SUM(R44:T44)/(1-'Common input data'!B$145)</f>
        <v>7.1609794335328856E-4</v>
      </c>
      <c r="I44" s="877">
        <f>'Input data meat and eggs'!$B$264*(('Input data meat and eggs'!C74*'Input data meat and eggs'!C35)+('Input data meat and eggs'!C75*'Input data meat and eggs'!C36)+('Input data meat and eggs'!C76*SUMPRODUCT('Input data meat and eggs'!C77:'Input data meat and eggs'!C86,'Input data meat and eggs'!C37:'Input data meat and eggs'!C46)))*'Input data meat and eggs'!B69</f>
        <v>4.7245903308898478E-4</v>
      </c>
      <c r="J44" s="877">
        <f>'Input data meat and eggs'!$B$264*(('Input data meat and eggs'!C74*'Input data meat and eggs'!C35)+('Input data meat and eggs'!C75*'Input data meat and eggs'!C36)+('Input data meat and eggs'!C76*SUMPRODUCT('Input data meat and eggs'!C77:'Input data meat and eggs'!C86,'Input data meat and eggs'!C37:'Input data meat and eggs'!C46)))*'Input data meat and eggs'!C69</f>
        <v>0</v>
      </c>
      <c r="K44" s="877">
        <v>0</v>
      </c>
      <c r="L44" s="877">
        <v>0</v>
      </c>
      <c r="M44" s="877">
        <v>0</v>
      </c>
      <c r="N44" s="877">
        <v>0</v>
      </c>
      <c r="O44" s="877">
        <v>0</v>
      </c>
      <c r="P44" s="877">
        <f>'Input data meat and eggs'!D92*3.6*'Common input data'!B67+'Input data meat and eggs'!F92*3.6*'Common input data'!G67</f>
        <v>1.2322799999999969E-5</v>
      </c>
      <c r="Q44" s="877">
        <f>'Input data meat and eggs'!C103*3.6*'Common input data'!B67</f>
        <v>2.628102857142858E-5</v>
      </c>
      <c r="R44" s="877">
        <f>(G44+Q44)/'Input data meat and eggs'!$B$31</f>
        <v>6.5308132433819911E-4</v>
      </c>
      <c r="S44" s="877">
        <v>0</v>
      </c>
      <c r="T44" s="877">
        <v>0</v>
      </c>
      <c r="U44" s="18"/>
      <c r="V44" s="879"/>
      <c r="W44" s="877"/>
      <c r="X44" s="886"/>
      <c r="Y44" s="877"/>
      <c r="Z44" s="879"/>
      <c r="AA44" s="877"/>
      <c r="AB44" s="886"/>
      <c r="AC44" s="877"/>
      <c r="AD44" s="879"/>
      <c r="AE44" s="877"/>
      <c r="AF44" s="886"/>
      <c r="AG44" s="877"/>
      <c r="AH44" s="879"/>
      <c r="AI44" s="877"/>
      <c r="AJ44" s="886"/>
      <c r="AK44" s="877"/>
      <c r="AL44" s="879"/>
      <c r="AM44" s="877"/>
      <c r="AN44" s="877"/>
      <c r="AO44" s="877"/>
      <c r="AP44" s="886"/>
      <c r="AQ44" s="877"/>
      <c r="AR44" s="879"/>
      <c r="AS44" s="877"/>
      <c r="AT44" s="886"/>
      <c r="AU44" s="877"/>
      <c r="AV44" s="879"/>
      <c r="AW44" s="877"/>
      <c r="AX44" s="886"/>
      <c r="AY44" s="877"/>
      <c r="AZ44" s="879"/>
      <c r="BA44" s="877"/>
      <c r="BB44" s="886"/>
      <c r="BC44" s="877"/>
      <c r="BD44" s="879"/>
      <c r="BE44" s="886"/>
      <c r="BF44" s="183"/>
      <c r="BG44" s="183"/>
      <c r="BH44" s="183"/>
      <c r="BI44" s="183"/>
      <c r="BJ44" s="183"/>
      <c r="BK44" s="183"/>
      <c r="BL44" s="183"/>
      <c r="BM44" s="183"/>
      <c r="BN44" s="183"/>
      <c r="BO44" s="183"/>
      <c r="BP44" s="183"/>
      <c r="BQ44" s="183"/>
      <c r="BR44" s="183"/>
      <c r="BS44" s="183"/>
      <c r="BT44" s="183"/>
      <c r="BU44" s="183"/>
      <c r="BV44" s="183"/>
    </row>
    <row r="45" spans="1:74">
      <c r="A45" s="359"/>
      <c r="B45" s="360"/>
      <c r="C45" s="83"/>
      <c r="D45" s="54"/>
      <c r="E45" s="512" t="s">
        <v>320</v>
      </c>
      <c r="F45" s="928">
        <f>SUM(J45:M45)</f>
        <v>2.3604316771329379E-3</v>
      </c>
      <c r="G45" s="877">
        <f>SUM(I45:M45,P45)</f>
        <v>3.1384934585990724E-3</v>
      </c>
      <c r="H45" s="878">
        <f>SUM(R45:T45)/(1-'Common input data'!B$145)</f>
        <v>4.4727492516586729E-3</v>
      </c>
      <c r="I45" s="877">
        <f>'Input data meat and eggs'!$B$264*(('Input data meat and eggs'!C74*'Input data meat and eggs'!D35)+('Input data meat and eggs'!C75*'Input data meat and eggs'!D36)+('Input data meat and eggs'!C76*SUMPRODUCT('Input data meat and eggs'!C77:'Input data meat and eggs'!C86,'Input data meat and eggs'!D37:'Input data meat and eggs'!D46)))*'Input data meat and eggs'!B70</f>
        <v>7.7392922338613448E-4</v>
      </c>
      <c r="J45" s="877">
        <f>'Input data meat and eggs'!$B$264*(('Input data meat and eggs'!C74*'Input data meat and eggs'!D35)+('Input data meat and eggs'!C75*'Input data meat and eggs'!D36)+('Input data meat and eggs'!C76*SUMPRODUCT('Input data meat and eggs'!C77:'Input data meat and eggs'!C86,'Input data meat and eggs'!D37:'Input data meat and eggs'!D46)))*'Input data meat and eggs'!C70</f>
        <v>1.9561811330024493E-3</v>
      </c>
      <c r="K45" s="877">
        <f>((SUM('Input data meat and eggs'!B293:B294)*'Input data meat and eggs'!B310+SUM('Input data meat and eggs'!B296:B297)*'Input data meat and eggs'!B311+SUM('Input data meat and eggs'!B299:B300)*'Input data meat and eggs'!B312)*44/28)/'Input data meat and eggs'!B251</f>
        <v>3.4480017430435722E-4</v>
      </c>
      <c r="L45" s="877">
        <f>SUM('Input data meat and eggs'!B332:B339)*'Input data meat and eggs'!B313*44/28/'Input data meat and eggs'!B251</f>
        <v>5.9450369826131492E-5</v>
      </c>
      <c r="M45" s="877">
        <v>0</v>
      </c>
      <c r="N45" s="877">
        <v>0</v>
      </c>
      <c r="O45" s="877">
        <v>0</v>
      </c>
      <c r="P45" s="877">
        <f>'Input data meat and eggs'!D92*3.6*'Common input data'!B68+'Input data meat and eggs'!F92*3.6*'Common input data'!G68</f>
        <v>4.1325580799999971E-6</v>
      </c>
      <c r="Q45" s="877">
        <f>'Input data meat and eggs'!C103*3.6*'Common input data'!B68</f>
        <v>2.4499758857142863E-6</v>
      </c>
      <c r="R45" s="877">
        <f>(G45+Q45)/'Input data meat and eggs'!$B$31</f>
        <v>4.0791473175127097E-3</v>
      </c>
      <c r="S45" s="877">
        <v>0</v>
      </c>
      <c r="T45" s="877">
        <v>0</v>
      </c>
      <c r="U45" s="18"/>
      <c r="V45" s="879"/>
      <c r="W45" s="877"/>
      <c r="X45" s="886"/>
      <c r="Y45" s="877"/>
      <c r="Z45" s="879"/>
      <c r="AA45" s="877"/>
      <c r="AB45" s="886"/>
      <c r="AC45" s="877"/>
      <c r="AD45" s="879"/>
      <c r="AE45" s="877"/>
      <c r="AF45" s="886"/>
      <c r="AG45" s="877"/>
      <c r="AH45" s="879"/>
      <c r="AI45" s="877"/>
      <c r="AJ45" s="886"/>
      <c r="AK45" s="877"/>
      <c r="AL45" s="879"/>
      <c r="AM45" s="877"/>
      <c r="AN45" s="877"/>
      <c r="AO45" s="877"/>
      <c r="AP45" s="886"/>
      <c r="AQ45" s="877"/>
      <c r="AR45" s="879"/>
      <c r="AS45" s="877"/>
      <c r="AT45" s="886"/>
      <c r="AU45" s="877"/>
      <c r="AV45" s="879"/>
      <c r="AW45" s="877"/>
      <c r="AX45" s="886"/>
      <c r="AY45" s="877"/>
      <c r="AZ45" s="879"/>
      <c r="BA45" s="877"/>
      <c r="BB45" s="886"/>
      <c r="BC45" s="877"/>
      <c r="BD45" s="879"/>
      <c r="BE45" s="886"/>
      <c r="BF45" s="183"/>
      <c r="BG45" s="183"/>
      <c r="BH45" s="183"/>
      <c r="BI45" s="183"/>
      <c r="BJ45" s="183"/>
      <c r="BK45" s="183"/>
      <c r="BL45" s="183"/>
      <c r="BM45" s="183"/>
      <c r="BN45" s="183"/>
      <c r="BO45" s="183"/>
      <c r="BP45" s="183"/>
      <c r="BQ45" s="183"/>
      <c r="BR45" s="183"/>
      <c r="BS45" s="183"/>
      <c r="BT45" s="183"/>
      <c r="BU45" s="183"/>
      <c r="BV45" s="183"/>
    </row>
    <row r="46" spans="1:74">
      <c r="A46" s="108" t="s">
        <v>176</v>
      </c>
      <c r="B46" s="93" t="s">
        <v>198</v>
      </c>
      <c r="C46" s="903">
        <f>'Input data meat and eggs'!D20</f>
        <v>0.19213092759423567</v>
      </c>
      <c r="D46" s="26"/>
      <c r="E46" s="513" t="s">
        <v>316</v>
      </c>
      <c r="F46" s="930">
        <f>SUMPRODUCT($CA$7:$CA$10,F47:F50)</f>
        <v>1.0235791341076699</v>
      </c>
      <c r="G46" s="872">
        <f>SUMPRODUCT($CA$7:$CA$10,G47:G50)</f>
        <v>2.2312943872900695</v>
      </c>
      <c r="H46" s="873">
        <f>SUMPRODUCT($CA$7:$CA$10,H47:H50)</f>
        <v>3.5134508323446783</v>
      </c>
      <c r="I46" s="884"/>
      <c r="J46" s="884"/>
      <c r="K46" s="884"/>
      <c r="L46" s="884"/>
      <c r="M46" s="884"/>
      <c r="N46" s="884"/>
      <c r="O46" s="884"/>
      <c r="P46" s="884"/>
      <c r="Q46" s="884"/>
      <c r="R46" s="884"/>
      <c r="S46" s="884"/>
      <c r="T46" s="884"/>
      <c r="U46" s="18"/>
      <c r="V46" s="879">
        <f>'Input data meat and eggs'!$C264*(SUMPRODUCT('Input data meat and eggs'!$C$74:$C$75,'Input data meat and eggs'!E$35:E$36)+'Input data meat and eggs'!$C$76*SUMPRODUCT('Input data meat and eggs'!$C$77:$C$86,'Input data meat and eggs'!E$37:E$46))</f>
        <v>6.0483483624651857</v>
      </c>
      <c r="W46" s="1185">
        <f>V46+V46*'Common input data'!$B$145</f>
        <v>6.5806030183621225</v>
      </c>
      <c r="X46" s="1221">
        <f>W46+W46*'Common input data'!$B$179</f>
        <v>7.3044693503819556</v>
      </c>
      <c r="Y46" s="877"/>
      <c r="Z46" s="879"/>
      <c r="AA46" s="877"/>
      <c r="AB46" s="886"/>
      <c r="AC46" s="877"/>
      <c r="AD46" s="879">
        <f>'Input data meat and eggs'!$C264*(SUMPRODUCT('Input data meat and eggs'!$C$74:$C$75,'Input data meat and eggs'!G$35:G$36)+'Input data meat and eggs'!$C$76*SUMPRODUCT('Input data meat and eggs'!$C$77:$C$86,'Input data meat and eggs'!G$37:G$46))</f>
        <v>8.2317549604215098E-2</v>
      </c>
      <c r="AE46" s="1185">
        <f>AD46+AD46*'Common input data'!$B$145</f>
        <v>8.9561493969386036E-2</v>
      </c>
      <c r="AF46" s="1221">
        <f>AE46+AE46*'Common input data'!$B$179</f>
        <v>9.9413258306018493E-2</v>
      </c>
      <c r="AG46" s="877"/>
      <c r="AH46" s="879">
        <f>'Input data meat and eggs'!$C264*(SUMPRODUCT('Input data meat and eggs'!$C$74:$C$75,'Input data meat and eggs'!H$35:H$36)+'Input data meat and eggs'!$C$76*SUMPRODUCT('Input data meat and eggs'!$C$77:$C$86,'Input data meat and eggs'!H$37:H$46))</f>
        <v>9.634861505045271E-3</v>
      </c>
      <c r="AI46" s="1185">
        <f>AH46+AH46*'Common input data'!$B$145</f>
        <v>1.0482729317489255E-2</v>
      </c>
      <c r="AJ46" s="1221">
        <f>AI46+AI46*'Common input data'!$B$179</f>
        <v>1.1635829542413073E-2</v>
      </c>
      <c r="AK46" s="877"/>
      <c r="AL46" s="879">
        <f>'Input data meat and eggs'!$C264*(SUMPRODUCT('Input data meat and eggs'!$C$74:$C$75,'Input data meat and eggs'!I$35:I$36)+'Input data meat and eggs'!$C$76*SUMPRODUCT('Input data meat and eggs'!$C$77:$C$86,'Input data meat and eggs'!I$37:I$46))</f>
        <v>2.592324040461718E-2</v>
      </c>
      <c r="AM46" s="877">
        <f>'Input data meat and eggs'!C55</f>
        <v>6.5046164490006062E-3</v>
      </c>
      <c r="AN46" s="877">
        <f>SUM(AL46:AM46)</f>
        <v>3.2427856853617786E-2</v>
      </c>
      <c r="AO46" s="1185">
        <f>AN46+AN46*'Common input data'!$B$145</f>
        <v>3.5281508256736156E-2</v>
      </c>
      <c r="AP46" s="1221">
        <f>AO46+AO46*'Common input data'!$B$179</f>
        <v>3.9162474164977132E-2</v>
      </c>
      <c r="AQ46" s="877"/>
      <c r="AR46" s="879">
        <f>('Input data meat and eggs'!$C264*(SUMPRODUCT('Input data meat and eggs'!$C$74:$C$75,'Input data meat and eggs'!K$35:K$36)+'Input data meat and eggs'!$C$76*SUMPRODUCT('Input data meat and eggs'!$C$77:$C$86,'Input data meat and eggs'!K$37:K$46)))/$AS$3</f>
        <v>5.0878540727203879E-12</v>
      </c>
      <c r="AS46" s="1185">
        <f>AR46+AR46*'Common input data'!$B$145</f>
        <v>5.5355852311197822E-12</v>
      </c>
      <c r="AT46" s="1221">
        <f>AS46+AS46*'Common input data'!$B$179</f>
        <v>6.1444996065429579E-12</v>
      </c>
      <c r="AU46" s="877"/>
      <c r="AV46" s="879">
        <f>'Input data meat and eggs'!$C264*(SUMPRODUCT('Input data meat and eggs'!$C$74:$C$75,'Input data meat and eggs'!Q$35:Q$36)+'Input data meat and eggs'!$C$76*SUMPRODUCT('Input data meat and eggs'!$C$77:$C$86,'Input data meat and eggs'!Q$37:Q$46))</f>
        <v>2.6583753316953451E-4</v>
      </c>
      <c r="AW46" s="1185">
        <f>AV46+AV46*'Common input data'!$B$145</f>
        <v>2.8923123608845357E-4</v>
      </c>
      <c r="AX46" s="1221">
        <f>AW46+AW46*'Common input data'!$B$179</f>
        <v>3.2104667205818348E-4</v>
      </c>
      <c r="AY46" s="877"/>
      <c r="AZ46" s="879">
        <f>'Input data meat and eggs'!$C264*(SUMPRODUCT('Input data meat and eggs'!$C$74:$C$75,'Input data meat and eggs'!W$35:W$36)+'Input data meat and eggs'!$C$76*SUMPRODUCT('Input data meat and eggs'!$C$77:$C$86,'Input data meat and eggs'!W$37:W$46))</f>
        <v>3.384037600349183E-3</v>
      </c>
      <c r="BA46" s="1185">
        <f>AZ46+AZ46*'Common input data'!$B$145</f>
        <v>3.6818329091799114E-3</v>
      </c>
      <c r="BB46" s="1221">
        <f>BA46+BA46*'Common input data'!$B$179</f>
        <v>4.0868345291897017E-3</v>
      </c>
      <c r="BC46" s="877"/>
      <c r="BD46" s="1220">
        <f>('Common input data'!B204+'Common input data'!C204)+('Common input data'!B204+'Common input data'!C204)*'Common input data'!$B$145</f>
        <v>0.39624959999999998</v>
      </c>
      <c r="BE46" s="1221">
        <f>BD46+BD46*'Common input data'!$B$179</f>
        <v>0.439837056</v>
      </c>
      <c r="BF46" s="183"/>
      <c r="BG46" s="183"/>
      <c r="BH46" s="183"/>
      <c r="BI46" s="183"/>
      <c r="BJ46" s="183"/>
      <c r="BK46" s="183"/>
      <c r="BL46" s="183"/>
      <c r="BM46" s="183"/>
      <c r="BN46" s="183"/>
      <c r="BO46" s="183"/>
      <c r="BP46" s="183"/>
      <c r="BQ46" s="183"/>
      <c r="BR46" s="183"/>
      <c r="BS46" s="183"/>
      <c r="BT46" s="183"/>
      <c r="BU46" s="183"/>
      <c r="BV46" s="183"/>
    </row>
    <row r="47" spans="1:74">
      <c r="A47" s="97"/>
      <c r="C47" s="64"/>
      <c r="E47" s="511" t="s">
        <v>317</v>
      </c>
      <c r="F47" s="928">
        <f>IF(AND($G$2="No",$G$3="No"),SUM(J47:M47),IF(AND($G$2="Yes", $G$3="No"), SUM(J47:M47)+O47, IF(AND($G$2="No", $G$3="Yes"),SUM(J47:M47)+N47, SUM(J47:M47)+O47+N47)))</f>
        <v>0.40410812774522725</v>
      </c>
      <c r="G47" s="877">
        <f>IF(AND($G$2="No",$G$3="No"),SUM(I47:M47,P47),IF(AND($G$2="Yes", $G$3="No"), SUM(I47:M47,P47)+O47, IF(AND($G$2="No", $G$3="Yes"),SUM(I47:M47,P47)+N47, SUM(I47:M47,P47)+O47+N47)))</f>
        <v>1.4234323948539567</v>
      </c>
      <c r="H47" s="878">
        <f>SUM(R47:T47)/(1-'Common input data'!B$145)</f>
        <v>2.3620547887530714</v>
      </c>
      <c r="I47" s="877">
        <f>'Input data meat and eggs'!$C$264*(('Input data meat and eggs'!C74*'Input data meat and eggs'!B35)+('Input data meat and eggs'!C75*'Input data meat and eggs'!B36)+('Input data meat and eggs'!C76*SUMPRODUCT('Input data meat and eggs'!C77:'Input data meat and eggs'!C86,'Input data meat and eggs'!B37:'Input data meat and eggs'!B46)))*'Input data meat and eggs'!B68</f>
        <v>0.84862378710872954</v>
      </c>
      <c r="J47" s="877">
        <f>'Input data meat and eggs'!$C$264*(('Input data meat and eggs'!C74*'Input data meat and eggs'!B35)+('Input data meat and eggs'!C75*'Input data meat and eggs'!B36)+('Input data meat and eggs'!C76*SUMPRODUCT('Input data meat and eggs'!C77:'Input data meat and eggs'!C86,'Input data meat and eggs'!B37:'Input data meat and eggs'!B46)))*'Input data meat and eggs'!C68</f>
        <v>0</v>
      </c>
      <c r="K47" s="877">
        <v>0</v>
      </c>
      <c r="L47" s="877">
        <v>0</v>
      </c>
      <c r="M47" s="877">
        <v>0</v>
      </c>
      <c r="N47" s="877">
        <f>'Input data meat and eggs'!C264*(('Input data meat and eggs'!C74+'Input data meat and eggs'!C75)*'Common input data'!B19)+('Input data meat and eggs'!C76*('Input data meat and eggs'!C77*'Common input data'!B19*'Common input data'!G42/'Common input data'!F42+'Input data meat and eggs'!C80*'Common input data'!D19+'Input data meat and eggs'!C81*'Common input data'!D19*'Common input data'!G40/'Common input data'!F40+'Input data meat and eggs'!C83*'Common input data'!C19*'Common input data'!G44/'Common input data'!F44+'Input data meat and eggs'!C84*'Common input data'!C19))</f>
        <v>0.27694390174917416</v>
      </c>
      <c r="O47" s="877">
        <f>'Input data meat and eggs'!C264*'Input data meat and eggs'!C76*'Input data meat and eggs'!C83*'Common input data'!AR27*'Common input data'!G44/'Common input data'!F44</f>
        <v>0.12716422599605309</v>
      </c>
      <c r="P47" s="877">
        <f>'Input data meat and eggs'!B92*'Common input data'!B80+'Input data meat and eggs'!E92*3.6*'Common input data'!B66</f>
        <v>0.17070048000000002</v>
      </c>
      <c r="Q47" s="877">
        <f>'Input data meat and eggs'!B103*'Common input data'!B80+'Input data meat and eggs'!C103*3.6*'Common input data'!B66</f>
        <v>9.6696960000000012E-2</v>
      </c>
      <c r="R47" s="877">
        <f>(G47+Q47)/'Input data meat and eggs'!$B$31</f>
        <v>1.9741939673428008</v>
      </c>
      <c r="S47" s="877">
        <f>'Common input data'!B109</f>
        <v>0.1</v>
      </c>
      <c r="T47" s="877">
        <f>'Common input data'!B115+'Common input data'!C115</f>
        <v>0.08</v>
      </c>
      <c r="U47" s="18"/>
      <c r="V47" s="879"/>
      <c r="W47" s="877"/>
      <c r="X47" s="886"/>
      <c r="Y47" s="877"/>
      <c r="Z47" s="879"/>
      <c r="AA47" s="877"/>
      <c r="AB47" s="886"/>
      <c r="AC47" s="877"/>
      <c r="AD47" s="879"/>
      <c r="AE47" s="877"/>
      <c r="AF47" s="886"/>
      <c r="AG47" s="877"/>
      <c r="AH47" s="879"/>
      <c r="AI47" s="877"/>
      <c r="AJ47" s="886"/>
      <c r="AK47" s="877"/>
      <c r="AL47" s="879"/>
      <c r="AM47" s="877"/>
      <c r="AN47" s="877"/>
      <c r="AO47" s="877"/>
      <c r="AP47" s="886"/>
      <c r="AQ47" s="877"/>
      <c r="AR47" s="879"/>
      <c r="AS47" s="877"/>
      <c r="AT47" s="886"/>
      <c r="AU47" s="877"/>
      <c r="AV47" s="879"/>
      <c r="AW47" s="877"/>
      <c r="AX47" s="886"/>
      <c r="AY47" s="877"/>
      <c r="AZ47" s="879"/>
      <c r="BA47" s="877"/>
      <c r="BB47" s="886"/>
      <c r="BC47" s="877"/>
      <c r="BD47" s="879"/>
      <c r="BE47" s="886"/>
      <c r="BF47" s="183"/>
      <c r="BG47" s="183"/>
      <c r="BH47" s="183"/>
      <c r="BI47" s="183"/>
      <c r="BJ47" s="183"/>
      <c r="BK47" s="183"/>
      <c r="BL47" s="183"/>
      <c r="BM47" s="183"/>
      <c r="BN47" s="183"/>
      <c r="BO47" s="183"/>
      <c r="BP47" s="183"/>
      <c r="BQ47" s="183"/>
      <c r="BR47" s="183"/>
      <c r="BS47" s="183"/>
      <c r="BT47" s="183"/>
      <c r="BU47" s="183"/>
      <c r="BV47" s="183"/>
    </row>
    <row r="48" spans="1:74">
      <c r="A48" s="68"/>
      <c r="C48" s="58"/>
      <c r="D48" s="55"/>
      <c r="E48" s="511" t="s">
        <v>321</v>
      </c>
      <c r="F48" s="928">
        <f>SUM(J48:M48)</f>
        <v>1.799228229888236E-3</v>
      </c>
      <c r="G48" s="877">
        <f>SUM(I48:M48,P49)</f>
        <v>1.830073029888236E-3</v>
      </c>
      <c r="H48" s="878">
        <f>SUM(R48:T48)/(1-'Common input data'!B$145)</f>
        <v>2.6060506805198167E-3</v>
      </c>
      <c r="I48" s="877">
        <v>0</v>
      </c>
      <c r="J48" s="877">
        <f>'Input data meat and eggs'!$C$264*(('Input data meat and eggs'!C74*'Input data meat and eggs'!C35)+('Input data meat and eggs'!C75*'Input data meat and eggs'!C36)+('Input data meat and eggs'!C76*SUMPRODUCT('Input data meat and eggs'!C77:'Input data meat and eggs'!C86,'Input data meat and eggs'!C37:'Input data meat and eggs'!C46)))*'Input data meat and eggs'!C69</f>
        <v>0</v>
      </c>
      <c r="K48" s="877">
        <f>'Input data meat and eggs'!C314*'Input data meat and eggs'!C303*('Input data meat and eggs'!C274*'Input data meat and eggs'!C315*'Input data meat and eggs'!C316+'Input data meat and eggs'!C275*'Input data meat and eggs'!C317)/'Input data meat and eggs'!C251</f>
        <v>1.799228229888236E-3</v>
      </c>
      <c r="L48" s="877">
        <v>0</v>
      </c>
      <c r="M48" s="877">
        <v>0</v>
      </c>
      <c r="N48" s="877">
        <v>0</v>
      </c>
      <c r="O48" s="877">
        <v>0</v>
      </c>
      <c r="P48" s="877">
        <v>0</v>
      </c>
      <c r="Q48" s="877">
        <v>0</v>
      </c>
      <c r="R48" s="877">
        <f>(G48+Q48)/'Input data meat and eggs'!$B$31</f>
        <v>2.3767182206340725E-3</v>
      </c>
      <c r="S48" s="877">
        <v>0</v>
      </c>
      <c r="T48" s="877">
        <v>0</v>
      </c>
      <c r="U48" s="18"/>
      <c r="V48" s="879"/>
      <c r="W48" s="877"/>
      <c r="X48" s="886"/>
      <c r="Y48" s="877"/>
      <c r="Z48" s="879"/>
      <c r="AA48" s="877"/>
      <c r="AB48" s="886"/>
      <c r="AC48" s="877"/>
      <c r="AD48" s="879"/>
      <c r="AE48" s="877"/>
      <c r="AF48" s="886"/>
      <c r="AG48" s="877"/>
      <c r="AH48" s="879"/>
      <c r="AI48" s="877"/>
      <c r="AJ48" s="886"/>
      <c r="AK48" s="877"/>
      <c r="AL48" s="879"/>
      <c r="AM48" s="877"/>
      <c r="AN48" s="877"/>
      <c r="AO48" s="877"/>
      <c r="AP48" s="886"/>
      <c r="AQ48" s="877"/>
      <c r="AR48" s="879"/>
      <c r="AS48" s="877"/>
      <c r="AT48" s="886"/>
      <c r="AU48" s="877"/>
      <c r="AV48" s="879"/>
      <c r="AW48" s="877"/>
      <c r="AX48" s="886"/>
      <c r="AY48" s="877"/>
      <c r="AZ48" s="879"/>
      <c r="BA48" s="877"/>
      <c r="BB48" s="886"/>
      <c r="BC48" s="877"/>
      <c r="BD48" s="879"/>
      <c r="BE48" s="886"/>
      <c r="BF48" s="183"/>
      <c r="BG48" s="183"/>
      <c r="BH48" s="183"/>
      <c r="BI48" s="183"/>
      <c r="BJ48" s="183"/>
      <c r="BK48" s="183"/>
      <c r="BL48" s="183"/>
      <c r="BM48" s="183"/>
      <c r="BN48" s="183"/>
      <c r="BO48" s="183"/>
      <c r="BP48" s="183"/>
      <c r="BQ48" s="183"/>
      <c r="BR48" s="183"/>
      <c r="BS48" s="183"/>
      <c r="BT48" s="183"/>
      <c r="BU48" s="183"/>
      <c r="BV48" s="183"/>
    </row>
    <row r="49" spans="1:119">
      <c r="A49" s="68"/>
      <c r="C49" s="58"/>
      <c r="D49" s="55"/>
      <c r="E49" s="511" t="s">
        <v>319</v>
      </c>
      <c r="F49" s="928">
        <f>SUM(J49:M49)</f>
        <v>0</v>
      </c>
      <c r="G49" s="877">
        <f>SUM(I49:M49,P50)</f>
        <v>4.8831787548839624E-4</v>
      </c>
      <c r="H49" s="878">
        <f>SUM(R49:T49)/(1-'Common input data'!B$145)</f>
        <v>7.3279634321574518E-4</v>
      </c>
      <c r="I49" s="877">
        <f>'Input data meat and eggs'!$C$264*(('Input data meat and eggs'!C74*'Input data meat and eggs'!C35)+('Input data meat and eggs'!C75*'Input data meat and eggs'!C36)+('Input data meat and eggs'!C76*SUMPRODUCT('Input data meat and eggs'!C77:'Input data meat and eggs'!C86,'Input data meat and eggs'!C37:'Input data meat and eggs'!C46)))*'Input data meat and eggs'!B69</f>
        <v>4.8544245468839619E-4</v>
      </c>
      <c r="J49" s="877">
        <v>0</v>
      </c>
      <c r="K49" s="877">
        <v>0</v>
      </c>
      <c r="L49" s="877">
        <v>0</v>
      </c>
      <c r="M49" s="877">
        <v>0</v>
      </c>
      <c r="N49" s="877">
        <v>0</v>
      </c>
      <c r="O49" s="877">
        <v>0</v>
      </c>
      <c r="P49" s="877">
        <f>'Input data meat and eggs'!E92*3.6*'Common input data'!B67</f>
        <v>3.0844800000000007E-5</v>
      </c>
      <c r="Q49" s="877">
        <f>'Input data meat and eggs'!C103*3.6*'Common input data'!B67</f>
        <v>2.628102857142858E-5</v>
      </c>
      <c r="R49" s="877">
        <f>(G49+Q49)/'Input data meat and eggs'!$B$31</f>
        <v>6.6831026501275954E-4</v>
      </c>
      <c r="S49" s="877">
        <v>0</v>
      </c>
      <c r="T49" s="877">
        <v>0</v>
      </c>
      <c r="U49" s="18"/>
      <c r="V49" s="879"/>
      <c r="W49" s="877"/>
      <c r="X49" s="886"/>
      <c r="Y49" s="877"/>
      <c r="Z49" s="879"/>
      <c r="AA49" s="877"/>
      <c r="AB49" s="886"/>
      <c r="AC49" s="877"/>
      <c r="AD49" s="879"/>
      <c r="AE49" s="877"/>
      <c r="AF49" s="886"/>
      <c r="AG49" s="877"/>
      <c r="AH49" s="879"/>
      <c r="AI49" s="877"/>
      <c r="AJ49" s="886"/>
      <c r="AK49" s="877"/>
      <c r="AL49" s="879"/>
      <c r="AM49" s="877"/>
      <c r="AN49" s="877"/>
      <c r="AO49" s="877"/>
      <c r="AP49" s="886"/>
      <c r="AQ49" s="877"/>
      <c r="AR49" s="879"/>
      <c r="AS49" s="877"/>
      <c r="AT49" s="886"/>
      <c r="AU49" s="877"/>
      <c r="AV49" s="879"/>
      <c r="AW49" s="877"/>
      <c r="AX49" s="886"/>
      <c r="AY49" s="877"/>
      <c r="AZ49" s="879"/>
      <c r="BA49" s="877"/>
      <c r="BB49" s="886"/>
      <c r="BC49" s="877"/>
      <c r="BD49" s="879"/>
      <c r="BE49" s="886"/>
      <c r="BF49" s="183"/>
      <c r="BG49" s="183"/>
      <c r="BH49" s="183"/>
      <c r="BI49" s="183"/>
      <c r="BJ49" s="183"/>
      <c r="BK49" s="183"/>
      <c r="BL49" s="183"/>
      <c r="BM49" s="183"/>
      <c r="BN49" s="183"/>
      <c r="BO49" s="183"/>
      <c r="BP49" s="183"/>
      <c r="BQ49" s="183"/>
      <c r="BR49" s="183"/>
      <c r="BS49" s="183"/>
      <c r="BT49" s="183"/>
      <c r="BU49" s="183"/>
      <c r="BV49" s="183"/>
    </row>
    <row r="50" spans="1:119">
      <c r="A50" s="68"/>
      <c r="C50" s="83"/>
      <c r="D50" s="54"/>
      <c r="E50" s="512" t="s">
        <v>320</v>
      </c>
      <c r="F50" s="928">
        <f>SUM(J50:M50)</f>
        <v>2.6223804020685314E-3</v>
      </c>
      <c r="G50" s="877">
        <f>SUM(I50:M50,P50)</f>
        <v>3.4204530265272213E-3</v>
      </c>
      <c r="H50" s="878">
        <f>SUM(R50:T50)/(1-'Common input data'!B$145)</f>
        <v>4.8742637878972086E-3</v>
      </c>
      <c r="I50" s="877">
        <f>'Input data meat and eggs'!$C$264*(('Input data meat and eggs'!C74*'Input data meat and eggs'!D35)+('Input data meat and eggs'!C75*'Input data meat and eggs'!D36)+('Input data meat and eggs'!C76*SUMPRODUCT('Input data meat and eggs'!C77:'Input data meat and eggs'!C86,'Input data meat and eggs'!D37:'Input data meat and eggs'!D46)))*'Input data meat and eggs'!B70</f>
        <v>7.9519720365869005E-4</v>
      </c>
      <c r="J50" s="877">
        <f>'Input data meat and eggs'!$C$264*(('Input data meat and eggs'!C74*'Input data meat and eggs'!D35)+('Input data meat and eggs'!C75*'Input data meat and eggs'!D36)+('Input data meat and eggs'!C76*SUMPRODUCT('Input data meat and eggs'!C77:'Input data meat and eggs'!C86,'Input data meat and eggs'!D37:'Input data meat and eggs'!D46)))*'Input data meat and eggs'!C70</f>
        <v>2.00993801475478E-3</v>
      </c>
      <c r="K50" s="877">
        <f>((SUM('Input data meat and eggs'!C293:C294)*'Input data meat and eggs'!C310+SUM('Input data meat and eggs'!C296:C297)*'Input data meat and eggs'!C311+SUM('Input data meat and eggs'!C299:C300)*'Input data meat and eggs'!C312)*44/28)/'Input data meat and eggs'!C251</f>
        <v>5.2659485456374216E-4</v>
      </c>
      <c r="L50" s="877">
        <f>SUM('Input data meat and eggs'!C332:C339)*'Input data meat and eggs'!C313*44/28/'Input data meat and eggs'!C251</f>
        <v>8.5847532750009099E-5</v>
      </c>
      <c r="M50" s="877">
        <v>0</v>
      </c>
      <c r="N50" s="877">
        <v>0</v>
      </c>
      <c r="O50" s="877">
        <v>0</v>
      </c>
      <c r="P50" s="877">
        <f>'Input data meat and eggs'!E92*3.6*'Common input data'!B68</f>
        <v>2.8754208000000001E-6</v>
      </c>
      <c r="Q50" s="877">
        <f>'Input data meat and eggs'!C103*3.6*'Common input data'!B68</f>
        <v>2.4499758857142863E-6</v>
      </c>
      <c r="R50" s="877">
        <f>(G50+Q50)/'Input data meat and eggs'!$B$31</f>
        <v>4.4453285745622538E-3</v>
      </c>
      <c r="S50" s="1179">
        <v>0</v>
      </c>
      <c r="T50" s="877">
        <v>0</v>
      </c>
      <c r="U50" s="18"/>
      <c r="V50" s="879"/>
      <c r="W50" s="877"/>
      <c r="X50" s="886"/>
      <c r="Y50" s="877"/>
      <c r="Z50" s="879"/>
      <c r="AA50" s="877"/>
      <c r="AB50" s="886"/>
      <c r="AC50" s="877"/>
      <c r="AD50" s="879"/>
      <c r="AE50" s="877"/>
      <c r="AF50" s="886"/>
      <c r="AG50" s="877"/>
      <c r="AH50" s="879"/>
      <c r="AI50" s="877"/>
      <c r="AJ50" s="886"/>
      <c r="AK50" s="877"/>
      <c r="AL50" s="879"/>
      <c r="AM50" s="877"/>
      <c r="AN50" s="877"/>
      <c r="AO50" s="877"/>
      <c r="AP50" s="886"/>
      <c r="AQ50" s="877"/>
      <c r="AR50" s="879"/>
      <c r="AS50" s="877"/>
      <c r="AT50" s="886"/>
      <c r="AU50" s="877"/>
      <c r="AV50" s="879"/>
      <c r="AW50" s="877"/>
      <c r="AX50" s="886"/>
      <c r="AY50" s="877"/>
      <c r="AZ50" s="879"/>
      <c r="BA50" s="877"/>
      <c r="BB50" s="886"/>
      <c r="BC50" s="877"/>
      <c r="BD50" s="879"/>
      <c r="BE50" s="886"/>
      <c r="BF50" s="183"/>
      <c r="BG50" s="183"/>
      <c r="BH50" s="183"/>
      <c r="BI50" s="183"/>
      <c r="BJ50" s="183"/>
      <c r="BK50" s="183"/>
      <c r="BL50" s="183"/>
      <c r="BM50" s="183"/>
      <c r="BN50" s="183"/>
      <c r="BO50" s="183"/>
      <c r="BP50" s="183"/>
      <c r="BQ50" s="183"/>
      <c r="BR50" s="183"/>
      <c r="BS50" s="183"/>
      <c r="BT50" s="183"/>
      <c r="BU50" s="183"/>
      <c r="BV50" s="183"/>
    </row>
    <row r="51" spans="1:119">
      <c r="A51" s="108" t="s">
        <v>125</v>
      </c>
      <c r="B51" s="93" t="s">
        <v>198</v>
      </c>
      <c r="C51" s="903">
        <f>'Input data meat and eggs'!D21</f>
        <v>0.1018557093768111</v>
      </c>
      <c r="D51" s="26"/>
      <c r="E51" s="513" t="s">
        <v>316</v>
      </c>
      <c r="F51" s="930">
        <f>SUMPRODUCT($CA$7:$CA$10,F52:F55)</f>
        <v>0.98704753864853234</v>
      </c>
      <c r="G51" s="872">
        <f>SUMPRODUCT($CA$7:$CA$10,G52:G55)</f>
        <v>2.4614746835552057</v>
      </c>
      <c r="H51" s="873">
        <f>SUMPRODUCT($CA$7:$CA$10,H52:H55)</f>
        <v>4.1604927500835309</v>
      </c>
      <c r="I51" s="884"/>
      <c r="J51" s="884"/>
      <c r="K51" s="884"/>
      <c r="L51" s="884"/>
      <c r="M51" s="884"/>
      <c r="N51" s="884"/>
      <c r="O51" s="884"/>
      <c r="P51" s="884"/>
      <c r="Q51" s="884"/>
      <c r="R51" s="884"/>
      <c r="S51" s="884"/>
      <c r="T51" s="884"/>
      <c r="U51" s="18"/>
      <c r="V51" s="879">
        <f>AVERAGE('Input data meat and eggs'!$B264:'Input data meat and eggs'!$C264)*(SUMPRODUCT('Input data meat and eggs'!$C$74:$C$75,'Input data meat and eggs'!E$35:E$36)+'Input data meat and eggs'!$C$76*SUMPRODUCT('Input data meat and eggs'!$C$77:$C$86,'Input data meat and eggs'!E$37:E$46))</f>
        <v>5.9674651846430047</v>
      </c>
      <c r="W51" s="1185">
        <f>V51+V51*'Common input data'!$B$145</f>
        <v>6.4926021208915898</v>
      </c>
      <c r="X51" s="1221">
        <f>W51+W51*'Common input data'!$B$179</f>
        <v>7.2067883541896647</v>
      </c>
      <c r="Y51" s="877"/>
      <c r="Z51" s="879"/>
      <c r="AA51" s="877"/>
      <c r="AB51" s="886"/>
      <c r="AC51" s="877"/>
      <c r="AD51" s="879">
        <f>AVERAGE('Input data meat and eggs'!$B264:'Input data meat and eggs'!$C264)*(SUMPRODUCT('Input data meat and eggs'!$C$74:$C$75,'Input data meat and eggs'!G$35:G$36)+'Input data meat and eggs'!$C$76*SUMPRODUCT('Input data meat and eggs'!$C$77:$C$86,'Input data meat and eggs'!G$37:G$46))</f>
        <v>8.1216735860773534E-2</v>
      </c>
      <c r="AE51" s="1185">
        <f>AD51+AD51*'Common input data'!$B$145</f>
        <v>8.8363808616521614E-2</v>
      </c>
      <c r="AF51" s="1221">
        <f>AE51+AE51*'Common input data'!$B$179</f>
        <v>9.8083827564338991E-2</v>
      </c>
      <c r="AG51" s="877"/>
      <c r="AH51" s="879">
        <f>AVERAGE('Input data meat and eggs'!$B264:'Input data meat and eggs'!$C264)*(SUMPRODUCT('Input data meat and eggs'!$C$74:$C$75,'Input data meat and eggs'!H$35:H$36)+'Input data meat and eggs'!$C$76*SUMPRODUCT('Input data meat and eggs'!$C$77:$C$86,'Input data meat and eggs'!H$37:H$46))</f>
        <v>9.506016708134956E-3</v>
      </c>
      <c r="AI51" s="1185">
        <f>AH51+AH51*'Common input data'!$B$145</f>
        <v>1.0342546178450833E-2</v>
      </c>
      <c r="AJ51" s="1221">
        <f>AI51+AI51*'Common input data'!$B$179</f>
        <v>1.1480226258080425E-2</v>
      </c>
      <c r="AK51" s="877"/>
      <c r="AL51" s="879">
        <f>AVERAGE('Input data meat and eggs'!$B264:'Input data meat and eggs'!$C264)*(SUMPRODUCT('Input data meat and eggs'!$C$74:$C$75,'Input data meat and eggs'!I$35:I$36)+'Input data meat and eggs'!$C$76*SUMPRODUCT('Input data meat and eggs'!$C$77:$C$86,'Input data meat and eggs'!I$37:I$46))</f>
        <v>2.5576574846068036E-2</v>
      </c>
      <c r="AM51" s="877">
        <f>'Input data meat and eggs'!C57</f>
        <v>7.0170276764722431E-3</v>
      </c>
      <c r="AN51" s="877">
        <f>SUM(AL51:AM51)</f>
        <v>3.2593602522540281E-2</v>
      </c>
      <c r="AO51" s="1185">
        <f>AN51+AN51*'Common input data'!$B$145</f>
        <v>3.5461839544523831E-2</v>
      </c>
      <c r="AP51" s="1221">
        <f>AO51+AO51*'Common input data'!$B$179</f>
        <v>3.936264189442145E-2</v>
      </c>
      <c r="AQ51" s="877"/>
      <c r="AR51" s="879">
        <f>AVERAGE(AR41:AR46)</f>
        <v>4.2930207762317287E-12</v>
      </c>
      <c r="AS51" s="1185">
        <f>AR51+AR51*'Common input data'!$B$145</f>
        <v>4.670806604540121E-12</v>
      </c>
      <c r="AT51" s="1221">
        <f>AS51+AS51*'Common input data'!$B$179</f>
        <v>5.1845953310395341E-12</v>
      </c>
      <c r="AU51" s="877"/>
      <c r="AV51" s="879">
        <f>AVERAGE(AV41:AV46)</f>
        <v>3.9435229013324062E-4</v>
      </c>
      <c r="AW51" s="1185">
        <f>AV51+AV51*'Common input data'!$B$145</f>
        <v>4.290552916649658E-4</v>
      </c>
      <c r="AX51" s="1221">
        <f>AW51+AW51*'Common input data'!$B$179</f>
        <v>4.7625137374811201E-4</v>
      </c>
      <c r="AY51" s="877"/>
      <c r="AZ51" s="879">
        <f>AVERAGE('Input data meat and eggs'!$B264:'Input data meat and eggs'!$C264)*(SUMPRODUCT('Input data meat and eggs'!$C$74:$C$75,'Input data meat and eggs'!W$35:W$36)+'Input data meat and eggs'!$C$76*SUMPRODUCT('Input data meat and eggs'!$C$77:$C$86,'Input data meat and eggs'!W$37:W$46))</f>
        <v>3.338783640328529E-3</v>
      </c>
      <c r="BA51" s="1185">
        <f>AZ51+AZ51*'Common input data'!$B$145</f>
        <v>3.6325966006774397E-3</v>
      </c>
      <c r="BB51" s="1221">
        <f>BA51+BA51*'Common input data'!$B$179</f>
        <v>4.032182226751958E-3</v>
      </c>
      <c r="BC51" s="877"/>
      <c r="BD51" s="1220">
        <f>('Common input data'!B214+'Common input data'!C214)+('Common input data'!B214+'Common input data'!C214)*'Common input data'!$B$145</f>
        <v>1.0337813333333334</v>
      </c>
      <c r="BE51" s="1221">
        <f>BD51+BD51*'Common input data'!$B$179</f>
        <v>1.1474972800000001</v>
      </c>
      <c r="BF51" s="183"/>
      <c r="BG51" s="183"/>
      <c r="BH51" s="183"/>
      <c r="BI51" s="183"/>
      <c r="BJ51" s="183"/>
      <c r="BK51" s="183"/>
      <c r="BL51" s="183"/>
      <c r="BM51" s="183"/>
      <c r="BN51" s="183"/>
      <c r="BO51" s="183"/>
      <c r="BP51" s="183"/>
      <c r="BQ51" s="183"/>
      <c r="BR51" s="183"/>
      <c r="BS51" s="183"/>
      <c r="BT51" s="183"/>
      <c r="BU51" s="183"/>
      <c r="BV51" s="183"/>
    </row>
    <row r="52" spans="1:119">
      <c r="A52" s="97"/>
      <c r="C52" s="64"/>
      <c r="E52" s="511" t="s">
        <v>317</v>
      </c>
      <c r="F52" s="928">
        <f>IF(AND($G$2="No",$G$3="No"),SUM(J52:M52),IF(AND($G$2="Yes", $G$3="No"), SUM(J52:M52)+O52, IF(AND($G$2="No", $G$3="Yes"),SUM(J52:M52)+N52, SUM(J52:M52)+O52+N52)))</f>
        <v>0.39913305734806048</v>
      </c>
      <c r="G52" s="877">
        <f>IF(AND($G$2="No",$G$3="No"),SUM(I52:M52,P52),IF(AND($G$2="Yes", $G$3="No"), SUM(I52:M52,P52)+O52, IF(AND($G$2="No", $G$3="Yes"),SUM(I52:M52,P52)+N52, SUM(I52:M52,P52)+O52+N52)))</f>
        <v>1.6876774469235749</v>
      </c>
      <c r="H52" s="878">
        <f>SUM(R52:T52)/(1-'Common input data'!B$145)</f>
        <v>3.0576054154866861</v>
      </c>
      <c r="I52" s="877">
        <f>AVERAGE(I42,I47)</f>
        <v>0.83727533550451816</v>
      </c>
      <c r="J52" s="877">
        <f>AVERAGE(J42,J47)</f>
        <v>0</v>
      </c>
      <c r="K52" s="877">
        <f>AVERAGE(K42,K47)</f>
        <v>0</v>
      </c>
      <c r="L52" s="877">
        <f>AVERAGE(L42,L47)</f>
        <v>0</v>
      </c>
      <c r="M52" s="877">
        <v>0</v>
      </c>
      <c r="N52" s="877">
        <f>AVERAGE(N42,N47)</f>
        <v>0.27366936943074771</v>
      </c>
      <c r="O52" s="877">
        <f>AVERAGE(O42,O47)</f>
        <v>0.12546368791731277</v>
      </c>
      <c r="P52" s="877">
        <f>'Input data meat and eggs'!B92*'Common input data'!C80+'Input data meat and eggs'!D92*3.6*'Common input data'!B66</f>
        <v>0.45126905407099638</v>
      </c>
      <c r="Q52" s="877">
        <f>'Input data meat and eggs'!B103*'Common input data'!C80+'Input data meat and eggs'!C103*3.6*'Common input data'!B66</f>
        <v>0.20539538004779545</v>
      </c>
      <c r="R52" s="877">
        <f>(G52+Q52)/'Input data meat and eggs'!$B$31</f>
        <v>2.4585361389238574</v>
      </c>
      <c r="S52" s="877">
        <f>'Common input data'!B109</f>
        <v>0.1</v>
      </c>
      <c r="T52" s="877">
        <f>'Common input data'!B119+'Common input data'!C119</f>
        <v>0.23000000000000004</v>
      </c>
      <c r="U52" s="18"/>
      <c r="V52" s="879"/>
      <c r="W52" s="877"/>
      <c r="X52" s="886"/>
      <c r="Y52" s="877"/>
      <c r="Z52" s="879"/>
      <c r="AA52" s="877"/>
      <c r="AB52" s="886"/>
      <c r="AC52" s="877"/>
      <c r="AD52" s="879"/>
      <c r="AE52" s="877"/>
      <c r="AF52" s="886"/>
      <c r="AG52" s="877"/>
      <c r="AH52" s="879"/>
      <c r="AI52" s="877"/>
      <c r="AJ52" s="886"/>
      <c r="AK52" s="877"/>
      <c r="AL52" s="879"/>
      <c r="AM52" s="877"/>
      <c r="AN52" s="877"/>
      <c r="AO52" s="877"/>
      <c r="AP52" s="886"/>
      <c r="AQ52" s="877"/>
      <c r="AR52" s="879"/>
      <c r="AS52" s="877"/>
      <c r="AT52" s="886"/>
      <c r="AU52" s="877"/>
      <c r="AV52" s="879"/>
      <c r="AW52" s="877"/>
      <c r="AX52" s="886"/>
      <c r="AY52" s="877"/>
      <c r="AZ52" s="879"/>
      <c r="BA52" s="877"/>
      <c r="BB52" s="886"/>
      <c r="BC52" s="877"/>
      <c r="BD52" s="879"/>
      <c r="BE52" s="886"/>
      <c r="BF52" s="183"/>
      <c r="BG52" s="183"/>
      <c r="BH52" s="183"/>
      <c r="BI52" s="183"/>
      <c r="BJ52" s="183"/>
      <c r="BK52" s="183"/>
      <c r="BL52" s="183"/>
      <c r="BM52" s="183"/>
      <c r="BN52" s="183"/>
      <c r="BO52" s="183"/>
      <c r="BP52" s="183"/>
      <c r="BQ52" s="183"/>
      <c r="BR52" s="183"/>
      <c r="BS52" s="183"/>
      <c r="BT52" s="183"/>
      <c r="BU52" s="183"/>
      <c r="BV52" s="183"/>
    </row>
    <row r="53" spans="1:119">
      <c r="A53" s="68"/>
      <c r="C53" s="58"/>
      <c r="D53" s="55"/>
      <c r="E53" s="511" t="s">
        <v>321</v>
      </c>
      <c r="F53" s="928">
        <f>SUM(J53:M53)</f>
        <v>1.5780583135108048E-3</v>
      </c>
      <c r="G53" s="877">
        <f>SUM(I53:M53,P54)</f>
        <v>1.6089031135108048E-3</v>
      </c>
      <c r="H53" s="878">
        <f>SUM(R53:T53)/(1-'Common input data'!B$145)</f>
        <v>2.2911014945186901E-3</v>
      </c>
      <c r="I53" s="877">
        <v>0</v>
      </c>
      <c r="J53" s="877">
        <v>0</v>
      </c>
      <c r="K53" s="877">
        <f>AVERAGE(K43,K48)</f>
        <v>1.5780583135108048E-3</v>
      </c>
      <c r="L53" s="877">
        <f>AVERAGE(L43,L48)</f>
        <v>0</v>
      </c>
      <c r="M53" s="877">
        <v>0</v>
      </c>
      <c r="N53" s="877">
        <v>0</v>
      </c>
      <c r="O53" s="877">
        <v>0</v>
      </c>
      <c r="P53" s="877">
        <v>0</v>
      </c>
      <c r="Q53" s="877">
        <v>0</v>
      </c>
      <c r="R53" s="877">
        <f>(G53+Q53)/'Input data meat and eggs'!$B$31</f>
        <v>2.089484563001045E-3</v>
      </c>
      <c r="S53" s="877">
        <v>0</v>
      </c>
      <c r="T53" s="877">
        <v>0</v>
      </c>
      <c r="U53" s="18"/>
      <c r="V53" s="879"/>
      <c r="W53" s="877"/>
      <c r="X53" s="886"/>
      <c r="Y53" s="877"/>
      <c r="Z53" s="879"/>
      <c r="AA53" s="877"/>
      <c r="AB53" s="886"/>
      <c r="AC53" s="877"/>
      <c r="AD53" s="879"/>
      <c r="AE53" s="877"/>
      <c r="AF53" s="886"/>
      <c r="AG53" s="877"/>
      <c r="AH53" s="879"/>
      <c r="AI53" s="877"/>
      <c r="AJ53" s="886"/>
      <c r="AK53" s="877"/>
      <c r="AL53" s="879"/>
      <c r="AM53" s="877"/>
      <c r="AN53" s="877"/>
      <c r="AO53" s="877"/>
      <c r="AP53" s="886"/>
      <c r="AQ53" s="877"/>
      <c r="AR53" s="879"/>
      <c r="AS53" s="877"/>
      <c r="AT53" s="886"/>
      <c r="AU53" s="877"/>
      <c r="AV53" s="879"/>
      <c r="AW53" s="877"/>
      <c r="AX53" s="886"/>
      <c r="AY53" s="877"/>
      <c r="AZ53" s="879"/>
      <c r="BA53" s="877"/>
      <c r="BB53" s="886"/>
      <c r="BC53" s="877"/>
      <c r="BD53" s="879"/>
      <c r="BE53" s="886"/>
      <c r="BF53" s="183"/>
      <c r="BG53" s="183"/>
      <c r="BH53" s="183"/>
      <c r="BI53" s="183"/>
      <c r="BJ53" s="183"/>
      <c r="BK53" s="183"/>
      <c r="BL53" s="183"/>
      <c r="BM53" s="183"/>
      <c r="BN53" s="183"/>
      <c r="BO53" s="183"/>
      <c r="BP53" s="183"/>
      <c r="BQ53" s="183"/>
      <c r="BR53" s="183"/>
      <c r="BS53" s="183"/>
      <c r="BT53" s="183"/>
      <c r="BU53" s="183"/>
      <c r="BV53" s="183"/>
    </row>
    <row r="54" spans="1:119">
      <c r="A54" s="68"/>
      <c r="C54" s="58"/>
      <c r="D54" s="55"/>
      <c r="E54" s="511" t="s">
        <v>319</v>
      </c>
      <c r="F54" s="928">
        <f>SUM(J54:M54)</f>
        <v>0</v>
      </c>
      <c r="G54" s="877">
        <f>SUM(I54:M54,P55)</f>
        <v>4.8182616468869045E-4</v>
      </c>
      <c r="H54" s="878">
        <f>SUM(R54:T54)/(1-'Common input data'!B$145)</f>
        <v>7.2355205237542575E-4</v>
      </c>
      <c r="I54" s="877">
        <f>AVERAGE(I44,I49)</f>
        <v>4.7895074388869046E-4</v>
      </c>
      <c r="J54" s="877">
        <f>AVERAGE(J44,J48)</f>
        <v>0</v>
      </c>
      <c r="K54" s="877">
        <v>0</v>
      </c>
      <c r="L54" s="877">
        <v>0</v>
      </c>
      <c r="M54" s="877">
        <v>0</v>
      </c>
      <c r="N54" s="877">
        <f>AVERAGE(N43,N48)</f>
        <v>0</v>
      </c>
      <c r="O54" s="877">
        <f>AVERAGE(O43,O48)</f>
        <v>0</v>
      </c>
      <c r="P54" s="877">
        <f>'Input data meat and eggs'!E92*3.6*'Common input data'!B67</f>
        <v>3.0844800000000007E-5</v>
      </c>
      <c r="Q54" s="877">
        <f>'Input data meat and eggs'!C103*3.6*'Common input data'!B67</f>
        <v>2.628102857142858E-5</v>
      </c>
      <c r="R54" s="877">
        <f>(G54+Q54)/'Input data meat and eggs'!$B$31</f>
        <v>6.5987947176638826E-4</v>
      </c>
      <c r="S54" s="877">
        <v>0</v>
      </c>
      <c r="T54" s="877">
        <v>0</v>
      </c>
      <c r="U54" s="18"/>
      <c r="V54" s="879"/>
      <c r="W54" s="877"/>
      <c r="X54" s="886"/>
      <c r="Y54" s="877"/>
      <c r="Z54" s="879"/>
      <c r="AA54" s="877"/>
      <c r="AB54" s="886"/>
      <c r="AC54" s="877"/>
      <c r="AD54" s="879"/>
      <c r="AE54" s="877"/>
      <c r="AF54" s="886"/>
      <c r="AG54" s="877"/>
      <c r="AH54" s="879"/>
      <c r="AI54" s="877"/>
      <c r="AJ54" s="886"/>
      <c r="AK54" s="877"/>
      <c r="AL54" s="879"/>
      <c r="AM54" s="877"/>
      <c r="AN54" s="877"/>
      <c r="AO54" s="877"/>
      <c r="AP54" s="886"/>
      <c r="AQ54" s="877"/>
      <c r="AR54" s="879"/>
      <c r="AS54" s="877"/>
      <c r="AT54" s="886"/>
      <c r="AU54" s="877"/>
      <c r="AV54" s="879"/>
      <c r="AW54" s="877"/>
      <c r="AX54" s="886"/>
      <c r="AY54" s="877"/>
      <c r="AZ54" s="879"/>
      <c r="BA54" s="877"/>
      <c r="BB54" s="886"/>
      <c r="BC54" s="877"/>
      <c r="BD54" s="879"/>
      <c r="BE54" s="886"/>
      <c r="BF54" s="183"/>
      <c r="BG54" s="183"/>
      <c r="BH54" s="183"/>
      <c r="BI54" s="183"/>
      <c r="BJ54" s="183"/>
      <c r="BK54" s="183"/>
      <c r="BL54" s="183"/>
      <c r="BM54" s="183"/>
      <c r="BN54" s="183"/>
      <c r="BO54" s="183"/>
      <c r="BP54" s="183"/>
      <c r="BQ54" s="183"/>
      <c r="BR54" s="183"/>
      <c r="BS54" s="183"/>
      <c r="BT54" s="183"/>
      <c r="BU54" s="183"/>
      <c r="BV54" s="183"/>
    </row>
    <row r="55" spans="1:119">
      <c r="A55" s="68"/>
      <c r="C55" s="83"/>
      <c r="D55" s="54"/>
      <c r="E55" s="512" t="s">
        <v>320</v>
      </c>
      <c r="F55" s="932">
        <f>SUM(J55:M55)</f>
        <v>2.4914060396007344E-3</v>
      </c>
      <c r="G55" s="896">
        <f>SUM(I55:M55,P55)</f>
        <v>3.2788446739231468E-3</v>
      </c>
      <c r="H55" s="933">
        <f>SUM(R55:T55)/(1-'Common input data'!B$145)</f>
        <v>4.6726114288688494E-3</v>
      </c>
      <c r="I55" s="877">
        <f>AVERAGE(I45,I50)</f>
        <v>7.8456321352241227E-4</v>
      </c>
      <c r="J55" s="877">
        <f>AVERAGE(J45,J50)</f>
        <v>1.9830595738786145E-3</v>
      </c>
      <c r="K55" s="877">
        <f>AVERAGE(K45,K50)</f>
        <v>4.3569751443404969E-4</v>
      </c>
      <c r="L55" s="877">
        <f>AVERAGE(L45,L50)</f>
        <v>7.2648951288070289E-5</v>
      </c>
      <c r="M55" s="877">
        <v>0</v>
      </c>
      <c r="N55" s="877">
        <f>AVERAGE(N45,N50)</f>
        <v>0</v>
      </c>
      <c r="O55" s="877">
        <f>AVERAGE(O45,O50)</f>
        <v>0</v>
      </c>
      <c r="P55" s="877">
        <f>'Input data meat and eggs'!E92*3.6*'Common input data'!B68</f>
        <v>2.8754208000000001E-6</v>
      </c>
      <c r="Q55" s="877">
        <f>'Input data meat and eggs'!C103*3.6*'Common input data'!B68</f>
        <v>2.4499758857142863E-6</v>
      </c>
      <c r="R55" s="877">
        <f>(G55+Q55)/'Input data meat and eggs'!$B$31</f>
        <v>4.2614216231283905E-3</v>
      </c>
      <c r="S55" s="877">
        <v>0</v>
      </c>
      <c r="T55" s="877">
        <v>0</v>
      </c>
      <c r="U55" s="18"/>
      <c r="V55" s="879"/>
      <c r="W55" s="877"/>
      <c r="X55" s="886"/>
      <c r="Y55" s="877"/>
      <c r="Z55" s="879"/>
      <c r="AA55" s="877"/>
      <c r="AB55" s="886"/>
      <c r="AC55" s="877"/>
      <c r="AD55" s="879"/>
      <c r="AE55" s="877"/>
      <c r="AF55" s="886"/>
      <c r="AG55" s="877"/>
      <c r="AH55" s="879"/>
      <c r="AI55" s="877"/>
      <c r="AJ55" s="886"/>
      <c r="AK55" s="877"/>
      <c r="AL55" s="879"/>
      <c r="AM55" s="877"/>
      <c r="AN55" s="877"/>
      <c r="AO55" s="877"/>
      <c r="AP55" s="886"/>
      <c r="AQ55" s="877"/>
      <c r="AR55" s="879"/>
      <c r="AS55" s="877"/>
      <c r="AT55" s="886"/>
      <c r="AU55" s="877"/>
      <c r="AV55" s="879"/>
      <c r="AW55" s="877"/>
      <c r="AX55" s="886"/>
      <c r="AY55" s="877"/>
      <c r="AZ55" s="879"/>
      <c r="BA55" s="877"/>
      <c r="BB55" s="886"/>
      <c r="BC55" s="877"/>
      <c r="BD55" s="879"/>
      <c r="BE55" s="886"/>
      <c r="BF55" s="183"/>
      <c r="BG55" s="183"/>
      <c r="BH55" s="183"/>
      <c r="BI55" s="183"/>
      <c r="BJ55" s="183"/>
      <c r="BK55" s="183"/>
      <c r="BL55" s="183"/>
      <c r="BM55" s="183"/>
      <c r="BN55" s="183"/>
      <c r="BO55" s="183"/>
      <c r="BP55" s="183"/>
      <c r="BQ55" s="183"/>
      <c r="BR55" s="183"/>
      <c r="BS55" s="183"/>
      <c r="BT55" s="183"/>
      <c r="BU55" s="183"/>
      <c r="BV55" s="183"/>
      <c r="CF55" s="29"/>
      <c r="CG55" s="29"/>
      <c r="CH55" s="29"/>
      <c r="CI55" s="29"/>
      <c r="CJ55" s="29"/>
      <c r="CK55" s="29"/>
      <c r="CL55" s="29"/>
      <c r="CM55" s="29"/>
      <c r="CN55" s="29"/>
      <c r="CO55" s="29"/>
      <c r="CP55" s="29"/>
      <c r="CQ55" s="29"/>
      <c r="CR55" s="29"/>
      <c r="CS55" s="29"/>
      <c r="CT55" s="29"/>
      <c r="CU55" s="29"/>
      <c r="CV55" s="29"/>
      <c r="CW55" s="29"/>
      <c r="CX55" s="29"/>
      <c r="CY55" s="29"/>
      <c r="CZ55" s="29"/>
      <c r="DA55" s="29"/>
      <c r="DB55" s="29"/>
      <c r="DC55" s="29"/>
      <c r="DD55" s="29"/>
      <c r="DE55" s="29"/>
      <c r="DF55" s="29"/>
      <c r="DG55" s="29"/>
      <c r="DH55" s="29"/>
      <c r="DI55" s="29"/>
      <c r="DJ55" s="29"/>
      <c r="DK55" s="29"/>
      <c r="DL55" s="29"/>
      <c r="DM55" s="29"/>
      <c r="DN55" s="29"/>
      <c r="DO55" s="29"/>
    </row>
    <row r="56" spans="1:119">
      <c r="A56" s="362" t="s">
        <v>323</v>
      </c>
      <c r="B56" s="363"/>
      <c r="C56" s="770"/>
      <c r="D56" s="54"/>
      <c r="E56" s="939"/>
      <c r="F56" s="1181" t="s">
        <v>324</v>
      </c>
      <c r="G56" s="892" t="s">
        <v>324</v>
      </c>
      <c r="H56" s="970" t="s">
        <v>324</v>
      </c>
      <c r="I56" s="889"/>
      <c r="J56" s="889"/>
      <c r="K56" s="889"/>
      <c r="L56" s="889"/>
      <c r="M56" s="889"/>
      <c r="N56" s="889"/>
      <c r="O56" s="889"/>
      <c r="P56" s="891"/>
      <c r="Q56" s="889"/>
      <c r="R56" s="889"/>
      <c r="S56" s="889"/>
      <c r="T56" s="889"/>
      <c r="U56" s="18"/>
      <c r="V56" s="879"/>
      <c r="W56" s="877"/>
      <c r="X56" s="886"/>
      <c r="Y56" s="877"/>
      <c r="Z56" s="879"/>
      <c r="AA56" s="877"/>
      <c r="AB56" s="886"/>
      <c r="AC56" s="877"/>
      <c r="AD56" s="879"/>
      <c r="AE56" s="877"/>
      <c r="AF56" s="886"/>
      <c r="AG56" s="877"/>
      <c r="AH56" s="879"/>
      <c r="AI56" s="877"/>
      <c r="AJ56" s="886"/>
      <c r="AK56" s="877"/>
      <c r="AL56" s="879"/>
      <c r="AM56" s="877"/>
      <c r="AN56" s="877"/>
      <c r="AO56" s="877"/>
      <c r="AP56" s="886"/>
      <c r="AQ56" s="877"/>
      <c r="AR56" s="879"/>
      <c r="AS56" s="877"/>
      <c r="AT56" s="886"/>
      <c r="AU56" s="877"/>
      <c r="AV56" s="879"/>
      <c r="AW56" s="877"/>
      <c r="AX56" s="886"/>
      <c r="AY56" s="877"/>
      <c r="AZ56" s="879"/>
      <c r="BA56" s="877"/>
      <c r="BB56" s="886"/>
      <c r="BC56" s="877"/>
      <c r="BD56" s="879"/>
      <c r="BE56" s="886"/>
      <c r="BF56" s="183"/>
      <c r="BG56" s="183"/>
      <c r="BH56" s="183"/>
      <c r="BI56" s="183"/>
      <c r="BJ56" s="183"/>
      <c r="BK56" s="183"/>
      <c r="BL56" s="183"/>
      <c r="BM56" s="183"/>
      <c r="BN56" s="183"/>
      <c r="BO56" s="183"/>
      <c r="BP56" s="183"/>
      <c r="BQ56" s="183"/>
      <c r="BR56" s="183"/>
      <c r="BS56" s="183"/>
      <c r="BT56" s="183"/>
      <c r="BU56" s="183"/>
      <c r="BV56" s="183"/>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c r="DE56" s="29"/>
      <c r="DF56" s="29"/>
      <c r="DG56" s="29"/>
      <c r="DH56" s="29"/>
      <c r="DI56" s="29"/>
      <c r="DJ56" s="29"/>
      <c r="DK56" s="29"/>
      <c r="DL56" s="29"/>
      <c r="DM56" s="29"/>
      <c r="DN56" s="29"/>
      <c r="DO56" s="29"/>
    </row>
    <row r="57" spans="1:119">
      <c r="A57" s="108" t="s">
        <v>315</v>
      </c>
      <c r="B57" s="93"/>
      <c r="C57" s="903">
        <f>SUM(C62:C71)</f>
        <v>1</v>
      </c>
      <c r="D57" s="26"/>
      <c r="E57" s="513" t="s">
        <v>316</v>
      </c>
      <c r="F57" s="930">
        <f>SUMPRODUCT($CA$7:$CA$10,F58:F61)</f>
        <v>0.81317249914587142</v>
      </c>
      <c r="G57" s="872">
        <f>SUMPRODUCT($CA$7:$CA$10,G58:G61)</f>
        <v>1.7922414003777929</v>
      </c>
      <c r="H57" s="873">
        <f>SUMPRODUCT($CA$7:$CA$10,H58:H61)</f>
        <v>2.121184513759264</v>
      </c>
      <c r="I57" s="1178"/>
      <c r="J57" s="1178"/>
      <c r="K57" s="1178"/>
      <c r="L57" s="1178"/>
      <c r="M57" s="1178"/>
      <c r="N57" s="1178"/>
      <c r="O57" s="1178"/>
      <c r="P57" s="1178"/>
      <c r="Q57" s="1178"/>
      <c r="R57" s="1178"/>
      <c r="S57" s="1178"/>
      <c r="T57" s="1178"/>
      <c r="U57" s="18"/>
      <c r="V57" s="883">
        <f>$C$62*V62+$C$67*V67</f>
        <v>4.6452620537407379</v>
      </c>
      <c r="W57" s="884">
        <f>$C$62*W62+$C$67*W67</f>
        <v>5.0540451144699228</v>
      </c>
      <c r="X57" s="885">
        <f>$C$62*X62+$C$67*X67</f>
        <v>5.6099900770616138</v>
      </c>
      <c r="Y57" s="877"/>
      <c r="Z57" s="879"/>
      <c r="AA57" s="877"/>
      <c r="AB57" s="886"/>
      <c r="AC57" s="877"/>
      <c r="AD57" s="883">
        <f>$C$62*AD62+$C$67*AD67</f>
        <v>6.1930882227521938E-2</v>
      </c>
      <c r="AE57" s="884">
        <f>$C$62*AE62+$C$67*AE67</f>
        <v>6.7380799863543867E-2</v>
      </c>
      <c r="AF57" s="885">
        <f>$C$62*AF62+$C$67*AF67</f>
        <v>7.4792687848533698E-2</v>
      </c>
      <c r="AG57" s="877"/>
      <c r="AH57" s="883">
        <f>$C$62*AH62+$C$67*AH67</f>
        <v>6.9463151001315981E-3</v>
      </c>
      <c r="AI57" s="884">
        <f>$C$62*AI62+$C$67*AI67</f>
        <v>7.5575908289431792E-3</v>
      </c>
      <c r="AJ57" s="885">
        <f>$C$62*AJ62+$C$67*AJ67</f>
        <v>8.3889258201269284E-3</v>
      </c>
      <c r="AK57" s="877"/>
      <c r="AL57" s="883">
        <f>$C$62*AL62+$C$67*AL67</f>
        <v>1.5839676387687809E-2</v>
      </c>
      <c r="AM57" s="884">
        <f>$C$62*AM62+$C$67*AM67</f>
        <v>5.6159200422688038E-3</v>
      </c>
      <c r="AN57" s="884">
        <f>$C$62*AN62+$C$67*AN67</f>
        <v>2.1455596429956612E-2</v>
      </c>
      <c r="AO57" s="884">
        <f>$C$62*AO62+$C$67*AO67</f>
        <v>2.3343688915792797E-2</v>
      </c>
      <c r="AP57" s="885">
        <f>$C$62*AP62+$C$67*AP67</f>
        <v>2.5911494696530004E-2</v>
      </c>
      <c r="AQ57" s="877"/>
      <c r="AR57" s="883">
        <f>$C$62*AR62+$C$67*AR67</f>
        <v>2.3256736247253568E-12</v>
      </c>
      <c r="AS57" s="884">
        <f>$C$62*AS62+$C$67*AS67</f>
        <v>2.5303329037011884E-12</v>
      </c>
      <c r="AT57" s="885">
        <f>$C$62*AT62+$C$67*AT67</f>
        <v>2.8086695231083192E-12</v>
      </c>
      <c r="AU57" s="877"/>
      <c r="AV57" s="883">
        <f>$C$62*AV62+$C$67*AV67</f>
        <v>3.9218435355226441E-4</v>
      </c>
      <c r="AW57" s="884">
        <f>$C$62*AW62+$C$67*AW67</f>
        <v>4.2669657666486371E-4</v>
      </c>
      <c r="AX57" s="885">
        <f>$C$62*AX62+$C$67*AX67</f>
        <v>4.7363320009799871E-4</v>
      </c>
      <c r="AY57" s="877"/>
      <c r="AZ57" s="883">
        <f>$C$62*AZ62+$C$67*AZ67</f>
        <v>2.7660880067544545E-3</v>
      </c>
      <c r="BA57" s="884">
        <f>$C$62*BA62+$C$67*BA67</f>
        <v>3.009503751348847E-3</v>
      </c>
      <c r="BB57" s="885">
        <f>$C$62*BB62+$C$67*BB67</f>
        <v>3.3405491639972203E-3</v>
      </c>
      <c r="BC57" s="877"/>
      <c r="BD57" s="883">
        <f>$C$62*BD62+$C$67*BD67</f>
        <v>0.2097046221297259</v>
      </c>
      <c r="BE57" s="885">
        <f>$C$62*BE62+$C$67*BE67</f>
        <v>0.23277213056399576</v>
      </c>
      <c r="BF57" s="183"/>
      <c r="BG57" s="183"/>
      <c r="BH57" s="183"/>
      <c r="BI57" s="183"/>
      <c r="BJ57" s="183"/>
      <c r="BK57" s="183"/>
      <c r="BL57" s="183"/>
      <c r="BM57" s="183"/>
      <c r="BN57" s="183"/>
      <c r="BO57" s="183"/>
      <c r="BP57" s="183"/>
      <c r="BQ57" s="183"/>
      <c r="BR57" s="183"/>
      <c r="BS57" s="183"/>
      <c r="BT57" s="183"/>
      <c r="BU57" s="183"/>
      <c r="BV57" s="183"/>
      <c r="CF57" s="29"/>
      <c r="CG57" s="29"/>
      <c r="CH57" s="29"/>
      <c r="CI57" s="29"/>
      <c r="CJ57" s="29"/>
      <c r="CK57" s="29"/>
      <c r="CL57" s="29"/>
      <c r="CM57" s="29"/>
      <c r="CN57" s="29"/>
      <c r="CO57" s="29"/>
      <c r="CP57" s="29"/>
      <c r="CQ57" s="29"/>
      <c r="CR57" s="29"/>
      <c r="CS57" s="29"/>
      <c r="CT57" s="29"/>
      <c r="CU57" s="29"/>
      <c r="CV57" s="29"/>
      <c r="CW57" s="29"/>
      <c r="CX57" s="29"/>
      <c r="CY57" s="29"/>
      <c r="CZ57" s="29"/>
      <c r="DA57" s="29"/>
      <c r="DB57" s="29"/>
      <c r="DC57" s="29"/>
      <c r="DD57" s="29"/>
      <c r="DE57" s="29"/>
      <c r="DF57" s="29"/>
      <c r="DG57" s="29"/>
      <c r="DH57" s="29"/>
      <c r="DI57" s="29"/>
      <c r="DJ57" s="29"/>
      <c r="DK57" s="29"/>
      <c r="DL57" s="29"/>
      <c r="DM57" s="29"/>
      <c r="DN57" s="29"/>
      <c r="DO57" s="29"/>
    </row>
    <row r="58" spans="1:119">
      <c r="A58" s="18"/>
      <c r="C58" s="64"/>
      <c r="E58" s="511" t="s">
        <v>317</v>
      </c>
      <c r="F58" s="928">
        <f t="shared" ref="F58:T58" si="12">$C$62*F63+$C$67*F68</f>
        <v>0.27400137385618489</v>
      </c>
      <c r="G58" s="877">
        <f t="shared" si="12"/>
        <v>1.0979968862617753</v>
      </c>
      <c r="H58" s="878">
        <f t="shared" si="12"/>
        <v>1.3599514938952095</v>
      </c>
      <c r="I58" s="877">
        <f t="shared" si="12"/>
        <v>0.76895302900602502</v>
      </c>
      <c r="J58" s="877">
        <f t="shared" si="12"/>
        <v>0</v>
      </c>
      <c r="K58" s="877">
        <f t="shared" si="12"/>
        <v>0</v>
      </c>
      <c r="L58" s="877">
        <f t="shared" si="12"/>
        <v>0</v>
      </c>
      <c r="M58" s="877">
        <f t="shared" si="12"/>
        <v>0</v>
      </c>
      <c r="N58" s="877">
        <f t="shared" si="12"/>
        <v>0.19867290447698532</v>
      </c>
      <c r="O58" s="877">
        <f t="shared" si="12"/>
        <v>7.532846937919957E-2</v>
      </c>
      <c r="P58" s="877">
        <f t="shared" si="12"/>
        <v>5.5042483399565363E-2</v>
      </c>
      <c r="Q58" s="877">
        <f t="shared" si="12"/>
        <v>0</v>
      </c>
      <c r="R58" s="877">
        <f t="shared" si="12"/>
        <v>1.0979968862617753</v>
      </c>
      <c r="S58" s="877">
        <f t="shared" si="12"/>
        <v>0.1</v>
      </c>
      <c r="T58" s="877">
        <f t="shared" si="12"/>
        <v>4.2278876170655552E-2</v>
      </c>
      <c r="U58" s="18"/>
      <c r="V58" s="879"/>
      <c r="W58" s="877"/>
      <c r="X58" s="886"/>
      <c r="Y58" s="877"/>
      <c r="Z58" s="879"/>
      <c r="AA58" s="877"/>
      <c r="AB58" s="886"/>
      <c r="AC58" s="877"/>
      <c r="AD58" s="879"/>
      <c r="AE58" s="877"/>
      <c r="AF58" s="886"/>
      <c r="AG58" s="877"/>
      <c r="AH58" s="879"/>
      <c r="AI58" s="877"/>
      <c r="AJ58" s="886"/>
      <c r="AK58" s="877"/>
      <c r="AL58" s="879"/>
      <c r="AM58" s="877"/>
      <c r="AN58" s="877"/>
      <c r="AO58" s="877"/>
      <c r="AP58" s="886"/>
      <c r="AQ58" s="877"/>
      <c r="AR58" s="879"/>
      <c r="AS58" s="877"/>
      <c r="AT58" s="886"/>
      <c r="AU58" s="877"/>
      <c r="AV58" s="879"/>
      <c r="AW58" s="877"/>
      <c r="AX58" s="886"/>
      <c r="AY58" s="877"/>
      <c r="AZ58" s="879"/>
      <c r="BA58" s="877"/>
      <c r="BB58" s="886"/>
      <c r="BC58" s="877"/>
      <c r="BD58" s="879"/>
      <c r="BE58" s="886"/>
      <c r="BF58" s="183"/>
      <c r="BG58" s="183"/>
      <c r="BH58" s="183"/>
      <c r="BI58" s="183"/>
      <c r="BJ58" s="183"/>
      <c r="BK58" s="183"/>
      <c r="BL58" s="183"/>
      <c r="BM58" s="183"/>
      <c r="BN58" s="183"/>
      <c r="BO58" s="183"/>
      <c r="BP58" s="183"/>
      <c r="BQ58" s="183"/>
      <c r="BR58" s="183"/>
      <c r="BS58" s="183"/>
      <c r="BT58" s="183"/>
      <c r="BU58" s="183"/>
      <c r="BV58" s="183"/>
    </row>
    <row r="59" spans="1:119">
      <c r="A59" s="195"/>
      <c r="B59" s="135"/>
      <c r="C59" s="595"/>
      <c r="D59" s="50"/>
      <c r="E59" s="511" t="s">
        <v>321</v>
      </c>
      <c r="F59" s="928">
        <f t="shared" ref="F59:H61" si="13">$C$62*F64+$C$67*F69</f>
        <v>2.0498852811871599E-3</v>
      </c>
      <c r="G59" s="877">
        <f t="shared" si="13"/>
        <v>2.0498852811871599E-3</v>
      </c>
      <c r="H59" s="878">
        <f t="shared" si="13"/>
        <v>2.2476812293718861E-3</v>
      </c>
      <c r="I59" s="877">
        <f>$C$62*I65+$C$67*I70</f>
        <v>6.2910345848146319E-4</v>
      </c>
      <c r="J59" s="877">
        <f>$C$62*J65+$C$67*J70</f>
        <v>0</v>
      </c>
      <c r="K59" s="877">
        <f t="shared" ref="K59:T59" si="14">$C$62*K64+$C$67*K69</f>
        <v>2.0498852811871599E-3</v>
      </c>
      <c r="L59" s="877">
        <f t="shared" si="14"/>
        <v>0</v>
      </c>
      <c r="M59" s="877">
        <f t="shared" si="14"/>
        <v>0</v>
      </c>
      <c r="N59" s="877">
        <f t="shared" si="14"/>
        <v>0</v>
      </c>
      <c r="O59" s="877">
        <f t="shared" si="14"/>
        <v>0</v>
      </c>
      <c r="P59" s="877">
        <f t="shared" si="14"/>
        <v>0</v>
      </c>
      <c r="Q59" s="877">
        <f t="shared" si="14"/>
        <v>0</v>
      </c>
      <c r="R59" s="877">
        <f t="shared" si="14"/>
        <v>2.0498852811871599E-3</v>
      </c>
      <c r="S59" s="877">
        <f t="shared" si="14"/>
        <v>0</v>
      </c>
      <c r="T59" s="877">
        <f t="shared" si="14"/>
        <v>0</v>
      </c>
      <c r="U59" s="18"/>
      <c r="V59" s="879"/>
      <c r="W59" s="877"/>
      <c r="X59" s="886"/>
      <c r="Y59" s="877"/>
      <c r="Z59" s="879"/>
      <c r="AA59" s="877"/>
      <c r="AB59" s="886"/>
      <c r="AC59" s="1204"/>
      <c r="AD59" s="879"/>
      <c r="AE59" s="877"/>
      <c r="AF59" s="886"/>
      <c r="AG59" s="877"/>
      <c r="AH59" s="879"/>
      <c r="AI59" s="877"/>
      <c r="AJ59" s="886"/>
      <c r="AK59" s="877"/>
      <c r="AL59" s="879"/>
      <c r="AM59" s="877"/>
      <c r="AN59" s="877"/>
      <c r="AO59" s="877"/>
      <c r="AP59" s="886"/>
      <c r="AQ59" s="877"/>
      <c r="AR59" s="879"/>
      <c r="AS59" s="877"/>
      <c r="AT59" s="886"/>
      <c r="AU59" s="877"/>
      <c r="AV59" s="879"/>
      <c r="AW59" s="877"/>
      <c r="AX59" s="886"/>
      <c r="AY59" s="877"/>
      <c r="AZ59" s="879"/>
      <c r="BA59" s="877"/>
      <c r="BB59" s="886"/>
      <c r="BC59" s="877"/>
      <c r="BD59" s="879"/>
      <c r="BE59" s="886"/>
      <c r="BF59" s="183"/>
      <c r="BG59" s="183"/>
      <c r="BH59" s="183"/>
      <c r="BI59" s="183"/>
      <c r="BJ59" s="183"/>
      <c r="BK59" s="183"/>
      <c r="BL59" s="183"/>
      <c r="BM59" s="183"/>
      <c r="BN59" s="183"/>
      <c r="BO59" s="183"/>
      <c r="BP59" s="183"/>
      <c r="BQ59" s="183"/>
      <c r="BR59" s="183"/>
      <c r="BS59" s="183"/>
      <c r="BT59" s="183"/>
      <c r="BU59" s="183"/>
      <c r="BV59" s="183"/>
    </row>
    <row r="60" spans="1:119">
      <c r="A60" s="195"/>
      <c r="B60" s="135"/>
      <c r="C60" s="595"/>
      <c r="D60" s="50"/>
      <c r="E60" s="511" t="s">
        <v>319</v>
      </c>
      <c r="F60" s="928">
        <f t="shared" si="13"/>
        <v>0</v>
      </c>
      <c r="G60" s="877">
        <f t="shared" si="13"/>
        <v>6.2910345848146319E-4</v>
      </c>
      <c r="H60" s="878">
        <f t="shared" si="13"/>
        <v>6.8980642377353422E-4</v>
      </c>
      <c r="I60" s="877">
        <f>$C$62*I66+$C$67*I71</f>
        <v>6.5286095524235202E-4</v>
      </c>
      <c r="J60" s="877">
        <f>$C$62*J66+$C$67*J71</f>
        <v>1.6501693495063416E-3</v>
      </c>
      <c r="K60" s="877">
        <f t="shared" ref="K60:T60" si="15">$C$62*K65+$C$67*K70</f>
        <v>0</v>
      </c>
      <c r="L60" s="877">
        <f t="shared" si="15"/>
        <v>0</v>
      </c>
      <c r="M60" s="877">
        <f t="shared" si="15"/>
        <v>0</v>
      </c>
      <c r="N60" s="877">
        <f t="shared" si="15"/>
        <v>0</v>
      </c>
      <c r="O60" s="877">
        <f t="shared" si="15"/>
        <v>0</v>
      </c>
      <c r="P60" s="877">
        <f t="shared" si="15"/>
        <v>0</v>
      </c>
      <c r="Q60" s="877">
        <f t="shared" si="15"/>
        <v>0</v>
      </c>
      <c r="R60" s="877">
        <f t="shared" si="15"/>
        <v>6.2910345848146319E-4</v>
      </c>
      <c r="S60" s="877">
        <f t="shared" si="15"/>
        <v>0</v>
      </c>
      <c r="T60" s="877">
        <f t="shared" si="15"/>
        <v>0</v>
      </c>
      <c r="U60" s="18"/>
      <c r="V60" s="879"/>
      <c r="W60" s="877"/>
      <c r="X60" s="886"/>
      <c r="Y60" s="877"/>
      <c r="Z60" s="879"/>
      <c r="AA60" s="877"/>
      <c r="AB60" s="886"/>
      <c r="AC60" s="877"/>
      <c r="AD60" s="879"/>
      <c r="AE60" s="877"/>
      <c r="AF60" s="886"/>
      <c r="AG60" s="877"/>
      <c r="AH60" s="879"/>
      <c r="AI60" s="877"/>
      <c r="AJ60" s="886"/>
      <c r="AK60" s="877"/>
      <c r="AL60" s="879"/>
      <c r="AM60" s="877"/>
      <c r="AN60" s="877"/>
      <c r="AO60" s="877"/>
      <c r="AP60" s="886"/>
      <c r="AQ60" s="877"/>
      <c r="AR60" s="879"/>
      <c r="AS60" s="877"/>
      <c r="AT60" s="886"/>
      <c r="AU60" s="877"/>
      <c r="AV60" s="879"/>
      <c r="AW60" s="877"/>
      <c r="AX60" s="886"/>
      <c r="AY60" s="877"/>
      <c r="AZ60" s="879"/>
      <c r="BA60" s="877"/>
      <c r="BB60" s="886"/>
      <c r="BC60" s="877"/>
      <c r="BD60" s="879"/>
      <c r="BE60" s="886"/>
      <c r="BF60" s="183"/>
      <c r="BG60" s="183"/>
      <c r="BH60" s="183"/>
      <c r="BI60" s="183"/>
      <c r="BJ60" s="183"/>
      <c r="BK60" s="183"/>
      <c r="BL60" s="183"/>
      <c r="BM60" s="183"/>
      <c r="BN60" s="183"/>
      <c r="BO60" s="183"/>
      <c r="BP60" s="183"/>
      <c r="BQ60" s="183"/>
      <c r="BR60" s="183"/>
      <c r="BS60" s="183"/>
      <c r="BT60" s="183"/>
      <c r="BU60" s="183"/>
      <c r="BV60" s="183"/>
    </row>
    <row r="61" spans="1:119">
      <c r="A61" s="195"/>
      <c r="B61" s="135"/>
      <c r="C61" s="83"/>
      <c r="D61" s="54"/>
      <c r="E61" s="512" t="s">
        <v>320</v>
      </c>
      <c r="F61" s="928">
        <f t="shared" si="13"/>
        <v>2.27268954707342E-3</v>
      </c>
      <c r="G61" s="877">
        <f t="shared" si="13"/>
        <v>2.9255505023157722E-3</v>
      </c>
      <c r="H61" s="878">
        <f t="shared" si="13"/>
        <v>3.2078404630655399E-3</v>
      </c>
      <c r="I61" s="877">
        <f>$C$62*I66+$C$67*I71</f>
        <v>6.5286095524235202E-4</v>
      </c>
      <c r="J61" s="877">
        <f>$C$62*J66+$C$67*J71</f>
        <v>1.6501693495063416E-3</v>
      </c>
      <c r="K61" s="877">
        <f t="shared" ref="K61:T61" si="16">$C$62*K66+$C$67*K71</f>
        <v>4.3862412284306795E-4</v>
      </c>
      <c r="L61" s="877">
        <f t="shared" si="16"/>
        <v>1.8389607472401047E-4</v>
      </c>
      <c r="M61" s="877">
        <f t="shared" si="16"/>
        <v>0</v>
      </c>
      <c r="N61" s="877">
        <f t="shared" si="16"/>
        <v>0</v>
      </c>
      <c r="O61" s="877">
        <f t="shared" si="16"/>
        <v>0</v>
      </c>
      <c r="P61" s="877">
        <f t="shared" si="16"/>
        <v>0</v>
      </c>
      <c r="Q61" s="877">
        <f t="shared" si="16"/>
        <v>0</v>
      </c>
      <c r="R61" s="877">
        <f t="shared" si="16"/>
        <v>2.9255505023157722E-3</v>
      </c>
      <c r="S61" s="877">
        <f t="shared" si="16"/>
        <v>0</v>
      </c>
      <c r="T61" s="877">
        <f t="shared" si="16"/>
        <v>0</v>
      </c>
      <c r="U61" s="18"/>
      <c r="V61" s="879"/>
      <c r="W61" s="877"/>
      <c r="X61" s="886"/>
      <c r="Y61" s="877"/>
      <c r="Z61" s="879"/>
      <c r="AA61" s="877"/>
      <c r="AB61" s="886"/>
      <c r="AC61" s="877"/>
      <c r="AD61" s="879"/>
      <c r="AE61" s="877"/>
      <c r="AF61" s="886"/>
      <c r="AG61" s="877"/>
      <c r="AH61" s="879"/>
      <c r="AI61" s="877"/>
      <c r="AJ61" s="886"/>
      <c r="AK61" s="877"/>
      <c r="AL61" s="879"/>
      <c r="AM61" s="877"/>
      <c r="AN61" s="877"/>
      <c r="AO61" s="877"/>
      <c r="AP61" s="886"/>
      <c r="AQ61" s="877"/>
      <c r="AR61" s="879"/>
      <c r="AS61" s="877"/>
      <c r="AT61" s="886"/>
      <c r="AU61" s="877"/>
      <c r="AV61" s="879"/>
      <c r="AW61" s="877"/>
      <c r="AX61" s="886"/>
      <c r="AY61" s="877"/>
      <c r="AZ61" s="879"/>
      <c r="BA61" s="877"/>
      <c r="BB61" s="886"/>
      <c r="BC61" s="877"/>
      <c r="BD61" s="879"/>
      <c r="BE61" s="886"/>
      <c r="BF61" s="183"/>
      <c r="BG61" s="183"/>
      <c r="BH61" s="183"/>
      <c r="BI61" s="183"/>
      <c r="BJ61" s="183"/>
      <c r="BK61" s="183"/>
      <c r="BL61" s="183"/>
      <c r="BM61" s="183"/>
      <c r="BN61" s="183"/>
      <c r="BO61" s="183"/>
      <c r="BP61" s="183"/>
      <c r="BQ61" s="183"/>
      <c r="BR61" s="183"/>
      <c r="BS61" s="183"/>
      <c r="BT61" s="183"/>
      <c r="BU61" s="183"/>
      <c r="BV61" s="183"/>
    </row>
    <row r="62" spans="1:119">
      <c r="A62" s="108" t="s">
        <v>122</v>
      </c>
      <c r="B62" s="93" t="s">
        <v>198</v>
      </c>
      <c r="C62" s="903">
        <f>'Input data meat and eggs'!D22</f>
        <v>0.93860561914672225</v>
      </c>
      <c r="D62" s="26"/>
      <c r="E62" s="513" t="s">
        <v>316</v>
      </c>
      <c r="F62" s="930">
        <f>SUMPRODUCT($CA$7:$CA$10,F63:F66)</f>
        <v>0.81317249914587142</v>
      </c>
      <c r="G62" s="872">
        <f>SUMPRODUCT($CA$7:$CA$10,G63:G66)</f>
        <v>1.7814949169782275</v>
      </c>
      <c r="H62" s="873">
        <f>SUMPRODUCT($CA$7:$CA$10,H63:H66)</f>
        <v>2.0959374089673548</v>
      </c>
      <c r="I62" s="884"/>
      <c r="J62" s="884"/>
      <c r="K62" s="884"/>
      <c r="L62" s="884"/>
      <c r="M62" s="884"/>
      <c r="N62" s="884"/>
      <c r="O62" s="884"/>
      <c r="P62" s="884"/>
      <c r="Q62" s="884"/>
      <c r="R62" s="884"/>
      <c r="S62" s="884"/>
      <c r="T62" s="884"/>
      <c r="U62" s="18"/>
      <c r="V62" s="879">
        <f>'Input data meat and eggs'!$B355*(SUMPRODUCT('Input data meat and eggs'!$D$74:$D$75,'Input data meat and eggs'!E$35:E$36)+'Input data meat and eggs'!$D$76*SUMPRODUCT('Input data meat and eggs'!$D$77:$D$86,'Input data meat and eggs'!E$37:E$46))</f>
        <v>4.6452620537407379</v>
      </c>
      <c r="W62" s="1185">
        <f>V62+V62*'Common input data'!$B$145</f>
        <v>5.0540451144699228</v>
      </c>
      <c r="X62" s="1221">
        <f>W62+W62*'Common input data'!$B$179</f>
        <v>5.6099900770616138</v>
      </c>
      <c r="Y62" s="877"/>
      <c r="Z62" s="879"/>
      <c r="AA62" s="877"/>
      <c r="AB62" s="886"/>
      <c r="AC62" s="877"/>
      <c r="AD62" s="879">
        <f>'Input data meat and eggs'!$B355*(SUMPRODUCT('Input data meat and eggs'!$D$74:$D$75,'Input data meat and eggs'!G$35:G$36)+'Input data meat and eggs'!$D$76*SUMPRODUCT('Input data meat and eggs'!$D$77:$D$86,'Input data meat and eggs'!G$37:G$46))</f>
        <v>6.1930882227521938E-2</v>
      </c>
      <c r="AE62" s="1185">
        <f>AD62+AD62*'Common input data'!$B$145</f>
        <v>6.7380799863543867E-2</v>
      </c>
      <c r="AF62" s="1221">
        <f>AE62+AE62*'Common input data'!$B$179</f>
        <v>7.4792687848533698E-2</v>
      </c>
      <c r="AG62" s="877"/>
      <c r="AH62" s="879">
        <f>'Input data meat and eggs'!$B355*(SUMPRODUCT('Input data meat and eggs'!$D$74:$D$75,'Input data meat and eggs'!H$35:H$36)+'Input data meat and eggs'!$D$76*SUMPRODUCT('Input data meat and eggs'!$D$77:$D$86,'Input data meat and eggs'!H$37:H$46))</f>
        <v>6.9463151001315981E-3</v>
      </c>
      <c r="AI62" s="1185">
        <f>AH62+AH62*'Common input data'!$B$145</f>
        <v>7.5575908289431792E-3</v>
      </c>
      <c r="AJ62" s="1221">
        <f>AI62+AI62*'Common input data'!$B$179</f>
        <v>8.3889258201269284E-3</v>
      </c>
      <c r="AK62" s="877"/>
      <c r="AL62" s="879">
        <f>'Input data meat and eggs'!$B355*(SUMPRODUCT('Input data meat and eggs'!$D$74:$D$75,'Input data meat and eggs'!I$35:I$36)+'Input data meat and eggs'!$D$76*SUMPRODUCT('Input data meat and eggs'!$D$77:$D$86,'Input data meat and eggs'!I$37:I$46))</f>
        <v>1.5839676387687809E-2</v>
      </c>
      <c r="AM62" s="877">
        <f>'Input data meat and eggs'!D54</f>
        <v>5.6159200422688038E-3</v>
      </c>
      <c r="AN62" s="877">
        <f>SUM(AL62:AM62)</f>
        <v>2.1455596429956612E-2</v>
      </c>
      <c r="AO62" s="1185">
        <f>AN62+AN62*'Common input data'!$B$145</f>
        <v>2.3343688915792797E-2</v>
      </c>
      <c r="AP62" s="1221">
        <f>AO62+AO62*'Common input data'!$B$179</f>
        <v>2.5911494696530004E-2</v>
      </c>
      <c r="AQ62" s="877"/>
      <c r="AR62" s="879">
        <f>('Input data meat and eggs'!$B355*(SUMPRODUCT('Input data meat and eggs'!$D$74:$D$75,'Input data meat and eggs'!J$35:J$36)+'Input data meat and eggs'!$D$76*SUMPRODUCT('Input data meat and eggs'!$D$77:$D$86,'Input data meat and eggs'!J$37:J$46)))/$AS$3</f>
        <v>2.3256736247253568E-12</v>
      </c>
      <c r="AS62" s="1185">
        <f>AR62+AR62*'Common input data'!$B$145</f>
        <v>2.5303329037011884E-12</v>
      </c>
      <c r="AT62" s="1221">
        <f>AS62+AS62*'Common input data'!$B$179</f>
        <v>2.8086695231083192E-12</v>
      </c>
      <c r="AU62" s="877"/>
      <c r="AV62" s="879">
        <f>'Input data meat and eggs'!$B355*(SUMPRODUCT('Input data meat and eggs'!$D$74:$D$75,'Input data meat and eggs'!P$35:P$36)+'Input data meat and eggs'!$D$76*SUMPRODUCT('Input data meat and eggs'!$D$77:$D$86,'Input data meat and eggs'!P$37:P$46))</f>
        <v>3.9218435355226441E-4</v>
      </c>
      <c r="AW62" s="1185">
        <f>AV62+AV62*'Common input data'!$B$145</f>
        <v>4.2669657666486371E-4</v>
      </c>
      <c r="AX62" s="1221">
        <f>AW62+AW62*'Common input data'!$B$179</f>
        <v>4.7363320009799871E-4</v>
      </c>
      <c r="AY62" s="877"/>
      <c r="AZ62" s="879">
        <f>'Input data meat and eggs'!$B355*(SUMPRODUCT('Input data meat and eggs'!$D$74:$D$75,'Input data meat and eggs'!W$35:W$36)+'Input data meat and eggs'!$D$76*SUMPRODUCT('Input data meat and eggs'!$D$77:$D$86,'Input data meat and eggs'!W$37:W$46))</f>
        <v>2.7660880067544549E-3</v>
      </c>
      <c r="BA62" s="1185">
        <f>AZ62+AZ62*'Common input data'!$B$145</f>
        <v>3.009503751348847E-3</v>
      </c>
      <c r="BB62" s="1221">
        <f>BA62+BA62*'Common input data'!$B$179</f>
        <v>3.3405491639972203E-3</v>
      </c>
      <c r="BC62" s="877"/>
      <c r="BD62" s="1220">
        <f>'Common input data'!C202+'Common input data'!C202*'Common input data'!$B$145</f>
        <v>0.15580160000000001</v>
      </c>
      <c r="BE62" s="1221">
        <f>BD62+BD62*'Common input data'!$B$179</f>
        <v>0.17293977600000002</v>
      </c>
      <c r="BF62" s="183"/>
      <c r="BG62" s="189"/>
      <c r="BH62" s="189"/>
      <c r="BI62" s="266"/>
      <c r="BJ62" s="183"/>
      <c r="BK62" s="189"/>
      <c r="BL62" s="189"/>
      <c r="BM62" s="266"/>
      <c r="BN62" s="183"/>
      <c r="BO62" s="183"/>
      <c r="BP62" s="183"/>
      <c r="BQ62" s="183"/>
      <c r="BR62" s="183"/>
      <c r="BS62" s="183"/>
      <c r="BT62" s="183"/>
      <c r="BU62" s="183"/>
      <c r="BV62" s="183"/>
    </row>
    <row r="63" spans="1:119" s="177" customFormat="1">
      <c r="A63" s="1353"/>
      <c r="B63" s="1346"/>
      <c r="C63" s="1350"/>
      <c r="E63" s="1354" t="s">
        <v>317</v>
      </c>
      <c r="F63" s="1355">
        <f>IF(AND($G$2="No",$G$3="No"),SUM(J63:M63),IF(AND($G$2="Yes", $G$3="No"), SUM(J63:M63)+O63, IF(AND($G$2="No", $G$3="Yes"),SUM(J63:M63)+N63, SUM(J63:M63)+O63+N63)))</f>
        <v>0.27400137385618489</v>
      </c>
      <c r="G63" s="1248">
        <f>IF(AND($G$2="No",$G$3="No"),SUM(I63:M63,P63),IF(AND($G$2="Yes", $G$3="No"), SUM(I63:M63,P63)+O63, IF(AND($G$2="No", $G$3="Yes"),SUM(I63:M63,P63)+N63, SUM(I63:M63,P63)+O63+N63)))</f>
        <v>1.0872504028622099</v>
      </c>
      <c r="H63" s="1356">
        <f>SUM(R63:T63)/(1-'Common input data'!B$145)</f>
        <v>1.3347043891033006</v>
      </c>
      <c r="I63" s="1248">
        <f>'Input data meat and eggs'!$B$355*(('Input data meat and eggs'!D74*'Input data meat and eggs'!B35)+('Input data meat and eggs'!D75*'Input data meat and eggs'!B36)+('Input data meat and eggs'!D76*(SUMPRODUCT('Input data meat and eggs'!D77:'Input data meat and eggs'!D86,'Input data meat and eggs'!B37:'Input data meat and eggs'!B46))))*'Input data meat and eggs'!B68</f>
        <v>0.76895302900602502</v>
      </c>
      <c r="J63" s="1248">
        <f>'Input data meat and eggs'!$B$355*(('Input data meat and eggs'!D74*'Input data meat and eggs'!B35)+('Input data meat and eggs'!D75*'Input data meat and eggs'!B36)+('Input data meat and eggs'!D76*(SUMPRODUCT('Input data meat and eggs'!D77:'Input data meat and eggs'!D86,'Input data meat and eggs'!B37:'Input data meat and eggs'!B46))))*'Input data meat and eggs'!C68</f>
        <v>0</v>
      </c>
      <c r="K63" s="1248">
        <v>0</v>
      </c>
      <c r="L63" s="1248">
        <v>0</v>
      </c>
      <c r="M63" s="1248">
        <v>0</v>
      </c>
      <c r="N63" s="1248">
        <f>'Input data meat and eggs'!B355*(('Input data meat and eggs'!D74+'Input data meat and eggs'!D75)*'Common input data'!B19)+('Input data meat and eggs'!D76*('Input data meat and eggs'!D77*'Common input data'!B19*'Common input data'!G42/'Common input data'!F42+'Input data meat and eggs'!D80*'Common input data'!D19+'Input data meat and eggs'!D81*'Common input data'!D19*'Common input data'!G40/'Common input data'!F40+'Input data meat and eggs'!D83*'Common input data'!C19*'Common input data'!G44/'Common input data'!F44+'Input data meat and eggs'!D84*'Common input data'!C19))</f>
        <v>0.19867290447698532</v>
      </c>
      <c r="O63" s="1248">
        <f>'Input data meat and eggs'!B355*'Input data meat and eggs'!D76*'Input data meat and eggs'!D83*'Common input data'!AR27*'Common input data'!G44/'Common input data'!F44</f>
        <v>7.532846937919957E-2</v>
      </c>
      <c r="P63" s="1248">
        <f>'Input data meat and eggs'!B93*'Common input data'!B80</f>
        <v>4.4296000000000002E-2</v>
      </c>
      <c r="Q63" s="1248">
        <v>0</v>
      </c>
      <c r="R63" s="1248">
        <f>(G63+Q63)</f>
        <v>1.0872504028622099</v>
      </c>
      <c r="S63" s="1248">
        <f>'Common input data'!B109</f>
        <v>0.1</v>
      </c>
      <c r="T63" s="1248">
        <f>'Common input data'!C115</f>
        <v>0.03</v>
      </c>
      <c r="U63" s="1357"/>
      <c r="V63" s="1358"/>
      <c r="W63" s="1248"/>
      <c r="X63" s="1249"/>
      <c r="Y63" s="1248"/>
      <c r="Z63" s="1358"/>
      <c r="AA63" s="1248"/>
      <c r="AB63" s="1249"/>
      <c r="AC63" s="1248"/>
      <c r="AD63" s="1358"/>
      <c r="AE63" s="1248"/>
      <c r="AF63" s="1249"/>
      <c r="AG63" s="1248"/>
      <c r="AH63" s="1358"/>
      <c r="AI63" s="1248"/>
      <c r="AJ63" s="1249"/>
      <c r="AK63" s="1248"/>
      <c r="AL63" s="1358"/>
      <c r="AM63" s="1248"/>
      <c r="AN63" s="1248"/>
      <c r="AO63" s="1248"/>
      <c r="AP63" s="1249"/>
      <c r="AQ63" s="1248"/>
      <c r="AR63" s="1358"/>
      <c r="AS63" s="1248"/>
      <c r="AT63" s="1249"/>
      <c r="AU63" s="1248"/>
      <c r="AV63" s="1358"/>
      <c r="AW63" s="1248"/>
      <c r="AX63" s="1249"/>
      <c r="AY63" s="1248"/>
      <c r="AZ63" s="1358"/>
      <c r="BA63" s="1248"/>
      <c r="BB63" s="1249"/>
      <c r="BC63" s="1248"/>
      <c r="BD63" s="1358"/>
      <c r="BE63" s="1249"/>
      <c r="BF63" s="1359"/>
      <c r="BG63" s="1359"/>
      <c r="BH63" s="293"/>
      <c r="BI63" s="293"/>
      <c r="BJ63" s="1359"/>
      <c r="BK63" s="293"/>
      <c r="BL63" s="293"/>
      <c r="BM63" s="293"/>
      <c r="BN63" s="1359"/>
      <c r="BO63" s="1359"/>
      <c r="BP63" s="1359"/>
      <c r="BQ63" s="1359"/>
      <c r="BR63" s="1359"/>
      <c r="BS63" s="1359"/>
      <c r="BT63" s="1359"/>
      <c r="BU63" s="1359"/>
      <c r="BV63" s="1359"/>
    </row>
    <row r="64" spans="1:119">
      <c r="A64" s="68"/>
      <c r="C64" s="595"/>
      <c r="D64" s="50"/>
      <c r="E64" s="511" t="s">
        <v>321</v>
      </c>
      <c r="F64" s="928">
        <f>SUM(J64:M64)</f>
        <v>2.0498852811871599E-3</v>
      </c>
      <c r="G64" s="877">
        <f>SUM(I64:M64,P64)</f>
        <v>2.0498852811871599E-3</v>
      </c>
      <c r="H64" s="878">
        <f>SUM(R64:T64)/(1-'Common input data'!B$145)</f>
        <v>2.2476812293718861E-3</v>
      </c>
      <c r="I64" s="877">
        <v>0</v>
      </c>
      <c r="J64" s="877">
        <v>0</v>
      </c>
      <c r="K64" s="877">
        <f>'Input data meat and eggs'!B376/'Input data meat and eggs'!B347</f>
        <v>2.0498852811871599E-3</v>
      </c>
      <c r="L64" s="877">
        <v>0</v>
      </c>
      <c r="M64" s="877">
        <v>0</v>
      </c>
      <c r="N64" s="877">
        <v>0</v>
      </c>
      <c r="O64" s="877">
        <v>0</v>
      </c>
      <c r="P64" s="877">
        <v>0</v>
      </c>
      <c r="Q64" s="877">
        <v>0</v>
      </c>
      <c r="R64" s="877">
        <f>(G64+Q64)</f>
        <v>2.0498852811871599E-3</v>
      </c>
      <c r="S64" s="877">
        <v>0</v>
      </c>
      <c r="T64" s="877">
        <v>0</v>
      </c>
      <c r="U64" s="18"/>
      <c r="V64" s="879"/>
      <c r="W64" s="877"/>
      <c r="X64" s="886"/>
      <c r="Y64" s="877"/>
      <c r="Z64" s="879"/>
      <c r="AA64" s="877"/>
      <c r="AB64" s="886"/>
      <c r="AC64" s="877"/>
      <c r="AD64" s="879"/>
      <c r="AE64" s="877"/>
      <c r="AF64" s="886"/>
      <c r="AG64" s="877"/>
      <c r="AH64" s="879"/>
      <c r="AI64" s="877"/>
      <c r="AJ64" s="886"/>
      <c r="AK64" s="877"/>
      <c r="AL64" s="879"/>
      <c r="AM64" s="877"/>
      <c r="AN64" s="877"/>
      <c r="AO64" s="877"/>
      <c r="AP64" s="886"/>
      <c r="AQ64" s="877"/>
      <c r="AR64" s="879"/>
      <c r="AS64" s="877"/>
      <c r="AT64" s="886"/>
      <c r="AU64" s="877"/>
      <c r="AV64" s="879"/>
      <c r="AW64" s="877"/>
      <c r="AX64" s="886"/>
      <c r="AY64" s="877"/>
      <c r="AZ64" s="879"/>
      <c r="BA64" s="877"/>
      <c r="BB64" s="886"/>
      <c r="BC64" s="877"/>
      <c r="BD64" s="879"/>
      <c r="BE64" s="886"/>
      <c r="BF64" s="183"/>
      <c r="BG64" s="183"/>
      <c r="BH64" s="183"/>
      <c r="BI64" s="183"/>
      <c r="BJ64" s="183"/>
      <c r="BK64" s="183"/>
      <c r="BL64" s="183"/>
      <c r="BM64" s="183"/>
      <c r="BN64" s="183"/>
      <c r="BO64" s="183"/>
      <c r="BP64" s="183"/>
      <c r="BQ64" s="183"/>
      <c r="BR64" s="183"/>
      <c r="BS64" s="183"/>
      <c r="BT64" s="183"/>
      <c r="BU64" s="183"/>
      <c r="BV64" s="183"/>
    </row>
    <row r="65" spans="1:74">
      <c r="A65" s="68"/>
      <c r="C65" s="595"/>
      <c r="D65" s="50"/>
      <c r="E65" s="511" t="s">
        <v>319</v>
      </c>
      <c r="F65" s="928">
        <f>SUM(J65:M65)</f>
        <v>0</v>
      </c>
      <c r="G65" s="877">
        <f>SUM(I65:M65,P65)</f>
        <v>6.2910345848146319E-4</v>
      </c>
      <c r="H65" s="878">
        <f>SUM(R65:T65)/(1-'Common input data'!B$145)</f>
        <v>6.8980642377353422E-4</v>
      </c>
      <c r="I65" s="877">
        <f>'Input data meat and eggs'!$B$355*(('Input data meat and eggs'!D74*'Input data meat and eggs'!C35)+('Input data meat and eggs'!D75*'Input data meat and eggs'!C36)+('Input data meat and eggs'!D76*(SUMPRODUCT('Input data meat and eggs'!D77:'Input data meat and eggs'!D86,'Input data meat and eggs'!C37:'Input data meat and eggs'!C46))))*'Input data meat and eggs'!B69</f>
        <v>6.2910345848146319E-4</v>
      </c>
      <c r="J65" s="877">
        <f>'Input data meat and eggs'!$B$355*(('Input data meat and eggs'!D74*'Input data meat and eggs'!C35)+('Input data meat and eggs'!D75*'Input data meat and eggs'!C36)+('Input data meat and eggs'!D76*(SUMPRODUCT('Input data meat and eggs'!D77:'Input data meat and eggs'!D86,'Input data meat and eggs'!C37:'Input data meat and eggs'!C46))))*'Input data meat and eggs'!C69</f>
        <v>0</v>
      </c>
      <c r="K65" s="877">
        <v>0</v>
      </c>
      <c r="L65" s="877">
        <v>0</v>
      </c>
      <c r="M65" s="877">
        <v>0</v>
      </c>
      <c r="N65" s="877">
        <v>0</v>
      </c>
      <c r="O65" s="877">
        <v>0</v>
      </c>
      <c r="P65" s="877">
        <v>0</v>
      </c>
      <c r="Q65" s="877">
        <v>0</v>
      </c>
      <c r="R65" s="877">
        <f>(G65+Q65)</f>
        <v>6.2910345848146319E-4</v>
      </c>
      <c r="S65" s="877">
        <v>0</v>
      </c>
      <c r="T65" s="877">
        <v>0</v>
      </c>
      <c r="U65" s="18"/>
      <c r="V65" s="879"/>
      <c r="W65" s="877"/>
      <c r="X65" s="886"/>
      <c r="Y65" s="877"/>
      <c r="Z65" s="879"/>
      <c r="AA65" s="877"/>
      <c r="AB65" s="886"/>
      <c r="AC65" s="877"/>
      <c r="AD65" s="879"/>
      <c r="AE65" s="877"/>
      <c r="AF65" s="886"/>
      <c r="AG65" s="877"/>
      <c r="AH65" s="879"/>
      <c r="AI65" s="877"/>
      <c r="AJ65" s="886"/>
      <c r="AK65" s="877"/>
      <c r="AL65" s="879"/>
      <c r="AM65" s="877"/>
      <c r="AN65" s="877"/>
      <c r="AO65" s="877"/>
      <c r="AP65" s="886"/>
      <c r="AQ65" s="877"/>
      <c r="AR65" s="879"/>
      <c r="AS65" s="877"/>
      <c r="AT65" s="886"/>
      <c r="AU65" s="877"/>
      <c r="AV65" s="879"/>
      <c r="AW65" s="877"/>
      <c r="AX65" s="886"/>
      <c r="AY65" s="877"/>
      <c r="AZ65" s="879"/>
      <c r="BA65" s="877"/>
      <c r="BB65" s="886"/>
      <c r="BC65" s="877"/>
      <c r="BD65" s="879"/>
      <c r="BE65" s="886"/>
      <c r="BF65" s="183"/>
      <c r="BG65" s="183"/>
      <c r="BH65" s="183"/>
      <c r="BI65" s="183"/>
      <c r="BJ65" s="183"/>
      <c r="BK65" s="183"/>
      <c r="BL65" s="183"/>
      <c r="BM65" s="183"/>
      <c r="BN65" s="183"/>
      <c r="BO65" s="183"/>
      <c r="BP65" s="183"/>
      <c r="BQ65" s="183"/>
      <c r="BR65" s="183"/>
      <c r="BS65" s="183"/>
      <c r="BT65" s="183"/>
      <c r="BU65" s="183"/>
      <c r="BV65" s="183"/>
    </row>
    <row r="66" spans="1:74">
      <c r="A66" s="359"/>
      <c r="B66" s="360"/>
      <c r="C66" s="83"/>
      <c r="D66" s="54"/>
      <c r="E66" s="512" t="s">
        <v>320</v>
      </c>
      <c r="F66" s="928">
        <f>SUM(J66:M66)</f>
        <v>2.27268954707342E-3</v>
      </c>
      <c r="G66" s="877">
        <f>SUM(I66:M66,P66)</f>
        <v>2.9255505023157722E-3</v>
      </c>
      <c r="H66" s="878">
        <f>SUM(R66:T66)/(1-'Common input data'!B$145)</f>
        <v>3.2078404630655399E-3</v>
      </c>
      <c r="I66" s="877">
        <f>'Input data meat and eggs'!$B$355*(('Input data meat and eggs'!D74*'Input data meat and eggs'!D35)+('Input data meat and eggs'!D75*'Input data meat and eggs'!D36)+('Input data meat and eggs'!D76*(SUMPRODUCT('Input data meat and eggs'!D77:'Input data meat and eggs'!D86,'Input data meat and eggs'!D37:'Input data meat and eggs'!D46))))*'Input data meat and eggs'!B70</f>
        <v>6.5286095524235202E-4</v>
      </c>
      <c r="J66" s="877">
        <f>'Input data meat and eggs'!$B$355*(('Input data meat and eggs'!D74*'Input data meat and eggs'!D35)+('Input data meat and eggs'!D75*'Input data meat and eggs'!D36)+('Input data meat and eggs'!D76*(SUMPRODUCT('Input data meat and eggs'!D77:'Input data meat and eggs'!D86,'Input data meat and eggs'!D37:'Input data meat and eggs'!D46))))*'Input data meat and eggs'!C70</f>
        <v>1.6501693495063416E-3</v>
      </c>
      <c r="K66" s="877">
        <f>(('Input data meat and eggs'!B368*'Input data meat and eggs'!B379+'Input data meat and eggs'!B370*'Input data meat and eggs'!B380+'Input data meat and eggs'!B372*'Input data meat and eggs'!B381)*44/28)/'Input data meat and eggs'!B347</f>
        <v>4.3862412284306795E-4</v>
      </c>
      <c r="L66" s="877">
        <f>SUM('Input data meat and eggs'!B394:B398)*'Input data meat and eggs'!B382*44/28/'Input data meat and eggs'!B347</f>
        <v>1.838960747240105E-4</v>
      </c>
      <c r="M66" s="877">
        <v>0</v>
      </c>
      <c r="N66" s="877">
        <v>0</v>
      </c>
      <c r="O66" s="877">
        <v>0</v>
      </c>
      <c r="P66" s="877">
        <v>0</v>
      </c>
      <c r="Q66" s="877">
        <v>0</v>
      </c>
      <c r="R66" s="877">
        <f>(G66+Q66)</f>
        <v>2.9255505023157722E-3</v>
      </c>
      <c r="S66" s="877">
        <v>0</v>
      </c>
      <c r="T66" s="877">
        <v>0</v>
      </c>
      <c r="U66" s="18"/>
      <c r="V66" s="879"/>
      <c r="W66" s="877"/>
      <c r="X66" s="886"/>
      <c r="Y66" s="877"/>
      <c r="Z66" s="879"/>
      <c r="AA66" s="877"/>
      <c r="AB66" s="886"/>
      <c r="AC66" s="1204"/>
      <c r="AD66" s="879"/>
      <c r="AE66" s="877"/>
      <c r="AF66" s="886"/>
      <c r="AG66" s="877"/>
      <c r="AH66" s="879"/>
      <c r="AI66" s="877"/>
      <c r="AJ66" s="886"/>
      <c r="AK66" s="877"/>
      <c r="AL66" s="879"/>
      <c r="AM66" s="877"/>
      <c r="AN66" s="877"/>
      <c r="AO66" s="877"/>
      <c r="AP66" s="886"/>
      <c r="AQ66" s="877"/>
      <c r="AR66" s="879"/>
      <c r="AS66" s="877"/>
      <c r="AT66" s="886"/>
      <c r="AU66" s="877"/>
      <c r="AV66" s="879"/>
      <c r="AW66" s="877"/>
      <c r="AX66" s="886"/>
      <c r="AY66" s="877"/>
      <c r="AZ66" s="879"/>
      <c r="BA66" s="877"/>
      <c r="BB66" s="886"/>
      <c r="BC66" s="877"/>
      <c r="BD66" s="879"/>
      <c r="BE66" s="886"/>
      <c r="BF66" s="183"/>
      <c r="BG66" s="183"/>
      <c r="BH66" s="183"/>
      <c r="BI66" s="183"/>
      <c r="BJ66" s="183"/>
      <c r="BK66" s="183"/>
      <c r="BL66" s="183"/>
      <c r="BM66" s="183"/>
      <c r="BN66" s="183"/>
      <c r="BO66" s="183"/>
      <c r="BP66" s="183"/>
      <c r="BQ66" s="183"/>
      <c r="BR66" s="183"/>
      <c r="BS66" s="183"/>
      <c r="BT66" s="183"/>
      <c r="BU66" s="183"/>
      <c r="BV66" s="183"/>
    </row>
    <row r="67" spans="1:74">
      <c r="A67" s="108" t="s">
        <v>125</v>
      </c>
      <c r="B67" s="93" t="s">
        <v>198</v>
      </c>
      <c r="C67" s="903">
        <f>'Input data meat and eggs'!D23</f>
        <v>6.1394380853277752E-2</v>
      </c>
      <c r="D67" s="26"/>
      <c r="E67" s="513" t="s">
        <v>316</v>
      </c>
      <c r="F67" s="930">
        <f>SUMPRODUCT($CA$7:$CA$10,F68:F71)</f>
        <v>0.81317249914587142</v>
      </c>
      <c r="G67" s="872">
        <f>SUMPRODUCT($CA$7:$CA$10,G68:G71)</f>
        <v>1.9565350957406398</v>
      </c>
      <c r="H67" s="873">
        <f>SUMPRODUCT($CA$7:$CA$10,H68:H71)</f>
        <v>2.5071656751542104</v>
      </c>
      <c r="I67" s="884"/>
      <c r="J67" s="884"/>
      <c r="K67" s="884"/>
      <c r="L67" s="884"/>
      <c r="M67" s="884"/>
      <c r="N67" s="884"/>
      <c r="O67" s="884"/>
      <c r="P67" s="884"/>
      <c r="Q67" s="884"/>
      <c r="R67" s="884"/>
      <c r="S67" s="884"/>
      <c r="T67" s="884"/>
      <c r="U67" s="18"/>
      <c r="V67" s="879">
        <f>V62</f>
        <v>4.6452620537407379</v>
      </c>
      <c r="W67" s="1185">
        <f>V67+V67*'Common input data'!$B$145</f>
        <v>5.0540451144699228</v>
      </c>
      <c r="X67" s="1221">
        <f>W67+W67*'Common input data'!$B$179</f>
        <v>5.6099900770616138</v>
      </c>
      <c r="Y67" s="877"/>
      <c r="Z67" s="879"/>
      <c r="AA67" s="877"/>
      <c r="AB67" s="886"/>
      <c r="AC67" s="877"/>
      <c r="AD67" s="879">
        <f>AD62</f>
        <v>6.1930882227521938E-2</v>
      </c>
      <c r="AE67" s="1185">
        <f>AD67+AD67*'Common input data'!$B$145</f>
        <v>6.7380799863543867E-2</v>
      </c>
      <c r="AF67" s="1221">
        <f>AE67+AE67*'Common input data'!$B$179</f>
        <v>7.4792687848533698E-2</v>
      </c>
      <c r="AG67" s="877"/>
      <c r="AH67" s="879">
        <f>AH62</f>
        <v>6.9463151001315981E-3</v>
      </c>
      <c r="AI67" s="1185">
        <f>AH67+AH67*'Common input data'!$B$145</f>
        <v>7.5575908289431792E-3</v>
      </c>
      <c r="AJ67" s="1221">
        <f>AI67+AI67*'Common input data'!$B$179</f>
        <v>8.3889258201269284E-3</v>
      </c>
      <c r="AK67" s="877"/>
      <c r="AL67" s="879">
        <f>AL62</f>
        <v>1.5839676387687809E-2</v>
      </c>
      <c r="AM67" s="877">
        <f>'Input data meat and eggs'!D57</f>
        <v>5.6159200422688038E-3</v>
      </c>
      <c r="AN67" s="877">
        <f>SUM(AL67:AM67)</f>
        <v>2.1455596429956612E-2</v>
      </c>
      <c r="AO67" s="1185">
        <f>AN67+AN67*'Common input data'!$B$145</f>
        <v>2.3343688915792797E-2</v>
      </c>
      <c r="AP67" s="1221">
        <f>AO67+AO67*'Common input data'!$B$179</f>
        <v>2.5911494696530004E-2</v>
      </c>
      <c r="AQ67" s="877"/>
      <c r="AR67" s="879">
        <f>AR62</f>
        <v>2.3256736247253568E-12</v>
      </c>
      <c r="AS67" s="1185">
        <f>AR67+AR67*'Common input data'!$B$145</f>
        <v>2.5303329037011884E-12</v>
      </c>
      <c r="AT67" s="1221">
        <f>AS67+AS67*'Common input data'!$B$179</f>
        <v>2.8086695231083192E-12</v>
      </c>
      <c r="AU67" s="877"/>
      <c r="AV67" s="879">
        <f>AV62</f>
        <v>3.9218435355226441E-4</v>
      </c>
      <c r="AW67" s="1185">
        <f>AV67+AV67*'Common input data'!$B$145</f>
        <v>4.2669657666486371E-4</v>
      </c>
      <c r="AX67" s="1221">
        <f>AW67+AW67*'Common input data'!$B$179</f>
        <v>4.7363320009799871E-4</v>
      </c>
      <c r="AY67" s="877"/>
      <c r="AZ67" s="879">
        <f>AZ62</f>
        <v>2.7660880067544549E-3</v>
      </c>
      <c r="BA67" s="1185">
        <f>AZ67+AZ67*'Common input data'!$B$145</f>
        <v>3.009503751348847E-3</v>
      </c>
      <c r="BB67" s="1221">
        <f>BA67+BA67*'Common input data'!$B$179</f>
        <v>3.3405491639972203E-3</v>
      </c>
      <c r="BC67" s="877"/>
      <c r="BD67" s="1220">
        <f>('Common input data'!B214+'Common input data'!C214)+('Common input data'!B214+'Common input data'!C214)*'Common input data'!$B$145</f>
        <v>1.0337813333333334</v>
      </c>
      <c r="BE67" s="1221">
        <f>BD67+BD67*'Common input data'!$B$179</f>
        <v>1.1474972800000001</v>
      </c>
      <c r="BF67" s="183"/>
      <c r="BG67" s="183"/>
      <c r="BH67" s="183"/>
      <c r="BI67" s="183"/>
      <c r="BJ67" s="183"/>
      <c r="BK67" s="183"/>
      <c r="BL67" s="183"/>
      <c r="BM67" s="183"/>
      <c r="BN67" s="183"/>
      <c r="BO67" s="183"/>
      <c r="BP67" s="183"/>
      <c r="BQ67" s="183"/>
      <c r="BR67" s="183"/>
      <c r="BS67" s="183"/>
      <c r="BT67" s="183"/>
      <c r="BU67" s="183"/>
      <c r="BV67" s="183"/>
    </row>
    <row r="68" spans="1:74">
      <c r="A68" s="68"/>
      <c r="C68" s="64"/>
      <c r="E68" s="511" t="s">
        <v>317</v>
      </c>
      <c r="F68" s="928">
        <f>IF(AND($G$2="No",$G$3="No"),SUM(J68:M68),IF(AND($G$2="Yes", $G$3="No"), SUM(J68:M68)+O68, IF(AND($G$2="No", $G$3="Yes"),SUM(J68:M68)+N68, SUM(J68:M68)+O68+N68)))</f>
        <v>0.27400137385618489</v>
      </c>
      <c r="G68" s="877">
        <f>IF(AND($G$2="No",$G$3="No"),SUM(I68:M68,P68),IF(AND($G$2="Yes", $G$3="No"), SUM(I68:M68,P68)+O68, IF(AND($G$2="No", $G$3="Yes"),SUM(I68:M68,P68)+N68, SUM(I68:M68,P68)+O68+N68)))</f>
        <v>1.2622905816246222</v>
      </c>
      <c r="H68" s="878">
        <f>SUM(R68:T68)/(1-'Common input data'!B$145)</f>
        <v>1.7459326552901562</v>
      </c>
      <c r="I68" s="877">
        <f t="shared" ref="I68:O68" si="17">I63</f>
        <v>0.76895302900602502</v>
      </c>
      <c r="J68" s="877">
        <f t="shared" si="17"/>
        <v>0</v>
      </c>
      <c r="K68" s="877">
        <f t="shared" si="17"/>
        <v>0</v>
      </c>
      <c r="L68" s="877">
        <f t="shared" si="17"/>
        <v>0</v>
      </c>
      <c r="M68" s="877">
        <f t="shared" si="17"/>
        <v>0</v>
      </c>
      <c r="N68" s="877">
        <f t="shared" si="17"/>
        <v>0.19867290447698532</v>
      </c>
      <c r="O68" s="877">
        <f t="shared" si="17"/>
        <v>7.532846937919957E-2</v>
      </c>
      <c r="P68" s="877">
        <f>'Input data meat and eggs'!B93*'Common input data'!C80</f>
        <v>0.21933617876241235</v>
      </c>
      <c r="Q68" s="877">
        <v>0</v>
      </c>
      <c r="R68" s="877">
        <f>(G68+Q68)</f>
        <v>1.2622905816246222</v>
      </c>
      <c r="S68" s="877">
        <f>'Common input data'!B109</f>
        <v>0.1</v>
      </c>
      <c r="T68" s="877">
        <f>'Common input data'!B119+'Common input data'!C119</f>
        <v>0.23000000000000004</v>
      </c>
      <c r="U68" s="18"/>
      <c r="V68" s="879"/>
      <c r="W68" s="877"/>
      <c r="X68" s="886"/>
      <c r="Y68" s="877"/>
      <c r="Z68" s="879"/>
      <c r="AA68" s="877"/>
      <c r="AB68" s="886"/>
      <c r="AC68" s="877"/>
      <c r="AD68" s="879"/>
      <c r="AE68" s="877"/>
      <c r="AF68" s="886"/>
      <c r="AG68" s="877"/>
      <c r="AH68" s="879"/>
      <c r="AI68" s="877"/>
      <c r="AJ68" s="886"/>
      <c r="AK68" s="877"/>
      <c r="AL68" s="879"/>
      <c r="AM68" s="877"/>
      <c r="AN68" s="877"/>
      <c r="AO68" s="877"/>
      <c r="AP68" s="886"/>
      <c r="AQ68" s="877"/>
      <c r="AR68" s="879"/>
      <c r="AS68" s="877"/>
      <c r="AT68" s="886"/>
      <c r="AU68" s="877"/>
      <c r="AV68" s="879"/>
      <c r="AW68" s="877"/>
      <c r="AX68" s="886"/>
      <c r="AY68" s="877"/>
      <c r="AZ68" s="879"/>
      <c r="BA68" s="877"/>
      <c r="BB68" s="886"/>
      <c r="BC68" s="877"/>
      <c r="BD68" s="879"/>
      <c r="BE68" s="886"/>
      <c r="BF68" s="183"/>
      <c r="BG68" s="183"/>
      <c r="BH68" s="189"/>
      <c r="BI68" s="189"/>
      <c r="BJ68" s="183"/>
      <c r="BK68" s="183"/>
      <c r="BL68" s="189"/>
      <c r="BM68" s="189"/>
      <c r="BN68" s="183"/>
      <c r="BO68" s="183"/>
      <c r="BP68" s="183"/>
      <c r="BQ68" s="183"/>
      <c r="BR68" s="183"/>
      <c r="BS68" s="183"/>
      <c r="BT68" s="183"/>
      <c r="BU68" s="183"/>
      <c r="BV68" s="183"/>
    </row>
    <row r="69" spans="1:74">
      <c r="A69" s="68"/>
      <c r="C69" s="58"/>
      <c r="D69" s="55"/>
      <c r="E69" s="511" t="s">
        <v>321</v>
      </c>
      <c r="F69" s="928">
        <f>SUM(J69:M69)</f>
        <v>2.0498852811871599E-3</v>
      </c>
      <c r="G69" s="877">
        <f>SUM(I69:M69,P69)</f>
        <v>2.0498852811871599E-3</v>
      </c>
      <c r="H69" s="878">
        <f>SUM(R69:T69)/(1-'Common input data'!B$145)</f>
        <v>2.2476812293718861E-3</v>
      </c>
      <c r="I69" s="877">
        <v>0</v>
      </c>
      <c r="J69" s="877">
        <v>0</v>
      </c>
      <c r="K69" s="877">
        <f>K64</f>
        <v>2.0498852811871599E-3</v>
      </c>
      <c r="L69" s="877">
        <f>L64</f>
        <v>0</v>
      </c>
      <c r="M69" s="877">
        <f>M64</f>
        <v>0</v>
      </c>
      <c r="N69" s="877">
        <f>N64</f>
        <v>0</v>
      </c>
      <c r="O69" s="877">
        <f>O64</f>
        <v>0</v>
      </c>
      <c r="P69" s="877">
        <v>0</v>
      </c>
      <c r="Q69" s="877">
        <v>0</v>
      </c>
      <c r="R69" s="877">
        <f>(G69+Q69)</f>
        <v>2.0498852811871599E-3</v>
      </c>
      <c r="S69" s="877">
        <v>0</v>
      </c>
      <c r="T69" s="877">
        <v>0</v>
      </c>
      <c r="U69" s="18"/>
      <c r="V69" s="858"/>
      <c r="W69" s="188"/>
      <c r="X69" s="859"/>
      <c r="Y69" s="188"/>
      <c r="Z69" s="858"/>
      <c r="AA69" s="188"/>
      <c r="AB69" s="859"/>
      <c r="AC69" s="188"/>
      <c r="AD69" s="858"/>
      <c r="AE69" s="188"/>
      <c r="AF69" s="859"/>
      <c r="AG69" s="188"/>
      <c r="AH69" s="858"/>
      <c r="AI69" s="188"/>
      <c r="AJ69" s="859"/>
      <c r="AK69" s="188"/>
      <c r="AL69" s="858"/>
      <c r="AM69" s="188"/>
      <c r="AN69" s="188"/>
      <c r="AO69" s="188"/>
      <c r="AP69" s="859"/>
      <c r="AQ69" s="188"/>
      <c r="AR69" s="858"/>
      <c r="AS69" s="188"/>
      <c r="AT69" s="859"/>
      <c r="AU69" s="188"/>
      <c r="AV69" s="858"/>
      <c r="AW69" s="188"/>
      <c r="AX69" s="859"/>
      <c r="AY69" s="188"/>
      <c r="AZ69" s="858"/>
      <c r="BA69" s="188"/>
      <c r="BB69" s="859"/>
      <c r="BC69" s="188"/>
      <c r="BD69" s="858"/>
      <c r="BE69" s="859"/>
      <c r="BF69" s="183"/>
      <c r="BG69" s="183"/>
      <c r="BH69" s="183"/>
      <c r="BI69" s="183"/>
      <c r="BJ69" s="183"/>
      <c r="BK69" s="189"/>
      <c r="BL69" s="189"/>
      <c r="BM69" s="189"/>
      <c r="BN69" s="183"/>
      <c r="BO69" s="183"/>
      <c r="BP69" s="183"/>
      <c r="BQ69" s="183"/>
      <c r="BR69" s="183"/>
      <c r="BS69" s="183"/>
      <c r="BT69" s="183"/>
      <c r="BU69" s="183"/>
      <c r="BV69" s="183"/>
    </row>
    <row r="70" spans="1:74">
      <c r="A70" s="68"/>
      <c r="C70" s="58"/>
      <c r="D70" s="55"/>
      <c r="E70" s="511" t="s">
        <v>319</v>
      </c>
      <c r="F70" s="928">
        <f>SUM(J70:M70)</f>
        <v>0</v>
      </c>
      <c r="G70" s="877">
        <f>SUM(I70:M70,P70)</f>
        <v>6.2910345848146319E-4</v>
      </c>
      <c r="H70" s="878">
        <f>SUM(R70:T70)/(1-'Common input data'!B$145)</f>
        <v>6.8980642377353422E-4</v>
      </c>
      <c r="I70" s="877">
        <f>I65</f>
        <v>6.2910345848146319E-4</v>
      </c>
      <c r="J70" s="877">
        <f>J65</f>
        <v>0</v>
      </c>
      <c r="K70" s="877">
        <v>0</v>
      </c>
      <c r="L70" s="877">
        <v>0</v>
      </c>
      <c r="M70" s="877">
        <f t="shared" ref="M70:O71" si="18">M65</f>
        <v>0</v>
      </c>
      <c r="N70" s="877">
        <f t="shared" si="18"/>
        <v>0</v>
      </c>
      <c r="O70" s="877">
        <f t="shared" si="18"/>
        <v>0</v>
      </c>
      <c r="P70" s="877">
        <v>0</v>
      </c>
      <c r="Q70" s="877">
        <v>0</v>
      </c>
      <c r="R70" s="877">
        <f>(G70+Q70)</f>
        <v>6.2910345848146319E-4</v>
      </c>
      <c r="S70" s="877">
        <v>0</v>
      </c>
      <c r="T70" s="877">
        <v>0</v>
      </c>
      <c r="U70" s="18"/>
      <c r="V70" s="858"/>
      <c r="W70" s="188"/>
      <c r="X70" s="859"/>
      <c r="Y70" s="188"/>
      <c r="Z70" s="1222"/>
      <c r="AA70" s="1223"/>
      <c r="AB70" s="1224"/>
      <c r="AC70" s="188"/>
      <c r="AD70" s="858"/>
      <c r="AE70" s="188"/>
      <c r="AF70" s="859"/>
      <c r="AG70" s="188"/>
      <c r="AH70" s="858"/>
      <c r="AI70" s="188"/>
      <c r="AJ70" s="859"/>
      <c r="AK70" s="188"/>
      <c r="AL70" s="858"/>
      <c r="AM70" s="1223"/>
      <c r="AN70" s="188"/>
      <c r="AO70" s="188"/>
      <c r="AP70" s="859"/>
      <c r="AQ70" s="188"/>
      <c r="AR70" s="858"/>
      <c r="AS70" s="1223"/>
      <c r="AT70" s="859"/>
      <c r="AU70" s="188"/>
      <c r="AV70" s="858"/>
      <c r="AW70" s="188"/>
      <c r="AX70" s="859"/>
      <c r="AY70" s="188"/>
      <c r="AZ70" s="858"/>
      <c r="BA70" s="1223"/>
      <c r="BB70" s="859"/>
      <c r="BC70" s="188"/>
      <c r="BD70" s="1222"/>
      <c r="BE70" s="1224"/>
      <c r="BF70" s="183"/>
      <c r="BG70" s="183"/>
      <c r="BH70" s="183"/>
      <c r="BI70" s="183"/>
      <c r="BJ70" s="183"/>
      <c r="BK70" s="183"/>
      <c r="BL70" s="183"/>
      <c r="BM70" s="183"/>
      <c r="BN70" s="183"/>
      <c r="BO70" s="183"/>
      <c r="BP70" s="183"/>
      <c r="BQ70" s="183"/>
      <c r="BR70" s="183"/>
      <c r="BS70" s="183"/>
      <c r="BT70" s="183"/>
      <c r="BU70" s="183"/>
      <c r="BV70" s="183"/>
    </row>
    <row r="71" spans="1:74" ht="69" customHeight="1">
      <c r="A71" s="71"/>
      <c r="B71" s="56"/>
      <c r="C71" s="88"/>
      <c r="D71" s="54"/>
      <c r="E71" s="514" t="s">
        <v>320</v>
      </c>
      <c r="F71" s="932">
        <f>SUM(J71:M71)</f>
        <v>2.27268954707342E-3</v>
      </c>
      <c r="G71" s="896">
        <f>SUM(I71:M71,P71)</f>
        <v>2.9255505023157722E-3</v>
      </c>
      <c r="H71" s="933">
        <f>SUM(R71:T71)/(1-'Common input data'!B$145)</f>
        <v>3.2078404630655399E-3</v>
      </c>
      <c r="I71" s="896">
        <f>I66</f>
        <v>6.5286095524235202E-4</v>
      </c>
      <c r="J71" s="896">
        <f>J66</f>
        <v>1.6501693495063416E-3</v>
      </c>
      <c r="K71" s="896">
        <f>K66</f>
        <v>4.3862412284306795E-4</v>
      </c>
      <c r="L71" s="896">
        <f>L66</f>
        <v>1.838960747240105E-4</v>
      </c>
      <c r="M71" s="896">
        <f t="shared" si="18"/>
        <v>0</v>
      </c>
      <c r="N71" s="896">
        <f t="shared" si="18"/>
        <v>0</v>
      </c>
      <c r="O71" s="896">
        <f t="shared" si="18"/>
        <v>0</v>
      </c>
      <c r="P71" s="896">
        <v>0</v>
      </c>
      <c r="Q71" s="896">
        <v>0</v>
      </c>
      <c r="R71" s="896">
        <f>(G71+Q71)</f>
        <v>2.9255505023157722E-3</v>
      </c>
      <c r="S71" s="896">
        <v>0</v>
      </c>
      <c r="T71" s="896">
        <v>0</v>
      </c>
      <c r="U71" s="18"/>
      <c r="V71" s="1366" t="s">
        <v>325</v>
      </c>
      <c r="W71" s="1367"/>
      <c r="X71" s="1367"/>
      <c r="Y71" s="1367"/>
      <c r="Z71" s="1368"/>
      <c r="AA71" s="1202"/>
      <c r="AB71" s="1372" t="s">
        <v>326</v>
      </c>
      <c r="AC71" s="1370"/>
      <c r="AD71" s="1370"/>
      <c r="AE71" s="1370"/>
      <c r="AF71" s="1371"/>
      <c r="AG71" s="1202"/>
      <c r="AH71" s="1369" t="s">
        <v>327</v>
      </c>
      <c r="AI71" s="1370"/>
      <c r="AJ71" s="1370"/>
      <c r="AK71" s="1370"/>
      <c r="AL71" s="1371"/>
      <c r="AM71" s="1202"/>
      <c r="AN71" s="1369" t="s">
        <v>328</v>
      </c>
      <c r="AO71" s="1370"/>
      <c r="AP71" s="1370"/>
      <c r="AQ71" s="1370"/>
      <c r="AR71" s="1371"/>
      <c r="AS71" s="1202"/>
      <c r="AT71" s="1369" t="s">
        <v>329</v>
      </c>
      <c r="AU71" s="1370"/>
      <c r="AV71" s="1370"/>
      <c r="AW71" s="1370"/>
      <c r="AX71" s="1370"/>
      <c r="AY71" s="1370"/>
      <c r="AZ71" s="1371"/>
      <c r="BA71" s="1202"/>
      <c r="BB71" s="1369" t="s">
        <v>330</v>
      </c>
      <c r="BC71" s="1370"/>
      <c r="BD71" s="1370"/>
      <c r="BE71" s="1370"/>
      <c r="BF71" s="1371"/>
      <c r="BG71" s="1202"/>
      <c r="BH71" s="1369" t="s">
        <v>331</v>
      </c>
      <c r="BI71" s="1370"/>
      <c r="BJ71" s="1370"/>
      <c r="BK71" s="1370"/>
      <c r="BL71" s="1371"/>
      <c r="BM71" s="1202"/>
      <c r="BN71" s="1369" t="s">
        <v>332</v>
      </c>
      <c r="BO71" s="1370"/>
      <c r="BP71" s="1370"/>
      <c r="BQ71" s="1370"/>
      <c r="BR71" s="1371"/>
      <c r="BS71" s="1202"/>
      <c r="BT71" s="1369" t="s">
        <v>333</v>
      </c>
      <c r="BU71" s="1371"/>
      <c r="BV71" s="183"/>
    </row>
    <row r="72" spans="1:74" ht="69" customHeight="1">
      <c r="A72" s="374" t="s">
        <v>334</v>
      </c>
      <c r="B72" s="375"/>
      <c r="C72" s="767"/>
      <c r="D72" s="54"/>
      <c r="E72" s="948"/>
      <c r="F72" s="1181" t="s">
        <v>312</v>
      </c>
      <c r="G72" s="892" t="s">
        <v>312</v>
      </c>
      <c r="H72" s="970" t="s">
        <v>313</v>
      </c>
      <c r="I72" s="1279"/>
      <c r="J72" s="889"/>
      <c r="K72" s="889"/>
      <c r="L72" s="889"/>
      <c r="M72" s="889"/>
      <c r="N72" s="889"/>
      <c r="O72" s="889"/>
      <c r="P72" s="891"/>
      <c r="Q72" s="889"/>
      <c r="R72" s="889"/>
      <c r="S72" s="889"/>
      <c r="T72" s="960"/>
      <c r="U72" s="27"/>
      <c r="V72" s="1244" t="s">
        <v>335</v>
      </c>
      <c r="W72" s="1245" t="s">
        <v>336</v>
      </c>
      <c r="X72" s="1245" t="s">
        <v>337</v>
      </c>
      <c r="Y72" s="1246" t="s">
        <v>291</v>
      </c>
      <c r="Z72" s="1247" t="s">
        <v>292</v>
      </c>
      <c r="AA72" s="1202"/>
      <c r="AB72" s="1244" t="s">
        <v>335</v>
      </c>
      <c r="AC72" s="1245" t="s">
        <v>336</v>
      </c>
      <c r="AD72" s="1245" t="s">
        <v>337</v>
      </c>
      <c r="AE72" s="1246" t="s">
        <v>291</v>
      </c>
      <c r="AF72" s="1247" t="s">
        <v>292</v>
      </c>
      <c r="AG72" s="1202"/>
      <c r="AH72" s="1244" t="s">
        <v>335</v>
      </c>
      <c r="AI72" s="1245" t="s">
        <v>336</v>
      </c>
      <c r="AJ72" s="1245" t="s">
        <v>337</v>
      </c>
      <c r="AK72" s="1246" t="s">
        <v>291</v>
      </c>
      <c r="AL72" s="1247" t="s">
        <v>292</v>
      </c>
      <c r="AM72" s="1202"/>
      <c r="AN72" s="1244" t="s">
        <v>335</v>
      </c>
      <c r="AO72" s="1245" t="s">
        <v>336</v>
      </c>
      <c r="AP72" s="1245" t="s">
        <v>337</v>
      </c>
      <c r="AQ72" s="1246" t="s">
        <v>291</v>
      </c>
      <c r="AR72" s="1247" t="s">
        <v>292</v>
      </c>
      <c r="AS72" s="1202"/>
      <c r="AT72" s="1250" t="s">
        <v>338</v>
      </c>
      <c r="AU72" s="1253" t="s">
        <v>339</v>
      </c>
      <c r="AV72" s="1253" t="s">
        <v>340</v>
      </c>
      <c r="AW72" s="1253" t="s">
        <v>336</v>
      </c>
      <c r="AX72" s="1253" t="s">
        <v>337</v>
      </c>
      <c r="AY72" s="1251" t="s">
        <v>291</v>
      </c>
      <c r="AZ72" s="1252" t="s">
        <v>292</v>
      </c>
      <c r="BA72" s="1202"/>
      <c r="BB72" s="1244" t="s">
        <v>335</v>
      </c>
      <c r="BC72" s="1245" t="s">
        <v>336</v>
      </c>
      <c r="BD72" s="1245" t="s">
        <v>337</v>
      </c>
      <c r="BE72" s="1246" t="s">
        <v>291</v>
      </c>
      <c r="BF72" s="1247" t="s">
        <v>292</v>
      </c>
      <c r="BG72" s="1202"/>
      <c r="BH72" s="1244" t="s">
        <v>335</v>
      </c>
      <c r="BI72" s="1245" t="s">
        <v>336</v>
      </c>
      <c r="BJ72" s="1245" t="s">
        <v>337</v>
      </c>
      <c r="BK72" s="1246" t="s">
        <v>291</v>
      </c>
      <c r="BL72" s="1247" t="s">
        <v>292</v>
      </c>
      <c r="BM72" s="1202"/>
      <c r="BN72" s="1244" t="s">
        <v>335</v>
      </c>
      <c r="BO72" s="1245" t="s">
        <v>336</v>
      </c>
      <c r="BP72" s="1245" t="s">
        <v>337</v>
      </c>
      <c r="BQ72" s="1246" t="s">
        <v>291</v>
      </c>
      <c r="BR72" s="1247" t="s">
        <v>292</v>
      </c>
      <c r="BS72" s="1202"/>
      <c r="BT72" s="1327" t="s">
        <v>291</v>
      </c>
      <c r="BU72" s="1252" t="s">
        <v>292</v>
      </c>
    </row>
    <row r="73" spans="1:74" ht="21.75" customHeight="1">
      <c r="A73" s="381" t="s">
        <v>315</v>
      </c>
      <c r="B73" s="382"/>
      <c r="C73" s="772">
        <f>SUM(C83:C263)</f>
        <v>1.0002036693952803</v>
      </c>
      <c r="D73" s="26"/>
      <c r="E73" s="510" t="s">
        <v>316</v>
      </c>
      <c r="F73" s="930">
        <f>SUMPRODUCT($CA$7:$CA$10,F74:F77)</f>
        <v>4.2186514285912518</v>
      </c>
      <c r="G73" s="872">
        <f>SUMPRODUCT($CA$7:$CA$10,G74:G77)</f>
        <v>8.5822644730927067</v>
      </c>
      <c r="H73" s="873">
        <f>SUMPRODUCT($CA$7:$CA$10,H74:H77)</f>
        <v>15.743697629641652</v>
      </c>
      <c r="I73" s="1178"/>
      <c r="J73" s="1178"/>
      <c r="K73" s="1178"/>
      <c r="L73" s="1178"/>
      <c r="M73" s="1178"/>
      <c r="N73" s="1178"/>
      <c r="O73" s="1178"/>
      <c r="P73" s="1178"/>
      <c r="Q73" s="1178"/>
      <c r="R73" s="1178"/>
      <c r="S73" s="1178"/>
      <c r="T73" s="1215"/>
      <c r="U73" s="27"/>
      <c r="V73" s="94"/>
      <c r="W73" s="93"/>
      <c r="X73" s="211">
        <f>X83*$C$83+X138*$C$138+X143*$C$143+X148*$C$148+X153*$C$153+X158*$C$158+X163*$C$163+X183*$C$183+X188*$C$188+X238*$C$238+X243*$C$243+X248*$C$248+X253*$C$253+X258*$C$258+X263*$C$263</f>
        <v>24.220785238479976</v>
      </c>
      <c r="Y73" s="211">
        <f>Y83*$C$83+Y138*$C$138+Y143*$C$143+Y148*$C$148+Y153*$C$153+Y158*$C$158+Y163*$C$163+Y183*$C$183+Y188*$C$188+Y238*$C$238+Y243*$C$243+Y248*$C$248+Y253*$C$253+Y258*$C$258+Y263*$C$263</f>
        <v>26.352214339466219</v>
      </c>
      <c r="Z73" s="1242">
        <f>Z83*$C$83+Z138*$C$138+Z143*$C$143+Z148*$C$148+Z153*$C$153+Z158*$C$158+Z163*$C$163+Z183*$C$183+Z188*$C$188+Z238*$C$238+Z243*$C$243+Z248*$C$248+Z253*$C$253+Z258*$C$258+Z263*$C$263</f>
        <v>29.250957916807501</v>
      </c>
      <c r="AA73" s="189"/>
      <c r="AB73" s="108"/>
      <c r="AC73" s="93"/>
      <c r="AD73" s="211">
        <f>AD83*$C$83+AD138*$C$138+AD143*$C$143+AD148*$C$148+AD153*$C$153+AD158*$C$158+AD163*$C$163+AD183*$C$183+AD188*$C$188+AD238*$C$238+AD243*$C$243+AD248*$C$248+AD253*$C$253+AD258*$C$258+AD263*$C$263</f>
        <v>51.416568295733839</v>
      </c>
      <c r="AE73" s="211">
        <f>AE83*$C$83+AE138*$C$138+AE143*$C$143+AE148*$C$148+AE153*$C$153+AE158*$C$158+AE163*$C$163+AE183*$C$183+AE188*$C$188+AE238*$C$238+AE243*$C$243+AE248*$C$248+AE253*$C$253+AE258*$C$258+AE263*$C$263</f>
        <v>55.94122630575842</v>
      </c>
      <c r="AF73" s="1242">
        <f>AF83*$C$83+AF138*$C$138+AF143*$C$143+AF148*$C$148+AF153*$C$153+AF158*$C$158+AF163*$C$163+AF183*$C$183+AF188*$C$188+AF238*$C$238+AF243*$C$243+AF248*$C$248+AF253*$C$253+AF258*$C$258+AF263*$C$263</f>
        <v>62.09476119939184</v>
      </c>
      <c r="AG73" s="189"/>
      <c r="AH73" s="883"/>
      <c r="AI73" s="884"/>
      <c r="AJ73" s="884">
        <f>AJ83*$C$83+AJ138*$C$138+AJ143*$C$143+AJ148*$C$148+AJ153*$C$153+AJ158*$C$158+AJ163*$C$163+AJ183*$C$183+AJ188*$C$188+AJ238*$C$238+AJ243*$C$243+AJ248*$C$248+AJ253*$C$253+AJ258*$C$258+AJ263*$C$263</f>
        <v>0.69563787465953053</v>
      </c>
      <c r="AK73" s="884">
        <f>AK83*$C$83+AK138*$C$138+AK143*$C$143+AK148*$C$148+AK153*$C$153+AK158*$C$158+AK163*$C$163+AK183*$C$183+AK188*$C$188+AK238*$C$238+AK243*$C$243+AK248*$C$248+AK253*$C$253+AK258*$C$258+AK263*$C$263</f>
        <v>0.75685400762956911</v>
      </c>
      <c r="AL73" s="885">
        <f>AL83*$C$83+AL138*$C$138+AL143*$C$143+AL148*$C$148+AL153*$C$153+AL158*$C$158+AL163*$C$163+AL183*$C$183+AL188*$C$188+AL238*$C$238+AL243*$C$243+AL248*$C$248+AL253*$C$253+AL258*$C$258+AL263*$C$263</f>
        <v>0.84010794846882164</v>
      </c>
      <c r="AM73" s="877"/>
      <c r="AN73" s="883"/>
      <c r="AO73" s="884"/>
      <c r="AP73" s="884">
        <f>AP83*$C$83+AP138*$C$138+AP143*$C$143+AP148*$C$148+AP153*$C$153+AP158*$C$158+AP163*$C$163+AP183*$C$183+AP188*$C$188+AP238*$C$238+AP243*$C$243+AP248*$C$248+AP253*$C$253+AP258*$C$258+AP263*$C$263</f>
        <v>1.7571308487035243E-2</v>
      </c>
      <c r="AQ73" s="884">
        <f>AQ83*$C$83+AQ138*$C$138+AQ143*$C$143+AQ148*$C$148+AQ153*$C$153+AQ158*$C$158+AQ163*$C$163+AQ183*$C$183+AQ188*$C$188+AQ238*$C$238+AQ243*$C$243+AQ248*$C$248+AQ253*$C$253+AQ258*$C$258+AQ263*$C$263</f>
        <v>1.9117583633894351E-2</v>
      </c>
      <c r="AR73" s="885">
        <f>AR83*$C$83+AR138*$C$138+AR143*$C$143+AR148*$C$148+AR153*$C$153+AR158*$C$158+AR163*$C$163+AR183*$C$183+AR188*$C$188+AR238*$C$238+AR243*$C$243+AR248*$C$248+AR253*$C$253+AR258*$C$258+AR263*$C$263</f>
        <v>2.1220517833622724E-2</v>
      </c>
      <c r="AS73" s="877"/>
      <c r="AT73" s="883"/>
      <c r="AU73" s="884"/>
      <c r="AV73" s="884"/>
      <c r="AW73" s="884"/>
      <c r="AX73" s="884">
        <f>AX83*$C$83+AX138*$C$138+AX143*$C$143+AX148*$C$148+AX153*$C$153+AX158*$C$158+AX163*$C$163+AX183*$C$183+AX188*$C$188+AX238*$C$238+AX243*$C$243+AX248*$C$248+AX253*$C$253+AX258*$C$258+AX263*$C$263</f>
        <v>9.0684909189221549E-2</v>
      </c>
      <c r="AY73" s="884">
        <f>AY83*$C$83+AY138*$C$138+AY143*$C$143+AY148*$C$148+AY153*$C$153+AY158*$C$158+AY163*$C$163+AY183*$C$183+AY188*$C$188+AY238*$C$238+AY243*$C$243+AY248*$C$248+AY253*$C$253+AY258*$C$258+AY263*$C$263</f>
        <v>9.8665181197873042E-2</v>
      </c>
      <c r="AZ73" s="885">
        <f>AZ83*$C$83+AZ138*$C$138+AZ143*$C$143+AZ148*$C$148+AZ153*$C$153+AZ158*$C$158+AZ163*$C$163+AZ183*$C$183+AZ188*$C$188+AZ238*$C$238+AZ243*$C$243+AZ248*$C$248+AZ253*$C$253+AZ258*$C$258+AZ263*$C$263</f>
        <v>0.10951835112963909</v>
      </c>
      <c r="BA73" s="877"/>
      <c r="BB73" s="883"/>
      <c r="BC73" s="884"/>
      <c r="BD73" s="884">
        <f t="shared" ref="BD73:BL73" si="19">BD83*$C$83+BD138*$C$138+BD143*$C$143+BD148*$C$148+BD153*$C$153+BD158*$C$158+BD163*$C$163+BD183*$C$183+BD188*$C$188+BD238*$C$238+BD243*$C$243+BD248*$C$248+BD253*$C$253+BD258*$C$258+BD263*$C$263</f>
        <v>1.1469182697127098E-11</v>
      </c>
      <c r="BE73" s="884">
        <f t="shared" si="19"/>
        <v>1.2478470774474283E-11</v>
      </c>
      <c r="BF73" s="885">
        <f t="shared" si="19"/>
        <v>1.3851102559666453E-11</v>
      </c>
      <c r="BG73" s="877">
        <f t="shared" si="19"/>
        <v>0</v>
      </c>
      <c r="BH73" s="883">
        <f t="shared" si="19"/>
        <v>7.3980016595103823E-2</v>
      </c>
      <c r="BI73" s="884">
        <f t="shared" si="19"/>
        <v>21767.502021176166</v>
      </c>
      <c r="BJ73" s="884">
        <f t="shared" si="19"/>
        <v>9.7969669075243524E-4</v>
      </c>
      <c r="BK73" s="884">
        <f t="shared" si="19"/>
        <v>1.0659099995386496E-3</v>
      </c>
      <c r="BL73" s="885">
        <f t="shared" si="19"/>
        <v>1.1831600994879009E-3</v>
      </c>
      <c r="BM73" s="877"/>
      <c r="BN73" s="883"/>
      <c r="BO73" s="884"/>
      <c r="BP73" s="884">
        <f>BP83*$C$83+BP138*$C$138+BP143*$C$143+BP148*$C$148+BP153*$C$153+BP158*$C$158+BP163*$C$163+BP183*$C$183+BP188*$C$188+BP238*$C$238+BP243*$C$243+BP248*$C$248+BP253*$C$253+BP258*$C$258+BP263*$C$263</f>
        <v>4.6272348017132377E-2</v>
      </c>
      <c r="BQ73" s="884">
        <f>BQ83*$C$83+BQ138*$C$138+BQ143*$C$143+BQ148*$C$148+BQ153*$C$153+BQ158*$C$158+BQ163*$C$163+BQ183*$C$183+BQ188*$C$188+BQ238*$C$238+BQ243*$C$243+BQ248*$C$248+BQ253*$C$253+BQ258*$C$258+BQ263*$C$263</f>
        <v>5.0344314642640026E-2</v>
      </c>
      <c r="BR73" s="885">
        <f>BR83*$C$83+BR138*$C$138+BR143*$C$143+BR148*$C$148+BR153*$C$153+BR158*$C$158+BR163*$C$163+BR183*$C$183+BR188*$C$188+BR238*$C$238+BR243*$C$243+BR248*$C$248+BR253*$C$253+BR258*$C$258+BR263*$C$263</f>
        <v>5.5882189253330418E-2</v>
      </c>
      <c r="BS73" s="877"/>
      <c r="BT73" s="879"/>
      <c r="BU73" s="886"/>
    </row>
    <row r="74" spans="1:74">
      <c r="A74" s="97"/>
      <c r="B74" s="96"/>
      <c r="C74" s="124"/>
      <c r="D74" s="24"/>
      <c r="E74" s="511" t="s">
        <v>317</v>
      </c>
      <c r="F74" s="928">
        <f t="shared" ref="F74:G77" si="20">$C$83*F84+$C$138*F139+$C$143*F144+$C$148*F149+$C$153*F154+$C$158*F159+$C$163*F164+$C$183*F184+$C$188*F189+$C$238*F239+$C$243*F244+$C$248*F249+$C$253*F254+$C$258*F259+$C$263*F264</f>
        <v>-1.0577290304232061</v>
      </c>
      <c r="G74" s="877">
        <f t="shared" si="20"/>
        <v>2.7482947858491489</v>
      </c>
      <c r="H74" s="878">
        <f>$C$83*H84+$C$138*H139+$C$143*H144+$C$148*H149+$C$153*H154+$C$158*H159+$C$163*H164+$C$183*H184+$C$188*H189+$C$238*H239+$C$243*H244+$C$248*H249+$C$253*H254+$C$258*H259+$C$263*H264</f>
        <v>4.9667434358660607</v>
      </c>
      <c r="I74" s="877">
        <f>$C$83*I84+$C$138*I139+$C$143*I144+$C$148*I149+$C$153*I154+$C$158*I159+$C$163*I164+$C$183*I184+$C$188*I189+$C$238*I239+$C$243*I244+$C$248*I249+$C$253*I254+$C$258*I259+$C$263*I264</f>
        <v>2.2019395611618444</v>
      </c>
      <c r="J74" s="877">
        <f t="shared" ref="J74:T74" si="21">$C$83*J84+$C$138*J139+$C$143*J144+$C$148*J149+$C$153*J154+$C$158*J159+$C$163*J164+$C$183*J184+$C$188*J189+$C$238*J239+$C$243*J244+$C$248*J249+$C$253*J254+$C$258*J259+$C$263*J264</f>
        <v>0</v>
      </c>
      <c r="K74" s="877">
        <f>$C$83*K84+$C$138*K139+$C$143*K144+$C$148*K149+$C$153*K154+$C$158*K159+$C$163*K164+$C$183*K184+$C$188*K189+$C$238*K239+$C$243*K244+$C$248*K249+$C$253*K254+$C$258*K259+$C$263*K264</f>
        <v>0</v>
      </c>
      <c r="L74" s="877">
        <f t="shared" si="21"/>
        <v>0</v>
      </c>
      <c r="M74" s="877">
        <f t="shared" si="21"/>
        <v>0</v>
      </c>
      <c r="N74" s="877">
        <f t="shared" si="21"/>
        <v>-1.1385524869767212</v>
      </c>
      <c r="O74" s="877">
        <f t="shared" si="21"/>
        <v>8.0823456553514972E-2</v>
      </c>
      <c r="P74" s="877">
        <f t="shared" si="21"/>
        <v>1.604084255110511</v>
      </c>
      <c r="Q74" s="877">
        <f t="shared" si="21"/>
        <v>0.47502188062736628</v>
      </c>
      <c r="R74" s="877">
        <f t="shared" si="21"/>
        <v>4.3259303387276384</v>
      </c>
      <c r="S74" s="877">
        <f t="shared" si="21"/>
        <v>0.10002036693952802</v>
      </c>
      <c r="T74" s="886">
        <f t="shared" si="21"/>
        <v>0.1037193078426811</v>
      </c>
      <c r="V74" s="1230"/>
      <c r="W74" s="189"/>
      <c r="X74" s="189"/>
      <c r="Y74" s="189"/>
      <c r="Z74" s="199"/>
      <c r="AA74" s="189"/>
      <c r="AB74" s="1232"/>
      <c r="AC74" s="189"/>
      <c r="AD74" s="189"/>
      <c r="AE74" s="189"/>
      <c r="AF74" s="199"/>
      <c r="AG74" s="189"/>
      <c r="AH74" s="879"/>
      <c r="AI74" s="877"/>
      <c r="AJ74" s="877"/>
      <c r="AK74" s="877"/>
      <c r="AL74" s="886"/>
      <c r="AM74" s="877"/>
      <c r="AN74" s="879"/>
      <c r="AO74" s="877"/>
      <c r="AP74" s="877"/>
      <c r="AQ74" s="877"/>
      <c r="AR74" s="886"/>
      <c r="AS74" s="877"/>
      <c r="AT74" s="879"/>
      <c r="AU74" s="877"/>
      <c r="AV74" s="877"/>
      <c r="AW74" s="877"/>
      <c r="AX74" s="877"/>
      <c r="AY74" s="877"/>
      <c r="AZ74" s="886"/>
      <c r="BA74" s="877"/>
      <c r="BB74" s="879"/>
      <c r="BC74" s="877"/>
      <c r="BD74" s="877"/>
      <c r="BE74" s="877"/>
      <c r="BF74" s="886"/>
      <c r="BG74" s="877"/>
      <c r="BH74" s="879"/>
      <c r="BI74" s="877"/>
      <c r="BJ74" s="877"/>
      <c r="BK74" s="877"/>
      <c r="BL74" s="886"/>
      <c r="BM74" s="877"/>
      <c r="BN74" s="879"/>
      <c r="BO74" s="877"/>
      <c r="BP74" s="877"/>
      <c r="BQ74" s="877"/>
      <c r="BR74" s="886"/>
      <c r="BS74" s="877"/>
      <c r="BT74" s="879"/>
      <c r="BU74" s="886"/>
    </row>
    <row r="75" spans="1:74">
      <c r="A75" s="195"/>
      <c r="B75" s="135"/>
      <c r="C75" s="595"/>
      <c r="D75" s="50"/>
      <c r="E75" s="511" t="s">
        <v>321</v>
      </c>
      <c r="F75" s="928">
        <f t="shared" si="20"/>
        <v>0.45275466680134402</v>
      </c>
      <c r="G75" s="877">
        <f t="shared" si="20"/>
        <v>0.45275466680134402</v>
      </c>
      <c r="H75" s="878">
        <f>$C$83*H85+$C$138*H140+$C$143*H145+$C$148*H150+$C$153*H155+$C$158*H160+$C$163*H165+$C$183*H185+$C$188*H190+$C$238*H240+$C$243*H245+$C$248*H250+$C$253*H255+$C$258*H260+$C$263*H265</f>
        <v>0.81969525082213945</v>
      </c>
      <c r="I75" s="877">
        <f>$C$83*I86+$C$138*I141+$C$143*I146+$C$148*I151+$C$153*I156+$C$158*I161+$C$163*I166+$C$183*I186+$C$188*I191+$C$238*I241+$C$243*I246+$C$248*I251+$C$253*I256+$C$258*I261+$C$263*I266</f>
        <v>1.5127414797637051E-3</v>
      </c>
      <c r="J75" s="877">
        <f>$C$83*J85+$C$138*J140+$C$143*J145+$C$148*J150+$C$153*J155+$C$158*J160+$C$163*J165+$C$183*J185+$C$188*J190+$C$238*J240+$C$243*J245+$C$248*J250+$C$253*J255+$C$258*J260+$C$263*J265</f>
        <v>0</v>
      </c>
      <c r="K75" s="877">
        <f>$C$83*K85+$C$138*K140+$C$143*K145+$C$148*K150+$C$153*K155+$C$158*K160+$C$163*K165+$C$183*K185+$C$188*K190+$C$238*K240+$C$243*K245+$C$248*K250+$C$253*K255+$C$258*K260+$C$263*K265</f>
        <v>3.652933971658584E-2</v>
      </c>
      <c r="L75" s="877">
        <f t="shared" ref="L75:P77" si="22">$C$83*L85+$C$138*L140+$C$143*L145+$C$148*L150+$C$153*L155+$C$158*L160+$C$163*L165+$C$183*L185+$C$188*L190+$C$238*L240+$C$243*L245+$C$248*L250+$C$253*L255+$C$258*L260+$C$263*L265</f>
        <v>0</v>
      </c>
      <c r="M75" s="877">
        <f t="shared" si="22"/>
        <v>0.41622532708475829</v>
      </c>
      <c r="N75" s="877">
        <f t="shared" si="22"/>
        <v>0</v>
      </c>
      <c r="O75" s="877">
        <f t="shared" si="22"/>
        <v>0</v>
      </c>
      <c r="P75" s="877">
        <f t="shared" si="22"/>
        <v>0</v>
      </c>
      <c r="Q75" s="877">
        <f>$C$83*Q85+$C$138*Q140+$C$143*Q146+$C$148*Q151+$C$153*Q156+$C$158*Q161+$C$163*Q166+$C$183*Q185+$C$188*Q191+$C$238*Q241+$C$243*Q246+$C$248*Q251+$C$253*Q256+$C$258*Q261+$C$263*Q266</f>
        <v>6.1468762318522856E-5</v>
      </c>
      <c r="R75" s="877">
        <f>$C$83*R86+$C$138*R140+$C$143*R145+$C$148*R150+$C$153*R155+$C$158*R160+$C$163*R165+$C$183*R185+$C$188*R190+$C$238*R240+$C$243*R245+$C$248*R250+$C$253*R255+$C$258*R260+$C$263*R265</f>
        <v>0.61804092367170671</v>
      </c>
      <c r="S75" s="877">
        <f t="shared" ref="S75:T77" si="23">$C$83*S85+$C$138*S140+$C$143*S145+$C$148*S150+$C$153*S155+$C$158*S160+$C$163*S165+$C$183*S185+$C$188*S190+$C$238*S240+$C$243*S245+$C$248*S250+$C$253*S255+$C$258*S260+$C$263*S265</f>
        <v>0</v>
      </c>
      <c r="T75" s="886">
        <f t="shared" si="23"/>
        <v>0</v>
      </c>
      <c r="V75" s="1230"/>
      <c r="W75" s="189"/>
      <c r="X75" s="189"/>
      <c r="Y75" s="189"/>
      <c r="Z75" s="199"/>
      <c r="AA75" s="189"/>
      <c r="AB75" s="1232"/>
      <c r="AC75" s="189"/>
      <c r="AD75" s="189"/>
      <c r="AE75" s="189"/>
      <c r="AF75" s="199"/>
      <c r="AG75" s="189"/>
      <c r="AH75" s="879"/>
      <c r="AI75" s="877"/>
      <c r="AJ75" s="877"/>
      <c r="AK75" s="877"/>
      <c r="AL75" s="886"/>
      <c r="AM75" s="877"/>
      <c r="AN75" s="879"/>
      <c r="AO75" s="877"/>
      <c r="AP75" s="877"/>
      <c r="AQ75" s="877"/>
      <c r="AR75" s="886"/>
      <c r="AS75" s="877"/>
      <c r="AT75" s="879"/>
      <c r="AU75" s="877"/>
      <c r="AV75" s="877"/>
      <c r="AW75" s="877"/>
      <c r="AX75" s="877"/>
      <c r="AY75" s="877"/>
      <c r="AZ75" s="886"/>
      <c r="BA75" s="877"/>
      <c r="BB75" s="879"/>
      <c r="BC75" s="877"/>
      <c r="BD75" s="877"/>
      <c r="BE75" s="877"/>
      <c r="BF75" s="886"/>
      <c r="BG75" s="877"/>
      <c r="BH75" s="879"/>
      <c r="BI75" s="877"/>
      <c r="BJ75" s="877"/>
      <c r="BK75" s="877"/>
      <c r="BL75" s="886"/>
      <c r="BM75" s="877"/>
      <c r="BN75" s="879"/>
      <c r="BO75" s="877"/>
      <c r="BP75" s="877"/>
      <c r="BQ75" s="877"/>
      <c r="BR75" s="886"/>
      <c r="BS75" s="877"/>
      <c r="BT75" s="879"/>
      <c r="BU75" s="886"/>
    </row>
    <row r="76" spans="1:74">
      <c r="A76" s="195"/>
      <c r="B76" s="135"/>
      <c r="C76" s="595"/>
      <c r="D76" s="50"/>
      <c r="E76" s="511" t="s">
        <v>319</v>
      </c>
      <c r="F76" s="928">
        <f t="shared" si="20"/>
        <v>0</v>
      </c>
      <c r="G76" s="877">
        <f t="shared" si="20"/>
        <v>1.5127414797637051E-3</v>
      </c>
      <c r="H76" s="878">
        <f>$C$83*H86+$C$138*H141+$C$143*H146+$C$148*H151+$C$153*H156+$C$158*H161+$C$163*H166+$C$183*H186+$C$188*H191+$C$238*H241+$C$243*H246+$C$248*H251+$C$253*H256+$C$258*H261+$C$263*H266</f>
        <v>0.2312639118485203</v>
      </c>
      <c r="I76" s="877">
        <f>$C$83*I87+$C$138*I142+$C$143*I147+$C$148*I152+$C$153*I157+$C$158*I162+$C$163*I167+$C$183*I187+$C$188*I192+$C$238*I242+$C$243*I247+$C$248*I252+$C$253*I257+$C$258*I262+$C$263*I267</f>
        <v>2.3625722887305142E-3</v>
      </c>
      <c r="J76" s="877">
        <f>$C$83*J86+$C$138*J141+$C$143*J146+$C$148*J151+$C$153*J156+$C$158*J161+$C$163*J166+$C$183*J186+$C$188*J191+$C$238*J241+$C$243*J246+$C$248*J251+$C$253*J256+$C$258*J261+$C$263*J266</f>
        <v>0</v>
      </c>
      <c r="K76" s="877">
        <f>$C$83*K86+$C$138*K141+$C$143*K146+$C$148*K151+$C$153*K156+$C$158*K161+$C$163*K166+$C$183*K186+$C$188*K191+$C$238*K241+$C$243*K246+$C$248*K251+$C$253*K256+$C$258*K261+$C$263*K266</f>
        <v>0</v>
      </c>
      <c r="L76" s="877">
        <f t="shared" si="22"/>
        <v>0</v>
      </c>
      <c r="M76" s="877">
        <f t="shared" si="22"/>
        <v>0</v>
      </c>
      <c r="N76" s="877">
        <f t="shared" si="22"/>
        <v>0</v>
      </c>
      <c r="O76" s="877">
        <f t="shared" si="22"/>
        <v>0</v>
      </c>
      <c r="P76" s="877">
        <f t="shared" si="22"/>
        <v>0</v>
      </c>
      <c r="Q76" s="877">
        <f>$C$83*Q86+$C$138*Q141+$C$143*Q147+$C$148*Q152+$C$153*Q157+$C$158*Q162+$C$163*Q167+$C$183*Q186+$C$188*Q192+$C$238*Q242+$C$243*Q247+$C$248*Q252+$C$253*Q257+$C$258*Q262+$C$263*Q267</f>
        <v>3.0165621664408861E-5</v>
      </c>
      <c r="R76" s="877">
        <f>$C$83*R87+$C$138*R141+$C$143*R146+$C$148*R151+$C$153*R156+$C$158*R161+$C$163*R166+$C$183*R186+$C$188*R191+$C$238*R241+$C$243*R246+$C$248*R251+$C$253*R256+$C$258*R261+$C$263*R266</f>
        <v>8.8787870960640863E-3</v>
      </c>
      <c r="S76" s="877">
        <f t="shared" si="23"/>
        <v>0</v>
      </c>
      <c r="T76" s="886">
        <f t="shared" si="23"/>
        <v>0</v>
      </c>
      <c r="V76" s="1230"/>
      <c r="W76" s="189"/>
      <c r="X76" s="189"/>
      <c r="Y76" s="189"/>
      <c r="Z76" s="199"/>
      <c r="AA76" s="189"/>
      <c r="AB76" s="1232"/>
      <c r="AC76" s="189"/>
      <c r="AD76" s="189"/>
      <c r="AE76" s="189"/>
      <c r="AF76" s="199"/>
      <c r="AG76" s="189"/>
      <c r="AH76" s="879"/>
      <c r="AI76" s="877"/>
      <c r="AJ76" s="877"/>
      <c r="AK76" s="877"/>
      <c r="AL76" s="886"/>
      <c r="AM76" s="877"/>
      <c r="AN76" s="879"/>
      <c r="AO76" s="877"/>
      <c r="AP76" s="877"/>
      <c r="AQ76" s="877"/>
      <c r="AR76" s="886"/>
      <c r="AS76" s="877"/>
      <c r="AT76" s="879"/>
      <c r="AU76" s="877"/>
      <c r="AV76" s="877"/>
      <c r="AW76" s="877"/>
      <c r="AX76" s="877"/>
      <c r="AY76" s="877"/>
      <c r="AZ76" s="886"/>
      <c r="BA76" s="877"/>
      <c r="BB76" s="879"/>
      <c r="BC76" s="877"/>
      <c r="BD76" s="877"/>
      <c r="BE76" s="877"/>
      <c r="BF76" s="886"/>
      <c r="BG76" s="877"/>
      <c r="BH76" s="879"/>
      <c r="BI76" s="877"/>
      <c r="BJ76" s="877"/>
      <c r="BK76" s="877"/>
      <c r="BL76" s="886"/>
      <c r="BM76" s="877"/>
      <c r="BN76" s="879"/>
      <c r="BO76" s="877"/>
      <c r="BP76" s="877"/>
      <c r="BQ76" s="877"/>
      <c r="BR76" s="886"/>
      <c r="BS76" s="877"/>
      <c r="BT76" s="879"/>
      <c r="BU76" s="886"/>
    </row>
    <row r="77" spans="1:74">
      <c r="A77" s="195"/>
      <c r="B77" s="135"/>
      <c r="C77" s="83"/>
      <c r="D77" s="54"/>
      <c r="E77" s="512" t="s">
        <v>320</v>
      </c>
      <c r="F77" s="928">
        <f t="shared" si="20"/>
        <v>1.3512590236258117E-2</v>
      </c>
      <c r="G77" s="877">
        <f t="shared" si="20"/>
        <v>1.5875162524988631E-2</v>
      </c>
      <c r="H77" s="878">
        <f>$C$83*H87+$C$138*H142+$C$143*H147+$C$148*H152+$C$153*H157+$C$158*H162+$C$163*H167+$C$183*H187+$C$188*H192+$C$238*H242+$C$243*H247+$C$248*H252+$C$253*H257+$C$258*H262+$C$263*H267</f>
        <v>2.5053416863620129E-2</v>
      </c>
      <c r="I77" s="877">
        <f>$C$83*I87+$C$138*I142+$C$143*I147+$C$148*I152+$C$153*I157+$C$158*I162+$C$163*I167+$C$183*I187+$C$188*I192+$C$238*I242+$C$243*I247+$C$248*I252+$C$253*I257+$C$258*I262+$C$263*I267</f>
        <v>2.3625722887305142E-3</v>
      </c>
      <c r="J77" s="877">
        <f>$C$83*J87+$C$138*J142+$C$143*J147+$C$148*J152+$C$153*J157+$C$158*J162+$C$163*J167+$C$183*J187+$C$188*J192+$C$238*J242+$C$243*J247+$C$248*J252+$C$253*J257+$C$258*J262+$C$263*J267</f>
        <v>5.9716304759087693E-3</v>
      </c>
      <c r="K77" s="877">
        <f>$C$83*K87+$C$138*K142+$C$143*K147+$C$148*K152+$C$153*K157+$C$158*K162+$C$163*K167+$C$183*K187+$C$188*K192+$C$238*K242+$C$243*K247+$C$248*K252+$C$253*K257+$C$258*K262+$C$263*K267</f>
        <v>6.6584400697230137E-3</v>
      </c>
      <c r="L77" s="877">
        <f t="shared" si="22"/>
        <v>8.8251969062633196E-4</v>
      </c>
      <c r="M77" s="877">
        <f t="shared" si="22"/>
        <v>0</v>
      </c>
      <c r="N77" s="877">
        <f t="shared" si="22"/>
        <v>0</v>
      </c>
      <c r="O77" s="877">
        <f t="shared" si="22"/>
        <v>0</v>
      </c>
      <c r="P77" s="877">
        <f t="shared" si="22"/>
        <v>0</v>
      </c>
      <c r="Q77" s="877">
        <f>$C$83*Q87+$C$138*Q142+$C$143*Q147+$C$148*Q152+$C$153*Q157+$C$158*Q162+$C$163*Q167+$C$183*Q187+$C$188*Q192+$C$238*Q242+$C$243*Q247+$C$248*Q252+$C$253*Q257+$C$258*Q262+$C$263*Q267</f>
        <v>8.0165825414978662E-6</v>
      </c>
      <c r="R77" s="877">
        <f>$C$83*R87+$C$138*R142+$C$143*R147+$C$148*R152+$C$153*R157+$C$158*R162+$C$163*R167+$C$183*R187+$C$188*R192+$C$238*R242+$C$243*R247+$C$248*R252+$C$253*R257+$C$258*R262+$C$263*R267</f>
        <v>2.2848716179621552E-2</v>
      </c>
      <c r="S77" s="877">
        <f t="shared" si="23"/>
        <v>0</v>
      </c>
      <c r="T77" s="886">
        <f t="shared" si="23"/>
        <v>0</v>
      </c>
      <c r="V77" s="1230"/>
      <c r="W77" s="189"/>
      <c r="X77" s="189"/>
      <c r="Y77" s="189"/>
      <c r="Z77" s="199"/>
      <c r="AA77" s="189"/>
      <c r="AB77" s="1232"/>
      <c r="AC77" s="189"/>
      <c r="AD77" s="189"/>
      <c r="AE77" s="189"/>
      <c r="AF77" s="199"/>
      <c r="AG77" s="189"/>
      <c r="AH77" s="879"/>
      <c r="AI77" s="877"/>
      <c r="AJ77" s="877"/>
      <c r="AK77" s="877"/>
      <c r="AL77" s="886"/>
      <c r="AM77" s="877"/>
      <c r="AN77" s="879"/>
      <c r="AO77" s="877"/>
      <c r="AP77" s="877"/>
      <c r="AQ77" s="877"/>
      <c r="AR77" s="886"/>
      <c r="AS77" s="877"/>
      <c r="AT77" s="879"/>
      <c r="AU77" s="877"/>
      <c r="AV77" s="877"/>
      <c r="AW77" s="877"/>
      <c r="AX77" s="877"/>
      <c r="AY77" s="877"/>
      <c r="AZ77" s="886"/>
      <c r="BA77" s="877"/>
      <c r="BB77" s="879"/>
      <c r="BC77" s="877"/>
      <c r="BD77" s="877"/>
      <c r="BE77" s="877"/>
      <c r="BF77" s="886"/>
      <c r="BG77" s="877"/>
      <c r="BH77" s="879"/>
      <c r="BI77" s="877"/>
      <c r="BJ77" s="877"/>
      <c r="BK77" s="877"/>
      <c r="BL77" s="886"/>
      <c r="BM77" s="877"/>
      <c r="BN77" s="879"/>
      <c r="BO77" s="877"/>
      <c r="BP77" s="877"/>
      <c r="BQ77" s="877"/>
      <c r="BR77" s="886"/>
      <c r="BS77" s="877"/>
      <c r="BT77" s="879"/>
      <c r="BU77" s="886"/>
    </row>
    <row r="78" spans="1:74">
      <c r="A78" s="108" t="s">
        <v>122</v>
      </c>
      <c r="B78" s="93" t="s">
        <v>120</v>
      </c>
      <c r="C78" s="87">
        <f>SUM(C83:C167)</f>
        <v>0.54399524379999997</v>
      </c>
      <c r="D78" s="54"/>
      <c r="E78" s="513" t="s">
        <v>316</v>
      </c>
      <c r="F78" s="930">
        <f>SUMPRODUCT($CA$7:$CA$10,F79:F82)</f>
        <v>4.4008577135408853</v>
      </c>
      <c r="G78" s="872">
        <f>SUMPRODUCT($CA$7:$CA$10,G79:G82)</f>
        <v>7.8091542491344601</v>
      </c>
      <c r="H78" s="873">
        <f>SUMPRODUCT($CA$7:$CA$10,H79:H82)</f>
        <v>15.592921127869914</v>
      </c>
      <c r="I78" s="884"/>
      <c r="J78" s="884"/>
      <c r="K78" s="884"/>
      <c r="L78" s="884"/>
      <c r="M78" s="884"/>
      <c r="N78" s="884"/>
      <c r="O78" s="884"/>
      <c r="P78" s="884"/>
      <c r="Q78" s="884"/>
      <c r="R78" s="884"/>
      <c r="S78" s="884"/>
      <c r="T78" s="885"/>
      <c r="V78" s="1239"/>
      <c r="W78" s="211"/>
      <c r="X78" s="211">
        <f>X83*$C$83+X138*$C$138+X143*$C$143+X148*$C$148+X153*$C$153+X158*$C$158+X163*$C$163</f>
        <v>14.485936822282191</v>
      </c>
      <c r="Y78" s="211">
        <f>Y83*$C$83+Y138*$C$138+Y143*$C$143+Y148*$C$148+Y153*$C$153+Y158*$C$158+Y163*$C$163</f>
        <v>15.760699262643026</v>
      </c>
      <c r="Z78" s="1242">
        <f>Z83*$C$83+Z138*$C$138+Z143*$C$143+Z148*$C$148+Z153*$C$153+Z158*$C$158+Z163*$C$163</f>
        <v>17.49437618153376</v>
      </c>
      <c r="AA78" s="189"/>
      <c r="AB78" s="1240"/>
      <c r="AC78" s="211"/>
      <c r="AD78" s="211">
        <f>AD83*$C$83+AD138*$C$138+AD143*$C$143+AD148*$C$148+AD153*$C$153+AD158*$C$158+AD163*$C$163</f>
        <v>22.756634730912836</v>
      </c>
      <c r="AE78" s="211">
        <f>AE83*$C$83+AE138*$C$138+AE143*$C$143+AE148*$C$148+AE153*$C$153+AE158*$C$158+AE163*$C$163</f>
        <v>24.759218587233168</v>
      </c>
      <c r="AF78" s="1242">
        <f>AF83*$C$83+AF138*$C$138+AF143*$C$143+AF148*$C$148+AF153*$C$153+AF158*$C$158+AF163*$C$163</f>
        <v>27.482732631828817</v>
      </c>
      <c r="AG78" s="189"/>
      <c r="AH78" s="883"/>
      <c r="AI78" s="884"/>
      <c r="AJ78" s="884">
        <f>AJ83*$C$83+AJ138*$C$138+AJ143*$C$143+AJ148*$C$148+AJ153*$C$153+AJ158*$C$158+AJ163*$C$163</f>
        <v>0.38214688525318669</v>
      </c>
      <c r="AK78" s="884">
        <f>AK83*$C$83+AK138*$C$138+AK143*$C$143+AK148*$C$148+AK153*$C$153+AK158*$C$158+AK163*$C$163</f>
        <v>0.41577581115546713</v>
      </c>
      <c r="AL78" s="885">
        <f>AL83*$C$83+AL138*$C$138+AL143*$C$143+AL148*$C$148+AL153*$C$153+AL158*$C$158+AL163*$C$163</f>
        <v>0.46151115038256851</v>
      </c>
      <c r="AM78" s="877"/>
      <c r="AN78" s="883"/>
      <c r="AO78" s="884"/>
      <c r="AP78" s="884">
        <f>AP83*$C$83+AP138*$C$138+AP143*$C$143+AP148*$C$148+AP153*$C$153+AP158*$C$158+AP163*$C$163</f>
        <v>9.6894931433694001E-3</v>
      </c>
      <c r="AQ78" s="884">
        <f>AQ83*$C$83+AQ138*$C$138+AQ143*$C$143+AQ148*$C$148+AQ153*$C$153+AQ158*$C$158+AQ163*$C$163</f>
        <v>1.0542168539985911E-2</v>
      </c>
      <c r="AR78" s="885">
        <f>AR83*$C$83+AR138*$C$138+AR143*$C$143+AR148*$C$148+AR153*$C$153+AR158*$C$158+AR163*$C$163</f>
        <v>1.1701807079384358E-2</v>
      </c>
      <c r="AS78" s="877"/>
      <c r="AT78" s="883"/>
      <c r="AU78" s="884"/>
      <c r="AV78" s="884"/>
      <c r="AW78" s="884"/>
      <c r="AX78" s="884">
        <f>AX83*$C$83+AX138*$C$138+AX143*$C$143+AX148*$C$148+AX153*$C$153+AX158*$C$158+AX163*$C$163</f>
        <v>5.0853835481573427E-2</v>
      </c>
      <c r="AY78" s="884">
        <f>AY83*$C$83+AY138*$C$138+AY143*$C$143+AY148*$C$148+AY153*$C$153+AY158*$C$158+AY163*$C$163</f>
        <v>5.5328973003951884E-2</v>
      </c>
      <c r="AZ78" s="885">
        <f>AZ83*$C$83+AZ138*$C$138+AZ143*$C$143+AZ148*$C$148+AZ153*$C$153+AZ158*$C$158+AZ163*$C$163</f>
        <v>6.1415160034386594E-2</v>
      </c>
      <c r="BA78" s="877"/>
      <c r="BB78" s="883"/>
      <c r="BC78" s="884"/>
      <c r="BD78" s="884">
        <f>BD83*$C$83+BD138*$C$138+BD143*$C$143+BD148*$C$148+BD153*$C$153+BD158*$C$158+BD163*$C$163</f>
        <v>3.4904028768791276E-12</v>
      </c>
      <c r="BE78" s="884">
        <f>BE83*$C$83+BE138*$C$138+BE143*$C$143+BE148*$C$148+BE153*$C$153+BE158*$C$158+BE163*$C$163</f>
        <v>3.7975583300444916E-12</v>
      </c>
      <c r="BF78" s="885">
        <f>BF83*$C$83+BF138*$C$138+BF143*$C$143+BF148*$C$148+BF153*$C$153+BF158*$C$158+BF163*$C$163</f>
        <v>4.2152897463493847E-12</v>
      </c>
      <c r="BG78" s="877"/>
      <c r="BH78" s="883"/>
      <c r="BI78" s="884"/>
      <c r="BJ78" s="884">
        <f>BJ83*$C$83+BJ138*$C$138+BJ143*$C$143+BJ148*$C$148+BJ153*$C$153+BJ158*$C$158+BJ163*$C$163</f>
        <v>6.1231772868410711E-4</v>
      </c>
      <c r="BK78" s="884">
        <f>BK83*$C$83+BK138*$C$138+BK143*$C$143+BK148*$C$148+BK153*$C$153+BK158*$C$158+BK163*$C$163</f>
        <v>6.6620168880830873E-4</v>
      </c>
      <c r="BL78" s="885">
        <f>BL83*$C$83+BL138*$C$138+BL143*$C$143+BL148*$C$148+BL153*$C$153+BL158*$C$158+BL163*$C$163</f>
        <v>7.3948387457722258E-4</v>
      </c>
      <c r="BM78" s="877"/>
      <c r="BN78" s="883"/>
      <c r="BO78" s="884"/>
      <c r="BP78" s="884">
        <f>BP83*$C$83+BP138*$C$138+BP143*$C$143+BP148*$C$148+BP153*$C$153+BP158*$C$158+BP163*$C$163</f>
        <v>2.565918171753415E-2</v>
      </c>
      <c r="BQ78" s="884">
        <f>BQ83*$C$83+BQ138*$C$138+BQ143*$C$143+BQ148*$C$148+BQ153*$C$153+BQ158*$C$158+BQ163*$C$163</f>
        <v>2.7917189708677154E-2</v>
      </c>
      <c r="BR78" s="885">
        <f>BR83*$C$83+BR138*$C$138+BR143*$C$143+BR148*$C$148+BR153*$C$153+BR158*$C$158+BR163*$C$163</f>
        <v>3.0988080576631636E-2</v>
      </c>
      <c r="BS78" s="877"/>
      <c r="BT78" s="883">
        <f>BT83*$C$83+BT138*$C$138+BT143*$C$143+BT148*$C$148+BT153*$C$153+BT158*$C$158+BT163*$C$163</f>
        <v>8.4755329376430086E-2</v>
      </c>
      <c r="BU78" s="885">
        <f>BU83*$C$83+BU138*$C$138+BU143*$C$143+BU148*$C$148+BU153*$C$153+BU158*$C$158+BU163*$C$163</f>
        <v>9.4078415607837404E-2</v>
      </c>
    </row>
    <row r="79" spans="1:74">
      <c r="A79" s="97"/>
      <c r="B79" s="135"/>
      <c r="C79" s="83"/>
      <c r="D79" s="54"/>
      <c r="E79" s="511" t="s">
        <v>317</v>
      </c>
      <c r="F79" s="928">
        <f t="shared" ref="F79:H82" si="24">$C$83/$C$78*F84+$C$138/$C$78*F139+$C$143/$C$78*F144+$C$148/$C$78*F149+$C$153/$C$78*F154+$C$158/$C$78*F159+$C$163/$C$78*F164</f>
        <v>-0.95426644068753175</v>
      </c>
      <c r="G79" s="877">
        <f t="shared" si="24"/>
        <v>1.8790099740145683</v>
      </c>
      <c r="H79" s="878">
        <f t="shared" si="24"/>
        <v>3.3481783746205918</v>
      </c>
      <c r="I79" s="877"/>
      <c r="J79" s="877"/>
      <c r="K79" s="877"/>
      <c r="L79" s="877"/>
      <c r="M79" s="877"/>
      <c r="N79" s="877"/>
      <c r="O79" s="877"/>
      <c r="P79" s="877"/>
      <c r="Q79" s="877"/>
      <c r="R79" s="877"/>
      <c r="S79" s="877"/>
      <c r="T79" s="886"/>
      <c r="V79" s="1230"/>
      <c r="W79" s="189"/>
      <c r="X79" s="189"/>
      <c r="Y79" s="189"/>
      <c r="Z79" s="199"/>
      <c r="AA79" s="189"/>
      <c r="AB79" s="1232"/>
      <c r="AC79" s="189"/>
      <c r="AD79" s="189"/>
      <c r="AE79" s="189"/>
      <c r="AF79" s="199"/>
      <c r="AG79" s="189"/>
      <c r="AH79" s="879"/>
      <c r="AI79" s="877"/>
      <c r="AJ79" s="877"/>
      <c r="AK79" s="877"/>
      <c r="AL79" s="886"/>
      <c r="AM79" s="877"/>
      <c r="AN79" s="879"/>
      <c r="AO79" s="877"/>
      <c r="AP79" s="877"/>
      <c r="AQ79" s="877"/>
      <c r="AR79" s="886"/>
      <c r="AS79" s="877"/>
      <c r="AT79" s="879"/>
      <c r="AU79" s="877"/>
      <c r="AV79" s="877"/>
      <c r="AW79" s="877"/>
      <c r="AX79" s="877"/>
      <c r="AY79" s="877"/>
      <c r="AZ79" s="886"/>
      <c r="BA79" s="877"/>
      <c r="BB79" s="879"/>
      <c r="BC79" s="877"/>
      <c r="BD79" s="877"/>
      <c r="BE79" s="877"/>
      <c r="BF79" s="886"/>
      <c r="BG79" s="877"/>
      <c r="BH79" s="879"/>
      <c r="BI79" s="877"/>
      <c r="BJ79" s="877"/>
      <c r="BK79" s="877"/>
      <c r="BL79" s="886"/>
      <c r="BM79" s="877"/>
      <c r="BN79" s="879"/>
      <c r="BO79" s="877"/>
      <c r="BP79" s="877"/>
      <c r="BQ79" s="877"/>
      <c r="BR79" s="886"/>
      <c r="BS79" s="877"/>
      <c r="BT79" s="879"/>
      <c r="BU79" s="886"/>
    </row>
    <row r="80" spans="1:74">
      <c r="A80" s="195"/>
      <c r="B80" s="135"/>
      <c r="C80" s="83"/>
      <c r="D80" s="54"/>
      <c r="E80" s="511" t="s">
        <v>321</v>
      </c>
      <c r="F80" s="928">
        <f t="shared" si="24"/>
        <v>0.48525869676809807</v>
      </c>
      <c r="G80" s="877">
        <f t="shared" si="24"/>
        <v>0.48525869676809807</v>
      </c>
      <c r="H80" s="878">
        <f t="shared" si="24"/>
        <v>0.95932044825222662</v>
      </c>
      <c r="I80" s="877"/>
      <c r="J80" s="877"/>
      <c r="K80" s="877"/>
      <c r="L80" s="877"/>
      <c r="M80" s="877"/>
      <c r="N80" s="877"/>
      <c r="O80" s="877"/>
      <c r="P80" s="877"/>
      <c r="Q80" s="877"/>
      <c r="R80" s="877"/>
      <c r="S80" s="877"/>
      <c r="T80" s="886"/>
      <c r="V80" s="1230"/>
      <c r="W80" s="189"/>
      <c r="X80" s="189"/>
      <c r="Y80" s="189"/>
      <c r="Z80" s="199"/>
      <c r="AA80" s="189"/>
      <c r="AB80" s="1232"/>
      <c r="AC80" s="189"/>
      <c r="AD80" s="189"/>
      <c r="AE80" s="189"/>
      <c r="AF80" s="199"/>
      <c r="AG80" s="189"/>
      <c r="AH80" s="879"/>
      <c r="AI80" s="877"/>
      <c r="AJ80" s="877"/>
      <c r="AK80" s="877"/>
      <c r="AL80" s="886"/>
      <c r="AM80" s="877"/>
      <c r="AN80" s="879"/>
      <c r="AO80" s="877"/>
      <c r="AP80" s="877"/>
      <c r="AQ80" s="877"/>
      <c r="AR80" s="886"/>
      <c r="AS80" s="877"/>
      <c r="AT80" s="879"/>
      <c r="AU80" s="877"/>
      <c r="AV80" s="877"/>
      <c r="AW80" s="877"/>
      <c r="AX80" s="877"/>
      <c r="AY80" s="877"/>
      <c r="AZ80" s="886"/>
      <c r="BA80" s="877"/>
      <c r="BB80" s="879"/>
      <c r="BC80" s="877"/>
      <c r="BD80" s="877"/>
      <c r="BE80" s="877"/>
      <c r="BF80" s="886"/>
      <c r="BG80" s="877"/>
      <c r="BH80" s="879"/>
      <c r="BI80" s="877"/>
      <c r="BJ80" s="877"/>
      <c r="BK80" s="877"/>
      <c r="BL80" s="886"/>
      <c r="BM80" s="877"/>
      <c r="BN80" s="879"/>
      <c r="BO80" s="877"/>
      <c r="BP80" s="877"/>
      <c r="BQ80" s="877"/>
      <c r="BR80" s="886"/>
      <c r="BS80" s="877"/>
      <c r="BT80" s="879"/>
      <c r="BU80" s="886"/>
    </row>
    <row r="81" spans="1:73">
      <c r="A81" s="195"/>
      <c r="B81" s="135"/>
      <c r="C81" s="83"/>
      <c r="D81" s="54"/>
      <c r="E81" s="511" t="s">
        <v>319</v>
      </c>
      <c r="F81" s="928">
        <f t="shared" si="24"/>
        <v>0</v>
      </c>
      <c r="G81" s="877">
        <f t="shared" si="24"/>
        <v>1.6158482283143492E-3</v>
      </c>
      <c r="H81" s="878">
        <f t="shared" si="24"/>
        <v>0.42319489677279881</v>
      </c>
      <c r="I81" s="877"/>
      <c r="J81" s="877"/>
      <c r="K81" s="877"/>
      <c r="L81" s="877"/>
      <c r="M81" s="877"/>
      <c r="N81" s="877"/>
      <c r="O81" s="877"/>
      <c r="P81" s="877"/>
      <c r="Q81" s="877"/>
      <c r="R81" s="877"/>
      <c r="S81" s="877"/>
      <c r="T81" s="886"/>
      <c r="V81" s="1230"/>
      <c r="W81" s="189"/>
      <c r="X81" s="189"/>
      <c r="Y81" s="189"/>
      <c r="Z81" s="199"/>
      <c r="AA81" s="189"/>
      <c r="AB81" s="1232"/>
      <c r="AC81" s="189"/>
      <c r="AD81" s="189"/>
      <c r="AE81" s="189"/>
      <c r="AF81" s="199"/>
      <c r="AG81" s="189"/>
      <c r="AH81" s="879"/>
      <c r="AI81" s="877"/>
      <c r="AJ81" s="877"/>
      <c r="AK81" s="877"/>
      <c r="AL81" s="886"/>
      <c r="AM81" s="877"/>
      <c r="AN81" s="879"/>
      <c r="AO81" s="877"/>
      <c r="AP81" s="877"/>
      <c r="AQ81" s="877"/>
      <c r="AR81" s="886"/>
      <c r="AS81" s="877"/>
      <c r="AT81" s="879"/>
      <c r="AU81" s="877"/>
      <c r="AV81" s="877"/>
      <c r="AW81" s="877"/>
      <c r="AX81" s="877"/>
      <c r="AY81" s="877"/>
      <c r="AZ81" s="886"/>
      <c r="BA81" s="877"/>
      <c r="BB81" s="879"/>
      <c r="BC81" s="877"/>
      <c r="BD81" s="877"/>
      <c r="BE81" s="877"/>
      <c r="BF81" s="886"/>
      <c r="BG81" s="877"/>
      <c r="BH81" s="879"/>
      <c r="BI81" s="877"/>
      <c r="BJ81" s="877"/>
      <c r="BK81" s="877"/>
      <c r="BL81" s="886"/>
      <c r="BM81" s="877"/>
      <c r="BN81" s="879"/>
      <c r="BO81" s="877"/>
      <c r="BP81" s="877"/>
      <c r="BQ81" s="877"/>
      <c r="BR81" s="886"/>
      <c r="BS81" s="877"/>
      <c r="BT81" s="879"/>
      <c r="BU81" s="886"/>
    </row>
    <row r="82" spans="1:73">
      <c r="A82" s="195"/>
      <c r="B82" s="135"/>
      <c r="C82" s="83"/>
      <c r="D82" s="54"/>
      <c r="E82" s="512" t="s">
        <v>320</v>
      </c>
      <c r="F82" s="928">
        <f t="shared" si="24"/>
        <v>1.3194885319392086E-2</v>
      </c>
      <c r="G82" s="877">
        <f t="shared" si="24"/>
        <v>1.563018847054401E-2</v>
      </c>
      <c r="H82" s="878">
        <f t="shared" si="24"/>
        <v>2.4664895414728334E-2</v>
      </c>
      <c r="I82" s="877"/>
      <c r="J82" s="877"/>
      <c r="K82" s="877"/>
      <c r="L82" s="877"/>
      <c r="M82" s="877"/>
      <c r="N82" s="877"/>
      <c r="O82" s="877"/>
      <c r="P82" s="877"/>
      <c r="Q82" s="877"/>
      <c r="R82" s="877"/>
      <c r="S82" s="877"/>
      <c r="T82" s="886"/>
      <c r="V82" s="1230"/>
      <c r="W82" s="189"/>
      <c r="X82" s="189"/>
      <c r="Y82" s="189"/>
      <c r="Z82" s="199"/>
      <c r="AA82" s="189"/>
      <c r="AB82" s="1232"/>
      <c r="AC82" s="189"/>
      <c r="AD82" s="189"/>
      <c r="AE82" s="189"/>
      <c r="AF82" s="199"/>
      <c r="AG82" s="189"/>
      <c r="AH82" s="879"/>
      <c r="AI82" s="877"/>
      <c r="AJ82" s="877"/>
      <c r="AK82" s="877"/>
      <c r="AL82" s="886"/>
      <c r="AM82" s="877"/>
      <c r="AN82" s="879"/>
      <c r="AO82" s="877"/>
      <c r="AP82" s="877"/>
      <c r="AQ82" s="877"/>
      <c r="AR82" s="886"/>
      <c r="AS82" s="877"/>
      <c r="AT82" s="879"/>
      <c r="AU82" s="877"/>
      <c r="AV82" s="877"/>
      <c r="AW82" s="877"/>
      <c r="AX82" s="877"/>
      <c r="AY82" s="877"/>
      <c r="AZ82" s="886"/>
      <c r="BA82" s="877"/>
      <c r="BB82" s="879"/>
      <c r="BC82" s="877"/>
      <c r="BD82" s="877"/>
      <c r="BE82" s="877"/>
      <c r="BF82" s="886"/>
      <c r="BG82" s="877"/>
      <c r="BH82" s="879"/>
      <c r="BI82" s="877"/>
      <c r="BJ82" s="877"/>
      <c r="BK82" s="877"/>
      <c r="BL82" s="886"/>
      <c r="BM82" s="877"/>
      <c r="BN82" s="879"/>
      <c r="BO82" s="877"/>
      <c r="BP82" s="877"/>
      <c r="BQ82" s="877"/>
      <c r="BR82" s="886"/>
      <c r="BS82" s="877"/>
      <c r="BT82" s="879"/>
      <c r="BU82" s="886"/>
    </row>
    <row r="83" spans="1:73">
      <c r="A83" s="108"/>
      <c r="B83" s="79" t="str">
        <f>'Input data meat and eggs'!C4</f>
        <v>Suckler cows and offsprings</v>
      </c>
      <c r="C83" s="87">
        <f>'Input data meat and eggs'!D4</f>
        <v>0.23512608085018297</v>
      </c>
      <c r="D83" s="54"/>
      <c r="E83" s="513" t="s">
        <v>316</v>
      </c>
      <c r="F83" s="930">
        <f>SUMPRODUCT($CA$7:$CA$10,F84:F87)</f>
        <v>5.9271178296262477</v>
      </c>
      <c r="G83" s="872">
        <f>SUMPRODUCT($CA$7:$CA$10,G84:G87)</f>
        <v>10.110612951329237</v>
      </c>
      <c r="H83" s="873">
        <f>SUMPRODUCT($CA$7:$CA$10,H84:H87)</f>
        <v>22.849186164016224</v>
      </c>
      <c r="I83" s="872"/>
      <c r="J83" s="872"/>
      <c r="K83" s="872"/>
      <c r="L83" s="872"/>
      <c r="M83" s="872"/>
      <c r="N83" s="872"/>
      <c r="O83" s="872"/>
      <c r="P83" s="872"/>
      <c r="Q83" s="872"/>
      <c r="R83" s="872"/>
      <c r="S83" s="872"/>
      <c r="T83" s="1216"/>
      <c r="V83" s="1240"/>
      <c r="W83" s="211"/>
      <c r="X83" s="211">
        <f>SUM(W84:W118)/'Input data meat and eggs'!$J411</f>
        <v>33.890178945234027</v>
      </c>
      <c r="Y83" s="212">
        <f>X83+X83*'Common input data'!$B$145</f>
        <v>36.872514692414626</v>
      </c>
      <c r="Z83" s="1241">
        <f>Y83+Y83*'Common input data'!$B$179</f>
        <v>40.928491308580234</v>
      </c>
      <c r="AA83" s="189"/>
      <c r="AB83" s="1240"/>
      <c r="AC83" s="211"/>
      <c r="AD83" s="211">
        <f>SUM(AC84:AC118)/'Input data meat and eggs'!$J411</f>
        <v>73.0939361690168</v>
      </c>
      <c r="AE83" s="212">
        <f>AD83+AD83*'Common input data'!$B$145</f>
        <v>79.526202551890279</v>
      </c>
      <c r="AF83" s="1241">
        <f>AE83+AE83*'Common input data'!$B$179</f>
        <v>88.274084832598206</v>
      </c>
      <c r="AG83" s="189"/>
      <c r="AH83" s="883"/>
      <c r="AI83" s="884"/>
      <c r="AJ83" s="884">
        <f>SUM(AI84:AI118)/'Input data meat and eggs'!$J411</f>
        <v>0.98635814901872298</v>
      </c>
      <c r="AK83" s="1225">
        <f>AJ83+AJ83*'Common input data'!$B$145</f>
        <v>1.0731576661323707</v>
      </c>
      <c r="AL83" s="1227">
        <f>AK83+AK83*'Common input data'!$B$179</f>
        <v>1.1912050094069315</v>
      </c>
      <c r="AM83" s="877"/>
      <c r="AN83" s="883"/>
      <c r="AO83" s="884"/>
      <c r="AP83" s="884">
        <f>SUM(AO84:AO118)/'Input data meat and eggs'!$J411</f>
        <v>2.2206831490742887E-2</v>
      </c>
      <c r="AQ83" s="1225">
        <f>AP83+AP83*'Common input data'!$B$145</f>
        <v>2.4161032661928261E-2</v>
      </c>
      <c r="AR83" s="1227">
        <f>AQ83+AQ83*'Common input data'!$B$179</f>
        <v>2.6818746254740369E-2</v>
      </c>
      <c r="AS83" s="877"/>
      <c r="AT83" s="883"/>
      <c r="AU83" s="884"/>
      <c r="AV83" s="884"/>
      <c r="AW83" s="884"/>
      <c r="AX83" s="884">
        <f>SUM(AW84:AW118)/'Input data meat and eggs'!$J411</f>
        <v>0.12644219039772017</v>
      </c>
      <c r="AY83" s="1225">
        <f>AX83+AX83*'Common input data'!$B$145</f>
        <v>0.13756910315271956</v>
      </c>
      <c r="AZ83" s="1227">
        <f>AY83+AY83*'Common input data'!$B$179</f>
        <v>0.1527017044995187</v>
      </c>
      <c r="BA83" s="877"/>
      <c r="BB83" s="883"/>
      <c r="BC83" s="884"/>
      <c r="BD83" s="884">
        <f>(SUM(BC84:BC118)/'Input data meat and eggs'!$J411)/$AS$3</f>
        <v>9.2153140045642171E-12</v>
      </c>
      <c r="BE83" s="1225">
        <f>BD83+BD83*'Common input data'!$B$145</f>
        <v>1.0026261636965868E-11</v>
      </c>
      <c r="BF83" s="1227">
        <f>BE83+BE83*'Common input data'!$B$179</f>
        <v>1.1129150417032113E-11</v>
      </c>
      <c r="BG83" s="877"/>
      <c r="BH83" s="883"/>
      <c r="BI83" s="884"/>
      <c r="BJ83" s="884">
        <f>SUM(BI84:BI118)/'Input data meat and eggs'!$J411</f>
        <v>1.3683469604824925E-3</v>
      </c>
      <c r="BK83" s="1225">
        <f>BJ83+BJ83*'Common input data'!$B$145</f>
        <v>1.4887614930049519E-3</v>
      </c>
      <c r="BL83" s="1227">
        <f>BK83+BK83*'Common input data'!$B$179</f>
        <v>1.6525252572354965E-3</v>
      </c>
      <c r="BM83" s="877"/>
      <c r="BN83" s="883"/>
      <c r="BO83" s="884"/>
      <c r="BP83" s="884">
        <f>SUM(BO84:BO118)/'Input data meat and eggs'!$J411</f>
        <v>6.5716479620983467E-2</v>
      </c>
      <c r="BQ83" s="1225">
        <f>BP83+BP83*'Common input data'!$B$145</f>
        <v>7.1499529827630012E-2</v>
      </c>
      <c r="BR83" s="1227">
        <f>BQ83+BQ83*'Common input data'!$B$179</f>
        <v>7.9364478108669312E-2</v>
      </c>
      <c r="BS83" s="877"/>
      <c r="BT83" s="883">
        <f>'Common input data'!C202+'Common input data'!C202*'Common input data'!$B$145</f>
        <v>0.15580160000000001</v>
      </c>
      <c r="BU83" s="1227">
        <f>BT83+BT83*'Common input data'!$B$179</f>
        <v>0.17293977600000002</v>
      </c>
    </row>
    <row r="84" spans="1:73">
      <c r="A84" s="68"/>
      <c r="C84" s="124"/>
      <c r="D84" s="24"/>
      <c r="E84" s="511" t="s">
        <v>317</v>
      </c>
      <c r="F84" s="928">
        <f>IF(AND($G$2="No",$G$3="No"),SUM(J84:M84),IF(AND($G$2="Yes", $G$3="No"), SUM(J84:M84)+O84, IF(AND($G$2="No", $G$3="Yes"),SUM(J84:M84)+N84, SUM(J84:M84)+O84+N84)))</f>
        <v>-1.7918183229202309</v>
      </c>
      <c r="G84" s="877">
        <f>IF(AND($G$2="No",$G$3="No"),SUM(I84:M84,P84),IF(AND($G$2="Yes", $G$3="No"), SUM(I84:M84,P84)+O84, IF(AND($G$2="No", $G$3="Yes"),SUM(I84:M84,P84)+N84, SUM(I84:M84,P84)+O84+N84)))</f>
        <v>1.7022051520694141</v>
      </c>
      <c r="H84" s="878">
        <f>SUM(R84:T84)/(1-'Common input data'!B$145)</f>
        <v>2.9031777574865325</v>
      </c>
      <c r="I84" s="877">
        <f>SUM(I89,I94,I99,I104,I109,I114,I119)/'Input data meat and eggs'!$J$411</f>
        <v>2.7934234749896452</v>
      </c>
      <c r="J84" s="877">
        <f>SUM(J89,J94,J99,J104,J109,J114,J119)/'Input data meat and eggs'!$J$411</f>
        <v>0</v>
      </c>
      <c r="K84" s="877">
        <f>SUM(K89,K94,K99,K104,K109,K114,K119)/'Input data meat and eggs'!$J$411</f>
        <v>0</v>
      </c>
      <c r="L84" s="877">
        <f>SUM(L89,L94,L99,L104,L109,L114,L119)/'Input data meat and eggs'!$J$411</f>
        <v>0</v>
      </c>
      <c r="M84" s="877">
        <f>SUM(M89,M94,M99,M104,M109,M114,M119)/'Input data meat and eggs'!$J$411</f>
        <v>0</v>
      </c>
      <c r="N84" s="877">
        <f>SUM(N89,N94,N99,N104,N109,N114,N119)/'Input data meat and eggs'!$J$411</f>
        <v>-1.8770583417458511</v>
      </c>
      <c r="O84" s="877">
        <f>SUM(O89,O94,O99,O104,O109,O114,O119)/'Input data meat and eggs'!$J$411</f>
        <v>8.5240018825620059E-2</v>
      </c>
      <c r="P84" s="877">
        <f>'Input data meat and eggs'!B95*'Common input data'!B80</f>
        <v>0.70060000000000011</v>
      </c>
      <c r="Q84" s="877">
        <f>'Input data meat and eggs'!B104*'Common input data'!B80+'Input data meat and eggs'!C104*3.6*'Common input data'!B66</f>
        <v>0.37593962264150943</v>
      </c>
      <c r="R84" s="877">
        <f>SUM(R89,R94,R99,R104,R109,R114,R119)/'Input data meat and eggs'!$J$411+SUM(P84:Q84)</f>
        <v>2.5176981148277173</v>
      </c>
      <c r="S84" s="877">
        <f>'Common input data'!B109</f>
        <v>0.1</v>
      </c>
      <c r="T84" s="886">
        <f>'Common input data'!C115</f>
        <v>0.03</v>
      </c>
      <c r="V84" s="1230"/>
      <c r="W84" s="189"/>
      <c r="X84" s="189"/>
      <c r="Y84" s="189"/>
      <c r="Z84" s="199"/>
      <c r="AA84" s="189"/>
      <c r="AB84" s="1232"/>
      <c r="AC84" s="189"/>
      <c r="AD84" s="189"/>
      <c r="AE84" s="189"/>
      <c r="AF84" s="199"/>
      <c r="AG84" s="189"/>
      <c r="AH84" s="879"/>
      <c r="AI84" s="877"/>
      <c r="AJ84" s="877"/>
      <c r="AK84" s="877"/>
      <c r="AL84" s="886"/>
      <c r="AM84" s="877"/>
      <c r="AN84" s="879"/>
      <c r="AO84" s="877"/>
      <c r="AP84" s="877"/>
      <c r="AQ84" s="877"/>
      <c r="AR84" s="886"/>
      <c r="AS84" s="877"/>
      <c r="AT84" s="879"/>
      <c r="AU84" s="877"/>
      <c r="AV84" s="877"/>
      <c r="AW84" s="877"/>
      <c r="AX84" s="877"/>
      <c r="AY84" s="877"/>
      <c r="AZ84" s="886"/>
      <c r="BA84" s="877"/>
      <c r="BB84" s="879"/>
      <c r="BC84" s="877"/>
      <c r="BD84" s="877"/>
      <c r="BE84" s="877"/>
      <c r="BF84" s="886"/>
      <c r="BG84" s="877"/>
      <c r="BH84" s="879"/>
      <c r="BI84" s="877"/>
      <c r="BJ84" s="877"/>
      <c r="BK84" s="877"/>
      <c r="BL84" s="886"/>
      <c r="BM84" s="877"/>
      <c r="BN84" s="879"/>
      <c r="BO84" s="877"/>
      <c r="BP84" s="877"/>
      <c r="BQ84" s="877"/>
      <c r="BR84" s="886"/>
      <c r="BS84" s="877"/>
      <c r="BT84" s="879"/>
      <c r="BU84" s="886"/>
    </row>
    <row r="85" spans="1:73">
      <c r="A85" s="68"/>
      <c r="C85" s="595"/>
      <c r="D85" s="50"/>
      <c r="E85" s="511" t="s">
        <v>321</v>
      </c>
      <c r="F85" s="928">
        <f>SUM(J85:M85)</f>
        <v>0.71750216205402595</v>
      </c>
      <c r="G85" s="877">
        <f>SUM(I85:M85,P85)</f>
        <v>0.71750216205402595</v>
      </c>
      <c r="H85" s="878">
        <f>SUM(R85:T85)/(1-'Common input data'!B$145)</f>
        <v>1.5802176449410175</v>
      </c>
      <c r="I85" s="877">
        <v>0</v>
      </c>
      <c r="J85" s="877">
        <f>SUM(J91,J95,J100,J105,J110,J115,J120)/'Input data meat and eggs'!$J$411</f>
        <v>0</v>
      </c>
      <c r="K85" s="877">
        <f>SUM(K90,K95,K100,K105,K110,K115,K120)/'Input data meat and eggs'!$J$411</f>
        <v>4.4540406834970979E-2</v>
      </c>
      <c r="L85" s="877">
        <f>SUM(L90,L95,L100,L105,L110,L115,L120)/'Input data meat and eggs'!$J$411</f>
        <v>0</v>
      </c>
      <c r="M85" s="877">
        <f>SUM(M90,M95,M101,M105,M110,M115,M120)/'Input data meat and eggs'!$J$411</f>
        <v>0.67296175521905499</v>
      </c>
      <c r="N85" s="877">
        <f>SUM(N90,N95,N100,N105,N110,N115,N120)/'Input data meat and eggs'!$J$411</f>
        <v>0</v>
      </c>
      <c r="O85" s="877">
        <f>SUM(O90,O95,O100,O105,O110,O115,O120)/'Input data meat and eggs'!$J$411</f>
        <v>0</v>
      </c>
      <c r="P85" s="877">
        <v>0</v>
      </c>
      <c r="Q85" s="877">
        <v>0</v>
      </c>
      <c r="R85" s="877">
        <f>SUM(R89,R94,R99,R104,R109,R114,R119)/'Input data meat and eggs'!$J$411</f>
        <v>1.4411584921862077</v>
      </c>
      <c r="S85" s="877">
        <v>0</v>
      </c>
      <c r="T85" s="886">
        <v>0</v>
      </c>
      <c r="V85" s="1230"/>
      <c r="W85" s="183"/>
      <c r="X85" s="183"/>
      <c r="Y85" s="183"/>
      <c r="Z85" s="1231"/>
      <c r="AA85" s="183"/>
      <c r="AB85" s="1230"/>
      <c r="AC85" s="183"/>
      <c r="AD85" s="183"/>
      <c r="AE85" s="183"/>
      <c r="AF85" s="1231"/>
      <c r="AG85" s="189"/>
      <c r="AH85" s="879"/>
      <c r="AI85" s="877"/>
      <c r="AJ85" s="877"/>
      <c r="AK85" s="877"/>
      <c r="AL85" s="886"/>
      <c r="AM85" s="877"/>
      <c r="AN85" s="879"/>
      <c r="AO85" s="877"/>
      <c r="AP85" s="877"/>
      <c r="AQ85" s="877"/>
      <c r="AR85" s="886"/>
      <c r="AS85" s="877"/>
      <c r="AT85" s="879"/>
      <c r="AU85" s="877"/>
      <c r="AV85" s="877"/>
      <c r="AW85" s="877"/>
      <c r="AX85" s="877"/>
      <c r="AY85" s="877"/>
      <c r="AZ85" s="886"/>
      <c r="BA85" s="877"/>
      <c r="BB85" s="879"/>
      <c r="BC85" s="877"/>
      <c r="BD85" s="877"/>
      <c r="BE85" s="877"/>
      <c r="BF85" s="886"/>
      <c r="BG85" s="877"/>
      <c r="BH85" s="879"/>
      <c r="BI85" s="877"/>
      <c r="BJ85" s="877"/>
      <c r="BK85" s="877"/>
      <c r="BL85" s="886"/>
      <c r="BM85" s="877"/>
      <c r="BN85" s="879"/>
      <c r="BO85" s="877"/>
      <c r="BP85" s="877"/>
      <c r="BQ85" s="877"/>
      <c r="BR85" s="886"/>
      <c r="BS85" s="877"/>
      <c r="BT85" s="879"/>
      <c r="BU85" s="886"/>
    </row>
    <row r="86" spans="1:73">
      <c r="A86" s="68"/>
      <c r="C86" s="595"/>
      <c r="D86" s="50"/>
      <c r="E86" s="511" t="s">
        <v>319</v>
      </c>
      <c r="F86" s="928">
        <f>SUM(J86:M86)</f>
        <v>0</v>
      </c>
      <c r="G86" s="877">
        <f>SUM(I86:M86,P86)</f>
        <v>1.974377512484928E-3</v>
      </c>
      <c r="H86" s="878">
        <f>SUM(R86:T86)/(1-'Common input data'!B$145)</f>
        <v>0.9762063888770196</v>
      </c>
      <c r="I86" s="877">
        <f>SUM(I91,I96,I101,I106,I111,I116,I121)/'Input data meat and eggs'!$J$411</f>
        <v>1.974377512484928E-3</v>
      </c>
      <c r="J86" s="877">
        <v>0</v>
      </c>
      <c r="K86" s="877">
        <v>0</v>
      </c>
      <c r="L86" s="877">
        <v>0</v>
      </c>
      <c r="M86" s="877">
        <v>0</v>
      </c>
      <c r="N86" s="877">
        <v>0</v>
      </c>
      <c r="O86" s="877">
        <v>0</v>
      </c>
      <c r="P86" s="877">
        <v>0</v>
      </c>
      <c r="Q86" s="877">
        <f>'Input data meat and eggs'!C104*3.6*'Common input data'!B67</f>
        <v>1.0392452830188681E-4</v>
      </c>
      <c r="R86" s="877">
        <f>SUM(R90,R95,R100,R105,R110,R115,R120)/'Input data meat and eggs'!$J$411</f>
        <v>0.89030022665584185</v>
      </c>
      <c r="S86" s="877">
        <v>0</v>
      </c>
      <c r="T86" s="886">
        <v>0</v>
      </c>
      <c r="V86" s="1230"/>
      <c r="W86" s="183"/>
      <c r="X86" s="183"/>
      <c r="Y86" s="183"/>
      <c r="Z86" s="1231"/>
      <c r="AA86" s="183"/>
      <c r="AB86" s="1230"/>
      <c r="AC86" s="183"/>
      <c r="AD86" s="183"/>
      <c r="AE86" s="183"/>
      <c r="AF86" s="1231"/>
      <c r="AG86" s="189"/>
      <c r="AH86" s="879"/>
      <c r="AI86" s="877"/>
      <c r="AJ86" s="877"/>
      <c r="AK86" s="877"/>
      <c r="AL86" s="886"/>
      <c r="AM86" s="877"/>
      <c r="AN86" s="879"/>
      <c r="AO86" s="877"/>
      <c r="AP86" s="877"/>
      <c r="AQ86" s="877"/>
      <c r="AR86" s="886"/>
      <c r="AS86" s="877"/>
      <c r="AT86" s="879"/>
      <c r="AU86" s="877"/>
      <c r="AV86" s="877"/>
      <c r="AW86" s="877"/>
      <c r="AX86" s="877"/>
      <c r="AY86" s="877"/>
      <c r="AZ86" s="886"/>
      <c r="BA86" s="877"/>
      <c r="BB86" s="879"/>
      <c r="BC86" s="877"/>
      <c r="BD86" s="877"/>
      <c r="BE86" s="877"/>
      <c r="BF86" s="886"/>
      <c r="BG86" s="877"/>
      <c r="BH86" s="879"/>
      <c r="BI86" s="877"/>
      <c r="BJ86" s="877"/>
      <c r="BK86" s="877"/>
      <c r="BL86" s="886"/>
      <c r="BM86" s="877"/>
      <c r="BN86" s="879"/>
      <c r="BO86" s="877"/>
      <c r="BP86" s="877"/>
      <c r="BQ86" s="877"/>
      <c r="BR86" s="886"/>
      <c r="BS86" s="877"/>
      <c r="BT86" s="879"/>
      <c r="BU86" s="886"/>
    </row>
    <row r="87" spans="1:73">
      <c r="A87" s="359"/>
      <c r="B87" s="360"/>
      <c r="C87" s="83"/>
      <c r="D87" s="54"/>
      <c r="E87" s="512" t="s">
        <v>320</v>
      </c>
      <c r="F87" s="928">
        <f>SUM(J87:M87)</f>
        <v>1.8655261763487366E-2</v>
      </c>
      <c r="G87" s="877">
        <f>SUM(I87:M87,P87)</f>
        <v>2.1574541044194089E-2</v>
      </c>
      <c r="H87" s="878">
        <f>SUM(R87:T87)/(1-'Common input data'!B$145)</f>
        <v>3.4037834538991056E-2</v>
      </c>
      <c r="I87" s="877">
        <f>SUM(I92,I97,I102,I107,I112,I117,I122)/'Input data meat and eggs'!$J$411</f>
        <v>2.9192792807067221E-3</v>
      </c>
      <c r="J87" s="877">
        <f>SUM(J92,J97,J102,J107,J112,J117,J122)/'Input data meat and eggs'!$J$411</f>
        <v>7.3787613625674597E-3</v>
      </c>
      <c r="K87" s="877">
        <f>SUM(K92,K97,K102,K107,K112,K117,K122)/'Input data meat and eggs'!$J$411</f>
        <v>1.0266919541639424E-2</v>
      </c>
      <c r="L87" s="877">
        <f>SUM(L92,L97,L102,L107,L112,L117,L122)/'Input data meat and eggs'!$J$411</f>
        <v>1.009580859280482E-3</v>
      </c>
      <c r="M87" s="877">
        <f>SUM(M92,M97,M102,M107,M112,M117,M122)/'Input data meat and eggs'!$J$411</f>
        <v>0</v>
      </c>
      <c r="N87" s="877">
        <f>SUM(N92,N97,N102,N107,N112,N117,N122)/'Input data meat and eggs'!$J$411</f>
        <v>0</v>
      </c>
      <c r="O87" s="877">
        <f>SUM(O92,O97,O102,O107,O112,O117,O122)/'Input data meat and eggs'!$J$411</f>
        <v>0</v>
      </c>
      <c r="P87" s="877">
        <v>0</v>
      </c>
      <c r="Q87" s="877">
        <f>'Input data meat and eggs'!C104*3.6*'Common input data'!B68</f>
        <v>9.6880754716981128E-6</v>
      </c>
      <c r="R87" s="877">
        <f>SUM(R92,R97,R102,R107,R112,R117,R122)/'Input data meat and eggs'!$J$411</f>
        <v>3.1042505099559841E-2</v>
      </c>
      <c r="S87" s="877">
        <v>0</v>
      </c>
      <c r="T87" s="886">
        <v>0</v>
      </c>
      <c r="V87" s="1230"/>
      <c r="W87" s="183"/>
      <c r="X87" s="183"/>
      <c r="Y87" s="183"/>
      <c r="Z87" s="1231"/>
      <c r="AA87" s="183"/>
      <c r="AB87" s="1230"/>
      <c r="AC87" s="183"/>
      <c r="AD87" s="183"/>
      <c r="AE87" s="183"/>
      <c r="AF87" s="1231"/>
      <c r="AG87" s="189"/>
      <c r="AH87" s="879"/>
      <c r="AI87" s="877"/>
      <c r="AJ87" s="877"/>
      <c r="AK87" s="877"/>
      <c r="AL87" s="886"/>
      <c r="AM87" s="877"/>
      <c r="AN87" s="879"/>
      <c r="AO87" s="877"/>
      <c r="AP87" s="877"/>
      <c r="AQ87" s="877"/>
      <c r="AR87" s="886"/>
      <c r="AS87" s="877"/>
      <c r="AT87" s="879"/>
      <c r="AU87" s="877"/>
      <c r="AV87" s="877"/>
      <c r="AW87" s="877"/>
      <c r="AX87" s="877"/>
      <c r="AY87" s="877"/>
      <c r="AZ87" s="886"/>
      <c r="BA87" s="877"/>
      <c r="BB87" s="879"/>
      <c r="BC87" s="877"/>
      <c r="BD87" s="877"/>
      <c r="BE87" s="877"/>
      <c r="BF87" s="886"/>
      <c r="BG87" s="877"/>
      <c r="BH87" s="879"/>
      <c r="BI87" s="877"/>
      <c r="BJ87" s="877"/>
      <c r="BK87" s="877"/>
      <c r="BL87" s="886"/>
      <c r="BM87" s="877"/>
      <c r="BN87" s="879"/>
      <c r="BO87" s="877"/>
      <c r="BP87" s="877"/>
      <c r="BQ87" s="877"/>
      <c r="BR87" s="886"/>
      <c r="BS87" s="877"/>
      <c r="BT87" s="879"/>
      <c r="BU87" s="886"/>
    </row>
    <row r="88" spans="1:73">
      <c r="A88" s="108"/>
      <c r="B88" s="93" t="s">
        <v>341</v>
      </c>
      <c r="C88" s="904"/>
      <c r="D88" s="17"/>
      <c r="E88" s="513" t="s">
        <v>316</v>
      </c>
      <c r="F88" s="930">
        <f>SUMPRODUCT($CA$7:$CA$10,F89:F92)</f>
        <v>132267031.33709154</v>
      </c>
      <c r="G88" s="872">
        <f>SUMPRODUCT($CA$7:$CA$10,G89:G92)</f>
        <v>219201539.5469251</v>
      </c>
      <c r="H88" s="873"/>
      <c r="I88" s="872"/>
      <c r="J88" s="872"/>
      <c r="K88" s="872"/>
      <c r="L88" s="872"/>
      <c r="M88" s="872"/>
      <c r="N88" s="884"/>
      <c r="O88" s="872"/>
      <c r="P88" s="872"/>
      <c r="Q88" s="872"/>
      <c r="R88" s="872"/>
      <c r="S88" s="884"/>
      <c r="T88" s="885"/>
      <c r="V88" s="1240">
        <f>'Input data meat and eggs'!$S404*'Input data meat and eggs'!E$48+'Input data meat and eggs'!$U404*'Input data meat and eggs'!E$35+'Input data meat and eggs'!$V404*SUMPRODUCT('Input data meat and eggs'!$E$77:$E$86,'Input data meat and eggs'!E$37:E$46)</f>
        <v>4091.9676892145994</v>
      </c>
      <c r="W88" s="211">
        <f>V88*'Input data meat and eggs'!$C404</f>
        <v>816743511.43160594</v>
      </c>
      <c r="X88" s="211"/>
      <c r="Y88" s="211"/>
      <c r="Z88" s="1242"/>
      <c r="AA88" s="189"/>
      <c r="AB88" s="1240">
        <f>'Input data meat and eggs'!$T404*'Input data meat and eggs'!F$47</f>
        <v>14034.689811248192</v>
      </c>
      <c r="AC88" s="211">
        <f>AB88*'Input data meat and eggs'!$C404</f>
        <v>2801278677.8608108</v>
      </c>
      <c r="AD88" s="211"/>
      <c r="AE88" s="211"/>
      <c r="AF88" s="1242"/>
      <c r="AG88" s="189"/>
      <c r="AH88" s="883">
        <f>'Input data meat and eggs'!$S404*'Input data meat and eggs'!G$48+'Input data meat and eggs'!$T404*'Input data meat and eggs'!G$47+'Input data meat and eggs'!$U404*'Input data meat and eggs'!G$35+'Input data meat and eggs'!$V404*SUMPRODUCT('Input data meat and eggs'!$E$77:$E$86,'Input data meat and eggs'!G$37:G$46)</f>
        <v>136.51781571676261</v>
      </c>
      <c r="AI88" s="884">
        <f>AH88*'Input data meat and eggs'!$C404</f>
        <v>27248514.321207304</v>
      </c>
      <c r="AJ88" s="884"/>
      <c r="AK88" s="884"/>
      <c r="AL88" s="885"/>
      <c r="AM88" s="877"/>
      <c r="AN88" s="883">
        <f>'Input data meat and eggs'!$S404*'Input data meat and eggs'!H$48+'Input data meat and eggs'!$T404*'Input data meat and eggs'!H$47+'Input data meat and eggs'!$U404*'Input data meat and eggs'!H$35+'Input data meat and eggs'!$V404*SUMPRODUCT('Input data meat and eggs'!$E$77:$E$86,'Input data meat and eggs'!H$37:H$46)</f>
        <v>2.9838523904002665</v>
      </c>
      <c r="AO88" s="884">
        <f>AN88*'Input data meat and eggs'!$C404</f>
        <v>595567.28303415899</v>
      </c>
      <c r="AP88" s="884"/>
      <c r="AQ88" s="884"/>
      <c r="AR88" s="885"/>
      <c r="AS88" s="877"/>
      <c r="AT88" s="883">
        <f>'Input data meat and eggs'!$S404*'Input data meat and eggs'!I$48+'Input data meat and eggs'!$T404*'Input data meat and eggs'!I$47+'Input data meat and eggs'!$U404*'Input data meat and eggs'!I$35+'Input data meat and eggs'!$V404*SUMPRODUCT('Input data meat and eggs'!$E$77:$E$86,'Input data meat and eggs'!I$37:I$46)</f>
        <v>0.19857583463490538</v>
      </c>
      <c r="AU88" s="884">
        <f>'Input data meat and eggs'!G404/12*((1-'Input data meat and eggs'!$R404)*'Input data meat and eggs'!$B$61+'Input data meat and eggs'!$R404*'Input data meat and eggs'!$B$62)</f>
        <v>12.299769999999999</v>
      </c>
      <c r="AV88" s="884">
        <f>SUM(AT88:AU88)</f>
        <v>12.498345834634904</v>
      </c>
      <c r="AW88" s="884">
        <f>AV88*'Input data meat and eggs'!$C404</f>
        <v>2494629.3908849461</v>
      </c>
      <c r="AX88" s="884"/>
      <c r="AY88" s="884"/>
      <c r="AZ88" s="885"/>
      <c r="BA88" s="877"/>
      <c r="BB88" s="883">
        <f>'Input data meat and eggs'!$S404*'Input data meat and eggs'!J$48+'Input data meat and eggs'!$T404*'Input data meat and eggs'!J$47+'Input data meat and eggs'!$U404*'Input data meat and eggs'!J$35+'Input data meat and eggs'!$V404*SUMPRODUCT('Input data meat and eggs'!$E$77:$E$86,'Input data meat and eggs'!J$37:J$46)</f>
        <v>1.3793102734210002E-7</v>
      </c>
      <c r="BC88" s="884">
        <f>BB88*'Input data meat and eggs'!$C404</f>
        <v>2.753058678925643E-2</v>
      </c>
      <c r="BD88" s="884"/>
      <c r="BE88" s="884"/>
      <c r="BF88" s="885"/>
      <c r="BG88" s="877"/>
      <c r="BH88" s="883">
        <f>'Input data meat and eggs'!$S404*'Input data meat and eggs'!P$48+'Input data meat and eggs'!$T404*'Input data meat and eggs'!P$47+'Input data meat and eggs'!$U404*'Input data meat and eggs'!P$35+'Input data meat and eggs'!$V404*SUMPRODUCT('Input data meat and eggs'!$E$77:$E$86,'Input data meat and eggs'!P$37:P$46)</f>
        <v>0.16608758274651525</v>
      </c>
      <c r="BI88" s="884">
        <f>BH88*'Input data meat and eggs'!$C404</f>
        <v>33150.544148996625</v>
      </c>
      <c r="BJ88" s="884"/>
      <c r="BK88" s="884"/>
      <c r="BL88" s="885"/>
      <c r="BM88" s="877"/>
      <c r="BN88" s="883">
        <f>'Input data meat and eggs'!$S404*'Input data meat and eggs'!W$48+'Input data meat and eggs'!$T404*'Input data meat and eggs'!W$47+'Input data meat and eggs'!$U404*'Input data meat and eggs'!W$35+'Input data meat and eggs'!$V404*SUMPRODUCT('Input data meat and eggs'!$E$77:$E$86,'Input data meat and eggs'!W$37:W$46)</f>
        <v>8.8258096178231416</v>
      </c>
      <c r="BO88" s="884">
        <f>BN88*'Input data meat and eggs'!$C404</f>
        <v>1761603.0442975655</v>
      </c>
      <c r="BP88" s="884"/>
      <c r="BQ88" s="884"/>
      <c r="BR88" s="885"/>
      <c r="BS88" s="877"/>
      <c r="BT88" s="879"/>
      <c r="BU88" s="886"/>
    </row>
    <row r="89" spans="1:73">
      <c r="A89" s="68"/>
      <c r="C89" s="64"/>
      <c r="E89" s="511" t="s">
        <v>317</v>
      </c>
      <c r="F89" s="928">
        <f>IF(AND($G$2="No",$G$3="No"),SUM(J89:M89),IF(AND($G$2="Yes", $G$3="No"), SUM(J89:M89)+O89, IF(AND($G$2="No", $G$3="Yes"),SUM(J89:M89)+N89, SUM(J89:M89)+O89+N89)))</f>
        <v>-62928620.127986319</v>
      </c>
      <c r="G89" s="877">
        <f>IF(AND($G$2="No",$G$3="No"),SUM(I89:M89,P89),IF(AND($G$2="Yes", $G$3="No"), SUM(I89:M89,P89)+O89, IF(AND($G$2="No", $G$3="Yes"),SUM(I89:M89,P89)+N89, SUM(I89:M89,P89)+O89+N89)))</f>
        <v>7249205.8075249642</v>
      </c>
      <c r="H89" s="878"/>
      <c r="I89" s="877">
        <f>('Input data meat and eggs'!S404*'Input data meat and eggs'!B48+'Input data meat and eggs'!T404*'Input data meat and eggs'!B47+'Input data meat and eggs'!U404*'Input data meat and eggs'!B35+'Input data meat and eggs'!V404*SUMPRODUCT('Input data meat and eggs'!B37:B46,'Input data meat and eggs'!E77:E86))*'Input data meat and eggs'!$C$404</f>
        <v>70177825.935511276</v>
      </c>
      <c r="J89" s="877">
        <v>0</v>
      </c>
      <c r="K89" s="877">
        <v>0</v>
      </c>
      <c r="L89" s="877">
        <v>0</v>
      </c>
      <c r="M89" s="1180">
        <v>0</v>
      </c>
      <c r="N89" s="877">
        <f>(('Input data meat and eggs'!S404+'Input data meat and eggs'!T404)*'Common input data'!F19+
'Input data meat and eggs'!U404*'Common input data'!B19+'Input data meat and eggs'!V404*('Input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eggs'!$C$404</f>
        <v>-63396727.393657357</v>
      </c>
      <c r="O89" s="877">
        <f>('Input data meat and eggs'!V404*('Input data meat and eggs'!E79*'Common input data'!AR27*'Common input data'!G44/'Common input data'!F44+'Input data meat and eggs'!E83*'Common input data'!AS27*'Common input data'!J46/'Common input data'!I46))*'Input data meat and eggs'!$C$404</f>
        <v>468107.2656710397</v>
      </c>
      <c r="P89" s="877">
        <v>0</v>
      </c>
      <c r="Q89" s="877">
        <v>0</v>
      </c>
      <c r="R89" s="877">
        <f>(SUM(G89+Q89))/'Input data meat and eggs'!$B$29</f>
        <v>10430511.95327333</v>
      </c>
      <c r="S89" s="877"/>
      <c r="T89" s="886"/>
      <c r="V89" s="1230"/>
      <c r="W89" s="183"/>
      <c r="X89" s="183"/>
      <c r="Y89" s="183"/>
      <c r="Z89" s="1231"/>
      <c r="AA89" s="183"/>
      <c r="AB89" s="1230"/>
      <c r="AC89" s="183"/>
      <c r="AD89" s="183"/>
      <c r="AE89" s="183"/>
      <c r="AF89" s="1231"/>
      <c r="AG89" s="189"/>
      <c r="AH89" s="879"/>
      <c r="AI89" s="877"/>
      <c r="AJ89" s="877"/>
      <c r="AK89" s="877"/>
      <c r="AL89" s="886"/>
      <c r="AM89" s="877"/>
      <c r="AN89" s="879"/>
      <c r="AO89" s="877"/>
      <c r="AP89" s="877"/>
      <c r="AQ89" s="877"/>
      <c r="AR89" s="886"/>
      <c r="AS89" s="877"/>
      <c r="AT89" s="879"/>
      <c r="AU89" s="877"/>
      <c r="AV89" s="877"/>
      <c r="AW89" s="877"/>
      <c r="AX89" s="877"/>
      <c r="AY89" s="877"/>
      <c r="AZ89" s="886"/>
      <c r="BA89" s="877"/>
      <c r="BB89" s="879"/>
      <c r="BC89" s="877"/>
      <c r="BD89" s="877"/>
      <c r="BE89" s="877"/>
      <c r="BF89" s="886"/>
      <c r="BG89" s="877"/>
      <c r="BH89" s="879"/>
      <c r="BI89" s="877"/>
      <c r="BJ89" s="877"/>
      <c r="BK89" s="877"/>
      <c r="BL89" s="886"/>
      <c r="BM89" s="877"/>
      <c r="BN89" s="879"/>
      <c r="BO89" s="877"/>
      <c r="BP89" s="877"/>
      <c r="BQ89" s="877"/>
      <c r="BR89" s="886"/>
      <c r="BS89" s="877"/>
      <c r="BT89" s="879"/>
      <c r="BU89" s="886"/>
    </row>
    <row r="90" spans="1:73">
      <c r="A90" s="68"/>
      <c r="C90" s="58"/>
      <c r="D90" s="55"/>
      <c r="E90" s="511" t="s">
        <v>321</v>
      </c>
      <c r="F90" s="928">
        <f>SUM(J90:M90)</f>
        <v>18289091.148635369</v>
      </c>
      <c r="G90" s="877">
        <f>SUM(I90:M90,P90)</f>
        <v>18289091.148635369</v>
      </c>
      <c r="H90" s="878"/>
      <c r="I90" s="877">
        <v>0</v>
      </c>
      <c r="J90" s="877">
        <v>0</v>
      </c>
      <c r="K90" s="877">
        <f>('Input data meat and eggs'!M404*'Input data meat and eggs'!G404/12*'Input data meat and eggs'!$B$463*'Input data meat and eggs'!$B$464*'Input data meat and eggs'!$B$465*
('Input data meat and eggs'!$O$404*'Input data meat and eggs'!$B$455
+'Input data meat and eggs'!$P$404*'Input data meat and eggs'!$C$455+
'Input data meat and eggs'!$Q$404*'Input data meat and eggs'!$D$455+
'Input data meat and eggs'!$R$404*'Input data meat and eggs'!$E$455))*'Input data meat and eggs'!$C$404</f>
        <v>1043930.6910670623</v>
      </c>
      <c r="L90" s="877">
        <v>0</v>
      </c>
      <c r="M90" s="1180">
        <f>('Input data meat and eggs'!L404*'Input data meat and eggs'!G404/12)*'Input data meat and eggs'!$C$404</f>
        <v>17245160.457568306</v>
      </c>
      <c r="N90" s="877">
        <v>0</v>
      </c>
      <c r="O90" s="877">
        <v>0</v>
      </c>
      <c r="P90" s="877">
        <v>0</v>
      </c>
      <c r="Q90" s="877">
        <v>0</v>
      </c>
      <c r="R90" s="877">
        <f>(SUM(G90+Q90))/'Input data meat and eggs'!$B$29</f>
        <v>26315239.062784705</v>
      </c>
      <c r="S90" s="877"/>
      <c r="T90" s="886"/>
      <c r="U90" s="29"/>
      <c r="V90" s="1230"/>
      <c r="W90" s="183"/>
      <c r="X90" s="183"/>
      <c r="Y90" s="183"/>
      <c r="Z90" s="1231"/>
      <c r="AA90" s="183"/>
      <c r="AB90" s="1230"/>
      <c r="AC90" s="183"/>
      <c r="AD90" s="183"/>
      <c r="AE90" s="183"/>
      <c r="AF90" s="1231"/>
      <c r="AG90" s="189"/>
      <c r="AH90" s="879"/>
      <c r="AI90" s="877"/>
      <c r="AJ90" s="877"/>
      <c r="AK90" s="877"/>
      <c r="AL90" s="886"/>
      <c r="AM90" s="877"/>
      <c r="AN90" s="879"/>
      <c r="AO90" s="877"/>
      <c r="AP90" s="877"/>
      <c r="AQ90" s="877"/>
      <c r="AR90" s="886"/>
      <c r="AS90" s="877"/>
      <c r="AT90" s="879"/>
      <c r="AU90" s="877"/>
      <c r="AV90" s="877"/>
      <c r="AW90" s="877"/>
      <c r="AX90" s="877"/>
      <c r="AY90" s="877"/>
      <c r="AZ90" s="886"/>
      <c r="BA90" s="877"/>
      <c r="BB90" s="879"/>
      <c r="BC90" s="877"/>
      <c r="BD90" s="877"/>
      <c r="BE90" s="877"/>
      <c r="BF90" s="886"/>
      <c r="BG90" s="877"/>
      <c r="BH90" s="879"/>
      <c r="BI90" s="877"/>
      <c r="BJ90" s="877"/>
      <c r="BK90" s="877"/>
      <c r="BL90" s="886"/>
      <c r="BM90" s="877"/>
      <c r="BN90" s="879"/>
      <c r="BO90" s="877"/>
      <c r="BP90" s="877"/>
      <c r="BQ90" s="877"/>
      <c r="BR90" s="886"/>
      <c r="BS90" s="877"/>
      <c r="BT90" s="879"/>
      <c r="BU90" s="886"/>
    </row>
    <row r="91" spans="1:73">
      <c r="A91" s="68"/>
      <c r="C91" s="58"/>
      <c r="D91" s="55"/>
      <c r="E91" s="511" t="s">
        <v>319</v>
      </c>
      <c r="F91" s="928">
        <f>SUM(J91:M91)</f>
        <v>0</v>
      </c>
      <c r="G91" s="877">
        <f>SUM(I91:M91,P91)</f>
        <v>37605.547182227812</v>
      </c>
      <c r="H91" s="878"/>
      <c r="I91" s="877">
        <f>('Input data meat and eggs'!S404*'Input data meat and eggs'!C48+'Input data meat and eggs'!T404*'Input data meat and eggs'!C47+'Input data meat and eggs'!U404*'Input data meat and eggs'!C35+'Input data meat and eggs'!V404*SUMPRODUCT('Input data meat and eggs'!C37:C46,'Input data meat and eggs'!E77:E86))*'Input data meat and eggs'!$C$404</f>
        <v>37605.547182227812</v>
      </c>
      <c r="J91" s="877">
        <v>0</v>
      </c>
      <c r="K91" s="877">
        <v>0</v>
      </c>
      <c r="L91" s="877">
        <v>0</v>
      </c>
      <c r="M91" s="1180">
        <v>0</v>
      </c>
      <c r="N91" s="877">
        <v>0</v>
      </c>
      <c r="O91" s="877">
        <v>0</v>
      </c>
      <c r="P91" s="877">
        <v>0</v>
      </c>
      <c r="Q91" s="877">
        <v>0</v>
      </c>
      <c r="R91" s="877">
        <f>(SUM(G91+Q91))/'Input data meat and eggs'!$B$29</f>
        <v>54108.700981622758</v>
      </c>
      <c r="S91" s="877"/>
      <c r="T91" s="886"/>
      <c r="V91" s="1230"/>
      <c r="W91" s="183"/>
      <c r="X91" s="183"/>
      <c r="Y91" s="183"/>
      <c r="Z91" s="1231"/>
      <c r="AA91" s="183"/>
      <c r="AB91" s="1230"/>
      <c r="AC91" s="183"/>
      <c r="AD91" s="183"/>
      <c r="AE91" s="183"/>
      <c r="AF91" s="1231"/>
      <c r="AG91" s="189"/>
      <c r="AH91" s="879"/>
      <c r="AI91" s="877"/>
      <c r="AJ91" s="877"/>
      <c r="AK91" s="877"/>
      <c r="AL91" s="886"/>
      <c r="AM91" s="877"/>
      <c r="AN91" s="879"/>
      <c r="AO91" s="877"/>
      <c r="AP91" s="877"/>
      <c r="AQ91" s="877"/>
      <c r="AR91" s="886"/>
      <c r="AS91" s="877"/>
      <c r="AT91" s="879"/>
      <c r="AU91" s="877"/>
      <c r="AV91" s="877"/>
      <c r="AW91" s="877"/>
      <c r="AX91" s="877"/>
      <c r="AY91" s="877"/>
      <c r="AZ91" s="886"/>
      <c r="BA91" s="877"/>
      <c r="BB91" s="879"/>
      <c r="BC91" s="877"/>
      <c r="BD91" s="877"/>
      <c r="BE91" s="877"/>
      <c r="BF91" s="886"/>
      <c r="BG91" s="877"/>
      <c r="BH91" s="879"/>
      <c r="BI91" s="877"/>
      <c r="BJ91" s="877"/>
      <c r="BK91" s="877"/>
      <c r="BL91" s="886"/>
      <c r="BM91" s="877"/>
      <c r="BN91" s="879"/>
      <c r="BO91" s="877"/>
      <c r="BP91" s="877"/>
      <c r="BQ91" s="877"/>
      <c r="BR91" s="886"/>
      <c r="BS91" s="877"/>
      <c r="BT91" s="879"/>
      <c r="BU91" s="886"/>
    </row>
    <row r="92" spans="1:73">
      <c r="A92" s="68"/>
      <c r="C92" s="83"/>
      <c r="D92" s="54"/>
      <c r="E92" s="512" t="s">
        <v>320</v>
      </c>
      <c r="F92" s="928">
        <f>SUM(J92:M92)</f>
        <v>468827.99599352625</v>
      </c>
      <c r="G92" s="877">
        <f>SUM(I92:M92,P92)</f>
        <v>539986.5204680576</v>
      </c>
      <c r="H92" s="878"/>
      <c r="I92" s="877">
        <f>(('Input data meat and eggs'!S404*'Input data meat and eggs'!D48+'Input data meat and eggs'!T404*'Input data meat and eggs'!D47+'Input data meat and eggs'!U404*'Input data meat and eggs'!D35+'Input data meat and eggs'!V404*SUMPRODUCT('Input data meat and eggs'!D37:D46,'Input data meat and eggs'!E77:E86))*'Input data meat and eggs'!B70)*'Input data meat and eggs'!$C$404</f>
        <v>71158.52447453131</v>
      </c>
      <c r="J92" s="877">
        <f>(('Input data meat and eggs'!S404*'Input data meat and eggs'!D48+'Input data meat and eggs'!T404*'Input data meat and eggs'!D47+'Input data meat and eggs'!U404*'Input data meat and eggs'!D35+'Input data meat and eggs'!V404*SUMPRODUCT('Input data meat and eggs'!D37:D46,'Input data meat and eggs'!E77:E86))*'Input data meat and eggs'!C70)*'Input data meat and eggs'!$C$404</f>
        <v>179860.06836689898</v>
      </c>
      <c r="K92" s="982">
        <f>('Input data meat and eggs'!K404*'Input data meat and eggs'!G404/12*('Input data meat and eggs'!$O$404*'Input data meat and eggs'!$B$457+'Input data meat and eggs'!$P$404*'Input data meat and eggs'!$C$457+'Input data meat and eggs'!$Q$404*'Input data meat and eggs'!$D$457+'Input data meat and eggs'!$R$404*'Input data meat and eggs'!$E$457)*44/28)*'Input data meat and eggs'!$C$404</f>
        <v>263401.86228054587</v>
      </c>
      <c r="L92" s="877">
        <f>('Input data meat and eggs'!$B$458*44/28*'Input data meat and eggs'!K404*'Input data meat and eggs'!G404/12*('Input data meat and eggs'!O404*'Input data meat and eggs'!B469+'Input data meat and eggs'!P404*'Input data meat and eggs'!C469+'Input data meat and eggs'!Q404*'Input data meat and eggs'!D469))*'Input data meat and eggs'!$C$404</f>
        <v>25566.065346081392</v>
      </c>
      <c r="M92" s="1180">
        <v>0</v>
      </c>
      <c r="N92" s="877">
        <v>0</v>
      </c>
      <c r="O92" s="877">
        <v>0</v>
      </c>
      <c r="P92" s="877">
        <v>0</v>
      </c>
      <c r="Q92" s="877">
        <v>0</v>
      </c>
      <c r="R92" s="877">
        <f>(SUM(G92+Q92))/'Input data meat and eggs'!$B$29</f>
        <v>776959.02225619799</v>
      </c>
      <c r="S92" s="1179"/>
      <c r="T92" s="886"/>
      <c r="V92" s="1230"/>
      <c r="W92" s="183"/>
      <c r="X92" s="183"/>
      <c r="Y92" s="183"/>
      <c r="Z92" s="1231"/>
      <c r="AA92" s="183"/>
      <c r="AB92" s="1230"/>
      <c r="AC92" s="183"/>
      <c r="AD92" s="183"/>
      <c r="AE92" s="183"/>
      <c r="AF92" s="1231"/>
      <c r="AG92" s="189"/>
      <c r="AH92" s="879"/>
      <c r="AI92" s="877"/>
      <c r="AJ92" s="877"/>
      <c r="AK92" s="877"/>
      <c r="AL92" s="886"/>
      <c r="AM92" s="877"/>
      <c r="AN92" s="879"/>
      <c r="AO92" s="877"/>
      <c r="AP92" s="877"/>
      <c r="AQ92" s="877"/>
      <c r="AR92" s="886"/>
      <c r="AS92" s="877"/>
      <c r="AT92" s="879"/>
      <c r="AU92" s="877"/>
      <c r="AV92" s="877"/>
      <c r="AW92" s="877"/>
      <c r="AX92" s="877"/>
      <c r="AY92" s="877"/>
      <c r="AZ92" s="886"/>
      <c r="BA92" s="877"/>
      <c r="BB92" s="879"/>
      <c r="BC92" s="877"/>
      <c r="BD92" s="877"/>
      <c r="BE92" s="877"/>
      <c r="BF92" s="886"/>
      <c r="BG92" s="877"/>
      <c r="BH92" s="879"/>
      <c r="BI92" s="877"/>
      <c r="BJ92" s="877"/>
      <c r="BK92" s="877"/>
      <c r="BL92" s="886"/>
      <c r="BM92" s="877"/>
      <c r="BN92" s="879"/>
      <c r="BO92" s="877"/>
      <c r="BP92" s="877"/>
      <c r="BQ92" s="877"/>
      <c r="BR92" s="886"/>
      <c r="BS92" s="877"/>
      <c r="BT92" s="879"/>
      <c r="BU92" s="886"/>
    </row>
    <row r="93" spans="1:73">
      <c r="A93" s="108"/>
      <c r="B93" s="93" t="s">
        <v>342</v>
      </c>
      <c r="C93" s="904"/>
      <c r="D93" s="17"/>
      <c r="E93" s="513" t="s">
        <v>316</v>
      </c>
      <c r="F93" s="930">
        <f>SUMPRODUCT($CA$7:$CA$10,F94:F97)</f>
        <v>35994913.024293728</v>
      </c>
      <c r="G93" s="872">
        <f>SUMPRODUCT($CA$7:$CA$10,G94:G97)</f>
        <v>52001336.019341134</v>
      </c>
      <c r="H93" s="873"/>
      <c r="I93" s="872"/>
      <c r="J93" s="872"/>
      <c r="K93" s="872"/>
      <c r="L93" s="872"/>
      <c r="M93" s="872"/>
      <c r="N93" s="884"/>
      <c r="O93" s="872"/>
      <c r="P93" s="872"/>
      <c r="Q93" s="872"/>
      <c r="R93" s="872"/>
      <c r="S93" s="884"/>
      <c r="T93" s="885"/>
      <c r="V93" s="1240">
        <f>'Input data meat and eggs'!$S405*'Input data meat and eggs'!E$48+'Input data meat and eggs'!$U405*'Input data meat and eggs'!E$35+'Input data meat and eggs'!$V405*SUMPRODUCT('Input data meat and eggs'!$E$77:$E$86,'Input data meat and eggs'!E$37:E$46)</f>
        <v>5562.8637949600316</v>
      </c>
      <c r="W93" s="211">
        <f>V93*'Input data meat and eggs'!$C405</f>
        <v>204200091.58955234</v>
      </c>
      <c r="X93" s="211"/>
      <c r="Y93" s="211"/>
      <c r="Z93" s="1242"/>
      <c r="AA93" s="189"/>
      <c r="AB93" s="1240">
        <f>'Input data meat and eggs'!$T405*'Input data meat and eggs'!F$47</f>
        <v>9381.0821369922123</v>
      </c>
      <c r="AC93" s="211">
        <f>AB93*'Input data meat and eggs'!$C405</f>
        <v>344358212.2788046</v>
      </c>
      <c r="AD93" s="211"/>
      <c r="AE93" s="211"/>
      <c r="AF93" s="1242"/>
      <c r="AG93" s="189"/>
      <c r="AH93" s="883">
        <f>'Input data meat and eggs'!$S405*'Input data meat and eggs'!G$48+'Input data meat and eggs'!$T405*'Input data meat and eggs'!G$47+'Input data meat and eggs'!$U405*'Input data meat and eggs'!G$35+'Input data meat and eggs'!$V405*SUMPRODUCT('Input data meat and eggs'!$E$77:$E$86,'Input data meat and eggs'!G$37:G$46)</f>
        <v>165.06056728485333</v>
      </c>
      <c r="AI93" s="884">
        <f>AH93*'Input data meat and eggs'!$C405</f>
        <v>6058998.4223463601</v>
      </c>
      <c r="AJ93" s="884"/>
      <c r="AK93" s="884"/>
      <c r="AL93" s="885"/>
      <c r="AM93" s="877"/>
      <c r="AN93" s="883">
        <f>'Input data meat and eggs'!$S405*'Input data meat and eggs'!H$48+'Input data meat and eggs'!$T405*'Input data meat and eggs'!H$47+'Input data meat and eggs'!$U405*'Input data meat and eggs'!H$35+'Input data meat and eggs'!$V405*SUMPRODUCT('Input data meat and eggs'!$E$77:$E$86,'Input data meat and eggs'!H$37:H$46)</f>
        <v>2.607972590140299</v>
      </c>
      <c r="AO93" s="884">
        <f>AN93*'Input data meat and eggs'!$C405</f>
        <v>95732.748706193583</v>
      </c>
      <c r="AP93" s="884"/>
      <c r="AQ93" s="884"/>
      <c r="AR93" s="885"/>
      <c r="AS93" s="877"/>
      <c r="AT93" s="883">
        <f>'Input data meat and eggs'!$S405*'Input data meat and eggs'!I$48+'Input data meat and eggs'!$T405*'Input data meat and eggs'!I$47+'Input data meat and eggs'!$U405*'Input data meat and eggs'!I$35+'Input data meat and eggs'!$V405*SUMPRODUCT('Input data meat and eggs'!$E$77:$E$86,'Input data meat and eggs'!I$37:I$46)</f>
        <v>0.39143288867207593</v>
      </c>
      <c r="AU93" s="884">
        <f>'Input data meat and eggs'!G405/12*((1-'Input data meat and eggs'!$R405)*'Input data meat and eggs'!$B$61+'Input data meat and eggs'!$R405*'Input data meat and eggs'!$B$62)</f>
        <v>24.194389999999999</v>
      </c>
      <c r="AV93" s="884">
        <f>SUM(AT93:AU93)</f>
        <v>24.585822888672073</v>
      </c>
      <c r="AW93" s="884">
        <f>AV93*'Input data meat and eggs'!$C405</f>
        <v>902489.70147711853</v>
      </c>
      <c r="AX93" s="884"/>
      <c r="AY93" s="884"/>
      <c r="AZ93" s="885"/>
      <c r="BA93" s="877"/>
      <c r="BB93" s="883">
        <f>'Input data meat and eggs'!$S405*'Input data meat and eggs'!J$48+'Input data meat and eggs'!$T405*'Input data meat and eggs'!J$47+'Input data meat and eggs'!$U405*'Input data meat and eggs'!J$35+'Input data meat and eggs'!$V405*SUMPRODUCT('Input data meat and eggs'!$E$77:$E$86,'Input data meat and eggs'!J$37:J$46)</f>
        <v>1.172746303925991E-7</v>
      </c>
      <c r="BC93" s="884">
        <f>BB93*'Input data meat and eggs'!$C405</f>
        <v>4.3048852443585122E-3</v>
      </c>
      <c r="BD93" s="884"/>
      <c r="BE93" s="884"/>
      <c r="BF93" s="885"/>
      <c r="BG93" s="877"/>
      <c r="BH93" s="883">
        <f>'Input data meat and eggs'!$S405*'Input data meat and eggs'!P$48+'Input data meat and eggs'!$T405*'Input data meat and eggs'!P$47+'Input data meat and eggs'!$U405*'Input data meat and eggs'!P$35+'Input data meat and eggs'!$V405*SUMPRODUCT('Input data meat and eggs'!$E$77:$E$86,'Input data meat and eggs'!P$37:P$46)</f>
        <v>0.18098098269944662</v>
      </c>
      <c r="BI93" s="884">
        <f>BH93*'Input data meat and eggs'!$C405</f>
        <v>6643.4007024721186</v>
      </c>
      <c r="BJ93" s="884"/>
      <c r="BK93" s="884"/>
      <c r="BL93" s="885"/>
      <c r="BM93" s="877"/>
      <c r="BN93" s="883">
        <f>'Input data meat and eggs'!$S405*'Input data meat and eggs'!W$48+'Input data meat and eggs'!$T405*'Input data meat and eggs'!W$47+'Input data meat and eggs'!$U405*'Input data meat and eggs'!W$35+'Input data meat and eggs'!$V405*SUMPRODUCT('Input data meat and eggs'!$E$77:$E$86,'Input data meat and eggs'!W$37:W$46)</f>
        <v>11.441434543734593</v>
      </c>
      <c r="BO93" s="884">
        <f>BN93*'Input data meat and eggs'!$C405</f>
        <v>419989.06819598988</v>
      </c>
      <c r="BP93" s="884"/>
      <c r="BQ93" s="884"/>
      <c r="BR93" s="885"/>
      <c r="BS93" s="877"/>
      <c r="BT93" s="879"/>
      <c r="BU93" s="886"/>
    </row>
    <row r="94" spans="1:73">
      <c r="A94" s="68"/>
      <c r="C94" s="64"/>
      <c r="E94" s="511" t="s">
        <v>317</v>
      </c>
      <c r="F94" s="928">
        <f>IF(AND($G$2="No",$G$3="No"),SUM(J94:M94),IF(AND($G$2="Yes", $G$3="No"), SUM(J94:M94)+O94, IF(AND($G$2="No", $G$3="Yes"),SUM(J94:M94)+N94, SUM(J94:M94)+O94+N94)))</f>
        <v>-12443238.706440942</v>
      </c>
      <c r="G94" s="877">
        <f>IF(AND($G$2="No",$G$3="No"),SUM(I94:M94,P94),IF(AND($G$2="Yes", $G$3="No"), SUM(I94:M94,P94)+O94, IF(AND($G$2="No", $G$3="Yes"),SUM(I94:M94,P94)+N94, SUM(I94:M94,P94)+O94+N94)))</f>
        <v>343358.90070886165</v>
      </c>
      <c r="H94" s="878"/>
      <c r="I94" s="877">
        <f>('Input data meat and eggs'!S405*'Input data meat and eggs'!B48+'Input data meat and eggs'!T405*'Input data meat and eggs'!B47+'Input data meat and eggs'!U405*'Input data meat and eggs'!B35+'Input data meat and eggs'!V405*SUMPRODUCT('Input data meat and eggs'!B37:B46,'Input data meat and eggs'!E77:E86))*'Input data meat and eggs'!$C$405</f>
        <v>12786597.607149804</v>
      </c>
      <c r="J94" s="877">
        <v>0</v>
      </c>
      <c r="K94" s="877">
        <v>0</v>
      </c>
      <c r="L94" s="877">
        <v>0</v>
      </c>
      <c r="M94" s="877">
        <v>0</v>
      </c>
      <c r="N94" s="877">
        <f>(('Input data meat and eggs'!S405+'Input data meat and eggs'!T405)*'Common input data'!F19+
'Input data meat and eggs'!U405*'Common input data'!B19+'Input data meat and eggs'!V405*('Input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eggs'!$C$405</f>
        <v>-12615417.391438225</v>
      </c>
      <c r="O94" s="877">
        <f>('Input data meat and eggs'!V405*('Input data meat and eggs'!E79*'Common input data'!AR27*'Common input data'!G44/'Common input data'!F44+'Input data meat and eggs'!E83*'Common input data'!AS27*'Common input data'!J46/'Common input data'!I46))*'Input data meat and eggs'!$C$405</f>
        <v>172178.68499728371</v>
      </c>
      <c r="P94" s="877">
        <v>0</v>
      </c>
      <c r="Q94" s="877">
        <v>0</v>
      </c>
      <c r="R94" s="877">
        <f>(SUM(G94+Q94))/'Input data meat and eggs'!$B$29</f>
        <v>494041.58375375782</v>
      </c>
      <c r="S94" s="877"/>
      <c r="T94" s="886"/>
      <c r="V94" s="1230"/>
      <c r="W94" s="183"/>
      <c r="X94" s="183"/>
      <c r="Y94" s="183"/>
      <c r="Z94" s="1231"/>
      <c r="AA94" s="183"/>
      <c r="AB94" s="1230"/>
      <c r="AC94" s="183"/>
      <c r="AD94" s="183"/>
      <c r="AE94" s="183"/>
      <c r="AF94" s="1231"/>
      <c r="AG94" s="189"/>
      <c r="AH94" s="879"/>
      <c r="AI94" s="877"/>
      <c r="AJ94" s="877"/>
      <c r="AK94" s="877"/>
      <c r="AL94" s="886"/>
      <c r="AM94" s="877"/>
      <c r="AN94" s="879"/>
      <c r="AO94" s="877"/>
      <c r="AP94" s="877"/>
      <c r="AQ94" s="877"/>
      <c r="AR94" s="886"/>
      <c r="AS94" s="877"/>
      <c r="AT94" s="879"/>
      <c r="AU94" s="877"/>
      <c r="AV94" s="877"/>
      <c r="AW94" s="877"/>
      <c r="AX94" s="877"/>
      <c r="AY94" s="877"/>
      <c r="AZ94" s="886"/>
      <c r="BA94" s="877"/>
      <c r="BB94" s="879"/>
      <c r="BC94" s="877"/>
      <c r="BD94" s="877"/>
      <c r="BE94" s="877"/>
      <c r="BF94" s="886"/>
      <c r="BG94" s="877"/>
      <c r="BH94" s="879"/>
      <c r="BI94" s="877"/>
      <c r="BJ94" s="877"/>
      <c r="BK94" s="877"/>
      <c r="BL94" s="886"/>
      <c r="BM94" s="877"/>
      <c r="BN94" s="879"/>
      <c r="BO94" s="877"/>
      <c r="BP94" s="877"/>
      <c r="BQ94" s="877"/>
      <c r="BR94" s="886"/>
      <c r="BS94" s="877"/>
      <c r="BT94" s="879"/>
      <c r="BU94" s="886"/>
    </row>
    <row r="95" spans="1:73">
      <c r="A95" s="68"/>
      <c r="C95" s="58"/>
      <c r="D95" s="55"/>
      <c r="E95" s="511" t="s">
        <v>321</v>
      </c>
      <c r="F95" s="928">
        <f>SUM(J95:M95)</f>
        <v>4731946.8888886813</v>
      </c>
      <c r="G95" s="877">
        <f>SUM(I95:M95,P95)</f>
        <v>4731946.8888886813</v>
      </c>
      <c r="H95" s="878"/>
      <c r="I95" s="877">
        <v>0</v>
      </c>
      <c r="J95" s="877">
        <v>0</v>
      </c>
      <c r="K95" s="877">
        <f>('Input data meat and eggs'!M405*'Input data meat and eggs'!G405/12*'Input data meat and eggs'!$B$463*'Input data meat and eggs'!$B$464*'Input data meat and eggs'!$B$465*
('Input data meat and eggs'!$O$405*'Input data meat and eggs'!$B$455
+'Input data meat and eggs'!$P$405*'Input data meat and eggs'!$C$455+
'Input data meat and eggs'!$Q$405*'Input data meat and eggs'!$D$455+
'Input data meat and eggs'!$R$405*'Input data meat and eggs'!$E$455))*'Input data meat and eggs'!$C$405</f>
        <v>252135.75273124463</v>
      </c>
      <c r="L95" s="877">
        <v>0</v>
      </c>
      <c r="M95" s="877">
        <f>('Input data meat and eggs'!L405*'Input data meat and eggs'!G405/12)*'Input data meat and eggs'!$C$405</f>
        <v>4479811.1361574363</v>
      </c>
      <c r="N95" s="1180">
        <v>0</v>
      </c>
      <c r="O95" s="877">
        <v>0</v>
      </c>
      <c r="P95" s="877">
        <v>0</v>
      </c>
      <c r="Q95" s="877">
        <v>0</v>
      </c>
      <c r="R95" s="877">
        <f>(SUM(G95+Q95))/'Input data meat and eggs'!$B$29</f>
        <v>6808556.6746599739</v>
      </c>
      <c r="S95" s="877"/>
      <c r="T95" s="886"/>
      <c r="V95" s="1230"/>
      <c r="W95" s="183"/>
      <c r="X95" s="183"/>
      <c r="Y95" s="183"/>
      <c r="Z95" s="1231"/>
      <c r="AA95" s="183"/>
      <c r="AB95" s="1230"/>
      <c r="AC95" s="183"/>
      <c r="AD95" s="183"/>
      <c r="AE95" s="183"/>
      <c r="AF95" s="1231"/>
      <c r="AG95" s="189"/>
      <c r="AH95" s="879"/>
      <c r="AI95" s="877"/>
      <c r="AJ95" s="877"/>
      <c r="AK95" s="877"/>
      <c r="AL95" s="886"/>
      <c r="AM95" s="877"/>
      <c r="AN95" s="879"/>
      <c r="AO95" s="877"/>
      <c r="AP95" s="877"/>
      <c r="AQ95" s="877"/>
      <c r="AR95" s="886"/>
      <c r="AS95" s="877"/>
      <c r="AT95" s="879"/>
      <c r="AU95" s="877"/>
      <c r="AV95" s="877"/>
      <c r="AW95" s="877"/>
      <c r="AX95" s="877"/>
      <c r="AY95" s="877"/>
      <c r="AZ95" s="886"/>
      <c r="BA95" s="877"/>
      <c r="BB95" s="879"/>
      <c r="BC95" s="877"/>
      <c r="BD95" s="877"/>
      <c r="BE95" s="877"/>
      <c r="BF95" s="886"/>
      <c r="BG95" s="877"/>
      <c r="BH95" s="879"/>
      <c r="BI95" s="877"/>
      <c r="BJ95" s="877"/>
      <c r="BK95" s="877"/>
      <c r="BL95" s="886"/>
      <c r="BM95" s="877"/>
      <c r="BN95" s="879"/>
      <c r="BO95" s="877"/>
      <c r="BP95" s="877"/>
      <c r="BQ95" s="877"/>
      <c r="BR95" s="886"/>
      <c r="BS95" s="877"/>
      <c r="BT95" s="879"/>
      <c r="BU95" s="886"/>
    </row>
    <row r="96" spans="1:73">
      <c r="A96" s="68"/>
      <c r="C96" s="58"/>
      <c r="D96" s="55"/>
      <c r="E96" s="511" t="s">
        <v>319</v>
      </c>
      <c r="F96" s="928">
        <f>SUM(J96:M96)</f>
        <v>0</v>
      </c>
      <c r="G96" s="877">
        <f>SUM(I96:M96,P96)</f>
        <v>8162.5447729748648</v>
      </c>
      <c r="H96" s="878"/>
      <c r="I96" s="877">
        <f>('Input data meat and eggs'!S405*'Input data meat and eggs'!C48+'Input data meat and eggs'!T405*'Input data meat and eggs'!C47+'Input data meat and eggs'!U405*'Input data meat and eggs'!C35+'Input data meat and eggs'!V405*SUMPRODUCT('Input data meat and eggs'!C37:C46,'Input data meat and eggs'!E77:E86))*'Input data meat and eggs'!$C$405</f>
        <v>8162.5447729748648</v>
      </c>
      <c r="J96" s="877">
        <v>0</v>
      </c>
      <c r="K96" s="877">
        <v>0</v>
      </c>
      <c r="L96" s="877">
        <v>0</v>
      </c>
      <c r="M96" s="877">
        <v>0</v>
      </c>
      <c r="N96" s="1180">
        <v>0</v>
      </c>
      <c r="O96" s="877">
        <v>0</v>
      </c>
      <c r="P96" s="877">
        <v>0</v>
      </c>
      <c r="Q96" s="877">
        <v>0</v>
      </c>
      <c r="R96" s="877">
        <f>(SUM(G96+Q96))/'Input data meat and eggs'!$B$29</f>
        <v>11744.668738093331</v>
      </c>
      <c r="S96" s="877"/>
      <c r="T96" s="886"/>
      <c r="V96" s="1230"/>
      <c r="W96" s="183"/>
      <c r="X96" s="183"/>
      <c r="Y96" s="183"/>
      <c r="Z96" s="1231"/>
      <c r="AA96" s="183"/>
      <c r="AB96" s="1230"/>
      <c r="AC96" s="183"/>
      <c r="AD96" s="183"/>
      <c r="AE96" s="183"/>
      <c r="AF96" s="1231"/>
      <c r="AG96" s="189"/>
      <c r="AH96" s="879"/>
      <c r="AI96" s="877"/>
      <c r="AJ96" s="877"/>
      <c r="AK96" s="877"/>
      <c r="AL96" s="886"/>
      <c r="AM96" s="877"/>
      <c r="AN96" s="879"/>
      <c r="AO96" s="877"/>
      <c r="AP96" s="877"/>
      <c r="AQ96" s="877"/>
      <c r="AR96" s="886"/>
      <c r="AS96" s="877"/>
      <c r="AT96" s="879"/>
      <c r="AU96" s="877"/>
      <c r="AV96" s="877"/>
      <c r="AW96" s="877"/>
      <c r="AX96" s="877"/>
      <c r="AY96" s="877"/>
      <c r="AZ96" s="886"/>
      <c r="BA96" s="877"/>
      <c r="BB96" s="879"/>
      <c r="BC96" s="877"/>
      <c r="BD96" s="877"/>
      <c r="BE96" s="877"/>
      <c r="BF96" s="886"/>
      <c r="BG96" s="877"/>
      <c r="BH96" s="879"/>
      <c r="BI96" s="877"/>
      <c r="BJ96" s="877"/>
      <c r="BK96" s="877"/>
      <c r="BL96" s="886"/>
      <c r="BM96" s="877"/>
      <c r="BN96" s="879"/>
      <c r="BO96" s="877"/>
      <c r="BP96" s="877"/>
      <c r="BQ96" s="877"/>
      <c r="BR96" s="886"/>
      <c r="BS96" s="877"/>
      <c r="BT96" s="879"/>
      <c r="BU96" s="886"/>
    </row>
    <row r="97" spans="1:91">
      <c r="A97" s="68"/>
      <c r="C97" s="83"/>
      <c r="D97" s="54"/>
      <c r="E97" s="512" t="s">
        <v>320</v>
      </c>
      <c r="F97" s="928">
        <f>SUM(J97:M97)</f>
        <v>112437.7740470295</v>
      </c>
      <c r="G97" s="877">
        <f>SUM(I97:M97,P97)</f>
        <v>126092.11493743557</v>
      </c>
      <c r="H97" s="878"/>
      <c r="I97" s="877">
        <f>(('Input data meat and eggs'!S405*'Input data meat and eggs'!D48+'Input data meat and eggs'!T405*'Input data meat and eggs'!D47+'Input data meat and eggs'!U405*'Input data meat and eggs'!D35+'Input data meat and eggs'!V405*SUMPRODUCT('Input data meat and eggs'!D37:D46,'Input data meat and eggs'!E77:E86))*'Input data meat and eggs'!B70)*'Input data meat and eggs'!$C$405</f>
        <v>13654.340890406103</v>
      </c>
      <c r="J97" s="877">
        <f>(('Input data meat and eggs'!S405*'Input data meat and eggs'!D48+'Input data meat and eggs'!T405*'Input data meat and eggs'!D47+'Input data meat and eggs'!U405*'Input data meat and eggs'!D35+'Input data meat and eggs'!V405*SUMPRODUCT('Input data meat and eggs'!D37:D46,'Input data meat and eggs'!E77:E86))*'Input data meat and eggs'!C70)*'Input data meat and eggs'!$C$405</f>
        <v>34512.67018517758</v>
      </c>
      <c r="K97" s="877">
        <f>('Input data meat and eggs'!K405*'Input data meat and eggs'!G405/12*('Input data meat and eggs'!$O$405*'Input data meat and eggs'!$B$457+'Input data meat and eggs'!$P$405*'Input data meat and eggs'!$C$457+'Input data meat and eggs'!$Q$405*'Input data meat and eggs'!$D$457+'Input data meat and eggs'!$R$405*'Input data meat and eggs'!$E$457)*44/28)*'Input data meat and eggs'!$C$405</f>
        <v>72820.895865040249</v>
      </c>
      <c r="L97" s="877">
        <f>('Input data meat and eggs'!$B$458*44/28*'Input data meat and eggs'!K405*'Input data meat and eggs'!G405/12*('Input data meat and eggs'!O405*'Input data meat and eggs'!B469+'Input data meat and eggs'!P405*'Input data meat and eggs'!C469+'Input data meat and eggs'!Q405*'Input data meat and eggs'!D469))*'Input data meat and eggs'!$C$405</f>
        <v>5104.2079968116523</v>
      </c>
      <c r="M97" s="877">
        <v>0</v>
      </c>
      <c r="N97" s="877">
        <v>0</v>
      </c>
      <c r="O97" s="877">
        <v>0</v>
      </c>
      <c r="P97" s="877">
        <v>0</v>
      </c>
      <c r="Q97" s="877">
        <v>0</v>
      </c>
      <c r="R97" s="877">
        <f>(SUM(G97+Q97))/'Input data meat and eggs'!$B$29</f>
        <v>181427.50350710156</v>
      </c>
      <c r="S97" s="877"/>
      <c r="T97" s="886"/>
      <c r="V97" s="1230"/>
      <c r="W97" s="183"/>
      <c r="X97" s="183"/>
      <c r="Y97" s="183"/>
      <c r="Z97" s="1231"/>
      <c r="AA97" s="183"/>
      <c r="AB97" s="1230"/>
      <c r="AC97" s="183"/>
      <c r="AD97" s="183"/>
      <c r="AE97" s="183"/>
      <c r="AF97" s="1231"/>
      <c r="AG97" s="189"/>
      <c r="AH97" s="879"/>
      <c r="AI97" s="877"/>
      <c r="AJ97" s="877"/>
      <c r="AK97" s="877"/>
      <c r="AL97" s="886"/>
      <c r="AM97" s="877"/>
      <c r="AN97" s="879"/>
      <c r="AO97" s="877"/>
      <c r="AP97" s="877"/>
      <c r="AQ97" s="877"/>
      <c r="AR97" s="886"/>
      <c r="AS97" s="877"/>
      <c r="AT97" s="879"/>
      <c r="AU97" s="877"/>
      <c r="AV97" s="877"/>
      <c r="AW97" s="877"/>
      <c r="AX97" s="877"/>
      <c r="AY97" s="877"/>
      <c r="AZ97" s="886"/>
      <c r="BA97" s="877"/>
      <c r="BB97" s="879"/>
      <c r="BC97" s="877"/>
      <c r="BD97" s="877"/>
      <c r="BE97" s="877"/>
      <c r="BF97" s="886"/>
      <c r="BG97" s="877"/>
      <c r="BH97" s="879"/>
      <c r="BI97" s="877"/>
      <c r="BJ97" s="877"/>
      <c r="BK97" s="877"/>
      <c r="BL97" s="886"/>
      <c r="BM97" s="877"/>
      <c r="BN97" s="879"/>
      <c r="BO97" s="877"/>
      <c r="BP97" s="877"/>
      <c r="BQ97" s="877"/>
      <c r="BR97" s="886"/>
      <c r="BS97" s="877"/>
      <c r="BT97" s="879"/>
      <c r="BU97" s="886"/>
    </row>
    <row r="98" spans="1:91">
      <c r="A98" s="147"/>
      <c r="B98" s="93" t="s">
        <v>343</v>
      </c>
      <c r="C98" s="144"/>
      <c r="E98" s="513" t="s">
        <v>316</v>
      </c>
      <c r="F98" s="930">
        <f>SUMPRODUCT($CA$7:$CA$10,F99:F102)</f>
        <v>46275063.499596171</v>
      </c>
      <c r="G98" s="872">
        <f>SUMPRODUCT($CA$7:$CA$10,G99:G102)</f>
        <v>69445806.692814782</v>
      </c>
      <c r="H98" s="873"/>
      <c r="I98" s="872"/>
      <c r="J98" s="872"/>
      <c r="K98" s="872"/>
      <c r="L98" s="872"/>
      <c r="M98" s="872"/>
      <c r="N98" s="884"/>
      <c r="O98" s="872"/>
      <c r="P98" s="872"/>
      <c r="Q98" s="872"/>
      <c r="R98" s="872"/>
      <c r="S98" s="884"/>
      <c r="T98" s="885"/>
      <c r="V98" s="1240">
        <f>'Input data meat and eggs'!$S406*'Input data meat and eggs'!E$48+'Input data meat and eggs'!$U406*'Input data meat and eggs'!E$35+'Input data meat and eggs'!$V406*SUMPRODUCT('Input data meat and eggs'!$E$77:$E$86,'Input data meat and eggs'!E$37:E$46)</f>
        <v>6783.6594769801004</v>
      </c>
      <c r="W98" s="211">
        <f>V98*'Input data meat and eggs'!$D406</f>
        <v>259160213.19475695</v>
      </c>
      <c r="X98" s="211"/>
      <c r="Y98" s="211"/>
      <c r="Z98" s="1242"/>
      <c r="AA98" s="189"/>
      <c r="AB98" s="1240">
        <f>'Input data meat and eggs'!$T406*'Input data meat and eggs'!F$47</f>
        <v>10341.35038723551</v>
      </c>
      <c r="AC98" s="211">
        <f>AB98*'Input data meat and eggs'!$D406</f>
        <v>395076813.65379053</v>
      </c>
      <c r="AD98" s="211"/>
      <c r="AE98" s="211"/>
      <c r="AF98" s="1242"/>
      <c r="AG98" s="189"/>
      <c r="AH98" s="883">
        <f>'Input data meat and eggs'!$S406*'Input data meat and eggs'!G$48+'Input data meat and eggs'!$T406*'Input data meat and eggs'!G$47+'Input data meat and eggs'!$U406*'Input data meat and eggs'!G$35+'Input data meat and eggs'!$V406*SUMPRODUCT('Input data meat and eggs'!$E$77:$E$86,'Input data meat and eggs'!G$37:G$46)</f>
        <v>189.26332175661264</v>
      </c>
      <c r="AI98" s="884">
        <f>AH98*'Input data meat and eggs'!$D406</f>
        <v>7230540.2390609263</v>
      </c>
      <c r="AJ98" s="884"/>
      <c r="AK98" s="884"/>
      <c r="AL98" s="885"/>
      <c r="AM98" s="877"/>
      <c r="AN98" s="883">
        <f>'Input data meat and eggs'!$S406*'Input data meat and eggs'!H$48+'Input data meat and eggs'!$T406*'Input data meat and eggs'!H$47+'Input data meat and eggs'!$U406*'Input data meat and eggs'!H$35+'Input data meat and eggs'!$V406*SUMPRODUCT('Input data meat and eggs'!$E$77:$E$86,'Input data meat and eggs'!H$37:H$46)</f>
        <v>3.5951997075743543</v>
      </c>
      <c r="AO98" s="884">
        <f>AN98*'Input data meat and eggs'!$D406</f>
        <v>137349.57154828758</v>
      </c>
      <c r="AP98" s="884"/>
      <c r="AQ98" s="884"/>
      <c r="AR98" s="885"/>
      <c r="AS98" s="877"/>
      <c r="AT98" s="883">
        <f>'Input data meat and eggs'!$S406*'Input data meat and eggs'!I$48+'Input data meat and eggs'!$T406*'Input data meat and eggs'!I$47+'Input data meat and eggs'!$U406*'Input data meat and eggs'!I$35+'Input data meat and eggs'!$V406*SUMPRODUCT('Input data meat and eggs'!$E$77:$E$86,'Input data meat and eggs'!I$37:I$46)</f>
        <v>0.33392501803477886</v>
      </c>
      <c r="AU98" s="884">
        <f>'Input data meat and eggs'!G406/12*((1-'Input data meat and eggs'!$R406)*'Input data meat and eggs'!$B$61+'Input data meat and eggs'!$R406*'Input data meat and eggs'!$B$62)</f>
        <v>26.305256757323043</v>
      </c>
      <c r="AV98" s="884">
        <f>SUM(AT98:AU98)</f>
        <v>26.639181775357823</v>
      </c>
      <c r="AW98" s="884">
        <f>AV98*'Input data meat and eggs'!$D406</f>
        <v>1017712.6448730601</v>
      </c>
      <c r="AX98" s="884"/>
      <c r="AY98" s="884"/>
      <c r="AZ98" s="885"/>
      <c r="BA98" s="877"/>
      <c r="BB98" s="883">
        <f>'Input data meat and eggs'!$S406*'Input data meat and eggs'!J$48+'Input data meat and eggs'!$T406*'Input data meat and eggs'!J$47+'Input data meat and eggs'!$U406*'Input data meat and eggs'!J$35+'Input data meat and eggs'!$V406*SUMPRODUCT('Input data meat and eggs'!$E$77:$E$86,'Input data meat and eggs'!J$37:J$46)</f>
        <v>1.3183585859531083E-7</v>
      </c>
      <c r="BC98" s="884">
        <f>BB98*'Input data meat and eggs'!$D406</f>
        <v>5.0366044074318167E-3</v>
      </c>
      <c r="BD98" s="884"/>
      <c r="BE98" s="884"/>
      <c r="BF98" s="885"/>
      <c r="BG98" s="877"/>
      <c r="BH98" s="883">
        <f>'Input data meat and eggs'!$S406*'Input data meat and eggs'!P$48+'Input data meat and eggs'!$T406*'Input data meat and eggs'!P$47+'Input data meat and eggs'!$U406*'Input data meat and eggs'!P$35+'Input data meat and eggs'!$V406*SUMPRODUCT('Input data meat and eggs'!$E$77:$E$86,'Input data meat and eggs'!P$37:P$46)</f>
        <v>0.23971829010821133</v>
      </c>
      <c r="BI98" s="884">
        <f>BH98*'Input data meat and eggs'!$D406</f>
        <v>9158.1016679780623</v>
      </c>
      <c r="BJ98" s="884"/>
      <c r="BK98" s="884"/>
      <c r="BL98" s="885"/>
      <c r="BM98" s="877"/>
      <c r="BN98" s="883">
        <f>'Input data meat and eggs'!$S406*'Input data meat and eggs'!W$48+'Input data meat and eggs'!$T406*'Input data meat and eggs'!W$47+'Input data meat and eggs'!$U406*'Input data meat and eggs'!W$35+'Input data meat and eggs'!$V406*SUMPRODUCT('Input data meat and eggs'!$E$77:$E$86,'Input data meat and eggs'!W$37:W$46)</f>
        <v>13.047726161741199</v>
      </c>
      <c r="BO98" s="884">
        <f>BN98*'Input data meat and eggs'!$D406</f>
        <v>498470.11119269603</v>
      </c>
      <c r="BP98" s="884"/>
      <c r="BQ98" s="884"/>
      <c r="BR98" s="885"/>
      <c r="BS98" s="877"/>
      <c r="BT98" s="879"/>
      <c r="BU98" s="886"/>
    </row>
    <row r="99" spans="1:91">
      <c r="A99" s="28"/>
      <c r="C99" s="64"/>
      <c r="E99" s="511" t="s">
        <v>317</v>
      </c>
      <c r="F99" s="928">
        <f>IF(AND($G$2="No",$G$3="No"),SUM(J99:M99),IF(AND($G$2="Yes", $G$3="No"), SUM(J99:M99)+O99, IF(AND($G$2="No", $G$3="Yes"),SUM(J99:M99)+N99, SUM(J99:M99)+O99+N99)))</f>
        <v>-13337560.318867721</v>
      </c>
      <c r="G99" s="877">
        <f>IF(AND($G$2="No",$G$3="No"),SUM(I99:M99,P99),IF(AND($G$2="Yes", $G$3="No"), SUM(I99:M99,P99)+O99, IF(AND($G$2="No", $G$3="Yes"),SUM(I99:M99,P99)+N99, SUM(I99:M99,P99)+O99+N99)))</f>
        <v>4998165.0885295551</v>
      </c>
      <c r="H99" s="878"/>
      <c r="I99" s="877">
        <f>('Input data meat and eggs'!S406*'Input data meat and eggs'!B48+'Input data meat and eggs'!T406*'Input data meat and eggs'!B47+'Input data meat and eggs'!U406*'Input data meat and eggs'!B35+'Input data meat and eggs'!V406*SUMPRODUCT('Input data meat and eggs'!B37:B46,'Input data meat and eggs'!E77:E86))*'Input data meat and eggs'!$E$406</f>
        <v>18335725.407397274</v>
      </c>
      <c r="J99" s="877">
        <v>0</v>
      </c>
      <c r="K99" s="877">
        <v>0</v>
      </c>
      <c r="L99" s="877">
        <v>0</v>
      </c>
      <c r="M99" s="877">
        <v>0</v>
      </c>
      <c r="N99" s="1190">
        <f>(('Input data meat and eggs'!S406+'Input data meat and eggs'!T406)*'Common input data'!F19+
'Input data meat and eggs'!U406*'Common input data'!B19+'Input data meat and eggs'!V406*('Input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eggs'!$E$406</f>
        <v>-13492753.236595193</v>
      </c>
      <c r="O99" s="1190">
        <f>('Input data meat and eggs'!V406*('Input data meat and eggs'!E79*'Common input data'!AR27*'Common input data'!G44/'Common input data'!F44+'Input data meat and eggs'!E83*'Common input data'!AS27*'Common input data'!J46/'Common input data'!I46))*'Input data meat and eggs'!$E$406</f>
        <v>155192.91772747284</v>
      </c>
      <c r="P99" s="877">
        <v>0</v>
      </c>
      <c r="Q99" s="877">
        <v>0</v>
      </c>
      <c r="R99" s="877">
        <f>(SUM(G99+Q99))/'Input data meat and eggs'!$B$29</f>
        <v>7191604.4439274175</v>
      </c>
      <c r="S99" s="834"/>
      <c r="T99" s="1217"/>
      <c r="V99" s="1230"/>
      <c r="W99" s="183"/>
      <c r="X99" s="183"/>
      <c r="Y99" s="183"/>
      <c r="Z99" s="1231"/>
      <c r="AA99" s="183"/>
      <c r="AB99" s="1230"/>
      <c r="AC99" s="183"/>
      <c r="AD99" s="183"/>
      <c r="AE99" s="183"/>
      <c r="AF99" s="1231"/>
      <c r="AG99" s="189"/>
      <c r="AH99" s="879"/>
      <c r="AI99" s="877"/>
      <c r="AJ99" s="877"/>
      <c r="AK99" s="877"/>
      <c r="AL99" s="886"/>
      <c r="AM99" s="877"/>
      <c r="AN99" s="879"/>
      <c r="AO99" s="877"/>
      <c r="AP99" s="877"/>
      <c r="AQ99" s="877"/>
      <c r="AR99" s="886"/>
      <c r="AS99" s="877"/>
      <c r="AT99" s="879"/>
      <c r="AU99" s="877"/>
      <c r="AV99" s="877"/>
      <c r="AW99" s="877"/>
      <c r="AX99" s="877"/>
      <c r="AY99" s="877"/>
      <c r="AZ99" s="886"/>
      <c r="BA99" s="877"/>
      <c r="BB99" s="879"/>
      <c r="BC99" s="877"/>
      <c r="BD99" s="877"/>
      <c r="BE99" s="877"/>
      <c r="BF99" s="886"/>
      <c r="BG99" s="877"/>
      <c r="BH99" s="879"/>
      <c r="BI99" s="877"/>
      <c r="BJ99" s="877"/>
      <c r="BK99" s="877"/>
      <c r="BL99" s="886"/>
      <c r="BM99" s="877"/>
      <c r="BN99" s="879"/>
      <c r="BO99" s="877"/>
      <c r="BP99" s="877"/>
      <c r="BQ99" s="877"/>
      <c r="BR99" s="886"/>
      <c r="BS99" s="877"/>
      <c r="BT99" s="879"/>
      <c r="BU99" s="886"/>
      <c r="CL99" s="29"/>
      <c r="CM99" s="29"/>
    </row>
    <row r="100" spans="1:91">
      <c r="A100" s="28"/>
      <c r="C100" s="64"/>
      <c r="E100" s="511" t="s">
        <v>321</v>
      </c>
      <c r="F100" s="928">
        <f>SUM(J100:M100)</f>
        <v>296507.756429701</v>
      </c>
      <c r="G100" s="877">
        <f>SUM(I100:M100,P100)</f>
        <v>296507.756429701</v>
      </c>
      <c r="H100" s="878"/>
      <c r="I100" s="877">
        <v>0</v>
      </c>
      <c r="J100" s="877">
        <v>0</v>
      </c>
      <c r="K100" s="877">
        <f>('Input data meat and eggs'!M406*'Input data meat and eggs'!G406/12*'Input data meat and eggs'!$B$463*'Input data meat and eggs'!$B$464*'Input data meat and eggs'!$B$465*
('Input data meat and eggs'!$O$406*'Input data meat and eggs'!$B$455
+'Input data meat and eggs'!$P$406*'Input data meat and eggs'!$C$455+
'Input data meat and eggs'!$Q$406*'Input data meat and eggs'!$D$455+
'Input data meat and eggs'!$R$406*'Input data meat and eggs'!$E$455))*'Input data meat and eggs'!$E$406</f>
        <v>296507.756429701</v>
      </c>
      <c r="L100" s="877">
        <v>0</v>
      </c>
      <c r="M100" s="877">
        <v>0</v>
      </c>
      <c r="N100" s="877">
        <v>0</v>
      </c>
      <c r="O100" s="1180">
        <v>0</v>
      </c>
      <c r="P100" s="877">
        <v>0</v>
      </c>
      <c r="Q100" s="877">
        <v>0</v>
      </c>
      <c r="R100" s="877">
        <f>(SUM(G100+Q100))/'Input data meat and eggs'!$B$29</f>
        <v>426629.8653664763</v>
      </c>
      <c r="S100" s="877"/>
      <c r="T100" s="886"/>
      <c r="V100" s="1230"/>
      <c r="W100" s="183"/>
      <c r="X100" s="183"/>
      <c r="Y100" s="183"/>
      <c r="Z100" s="1231"/>
      <c r="AA100" s="183"/>
      <c r="AB100" s="1230"/>
      <c r="AC100" s="183"/>
      <c r="AD100" s="183"/>
      <c r="AE100" s="183"/>
      <c r="AF100" s="1231"/>
      <c r="AG100" s="189"/>
      <c r="AH100" s="879"/>
      <c r="AI100" s="877"/>
      <c r="AJ100" s="877"/>
      <c r="AK100" s="877"/>
      <c r="AL100" s="886"/>
      <c r="AM100" s="877"/>
      <c r="AN100" s="879"/>
      <c r="AO100" s="877"/>
      <c r="AP100" s="877"/>
      <c r="AQ100" s="877"/>
      <c r="AR100" s="886"/>
      <c r="AS100" s="877"/>
      <c r="AT100" s="879"/>
      <c r="AU100" s="877"/>
      <c r="AV100" s="877"/>
      <c r="AW100" s="877"/>
      <c r="AX100" s="877"/>
      <c r="AY100" s="877"/>
      <c r="AZ100" s="886"/>
      <c r="BA100" s="877"/>
      <c r="BB100" s="879"/>
      <c r="BC100" s="877"/>
      <c r="BD100" s="877"/>
      <c r="BE100" s="877"/>
      <c r="BF100" s="886"/>
      <c r="BG100" s="877"/>
      <c r="BH100" s="879"/>
      <c r="BI100" s="877"/>
      <c r="BJ100" s="877"/>
      <c r="BK100" s="877"/>
      <c r="BL100" s="886"/>
      <c r="BM100" s="877"/>
      <c r="BN100" s="879"/>
      <c r="BO100" s="877"/>
      <c r="BP100" s="877"/>
      <c r="BQ100" s="877"/>
      <c r="BR100" s="886"/>
      <c r="BS100" s="877"/>
      <c r="BT100" s="879"/>
      <c r="BU100" s="886"/>
      <c r="CL100" s="29"/>
      <c r="CM100" s="29"/>
    </row>
    <row r="101" spans="1:91">
      <c r="A101" s="28"/>
      <c r="C101" s="64"/>
      <c r="E101" s="511" t="s">
        <v>319</v>
      </c>
      <c r="F101" s="928">
        <f>SUM(J101:M101)</f>
        <v>5268188.8023499986</v>
      </c>
      <c r="G101" s="877">
        <f>SUM(I101:M101,P101)</f>
        <v>5277805.8730140738</v>
      </c>
      <c r="H101" s="878"/>
      <c r="I101" s="877">
        <f>('Input data meat and eggs'!S406*'Input data meat and eggs'!C48+'Input data meat and eggs'!T406*'Input data meat and eggs'!C47+'Input data meat and eggs'!U406*'Input data meat and eggs'!C35+'Input data meat and eggs'!V406*SUMPRODUCT('Input data meat and eggs'!C37:C46,'Input data meat and eggs'!E77:E86))*'Input data meat and eggs'!$E$406</f>
        <v>9617.0706640750941</v>
      </c>
      <c r="J101" s="877">
        <v>0</v>
      </c>
      <c r="K101" s="877">
        <v>0</v>
      </c>
      <c r="L101" s="877">
        <v>0</v>
      </c>
      <c r="M101" s="877">
        <f>('Input data meat and eggs'!L406*'Input data meat and eggs'!G406/12)*'Input data meat and eggs'!$E$406</f>
        <v>5268188.8023499986</v>
      </c>
      <c r="N101" s="877">
        <v>0</v>
      </c>
      <c r="O101" s="1180">
        <v>0</v>
      </c>
      <c r="P101" s="877">
        <v>0</v>
      </c>
      <c r="Q101" s="877">
        <v>0</v>
      </c>
      <c r="R101" s="877">
        <f>(SUM(G101+Q101))/'Input data meat and eggs'!$B$29</f>
        <v>7593965.2849123366</v>
      </c>
      <c r="S101" s="877"/>
      <c r="T101" s="886"/>
      <c r="V101" s="1230"/>
      <c r="W101" s="183"/>
      <c r="X101" s="183"/>
      <c r="Y101" s="183"/>
      <c r="Z101" s="1231"/>
      <c r="AA101" s="183"/>
      <c r="AB101" s="1230"/>
      <c r="AC101" s="183"/>
      <c r="AD101" s="183"/>
      <c r="AE101" s="183"/>
      <c r="AF101" s="1231"/>
      <c r="AG101" s="189"/>
      <c r="AH101" s="879"/>
      <c r="AI101" s="877"/>
      <c r="AJ101" s="877"/>
      <c r="AK101" s="877"/>
      <c r="AL101" s="886"/>
      <c r="AM101" s="877"/>
      <c r="AN101" s="879"/>
      <c r="AO101" s="877"/>
      <c r="AP101" s="877"/>
      <c r="AQ101" s="877"/>
      <c r="AR101" s="886"/>
      <c r="AS101" s="877"/>
      <c r="AT101" s="879"/>
      <c r="AU101" s="877"/>
      <c r="AV101" s="877"/>
      <c r="AW101" s="877"/>
      <c r="AX101" s="877"/>
      <c r="AY101" s="877"/>
      <c r="AZ101" s="886"/>
      <c r="BA101" s="877"/>
      <c r="BB101" s="879"/>
      <c r="BC101" s="877"/>
      <c r="BD101" s="877"/>
      <c r="BE101" s="877"/>
      <c r="BF101" s="886"/>
      <c r="BG101" s="877"/>
      <c r="BH101" s="879"/>
      <c r="BI101" s="877"/>
      <c r="BJ101" s="877"/>
      <c r="BK101" s="877"/>
      <c r="BL101" s="886"/>
      <c r="BM101" s="877"/>
      <c r="BN101" s="879"/>
      <c r="BO101" s="877"/>
      <c r="BP101" s="877"/>
      <c r="BQ101" s="877"/>
      <c r="BR101" s="886"/>
      <c r="BS101" s="877"/>
      <c r="BT101" s="879"/>
      <c r="BU101" s="886"/>
      <c r="CL101" s="29"/>
      <c r="CM101" s="29"/>
    </row>
    <row r="102" spans="1:91">
      <c r="A102" s="28"/>
      <c r="C102" s="64"/>
      <c r="E102" s="512" t="s">
        <v>320</v>
      </c>
      <c r="F102" s="928">
        <f>SUM(J102:M102)</f>
        <v>143598.92700514724</v>
      </c>
      <c r="G102" s="877">
        <f>SUM(I102:M102,P102)</f>
        <v>164156.08388798061</v>
      </c>
      <c r="H102" s="878"/>
      <c r="I102" s="877">
        <f>(('Input data meat and eggs'!S406*'Input data meat and eggs'!D48+'Input data meat and eggs'!T406*'Input data meat and eggs'!D47+'Input data meat and eggs'!U406*'Input data meat and eggs'!D35+'Input data meat and eggs'!V406*SUMPRODUCT('Input data meat and eggs'!D37:D46,'Input data meat and eggs'!E77:E86))*'Input data meat and eggs'!B70)*'Input data meat and eggs'!$E$406</f>
        <v>20557.15688283338</v>
      </c>
      <c r="J102" s="877">
        <f>(('Input data meat and eggs'!S406*'Input data meat and eggs'!D48+'Input data meat and eggs'!T406*'Input data meat and eggs'!D47+'Input data meat and eggs'!U406*'Input data meat and eggs'!D35+'Input data meat and eggs'!V406*SUMPRODUCT('Input data meat and eggs'!D37:D46,'Input data meat and eggs'!E77:E86))*'Input data meat and eggs'!C70)*'Input data meat and eggs'!$E$406</f>
        <v>51960.206731083068</v>
      </c>
      <c r="K102" s="1170">
        <f>('Input data meat and eggs'!K406*'Input data meat and eggs'!G406/12*('Input data meat and eggs'!$O$406*'Input data meat and eggs'!$B$457+'Input data meat and eggs'!$P$406*'Input data meat and eggs'!$C$457+'Input data meat and eggs'!$Q$406*'Input data meat and eggs'!$D$457+'Input data meat and eggs'!$R$406*'Input data meat and eggs'!$E$457)*44/28)*'Input data meat and eggs'!$E$406</f>
        <v>85636.25039388673</v>
      </c>
      <c r="L102" s="1170">
        <f>('Input data meat and eggs'!$B$458*44/28*'Input data meat and eggs'!K406*'Input data meat and eggs'!G406/12*('Input data meat and eggs'!O406*'Input data meat and eggs'!B469+'Input data meat and eggs'!P406*'Input data meat and eggs'!C469+'Input data meat and eggs'!Q406*'Input data meat and eggs'!D469))*'Input data meat and eggs'!$E$406</f>
        <v>6002.4698801774339</v>
      </c>
      <c r="M102" s="1170">
        <v>0</v>
      </c>
      <c r="N102" s="1170">
        <v>0</v>
      </c>
      <c r="O102" s="877">
        <v>0</v>
      </c>
      <c r="P102" s="1170">
        <v>0</v>
      </c>
      <c r="Q102" s="877">
        <v>0</v>
      </c>
      <c r="R102" s="877">
        <f>(SUM(G102+Q102))/'Input data meat and eggs'!$B$29</f>
        <v>236195.8041553678</v>
      </c>
      <c r="S102" s="877"/>
      <c r="T102" s="886"/>
      <c r="V102" s="1230"/>
      <c r="W102" s="183"/>
      <c r="X102" s="183"/>
      <c r="Y102" s="183"/>
      <c r="Z102" s="1231"/>
      <c r="AA102" s="183"/>
      <c r="AB102" s="1230"/>
      <c r="AC102" s="183"/>
      <c r="AD102" s="183"/>
      <c r="AE102" s="183"/>
      <c r="AF102" s="1231"/>
      <c r="AG102" s="189"/>
      <c r="AH102" s="879"/>
      <c r="AI102" s="877"/>
      <c r="AJ102" s="877"/>
      <c r="AK102" s="877"/>
      <c r="AL102" s="886"/>
      <c r="AM102" s="877"/>
      <c r="AN102" s="879"/>
      <c r="AO102" s="877"/>
      <c r="AP102" s="877"/>
      <c r="AQ102" s="877"/>
      <c r="AR102" s="886"/>
      <c r="AS102" s="877"/>
      <c r="AT102" s="879"/>
      <c r="AU102" s="877"/>
      <c r="AV102" s="877"/>
      <c r="AW102" s="877"/>
      <c r="AX102" s="877"/>
      <c r="AY102" s="877"/>
      <c r="AZ102" s="886"/>
      <c r="BA102" s="877"/>
      <c r="BB102" s="879"/>
      <c r="BC102" s="877"/>
      <c r="BD102" s="877"/>
      <c r="BE102" s="877"/>
      <c r="BF102" s="886"/>
      <c r="BG102" s="877"/>
      <c r="BH102" s="879"/>
      <c r="BI102" s="877"/>
      <c r="BJ102" s="877"/>
      <c r="BK102" s="877"/>
      <c r="BL102" s="886"/>
      <c r="BM102" s="877"/>
      <c r="BN102" s="879"/>
      <c r="BO102" s="877"/>
      <c r="BP102" s="877"/>
      <c r="BQ102" s="877"/>
      <c r="BR102" s="886"/>
      <c r="BS102" s="877"/>
      <c r="BT102" s="879"/>
      <c r="BU102" s="886"/>
    </row>
    <row r="103" spans="1:91">
      <c r="A103" s="147"/>
      <c r="B103" s="93" t="s">
        <v>344</v>
      </c>
      <c r="C103" s="144"/>
      <c r="E103" s="513" t="s">
        <v>316</v>
      </c>
      <c r="F103" s="930">
        <f>SUMPRODUCT($CA$7:$CA$10,F104:F107)</f>
        <v>76563164.837310001</v>
      </c>
      <c r="G103" s="872">
        <f>SUMPRODUCT($CA$7:$CA$10,G104:G107)</f>
        <v>122203559.24514094</v>
      </c>
      <c r="H103" s="873"/>
      <c r="I103" s="872"/>
      <c r="J103" s="872"/>
      <c r="K103" s="872"/>
      <c r="L103" s="872"/>
      <c r="M103" s="872"/>
      <c r="N103" s="884"/>
      <c r="O103" s="872"/>
      <c r="P103" s="872"/>
      <c r="Q103" s="872"/>
      <c r="R103" s="872"/>
      <c r="S103" s="1191"/>
      <c r="T103" s="1218"/>
      <c r="V103" s="1240">
        <f>'Input data meat and eggs'!$S407*'Input data meat and eggs'!E$48+'Input data meat and eggs'!$U407*'Input data meat and eggs'!E$35+'Input data meat and eggs'!$V407*SUMPRODUCT('Input data meat and eggs'!$E$77:$E$86,'Input data meat and eggs'!E$37:E$46)</f>
        <v>5794.7635542363996</v>
      </c>
      <c r="W103" s="211">
        <f>V103*'Input data meat and eggs'!$D407</f>
        <v>399370468.34712923</v>
      </c>
      <c r="X103" s="211"/>
      <c r="Y103" s="211"/>
      <c r="Z103" s="1242"/>
      <c r="AA103" s="189"/>
      <c r="AB103" s="1240">
        <f>'Input data meat and eggs'!$T407*'Input data meat and eggs'!F$47</f>
        <v>2216.0036544076092</v>
      </c>
      <c r="AC103" s="211">
        <f>AB103*'Input data meat and eggs'!$D407</f>
        <v>152725199.05884889</v>
      </c>
      <c r="AD103" s="211"/>
      <c r="AE103" s="211"/>
      <c r="AF103" s="1242"/>
      <c r="AG103" s="189"/>
      <c r="AH103" s="883">
        <f>'Input data meat and eggs'!$S407*'Input data meat and eggs'!G$48+'Input data meat and eggs'!$T407*'Input data meat and eggs'!G$47+'Input data meat and eggs'!$U407*'Input data meat and eggs'!G$35+'Input data meat and eggs'!$V407*SUMPRODUCT('Input data meat and eggs'!$E$77:$E$86,'Input data meat and eggs'!G$37:G$46)</f>
        <v>125.65142797054405</v>
      </c>
      <c r="AI103" s="884">
        <f>AH103*'Input data meat and eggs'!$D407</f>
        <v>8659795.8945875186</v>
      </c>
      <c r="AJ103" s="884"/>
      <c r="AK103" s="884"/>
      <c r="AL103" s="885"/>
      <c r="AM103" s="877"/>
      <c r="AN103" s="883">
        <f>'Input data meat and eggs'!$S407*'Input data meat and eggs'!H$48+'Input data meat and eggs'!$T407*'Input data meat and eggs'!H$47+'Input data meat and eggs'!$U407*'Input data meat and eggs'!H$35+'Input data meat and eggs'!$V407*SUMPRODUCT('Input data meat and eggs'!$E$77:$E$86,'Input data meat and eggs'!H$37:H$46)</f>
        <v>3.9122649244040786</v>
      </c>
      <c r="AO103" s="884">
        <f>AN103*'Input data meat and eggs'!$D407</f>
        <v>269630.16877798957</v>
      </c>
      <c r="AP103" s="884"/>
      <c r="AQ103" s="884"/>
      <c r="AR103" s="885"/>
      <c r="AS103" s="877"/>
      <c r="AT103" s="883">
        <f>'Input data meat and eggs'!$S407*'Input data meat and eggs'!I$48+'Input data meat and eggs'!$T407*'Input data meat and eggs'!I$47+'Input data meat and eggs'!$U407*'Input data meat and eggs'!I$35+'Input data meat and eggs'!$V407*SUMPRODUCT('Input data meat and eggs'!$E$77:$E$86,'Input data meat and eggs'!I$37:I$46)</f>
        <v>3.728673260102958</v>
      </c>
      <c r="AU103" s="884">
        <f>'Input data meat and eggs'!G407/12*((1-'Input data meat and eggs'!$R407)*'Input data meat and eggs'!$B$61+'Input data meat and eggs'!$R407*'Input data meat and eggs'!$B$62)</f>
        <v>20.634136956206461</v>
      </c>
      <c r="AV103" s="884">
        <f>SUM(AT103:AU103)</f>
        <v>24.36281021630942</v>
      </c>
      <c r="AW103" s="884">
        <f>AV103*'Input data meat and eggs'!$D407</f>
        <v>1679065.3898598722</v>
      </c>
      <c r="AX103" s="884"/>
      <c r="AY103" s="884"/>
      <c r="AZ103" s="885"/>
      <c r="BA103" s="877"/>
      <c r="BB103" s="883">
        <f>'Input data meat and eggs'!$S407*'Input data meat and eggs'!J$48+'Input data meat and eggs'!$T407*'Input data meat and eggs'!J$47+'Input data meat and eggs'!$U407*'Input data meat and eggs'!J$35+'Input data meat and eggs'!$V407*SUMPRODUCT('Input data meat and eggs'!$E$77:$E$86,'Input data meat and eggs'!J$37:J$46)</f>
        <v>1.3002225957631464E-7</v>
      </c>
      <c r="BC103" s="884">
        <f>BB103*'Input data meat and eggs'!$D407</f>
        <v>8.9610301121919433E-3</v>
      </c>
      <c r="BD103" s="884"/>
      <c r="BE103" s="884"/>
      <c r="BF103" s="885"/>
      <c r="BG103" s="877"/>
      <c r="BH103" s="883">
        <f>'Input data meat and eggs'!$S407*'Input data meat and eggs'!P$48+'Input data meat and eggs'!$T407*'Input data meat and eggs'!P$47+'Input data meat and eggs'!$U407*'Input data meat and eggs'!P$35+'Input data meat and eggs'!$V407*SUMPRODUCT('Input data meat and eggs'!$E$77:$E$86,'Input data meat and eggs'!P$37:P$46)</f>
        <v>0.26912487910822414</v>
      </c>
      <c r="BI103" s="884">
        <f>BH103*'Input data meat and eggs'!$D407</f>
        <v>18547.871368235519</v>
      </c>
      <c r="BJ103" s="884"/>
      <c r="BK103" s="884"/>
      <c r="BL103" s="885"/>
      <c r="BM103" s="877"/>
      <c r="BN103" s="883">
        <f>'Input data meat and eggs'!$S407*'Input data meat and eggs'!W$48+'Input data meat and eggs'!$T407*'Input data meat and eggs'!W$47+'Input data meat and eggs'!$U407*'Input data meat and eggs'!W$35+'Input data meat and eggs'!$V407*SUMPRODUCT('Input data meat and eggs'!$E$77:$E$86,'Input data meat and eggs'!W$37:W$46)</f>
        <v>8.652300067294977</v>
      </c>
      <c r="BO103" s="884">
        <f>BN103*'Input data meat and eggs'!$D407</f>
        <v>596309.59879791597</v>
      </c>
      <c r="BP103" s="884"/>
      <c r="BQ103" s="884"/>
      <c r="BR103" s="885"/>
      <c r="BS103" s="877"/>
      <c r="BT103" s="879"/>
      <c r="BU103" s="886"/>
    </row>
    <row r="104" spans="1:91">
      <c r="A104" s="18"/>
      <c r="C104" s="64"/>
      <c r="E104" s="511" t="s">
        <v>317</v>
      </c>
      <c r="F104" s="928">
        <f>IF(AND($G$2="No",$G$3="No"),SUM(J104:M104),IF(AND($G$2="Yes", $G$3="No"), SUM(J104:M104)+O104, IF(AND($G$2="No", $G$3="Yes"),SUM(J104:M104)+N104, SUM(J104:M104)+O104+N104)))</f>
        <v>-2022919.5279934611</v>
      </c>
      <c r="G104" s="877">
        <f>IF(AND($G$2="No",$G$3="No"),SUM(I104:M104,P104),IF(AND($G$2="Yes", $G$3="No"), SUM(I104:M104,P104)+O104, IF(AND($G$2="No", $G$3="Yes"),SUM(I104:M104,P104)+N104, SUM(I104:M104,P104)+O104+N104)))</f>
        <v>34443712.74913761</v>
      </c>
      <c r="H104" s="878"/>
      <c r="I104" s="877">
        <f>('Input data meat and eggs'!S407*'Input data meat and eggs'!B48+'Input data meat and eggs'!T407*'Input data meat and eggs'!B47+'Input data meat and eggs'!U407*'Input data meat and eggs'!B35+'Input data meat and eggs'!V407*SUMPRODUCT('Input data meat and eggs'!B37:B46,'Input data meat and eggs'!E77:E86))*'Input data meat and eggs'!$E$407</f>
        <v>36466632.277131066</v>
      </c>
      <c r="J104" s="877">
        <v>0</v>
      </c>
      <c r="K104" s="877">
        <v>0</v>
      </c>
      <c r="L104" s="1180">
        <v>0</v>
      </c>
      <c r="M104" s="1180">
        <v>0</v>
      </c>
      <c r="N104" s="1180">
        <f>(('Input data meat and eggs'!S407+'Input data meat and eggs'!T407)*'Common input data'!F19+
'Input data meat and eggs'!U407*'Common input data'!B19+'Input data meat and eggs'!V407*('Input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eggs'!$E$407</f>
        <v>-5214550.6251689373</v>
      </c>
      <c r="O104" s="1180">
        <f>('Input data meat and eggs'!V407*('Input data meat and eggs'!E79*'Common input data'!AR27*'Common input data'!G44/'Common input data'!F44+'Input data meat and eggs'!E83*'Common input data'!AS27*'Common input data'!J46/'Common input data'!I46))*'Input data meat and eggs'!$E$407</f>
        <v>3191631.0971754761</v>
      </c>
      <c r="P104" s="1180">
        <v>0</v>
      </c>
      <c r="Q104" s="877">
        <v>0</v>
      </c>
      <c r="R104" s="877">
        <f>(SUM(G104+Q104))/'Input data meat and eggs'!$B$29</f>
        <v>49559298.919622466</v>
      </c>
      <c r="S104" s="1180"/>
      <c r="T104" s="1219"/>
      <c r="V104" s="1230"/>
      <c r="W104" s="183"/>
      <c r="X104" s="183"/>
      <c r="Y104" s="183"/>
      <c r="Z104" s="1231"/>
      <c r="AA104" s="183"/>
      <c r="AB104" s="1230"/>
      <c r="AC104" s="183"/>
      <c r="AD104" s="183"/>
      <c r="AE104" s="183"/>
      <c r="AF104" s="1231"/>
      <c r="AG104" s="189"/>
      <c r="AH104" s="879"/>
      <c r="AI104" s="877"/>
      <c r="AJ104" s="877"/>
      <c r="AK104" s="877"/>
      <c r="AL104" s="886"/>
      <c r="AM104" s="877"/>
      <c r="AN104" s="879"/>
      <c r="AO104" s="877"/>
      <c r="AP104" s="877"/>
      <c r="AQ104" s="877"/>
      <c r="AR104" s="886"/>
      <c r="AS104" s="877"/>
      <c r="AT104" s="879"/>
      <c r="AU104" s="877"/>
      <c r="AV104" s="877"/>
      <c r="AW104" s="877"/>
      <c r="AX104" s="877"/>
      <c r="AY104" s="877"/>
      <c r="AZ104" s="886"/>
      <c r="BA104" s="877"/>
      <c r="BB104" s="879"/>
      <c r="BC104" s="877"/>
      <c r="BD104" s="877"/>
      <c r="BE104" s="877"/>
      <c r="BF104" s="886"/>
      <c r="BG104" s="877"/>
      <c r="BH104" s="879"/>
      <c r="BI104" s="877"/>
      <c r="BJ104" s="877"/>
      <c r="BK104" s="877"/>
      <c r="BL104" s="886"/>
      <c r="BM104" s="877"/>
      <c r="BN104" s="879"/>
      <c r="BO104" s="877"/>
      <c r="BP104" s="877"/>
      <c r="BQ104" s="877"/>
      <c r="BR104" s="886"/>
      <c r="BS104" s="877"/>
      <c r="BT104" s="879"/>
      <c r="BU104" s="886"/>
    </row>
    <row r="105" spans="1:91">
      <c r="A105" s="18"/>
      <c r="C105" s="64"/>
      <c r="E105" s="511" t="s">
        <v>321</v>
      </c>
      <c r="F105" s="928">
        <f>SUM(J105:M105)</f>
        <v>6880654.9518466564</v>
      </c>
      <c r="G105" s="877">
        <f>SUM(I105:M105,P105)</f>
        <v>6880654.9518466564</v>
      </c>
      <c r="H105" s="878"/>
      <c r="I105" s="877">
        <v>0</v>
      </c>
      <c r="J105" s="877">
        <v>0</v>
      </c>
      <c r="K105" s="1180">
        <f>('Input data meat and eggs'!M407*'Input data meat and eggs'!G407/12*'Input data meat and eggs'!$B$463*'Input data meat and eggs'!$B$464*'Input data meat and eggs'!$B$465*
('Input data meat and eggs'!$O$407*'Input data meat and eggs'!$B$455
+'Input data meat and eggs'!$P$407*'Input data meat and eggs'!$C$455+
'Input data meat and eggs'!$Q$407*'Input data meat and eggs'!$D$455+
'Input data meat and eggs'!$R$407*'Input data meat and eggs'!$E$455))*'Input data meat and eggs'!$E$407</f>
        <v>557136.58870589931</v>
      </c>
      <c r="L105" s="1180">
        <v>0</v>
      </c>
      <c r="M105" s="1180">
        <f>('Input data meat and eggs'!L407*'Input data meat and eggs'!G407/12)*'Input data meat and eggs'!$E$407</f>
        <v>6323518.3631407572</v>
      </c>
      <c r="N105" s="1180">
        <v>0</v>
      </c>
      <c r="O105" s="1180">
        <v>0</v>
      </c>
      <c r="P105" s="1180">
        <v>0</v>
      </c>
      <c r="Q105" s="877">
        <v>0</v>
      </c>
      <c r="R105" s="877">
        <f>(SUM(G105+Q105))/'Input data meat and eggs'!$B$29</f>
        <v>9900222.9522973485</v>
      </c>
      <c r="S105" s="1180"/>
      <c r="T105" s="1219"/>
      <c r="V105" s="1230"/>
      <c r="W105" s="183"/>
      <c r="X105" s="183"/>
      <c r="Y105" s="183"/>
      <c r="Z105" s="1231"/>
      <c r="AA105" s="183"/>
      <c r="AB105" s="1230"/>
      <c r="AC105" s="183"/>
      <c r="AD105" s="183"/>
      <c r="AE105" s="183"/>
      <c r="AF105" s="1231"/>
      <c r="AG105" s="189"/>
      <c r="AH105" s="879"/>
      <c r="AI105" s="877"/>
      <c r="AJ105" s="877"/>
      <c r="AK105" s="877"/>
      <c r="AL105" s="886"/>
      <c r="AM105" s="877"/>
      <c r="AN105" s="879"/>
      <c r="AO105" s="877"/>
      <c r="AP105" s="877"/>
      <c r="AQ105" s="877"/>
      <c r="AR105" s="886"/>
      <c r="AS105" s="877"/>
      <c r="AT105" s="879"/>
      <c r="AU105" s="877"/>
      <c r="AV105" s="877"/>
      <c r="AW105" s="877"/>
      <c r="AX105" s="877"/>
      <c r="AY105" s="877"/>
      <c r="AZ105" s="886"/>
      <c r="BA105" s="877"/>
      <c r="BB105" s="879"/>
      <c r="BC105" s="877"/>
      <c r="BD105" s="877"/>
      <c r="BE105" s="877"/>
      <c r="BF105" s="886"/>
      <c r="BG105" s="877"/>
      <c r="BH105" s="879"/>
      <c r="BI105" s="877"/>
      <c r="BJ105" s="877"/>
      <c r="BK105" s="877"/>
      <c r="BL105" s="886"/>
      <c r="BM105" s="877"/>
      <c r="BN105" s="879"/>
      <c r="BO105" s="877"/>
      <c r="BP105" s="877"/>
      <c r="BQ105" s="877"/>
      <c r="BR105" s="886"/>
      <c r="BS105" s="877"/>
      <c r="BT105" s="879"/>
      <c r="BU105" s="886"/>
    </row>
    <row r="106" spans="1:91">
      <c r="A106" s="18"/>
      <c r="C106" s="64"/>
      <c r="E106" s="511" t="s">
        <v>319</v>
      </c>
      <c r="F106" s="928">
        <f>SUM(J106:M106)</f>
        <v>0</v>
      </c>
      <c r="G106" s="877">
        <f>SUM(I106:M106,P106)</f>
        <v>40493.028284694432</v>
      </c>
      <c r="H106" s="878"/>
      <c r="I106" s="877">
        <f>('Input data meat and eggs'!S407*'Input data meat and eggs'!C48+'Input data meat and eggs'!T407*'Input data meat and eggs'!C47+'Input data meat and eggs'!U407*'Input data meat and eggs'!C35+'Input data meat and eggs'!V407*SUMPRODUCT('Input data meat and eggs'!C37:C46,'Input data meat and eggs'!E77:E86))*'Input data meat and eggs'!$E$407</f>
        <v>40493.028284694432</v>
      </c>
      <c r="J106" s="877">
        <v>0</v>
      </c>
      <c r="K106" s="1180">
        <v>0</v>
      </c>
      <c r="L106" s="1180">
        <v>0</v>
      </c>
      <c r="M106" s="1180">
        <v>0</v>
      </c>
      <c r="N106" s="1180">
        <v>0</v>
      </c>
      <c r="O106" s="1180">
        <v>0</v>
      </c>
      <c r="P106" s="1180">
        <v>0</v>
      </c>
      <c r="Q106" s="877">
        <v>0</v>
      </c>
      <c r="R106" s="877">
        <f>(SUM(G106+Q106))/'Input data meat and eggs'!$B$29</f>
        <v>58263.350049920053</v>
      </c>
      <c r="S106" s="1180"/>
      <c r="T106" s="1219"/>
      <c r="V106" s="1230"/>
      <c r="W106" s="183"/>
      <c r="X106" s="183"/>
      <c r="Y106" s="183"/>
      <c r="Z106" s="1231"/>
      <c r="AA106" s="183"/>
      <c r="AB106" s="1230"/>
      <c r="AC106" s="183"/>
      <c r="AD106" s="183"/>
      <c r="AE106" s="183"/>
      <c r="AF106" s="1231"/>
      <c r="AG106" s="189"/>
      <c r="AH106" s="879"/>
      <c r="AI106" s="877"/>
      <c r="AJ106" s="877"/>
      <c r="AK106" s="877"/>
      <c r="AL106" s="886"/>
      <c r="AM106" s="877"/>
      <c r="AN106" s="879"/>
      <c r="AO106" s="877"/>
      <c r="AP106" s="877"/>
      <c r="AQ106" s="877"/>
      <c r="AR106" s="886"/>
      <c r="AS106" s="877"/>
      <c r="AT106" s="879"/>
      <c r="AU106" s="877"/>
      <c r="AV106" s="877"/>
      <c r="AW106" s="877"/>
      <c r="AX106" s="877"/>
      <c r="AY106" s="877"/>
      <c r="AZ106" s="886"/>
      <c r="BA106" s="877"/>
      <c r="BB106" s="879"/>
      <c r="BC106" s="877"/>
      <c r="BD106" s="877"/>
      <c r="BE106" s="877"/>
      <c r="BF106" s="886"/>
      <c r="BG106" s="877"/>
      <c r="BH106" s="879"/>
      <c r="BI106" s="877"/>
      <c r="BJ106" s="877"/>
      <c r="BK106" s="877"/>
      <c r="BL106" s="886"/>
      <c r="BM106" s="877"/>
      <c r="BN106" s="879"/>
      <c r="BO106" s="877"/>
      <c r="BP106" s="877"/>
      <c r="BQ106" s="877"/>
      <c r="BR106" s="886"/>
      <c r="BS106" s="877"/>
      <c r="BT106" s="879"/>
      <c r="BU106" s="886"/>
    </row>
    <row r="107" spans="1:91">
      <c r="A107" s="18"/>
      <c r="C107" s="64"/>
      <c r="E107" s="512" t="s">
        <v>320</v>
      </c>
      <c r="F107" s="928">
        <f>SUM(J107:M107)</f>
        <v>198485.0046850823</v>
      </c>
      <c r="G107" s="877">
        <f>SUM(I107:M107,P107)</f>
        <v>237040.56218620588</v>
      </c>
      <c r="H107" s="878"/>
      <c r="I107" s="877">
        <f>(('Input data meat and eggs'!S407*'Input data meat and eggs'!D48+'Input data meat and eggs'!T407*'Input data meat and eggs'!D47+'Input data meat and eggs'!U407*'Input data meat and eggs'!D35+'Input data meat and eggs'!V407*SUMPRODUCT('Input data meat and eggs'!D37:D46,'Input data meat and eggs'!E77:E86))*'Input data meat and eggs'!B70)*'Input data meat and eggs'!$E$407</f>
        <v>38555.557501123585</v>
      </c>
      <c r="J107" s="877">
        <f>(('Input data meat and eggs'!S407*'Input data meat and eggs'!D48+'Input data meat and eggs'!T407*'Input data meat and eggs'!D47+'Input data meat and eggs'!U407*'Input data meat and eggs'!D35+'Input data meat and eggs'!V407*SUMPRODUCT('Input data meat and eggs'!D37:D46,'Input data meat and eggs'!E77:E86))*'Input data meat and eggs'!C70)*'Input data meat and eggs'!$E$407</f>
        <v>97452.90897028074</v>
      </c>
      <c r="K107" s="1180">
        <f>('Input data meat and eggs'!K407*'Input data meat and eggs'!G407/12*('Input data meat and eggs'!$O$407*'Input data meat and eggs'!$B$457+'Input data meat and eggs'!$P$407*'Input data meat and eggs'!$C$457+'Input data meat and eggs'!$Q$407*'Input data meat and eggs'!$D$457+'Input data meat and eggs'!$R$407*'Input data meat and eggs'!$E$457)*44/28)*'Input data meat and eggs'!$E$407</f>
        <v>88889.783754739183</v>
      </c>
      <c r="L107" s="1180">
        <f>('Input data meat and eggs'!$B$458*44/28*'Input data meat and eggs'!K407*'Input data meat and eggs'!G407/12*('Input data meat and eggs'!O407*'Input data meat and eggs'!B469+'Input data meat and eggs'!P407*'Input data meat and eggs'!C469+'Input data meat and eggs'!Q407*'Input data meat and eggs'!D469))*'Input data meat and eggs'!$E$407</f>
        <v>12142.311960062367</v>
      </c>
      <c r="M107" s="1180">
        <v>0</v>
      </c>
      <c r="N107" s="1180">
        <v>0</v>
      </c>
      <c r="O107" s="1180">
        <v>0</v>
      </c>
      <c r="P107" s="1180">
        <v>0</v>
      </c>
      <c r="Q107" s="877">
        <v>0</v>
      </c>
      <c r="R107" s="877">
        <f>(SUM(G107+Q107))/'Input data meat and eggs'!$B$29</f>
        <v>341065.55710245454</v>
      </c>
      <c r="S107" s="1180"/>
      <c r="T107" s="1219"/>
      <c r="V107" s="1230"/>
      <c r="W107" s="183"/>
      <c r="X107" s="183"/>
      <c r="Y107" s="183"/>
      <c r="Z107" s="1231"/>
      <c r="AA107" s="183"/>
      <c r="AB107" s="1230"/>
      <c r="AC107" s="183"/>
      <c r="AD107" s="183"/>
      <c r="AE107" s="183"/>
      <c r="AF107" s="1231"/>
      <c r="AG107" s="189"/>
      <c r="AH107" s="879"/>
      <c r="AI107" s="877"/>
      <c r="AJ107" s="877"/>
      <c r="AK107" s="877"/>
      <c r="AL107" s="886"/>
      <c r="AM107" s="877"/>
      <c r="AN107" s="879"/>
      <c r="AO107" s="877"/>
      <c r="AP107" s="877"/>
      <c r="AQ107" s="877"/>
      <c r="AR107" s="886"/>
      <c r="AS107" s="877"/>
      <c r="AT107" s="879"/>
      <c r="AU107" s="877"/>
      <c r="AV107" s="877"/>
      <c r="AW107" s="877"/>
      <c r="AX107" s="877"/>
      <c r="AY107" s="877"/>
      <c r="AZ107" s="886"/>
      <c r="BA107" s="877"/>
      <c r="BB107" s="879"/>
      <c r="BC107" s="877"/>
      <c r="BD107" s="877"/>
      <c r="BE107" s="877"/>
      <c r="BF107" s="886"/>
      <c r="BG107" s="877"/>
      <c r="BH107" s="879"/>
      <c r="BI107" s="877"/>
      <c r="BJ107" s="877"/>
      <c r="BK107" s="877"/>
      <c r="BL107" s="886"/>
      <c r="BM107" s="877"/>
      <c r="BN107" s="879"/>
      <c r="BO107" s="877"/>
      <c r="BP107" s="877"/>
      <c r="BQ107" s="877"/>
      <c r="BR107" s="886"/>
      <c r="BS107" s="877"/>
      <c r="BT107" s="879"/>
      <c r="BU107" s="886"/>
    </row>
    <row r="108" spans="1:91">
      <c r="A108" s="94"/>
      <c r="B108" s="93" t="s">
        <v>345</v>
      </c>
      <c r="C108" s="144"/>
      <c r="E108" s="513" t="s">
        <v>316</v>
      </c>
      <c r="F108" s="930">
        <f>SUMPRODUCT($CA$7:$CA$10,F109:F112)</f>
        <v>14027560.207382724</v>
      </c>
      <c r="G108" s="872">
        <f>SUMPRODUCT($CA$7:$CA$10,G109:G112)</f>
        <v>20081037.858752109</v>
      </c>
      <c r="H108" s="873"/>
      <c r="I108" s="872"/>
      <c r="J108" s="872"/>
      <c r="K108" s="872"/>
      <c r="L108" s="872"/>
      <c r="M108" s="872"/>
      <c r="N108" s="884"/>
      <c r="O108" s="872"/>
      <c r="P108" s="872"/>
      <c r="Q108" s="872"/>
      <c r="R108" s="872"/>
      <c r="S108" s="884"/>
      <c r="T108" s="885"/>
      <c r="V108" s="1240">
        <f>'Input data meat and eggs'!$S408*'Input data meat and eggs'!E$48+'Input data meat and eggs'!$U408*'Input data meat and eggs'!E$35+'Input data meat and eggs'!$V408*SUMPRODUCT('Input data meat and eggs'!$E$77:$E$86,'Input data meat and eggs'!E$37:E$46)</f>
        <v>6131.5707570200611</v>
      </c>
      <c r="W108" s="211">
        <f>V108*'Input data meat and eggs'!$D408</f>
        <v>52877439.8943896</v>
      </c>
      <c r="X108" s="211"/>
      <c r="Y108" s="211"/>
      <c r="Z108" s="1242"/>
      <c r="AA108" s="189"/>
      <c r="AB108" s="1240">
        <f>'Input data meat and eggs'!$T408*'Input data meat and eggs'!F$47</f>
        <v>2363.7372313681167</v>
      </c>
      <c r="AC108" s="211">
        <f>AB108*'Input data meat and eggs'!$D408</f>
        <v>20384397.135872364</v>
      </c>
      <c r="AD108" s="211"/>
      <c r="AE108" s="211"/>
      <c r="AF108" s="1242"/>
      <c r="AG108" s="189"/>
      <c r="AH108" s="883">
        <f>'Input data meat and eggs'!$S408*'Input data meat and eggs'!G$48+'Input data meat and eggs'!$T408*'Input data meat and eggs'!G$47+'Input data meat and eggs'!$U408*'Input data meat and eggs'!G$35+'Input data meat and eggs'!$V408*SUMPRODUCT('Input data meat and eggs'!$E$77:$E$86,'Input data meat and eggs'!G$37:G$46)</f>
        <v>133.01811053730228</v>
      </c>
      <c r="AI108" s="884">
        <f>AH108*'Input data meat and eggs'!$D408</f>
        <v>1147121.5816515873</v>
      </c>
      <c r="AJ108" s="884"/>
      <c r="AK108" s="884"/>
      <c r="AL108" s="885"/>
      <c r="AM108" s="877"/>
      <c r="AN108" s="883">
        <f>'Input data meat and eggs'!$S408*'Input data meat and eggs'!H$48+'Input data meat and eggs'!$T408*'Input data meat and eggs'!H$47+'Input data meat and eggs'!$U408*'Input data meat and eggs'!H$35+'Input data meat and eggs'!$V408*SUMPRODUCT('Input data meat and eggs'!$E$77:$E$86,'Input data meat and eggs'!H$37:H$46)</f>
        <v>4.1472537283760991</v>
      </c>
      <c r="AO108" s="884">
        <f>AN108*'Input data meat and eggs'!$D408</f>
        <v>35765.086702769797</v>
      </c>
      <c r="AP108" s="884"/>
      <c r="AQ108" s="884"/>
      <c r="AR108" s="885"/>
      <c r="AS108" s="877"/>
      <c r="AT108" s="883">
        <f>'Input data meat and eggs'!$S408*'Input data meat and eggs'!I$48+'Input data meat and eggs'!$T408*'Input data meat and eggs'!I$47+'Input data meat and eggs'!$U408*'Input data meat and eggs'!I$35+'Input data meat and eggs'!$V408*SUMPRODUCT('Input data meat and eggs'!$E$77:$E$86,'Input data meat and eggs'!I$37:I$46)</f>
        <v>3.9900521325952858</v>
      </c>
      <c r="AU108" s="884">
        <f>'Input data meat and eggs'!G408/12*((1-'Input data meat and eggs'!$R408)*'Input data meat and eggs'!$B$61+'Input data meat and eggs'!$R408*'Input data meat and eggs'!$B$62)</f>
        <v>33.308842340575239</v>
      </c>
      <c r="AV108" s="884">
        <f>SUM(AT108:AU108)</f>
        <v>37.298894473170527</v>
      </c>
      <c r="AW108" s="884">
        <f>AV108*'Input data meat and eggs'!$D408</f>
        <v>321658.20615772798</v>
      </c>
      <c r="AX108" s="884"/>
      <c r="AY108" s="884"/>
      <c r="AZ108" s="885"/>
      <c r="BA108" s="877"/>
      <c r="BB108" s="883">
        <f>'Input data meat and eggs'!$S408*'Input data meat and eggs'!J$48+'Input data meat and eggs'!$T408*'Input data meat and eggs'!J$47+'Input data meat and eggs'!$U408*'Input data meat and eggs'!J$35+'Input data meat and eggs'!$V408*SUMPRODUCT('Input data meat and eggs'!$E$77:$E$86,'Input data meat and eggs'!J$37:J$46)</f>
        <v>1.385942999013167E-7</v>
      </c>
      <c r="BC108" s="884">
        <f>BB108*'Input data meat and eggs'!$D408</f>
        <v>1.1952095234889749E-3</v>
      </c>
      <c r="BD108" s="884"/>
      <c r="BE108" s="884"/>
      <c r="BF108" s="885"/>
      <c r="BG108" s="877"/>
      <c r="BH108" s="883">
        <f>'Input data meat and eggs'!$S408*'Input data meat and eggs'!P$48+'Input data meat and eggs'!$T408*'Input data meat and eggs'!P$47+'Input data meat and eggs'!$U408*'Input data meat and eggs'!P$35+'Input data meat and eggs'!$V408*SUMPRODUCT('Input data meat and eggs'!$E$77:$E$86,'Input data meat and eggs'!P$37:P$46)</f>
        <v>0.28527807192966703</v>
      </c>
      <c r="BI108" s="884">
        <f>BH108*'Input data meat and eggs'!$D408</f>
        <v>2460.1810367070625</v>
      </c>
      <c r="BJ108" s="884"/>
      <c r="BK108" s="884"/>
      <c r="BL108" s="885"/>
      <c r="BM108" s="877"/>
      <c r="BN108" s="883">
        <f>'Input data meat and eggs'!$S408*'Input data meat and eggs'!W$48+'Input data meat and eggs'!$T408*'Input data meat and eggs'!W$47+'Input data meat and eggs'!$U408*'Input data meat and eggs'!W$35+'Input data meat and eggs'!$V408*SUMPRODUCT('Input data meat and eggs'!$E$77:$E$86,'Input data meat and eggs'!W$37:W$46)</f>
        <v>9.1558858506251699</v>
      </c>
      <c r="BO108" s="884">
        <f>BN108*'Input data meat and eggs'!$D408</f>
        <v>78958.528398621333</v>
      </c>
      <c r="BP108" s="884"/>
      <c r="BQ108" s="884"/>
      <c r="BR108" s="885"/>
      <c r="BS108" s="877"/>
      <c r="BT108" s="879"/>
      <c r="BU108" s="886"/>
    </row>
    <row r="109" spans="1:91">
      <c r="A109" s="18"/>
      <c r="C109" s="64"/>
      <c r="E109" s="511" t="s">
        <v>317</v>
      </c>
      <c r="F109" s="928">
        <f>IF(AND($G$2="No",$G$3="No"),SUM(J109:M109),IF(AND($G$2="Yes", $G$3="No"), SUM(J109:M109)+O109, IF(AND($G$2="No", $G$3="Yes"),SUM(J109:M109)+N109, SUM(J109:M109)+O109+N109)))</f>
        <v>-266058.21392457472</v>
      </c>
      <c r="G109" s="877">
        <f>IF(AND($G$2="No",$G$3="No"),SUM(I109:M109,P109),IF(AND($G$2="Yes", $G$3="No"), SUM(I109:M109,P109)+O109, IF(AND($G$2="No", $G$3="Yes"),SUM(I109:M109,P109)+N109, SUM(I109:M109,P109)+O109+N109)))</f>
        <v>4572540.7355001634</v>
      </c>
      <c r="H109" s="878"/>
      <c r="I109" s="877">
        <f>('Input data meat and eggs'!S408*'Input data meat and eggs'!B48+'Input data meat and eggs'!T408*'Input data meat and eggs'!B47+'Input data meat and eggs'!U408*'Input data meat and eggs'!B35+'Input data meat and eggs'!V408*SUMPRODUCT('Input data meat and eggs'!B37:B46,'Input data meat and eggs'!E77:E86))*'Input data meat and eggs'!$E$408</f>
        <v>4838598.9494247381</v>
      </c>
      <c r="J109" s="877">
        <v>0</v>
      </c>
      <c r="K109" s="877">
        <v>0</v>
      </c>
      <c r="L109" s="877">
        <v>0</v>
      </c>
      <c r="M109" s="877">
        <v>0</v>
      </c>
      <c r="N109" s="877">
        <f>(('Input data meat and eggs'!S408+'Input data meat and eggs'!T408)*'Common input data'!F19+
'Input data meat and eggs'!U408*'Common input data'!B19+'Input data meat and eggs'!V408*('Input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eggs'!$E$408</f>
        <v>-693449.94516345789</v>
      </c>
      <c r="O109" s="877">
        <f>('Input data meat and eggs'!V408*('Input data meat and eggs'!E79*'Common input data'!AR27*'Common input data'!G44/'Common input data'!F44+'Input data meat and eggs'!E83*'Common input data'!AS27*'Common input data'!J46/'Common input data'!I46))*'Input data meat and eggs'!$E$408</f>
        <v>427391.73123888316</v>
      </c>
      <c r="P109" s="877">
        <v>0</v>
      </c>
      <c r="Q109" s="877">
        <v>0</v>
      </c>
      <c r="R109" s="877">
        <f>(SUM(G109+Q109))/'Input data meat and eggs'!$B$29</f>
        <v>6579195.3028779337</v>
      </c>
      <c r="S109" s="877"/>
      <c r="T109" s="886"/>
      <c r="V109" s="1230"/>
      <c r="W109" s="183"/>
      <c r="X109" s="183"/>
      <c r="Y109" s="183"/>
      <c r="Z109" s="1231"/>
      <c r="AA109" s="183"/>
      <c r="AB109" s="1230"/>
      <c r="AC109" s="183"/>
      <c r="AD109" s="183"/>
      <c r="AE109" s="183"/>
      <c r="AF109" s="1231"/>
      <c r="AG109" s="189"/>
      <c r="AH109" s="879"/>
      <c r="AI109" s="877"/>
      <c r="AJ109" s="877"/>
      <c r="AK109" s="877"/>
      <c r="AL109" s="886"/>
      <c r="AM109" s="877"/>
      <c r="AN109" s="879"/>
      <c r="AO109" s="877"/>
      <c r="AP109" s="877"/>
      <c r="AQ109" s="877"/>
      <c r="AR109" s="886"/>
      <c r="AS109" s="877"/>
      <c r="AT109" s="879"/>
      <c r="AU109" s="877"/>
      <c r="AV109" s="877"/>
      <c r="AW109" s="877"/>
      <c r="AX109" s="877"/>
      <c r="AY109" s="877"/>
      <c r="AZ109" s="886"/>
      <c r="BA109" s="877"/>
      <c r="BB109" s="879"/>
      <c r="BC109" s="877"/>
      <c r="BD109" s="877"/>
      <c r="BE109" s="877"/>
      <c r="BF109" s="886"/>
      <c r="BG109" s="877"/>
      <c r="BH109" s="879"/>
      <c r="BI109" s="877"/>
      <c r="BJ109" s="877"/>
      <c r="BK109" s="877"/>
      <c r="BL109" s="886"/>
      <c r="BM109" s="877"/>
      <c r="BN109" s="879"/>
      <c r="BO109" s="877"/>
      <c r="BP109" s="877"/>
      <c r="BQ109" s="877"/>
      <c r="BR109" s="886"/>
      <c r="BS109" s="877"/>
      <c r="BT109" s="879"/>
      <c r="BU109" s="886"/>
    </row>
    <row r="110" spans="1:91" ht="13.5" customHeight="1">
      <c r="A110" s="18"/>
      <c r="C110" s="64"/>
      <c r="E110" s="511" t="s">
        <v>321</v>
      </c>
      <c r="F110" s="928">
        <f>SUM(J110:M110)</f>
        <v>1389829.2838221227</v>
      </c>
      <c r="G110" s="877">
        <f>SUM(I110:M110,P110)</f>
        <v>1389829.2838221227</v>
      </c>
      <c r="H110" s="878"/>
      <c r="I110" s="877">
        <v>0</v>
      </c>
      <c r="J110" s="877">
        <v>0</v>
      </c>
      <c r="K110" s="877">
        <f>('Input data meat and eggs'!M408*'Input data meat and eggs'!G408/12*'Input data meat and eggs'!$B$463*'Input data meat and eggs'!$B$464*'Input data meat and eggs'!$B$465*
('Input data meat and eggs'!$O$408*'Input data meat and eggs'!$B$455
+'Input data meat and eggs'!$P$408*'Input data meat and eggs'!$C$455+
'Input data meat and eggs'!$Q$408*'Input data meat and eggs'!$D$455+
'Input data meat and eggs'!$R$408*'Input data meat and eggs'!$E$455))*'Input data meat and eggs'!$E$408</f>
        <v>112536.48838536863</v>
      </c>
      <c r="L110" s="877">
        <v>0</v>
      </c>
      <c r="M110" s="877">
        <f>('Input data meat and eggs'!L408*'Input data meat and eggs'!G408/12)*'Input data meat and eggs'!$E$408</f>
        <v>1277292.7954367541</v>
      </c>
      <c r="N110" s="877">
        <v>0</v>
      </c>
      <c r="O110" s="877">
        <v>0</v>
      </c>
      <c r="P110" s="877">
        <v>0</v>
      </c>
      <c r="Q110" s="877">
        <v>0</v>
      </c>
      <c r="R110" s="877">
        <f>(SUM(G110+Q110))/'Input data meat and eggs'!$B$29</f>
        <v>1999754.3652116875</v>
      </c>
      <c r="S110" s="877"/>
      <c r="T110" s="886"/>
      <c r="V110" s="1230"/>
      <c r="W110" s="183"/>
      <c r="X110" s="183"/>
      <c r="Y110" s="183"/>
      <c r="Z110" s="1231"/>
      <c r="AA110" s="183"/>
      <c r="AB110" s="1230"/>
      <c r="AC110" s="183"/>
      <c r="AD110" s="183"/>
      <c r="AE110" s="183"/>
      <c r="AF110" s="1231"/>
      <c r="AG110" s="189"/>
      <c r="AH110" s="879"/>
      <c r="AI110" s="877"/>
      <c r="AJ110" s="877"/>
      <c r="AK110" s="877"/>
      <c r="AL110" s="886"/>
      <c r="AM110" s="877"/>
      <c r="AN110" s="879"/>
      <c r="AO110" s="877"/>
      <c r="AP110" s="877"/>
      <c r="AQ110" s="877"/>
      <c r="AR110" s="886"/>
      <c r="AS110" s="877"/>
      <c r="AT110" s="879"/>
      <c r="AU110" s="877"/>
      <c r="AV110" s="877"/>
      <c r="AW110" s="877"/>
      <c r="AX110" s="877"/>
      <c r="AY110" s="877"/>
      <c r="AZ110" s="886"/>
      <c r="BA110" s="877"/>
      <c r="BB110" s="879"/>
      <c r="BC110" s="877"/>
      <c r="BD110" s="877"/>
      <c r="BE110" s="877"/>
      <c r="BF110" s="886"/>
      <c r="BG110" s="877"/>
      <c r="BH110" s="879"/>
      <c r="BI110" s="877"/>
      <c r="BJ110" s="877"/>
      <c r="BK110" s="877"/>
      <c r="BL110" s="886"/>
      <c r="BM110" s="877"/>
      <c r="BN110" s="879"/>
      <c r="BO110" s="877"/>
      <c r="BP110" s="877"/>
      <c r="BQ110" s="877"/>
      <c r="BR110" s="886"/>
      <c r="BS110" s="877"/>
      <c r="BT110" s="879"/>
      <c r="BU110" s="886"/>
    </row>
    <row r="111" spans="1:91" ht="13.5" customHeight="1">
      <c r="A111" s="18"/>
      <c r="C111" s="64"/>
      <c r="E111" s="511" t="s">
        <v>319</v>
      </c>
      <c r="F111" s="928">
        <f>SUM(J111:M111)</f>
        <v>0</v>
      </c>
      <c r="G111" s="877">
        <f>SUM(I111:M111,P111)</f>
        <v>5409.5547413479926</v>
      </c>
      <c r="H111" s="878"/>
      <c r="I111" s="877">
        <f>('Input data meat and eggs'!S408*'Input data meat and eggs'!C48+'Input data meat and eggs'!T408*'Input data meat and eggs'!C47+'Input data meat and eggs'!U408*'Input data meat and eggs'!C35+'Input data meat and eggs'!V408*SUMPRODUCT('Input data meat and eggs'!C37:C46,'Input data meat and eggs'!E77:E86))*'Input data meat and eggs'!$E$408</f>
        <v>5409.5547413479926</v>
      </c>
      <c r="J111" s="877">
        <v>0</v>
      </c>
      <c r="K111" s="877">
        <v>0</v>
      </c>
      <c r="L111" s="877">
        <v>0</v>
      </c>
      <c r="M111" s="877">
        <v>0</v>
      </c>
      <c r="N111" s="877">
        <v>0</v>
      </c>
      <c r="O111" s="877">
        <v>0</v>
      </c>
      <c r="P111" s="877">
        <v>0</v>
      </c>
      <c r="Q111" s="877">
        <v>0</v>
      </c>
      <c r="R111" s="877">
        <f>(SUM(G111+Q111))/'Input data meat and eggs'!$B$29</f>
        <v>7783.5320019395585</v>
      </c>
      <c r="S111" s="877"/>
      <c r="T111" s="886"/>
      <c r="V111" s="1230"/>
      <c r="W111" s="183"/>
      <c r="X111" s="183"/>
      <c r="Y111" s="183"/>
      <c r="Z111" s="1231"/>
      <c r="AA111" s="183"/>
      <c r="AB111" s="1230"/>
      <c r="AC111" s="183"/>
      <c r="AD111" s="183"/>
      <c r="AE111" s="183"/>
      <c r="AF111" s="1231"/>
      <c r="AG111" s="189"/>
      <c r="AH111" s="879"/>
      <c r="AI111" s="877"/>
      <c r="AJ111" s="877"/>
      <c r="AK111" s="877"/>
      <c r="AL111" s="886"/>
      <c r="AM111" s="877"/>
      <c r="AN111" s="879"/>
      <c r="AO111" s="877"/>
      <c r="AP111" s="877"/>
      <c r="AQ111" s="877"/>
      <c r="AR111" s="886"/>
      <c r="AS111" s="877"/>
      <c r="AT111" s="879"/>
      <c r="AU111" s="877"/>
      <c r="AV111" s="877"/>
      <c r="AW111" s="877"/>
      <c r="AX111" s="877"/>
      <c r="AY111" s="877"/>
      <c r="AZ111" s="886"/>
      <c r="BA111" s="877"/>
      <c r="BB111" s="879"/>
      <c r="BC111" s="877"/>
      <c r="BD111" s="877"/>
      <c r="BE111" s="877"/>
      <c r="BF111" s="886"/>
      <c r="BG111" s="877"/>
      <c r="BH111" s="879"/>
      <c r="BI111" s="877"/>
      <c r="BJ111" s="877"/>
      <c r="BK111" s="877"/>
      <c r="BL111" s="886"/>
      <c r="BM111" s="877"/>
      <c r="BN111" s="879"/>
      <c r="BO111" s="877"/>
      <c r="BP111" s="877"/>
      <c r="BQ111" s="877"/>
      <c r="BR111" s="886"/>
      <c r="BS111" s="877"/>
      <c r="BT111" s="879"/>
      <c r="BU111" s="886"/>
    </row>
    <row r="112" spans="1:91">
      <c r="A112" s="18"/>
      <c r="C112" s="64"/>
      <c r="E112" s="512" t="s">
        <v>320</v>
      </c>
      <c r="F112" s="928">
        <f>SUM(J112:M112)</f>
        <v>33310.81882979966</v>
      </c>
      <c r="G112" s="877">
        <f>SUM(I112:M112,P112)</f>
        <v>38415.770738213017</v>
      </c>
      <c r="H112" s="878"/>
      <c r="I112" s="877">
        <f>(('Input data meat and eggs'!S408*'Input data meat and eggs'!D48+'Input data meat and eggs'!T408*'Input data meat and eggs'!D47+'Input data meat and eggs'!U408*'Input data meat and eggs'!D35+'Input data meat and eggs'!V408*SUMPRODUCT('Input data meat and eggs'!D37:D46,'Input data meat and eggs'!E77:E86))*'Input data meat and eggs'!B70)*'Input data meat and eggs'!$E$408</f>
        <v>5104.9519084133526</v>
      </c>
      <c r="J112" s="877">
        <f>(('Input data meat and eggs'!S408*'Input data meat and eggs'!D48+'Input data meat and eggs'!T408*'Input data meat and eggs'!D47+'Input data meat and eggs'!U408*'Input data meat and eggs'!D35+'Input data meat and eggs'!V408*SUMPRODUCT('Input data meat and eggs'!D37:D46,'Input data meat and eggs'!E77:E86))*'Input data meat and eggs'!C70)*'Input data meat and eggs'!$E$408</f>
        <v>12903.26079745493</v>
      </c>
      <c r="K112" s="877">
        <f>('Input data meat and eggs'!K408*'Input data meat and eggs'!G408/12*('Input data meat and eggs'!$O$408*'Input data meat and eggs'!$B$457+'Input data meat and eggs'!$P$408*'Input data meat and eggs'!$C$457+'Input data meat and eggs'!$Q$408*'Input data meat and eggs'!$D$457+'Input data meat and eggs'!$R$408*'Input data meat and eggs'!$E$457)*44/28)*'Input data meat and eggs'!$E$408</f>
        <v>17954.922221727738</v>
      </c>
      <c r="L112" s="877">
        <f>('Input data meat and eggs'!$B$458*44/28*'Input data meat and eggs'!K408*'Input data meat and eggs'!G408/12*('Input data meat and eggs'!O408*'Input data meat and eggs'!B469+'Input data meat and eggs'!P408*'Input data meat and eggs'!C469+'Input data meat and eggs'!Q408*'Input data meat and eggs'!D469))*'Input data meat and eggs'!$E$408</f>
        <v>2452.6358106169955</v>
      </c>
      <c r="M112" s="877">
        <v>0</v>
      </c>
      <c r="N112" s="877">
        <v>0</v>
      </c>
      <c r="O112" s="877">
        <v>0</v>
      </c>
      <c r="P112" s="877">
        <v>0</v>
      </c>
      <c r="Q112" s="877">
        <v>0</v>
      </c>
      <c r="R112" s="877">
        <f>(SUM(G112+Q112))/'Input data meat and eggs'!$B$29</f>
        <v>55274.4902708101</v>
      </c>
      <c r="S112" s="877"/>
      <c r="T112" s="886"/>
      <c r="V112" s="1230"/>
      <c r="W112" s="183"/>
      <c r="X112" s="183"/>
      <c r="Y112" s="183"/>
      <c r="Z112" s="1231"/>
      <c r="AA112" s="183"/>
      <c r="AB112" s="1230"/>
      <c r="AC112" s="183"/>
      <c r="AD112" s="183"/>
      <c r="AE112" s="183"/>
      <c r="AF112" s="1231"/>
      <c r="AG112" s="189"/>
      <c r="AH112" s="879"/>
      <c r="AI112" s="877"/>
      <c r="AJ112" s="877"/>
      <c r="AK112" s="877"/>
      <c r="AL112" s="886"/>
      <c r="AM112" s="877"/>
      <c r="AN112" s="879"/>
      <c r="AO112" s="877"/>
      <c r="AP112" s="877"/>
      <c r="AQ112" s="877"/>
      <c r="AR112" s="886"/>
      <c r="AS112" s="877"/>
      <c r="AT112" s="879"/>
      <c r="AU112" s="877"/>
      <c r="AV112" s="877"/>
      <c r="AW112" s="877"/>
      <c r="AX112" s="877"/>
      <c r="AY112" s="877"/>
      <c r="AZ112" s="886"/>
      <c r="BA112" s="877"/>
      <c r="BB112" s="879"/>
      <c r="BC112" s="877"/>
      <c r="BD112" s="877"/>
      <c r="BE112" s="877"/>
      <c r="BF112" s="886"/>
      <c r="BG112" s="877"/>
      <c r="BH112" s="879"/>
      <c r="BI112" s="877"/>
      <c r="BJ112" s="877"/>
      <c r="BK112" s="877"/>
      <c r="BL112" s="886"/>
      <c r="BM112" s="877"/>
      <c r="BN112" s="879"/>
      <c r="BO112" s="877"/>
      <c r="BP112" s="877"/>
      <c r="BQ112" s="877"/>
      <c r="BR112" s="886"/>
      <c r="BS112" s="877"/>
      <c r="BT112" s="879"/>
      <c r="BU112" s="886"/>
    </row>
    <row r="113" spans="1:73">
      <c r="A113" s="94"/>
      <c r="B113" s="93" t="s">
        <v>346</v>
      </c>
      <c r="C113" s="144"/>
      <c r="E113" s="513" t="s">
        <v>316</v>
      </c>
      <c r="F113" s="930">
        <f>SUMPRODUCT($CA$7:$CA$10,F114:F117)</f>
        <v>9505684.7169654518</v>
      </c>
      <c r="G113" s="872">
        <f>SUMPRODUCT($CA$7:$CA$10,G114:G117)</f>
        <v>16260218.854939234</v>
      </c>
      <c r="H113" s="873"/>
      <c r="I113" s="872"/>
      <c r="J113" s="872"/>
      <c r="K113" s="872"/>
      <c r="L113" s="872"/>
      <c r="M113" s="872"/>
      <c r="N113" s="884"/>
      <c r="O113" s="872"/>
      <c r="P113" s="872"/>
      <c r="Q113" s="872"/>
      <c r="R113" s="872"/>
      <c r="S113" s="884"/>
      <c r="T113" s="885"/>
      <c r="V113" s="1240">
        <f>'Input data meat and eggs'!$S409*'Input data meat and eggs'!E$48+'Input data meat and eggs'!$U409*'Input data meat and eggs'!E$35+'Input data meat and eggs'!$V409*SUMPRODUCT('Input data meat and eggs'!$E$77:$E$86,'Input data meat and eggs'!E$37:E$46)</f>
        <v>7256.7055087446424</v>
      </c>
      <c r="W113" s="211">
        <f>V113*'Input data meat and eggs'!$D409</f>
        <v>64837212.379531629</v>
      </c>
      <c r="X113" s="211"/>
      <c r="Y113" s="211"/>
      <c r="Z113" s="1242"/>
      <c r="AA113" s="189"/>
      <c r="AB113" s="1240">
        <f>'Input data meat and eggs'!$T409*'Input data meat and eggs'!F$47</f>
        <v>20313.366832069751</v>
      </c>
      <c r="AC113" s="211">
        <f>AB113*'Input data meat and eggs'!$D409</f>
        <v>181495869.9711768</v>
      </c>
      <c r="AD113" s="211"/>
      <c r="AE113" s="211"/>
      <c r="AF113" s="1242"/>
      <c r="AG113" s="189"/>
      <c r="AH113" s="883">
        <f>'Input data meat and eggs'!$S409*'Input data meat and eggs'!G$48+'Input data meat and eggs'!$T409*'Input data meat and eggs'!G$47+'Input data meat and eggs'!$U409*'Input data meat and eggs'!G$35+'Input data meat and eggs'!$V409*SUMPRODUCT('Input data meat and eggs'!$E$77:$E$86,'Input data meat and eggs'!G$37:G$46)</f>
        <v>228.38389970233663</v>
      </c>
      <c r="AI113" s="884">
        <f>AH113*'Input data meat and eggs'!$D409</f>
        <v>2040564.4670604372</v>
      </c>
      <c r="AJ113" s="884"/>
      <c r="AK113" s="884"/>
      <c r="AL113" s="885"/>
      <c r="AM113" s="877"/>
      <c r="AN113" s="883">
        <f>'Input data meat and eggs'!$S409*'Input data meat and eggs'!H$48+'Input data meat and eggs'!$T409*'Input data meat and eggs'!H$47+'Input data meat and eggs'!$U409*'Input data meat and eggs'!H$35+'Input data meat and eggs'!$V409*SUMPRODUCT('Input data meat and eggs'!$E$77:$E$86,'Input data meat and eggs'!H$37:H$46)</f>
        <v>4.84733909128789</v>
      </c>
      <c r="AO113" s="884">
        <f>AN113*'Input data meat and eggs'!$D409</f>
        <v>43310.005312839035</v>
      </c>
      <c r="AP113" s="884"/>
      <c r="AQ113" s="884"/>
      <c r="AR113" s="885"/>
      <c r="AS113" s="877"/>
      <c r="AT113" s="883">
        <f>'Input data meat and eggs'!$S409*'Input data meat and eggs'!I$48+'Input data meat and eggs'!$T409*'Input data meat and eggs'!I$47+'Input data meat and eggs'!$U409*'Input data meat and eggs'!I$35+'Input data meat and eggs'!$V409*SUMPRODUCT('Input data meat and eggs'!$E$77:$E$86,'Input data meat and eggs'!I$37:I$46)</f>
        <v>0.33286598459075389</v>
      </c>
      <c r="AU113" s="884">
        <f>'Input data meat and eggs'!G409/12*((1-'Input data meat and eggs'!$R409)*'Input data meat and eggs'!$B$61+'Input data meat and eggs'!$R409*'Input data meat and eggs'!$B$62)</f>
        <v>30.490128845760282</v>
      </c>
      <c r="AV113" s="884">
        <f>SUM(AT113:AU113)</f>
        <v>30.822994830351035</v>
      </c>
      <c r="AW113" s="884">
        <f>AV113*'Input data meat and eggs'!$D409</f>
        <v>275397.2942102204</v>
      </c>
      <c r="AX113" s="884"/>
      <c r="AY113" s="884"/>
      <c r="AZ113" s="885"/>
      <c r="BA113" s="877"/>
      <c r="BB113" s="883">
        <f>'Input data meat and eggs'!$S409*'Input data meat and eggs'!J$48+'Input data meat and eggs'!$T409*'Input data meat and eggs'!J$47+'Input data meat and eggs'!$U409*'Input data meat and eggs'!J$35+'Input data meat and eggs'!$V409*SUMPRODUCT('Input data meat and eggs'!$E$77:$E$86,'Input data meat and eggs'!J$37:J$46)</f>
        <v>2.0991036685270008E-7</v>
      </c>
      <c r="BC113" s="884">
        <f>BB113*'Input data meat and eggs'!$D409</f>
        <v>1.8755071457555045E-3</v>
      </c>
      <c r="BD113" s="884"/>
      <c r="BE113" s="884"/>
      <c r="BF113" s="885"/>
      <c r="BG113" s="877"/>
      <c r="BH113" s="883">
        <f>'Input data meat and eggs'!$S409*'Input data meat and eggs'!P$48+'Input data meat and eggs'!$T409*'Input data meat and eggs'!P$47+'Input data meat and eggs'!$U409*'Input data meat and eggs'!P$35+'Input data meat and eggs'!$V409*SUMPRODUCT('Input data meat and eggs'!$E$77:$E$86,'Input data meat and eggs'!P$37:P$46)</f>
        <v>0.28329583261551705</v>
      </c>
      <c r="BI113" s="884">
        <f>BH113*'Input data meat and eggs'!$D409</f>
        <v>2531.1916052531215</v>
      </c>
      <c r="BJ113" s="884"/>
      <c r="BK113" s="884"/>
      <c r="BL113" s="885"/>
      <c r="BM113" s="877"/>
      <c r="BN113" s="883">
        <f>'Input data meat and eggs'!$S409*'Input data meat and eggs'!W$48+'Input data meat and eggs'!$T409*'Input data meat and eggs'!W$47+'Input data meat and eggs'!$U409*'Input data meat and eggs'!W$35+'Input data meat and eggs'!$V409*SUMPRODUCT('Input data meat and eggs'!$E$77:$E$86,'Input data meat and eggs'!W$37:W$46)</f>
        <v>15.039702500481329</v>
      </c>
      <c r="BO113" s="884">
        <f>BN113*'Input data meat and eggs'!$D409</f>
        <v>134376.73390130058</v>
      </c>
      <c r="BP113" s="884"/>
      <c r="BQ113" s="884"/>
      <c r="BR113" s="885"/>
      <c r="BS113" s="877"/>
      <c r="BT113" s="879"/>
      <c r="BU113" s="886"/>
    </row>
    <row r="114" spans="1:73">
      <c r="A114" s="18"/>
      <c r="C114" s="64"/>
      <c r="E114" s="511" t="s">
        <v>317</v>
      </c>
      <c r="F114" s="928">
        <f>IF(AND($G$2="No",$G$3="No"),SUM(J114:M114),IF(AND($G$2="Yes", $G$3="No"), SUM(J114:M114)+O114, IF(AND($G$2="No", $G$3="Yes"),SUM(J114:M114)+N114, SUM(J114:M114)+O114+N114)))</f>
        <v>-4540547.7869062806</v>
      </c>
      <c r="G114" s="877">
        <f>IF(AND($G$2="No",$G$3="No"),SUM(I114:M114,P114),IF(AND($G$2="Yes", $G$3="No"), SUM(I114:M114,P114)+O114, IF(AND($G$2="No", $G$3="Yes"),SUM(I114:M114,P114)+N114, SUM(I114:M114,P114)+O114+N114)))</f>
        <v>878554.99816768058</v>
      </c>
      <c r="H114" s="878"/>
      <c r="I114" s="877">
        <f>('Input data meat and eggs'!S409*'Input data meat and eggs'!B48+'Input data meat and eggs'!T409*'Input data meat and eggs'!B47+'Input data meat and eggs'!U409*'Input data meat and eggs'!B35+'Input data meat and eggs'!V409*SUMPRODUCT('Input data meat and eggs'!B37:B46,'Input data meat and eggs'!E77:E86))*'Input data meat and eggs'!$E$409</f>
        <v>5419102.7850739611</v>
      </c>
      <c r="J114" s="877">
        <v>0</v>
      </c>
      <c r="K114" s="877">
        <v>0</v>
      </c>
      <c r="L114" s="877">
        <v>0</v>
      </c>
      <c r="M114" s="877">
        <v>0</v>
      </c>
      <c r="N114" s="877">
        <f>(('Input data meat and eggs'!S409+'Input data meat and eggs'!T409)*'Common input data'!F19+
'Input data meat and eggs'!U409*'Common input data'!B19+'Input data meat and eggs'!V409*('Input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eggs'!$E$409</f>
        <v>-4576843.258571554</v>
      </c>
      <c r="O114" s="877">
        <f>('Input data meat and eggs'!V409*('Input data meat and eggs'!E79*'Common input data'!AR27*'Common input data'!G44/'Common input data'!F44+'Input data meat and eggs'!E83*'Common input data'!AS27*'Common input data'!J46/'Common input data'!I46))*'Input data meat and eggs'!$E$409</f>
        <v>36295.471665273013</v>
      </c>
      <c r="P114" s="877">
        <v>0</v>
      </c>
      <c r="Q114" s="877">
        <v>0</v>
      </c>
      <c r="R114" s="877">
        <f>(SUM(G114+Q114))/'Input data meat and eggs'!$B$29</f>
        <v>1264107.9110326341</v>
      </c>
      <c r="S114" s="877"/>
      <c r="T114" s="886"/>
      <c r="V114" s="1230"/>
      <c r="W114" s="183"/>
      <c r="X114" s="183"/>
      <c r="Y114" s="183"/>
      <c r="Z114" s="1231"/>
      <c r="AA114" s="183"/>
      <c r="AB114" s="1230"/>
      <c r="AC114" s="183"/>
      <c r="AD114" s="183"/>
      <c r="AE114" s="183"/>
      <c r="AF114" s="1231"/>
      <c r="AG114" s="189"/>
      <c r="AH114" s="879"/>
      <c r="AI114" s="877"/>
      <c r="AJ114" s="877"/>
      <c r="AK114" s="877"/>
      <c r="AL114" s="886"/>
      <c r="AM114" s="877"/>
      <c r="AN114" s="879"/>
      <c r="AO114" s="877"/>
      <c r="AP114" s="877"/>
      <c r="AQ114" s="877"/>
      <c r="AR114" s="886"/>
      <c r="AS114" s="877"/>
      <c r="AT114" s="879"/>
      <c r="AU114" s="877"/>
      <c r="AV114" s="877"/>
      <c r="AW114" s="877"/>
      <c r="AX114" s="877"/>
      <c r="AY114" s="877"/>
      <c r="AZ114" s="886"/>
      <c r="BA114" s="877"/>
      <c r="BB114" s="879"/>
      <c r="BC114" s="877"/>
      <c r="BD114" s="877"/>
      <c r="BE114" s="877"/>
      <c r="BF114" s="886"/>
      <c r="BG114" s="877"/>
      <c r="BH114" s="879"/>
      <c r="BI114" s="877"/>
      <c r="BJ114" s="877"/>
      <c r="BK114" s="877"/>
      <c r="BL114" s="886"/>
      <c r="BM114" s="877"/>
      <c r="BN114" s="879"/>
      <c r="BO114" s="877"/>
      <c r="BP114" s="877"/>
      <c r="BQ114" s="877"/>
      <c r="BR114" s="886"/>
      <c r="BS114" s="877"/>
      <c r="BT114" s="879"/>
      <c r="BU114" s="886"/>
    </row>
    <row r="115" spans="1:73">
      <c r="A115" s="18"/>
      <c r="C115" s="64"/>
      <c r="E115" s="511" t="s">
        <v>321</v>
      </c>
      <c r="F115" s="928">
        <f>SUM(J115:M115)</f>
        <v>1318096.8991477336</v>
      </c>
      <c r="G115" s="877">
        <f>SUM(I115:M115,P115)</f>
        <v>1318096.8991477336</v>
      </c>
      <c r="H115" s="878"/>
      <c r="I115" s="877">
        <v>0</v>
      </c>
      <c r="J115" s="877">
        <v>0</v>
      </c>
      <c r="K115" s="877">
        <f>('Input data meat and eggs'!M409*'Input data meat and eggs'!G409/12*'Input data meat and eggs'!$B$463*'Input data meat and eggs'!$B$464*'Input data meat and eggs'!$B$465*
('Input data meat and eggs'!$O$409*'Input data meat and eggs'!$B$455
+'Input data meat and eggs'!$P$409*'Input data meat and eggs'!$C$455+
'Input data meat and eggs'!$Q$409*'Input data meat and eggs'!$D$455+
'Input data meat and eggs'!$R$409*'Input data meat and eggs'!$E$455))*'Input data meat and eggs'!$E$409</f>
        <v>106728.21339164836</v>
      </c>
      <c r="L115" s="877">
        <v>0</v>
      </c>
      <c r="M115" s="877">
        <f>('Input data meat and eggs'!L409*'Input data meat and eggs'!G409/12)*'Input data meat and eggs'!$E$409</f>
        <v>1211368.6857560852</v>
      </c>
      <c r="N115" s="877">
        <v>0</v>
      </c>
      <c r="O115" s="877">
        <v>0</v>
      </c>
      <c r="P115" s="877">
        <v>0</v>
      </c>
      <c r="Q115" s="877">
        <v>0</v>
      </c>
      <c r="R115" s="877">
        <f>(SUM(G115+Q115))/'Input data meat and eggs'!$B$29</f>
        <v>1896542.3009319908</v>
      </c>
      <c r="S115" s="877"/>
      <c r="T115" s="886"/>
      <c r="V115" s="1230"/>
      <c r="W115" s="183"/>
      <c r="X115" s="183"/>
      <c r="Y115" s="183"/>
      <c r="Z115" s="1231"/>
      <c r="AA115" s="183"/>
      <c r="AB115" s="1230"/>
      <c r="AC115" s="183"/>
      <c r="AD115" s="183"/>
      <c r="AE115" s="183"/>
      <c r="AF115" s="1231"/>
      <c r="AG115" s="189"/>
      <c r="AH115" s="879"/>
      <c r="AI115" s="877"/>
      <c r="AJ115" s="877"/>
      <c r="AK115" s="877"/>
      <c r="AL115" s="886"/>
      <c r="AM115" s="877"/>
      <c r="AN115" s="879"/>
      <c r="AO115" s="877"/>
      <c r="AP115" s="877"/>
      <c r="AQ115" s="877"/>
      <c r="AR115" s="886"/>
      <c r="AS115" s="877"/>
      <c r="AT115" s="879"/>
      <c r="AU115" s="877"/>
      <c r="AV115" s="877"/>
      <c r="AW115" s="877"/>
      <c r="AX115" s="877"/>
      <c r="AY115" s="877"/>
      <c r="AZ115" s="886"/>
      <c r="BA115" s="877"/>
      <c r="BB115" s="879"/>
      <c r="BC115" s="877"/>
      <c r="BD115" s="877"/>
      <c r="BE115" s="877"/>
      <c r="BF115" s="886"/>
      <c r="BG115" s="877"/>
      <c r="BH115" s="879"/>
      <c r="BI115" s="877"/>
      <c r="BJ115" s="877"/>
      <c r="BK115" s="877"/>
      <c r="BL115" s="886"/>
      <c r="BM115" s="877"/>
      <c r="BN115" s="879"/>
      <c r="BO115" s="877"/>
      <c r="BP115" s="877"/>
      <c r="BQ115" s="877"/>
      <c r="BR115" s="886"/>
      <c r="BS115" s="877"/>
      <c r="BT115" s="879"/>
      <c r="BU115" s="886"/>
    </row>
    <row r="116" spans="1:73">
      <c r="A116" s="18"/>
      <c r="C116" s="64"/>
      <c r="E116" s="511" t="s">
        <v>319</v>
      </c>
      <c r="F116" s="928">
        <f>SUM(J116:M116)</f>
        <v>0</v>
      </c>
      <c r="G116" s="877">
        <f>SUM(I116:M116,P116)</f>
        <v>2845.2999516039149</v>
      </c>
      <c r="H116" s="878"/>
      <c r="I116" s="877">
        <f>('Input data meat and eggs'!S409*'Input data meat and eggs'!C48+'Input data meat and eggs'!T409*'Input data meat and eggs'!C47+'Input data meat and eggs'!U409*'Input data meat and eggs'!C35+'Input data meat and eggs'!V409*SUMPRODUCT('Input data meat and eggs'!C37:C46,'Input data meat and eggs'!E77:E86))*'Input data meat and eggs'!$E$409</f>
        <v>2845.2999516039149</v>
      </c>
      <c r="J116" s="877">
        <v>0</v>
      </c>
      <c r="K116" s="877">
        <v>0</v>
      </c>
      <c r="L116" s="877">
        <v>0</v>
      </c>
      <c r="M116" s="877">
        <v>0</v>
      </c>
      <c r="N116" s="877">
        <v>0</v>
      </c>
      <c r="O116" s="877">
        <v>0</v>
      </c>
      <c r="P116" s="877">
        <v>0</v>
      </c>
      <c r="Q116" s="877">
        <v>0</v>
      </c>
      <c r="R116" s="877">
        <f>(SUM(G116+Q116))/'Input data meat and eggs'!$B$29</f>
        <v>4093.9567648977195</v>
      </c>
      <c r="S116" s="877"/>
      <c r="T116" s="886"/>
      <c r="V116" s="1230"/>
      <c r="W116" s="183"/>
      <c r="X116" s="183"/>
      <c r="Y116" s="183"/>
      <c r="Z116" s="1231"/>
      <c r="AA116" s="183"/>
      <c r="AB116" s="1230"/>
      <c r="AC116" s="183"/>
      <c r="AD116" s="183"/>
      <c r="AE116" s="183"/>
      <c r="AF116" s="1231"/>
      <c r="AG116" s="189"/>
      <c r="AH116" s="879"/>
      <c r="AI116" s="877"/>
      <c r="AJ116" s="877"/>
      <c r="AK116" s="877"/>
      <c r="AL116" s="886"/>
      <c r="AM116" s="877"/>
      <c r="AN116" s="879"/>
      <c r="AO116" s="877"/>
      <c r="AP116" s="877"/>
      <c r="AQ116" s="877"/>
      <c r="AR116" s="886"/>
      <c r="AS116" s="877"/>
      <c r="AT116" s="879"/>
      <c r="AU116" s="877"/>
      <c r="AV116" s="877"/>
      <c r="AW116" s="877"/>
      <c r="AX116" s="877"/>
      <c r="AY116" s="877"/>
      <c r="AZ116" s="886"/>
      <c r="BA116" s="877"/>
      <c r="BB116" s="879"/>
      <c r="BC116" s="877"/>
      <c r="BD116" s="877"/>
      <c r="BE116" s="877"/>
      <c r="BF116" s="886"/>
      <c r="BG116" s="877"/>
      <c r="BH116" s="879"/>
      <c r="BI116" s="877"/>
      <c r="BJ116" s="877"/>
      <c r="BK116" s="877"/>
      <c r="BL116" s="886"/>
      <c r="BM116" s="877"/>
      <c r="BN116" s="879"/>
      <c r="BO116" s="877"/>
      <c r="BP116" s="877"/>
      <c r="BQ116" s="877"/>
      <c r="BR116" s="886"/>
      <c r="BS116" s="877"/>
      <c r="BT116" s="879"/>
      <c r="BU116" s="886"/>
    </row>
    <row r="117" spans="1:73">
      <c r="A117" s="18"/>
      <c r="C117" s="64"/>
      <c r="E117" s="512" t="s">
        <v>320</v>
      </c>
      <c r="F117" s="928">
        <f>SUM(J117:M117)</f>
        <v>33696.038960847145</v>
      </c>
      <c r="G117" s="877">
        <f>SUM(I117:M117,P117)</f>
        <v>39370.109532208866</v>
      </c>
      <c r="H117" s="878"/>
      <c r="I117" s="877">
        <f>(('Input data meat and eggs'!S409*'Input data meat and eggs'!D48+'Input data meat and eggs'!T409*'Input data meat and eggs'!D47+'Input data meat and eggs'!U409*'Input data meat and eggs'!D35+'Input data meat and eggs'!V409*SUMPRODUCT('Input data meat and eggs'!D37:D46,'Input data meat and eggs'!E77:E86))*'Input data meat and eggs'!B70)*'Input data meat and eggs'!$E$409</f>
        <v>5674.0705713617153</v>
      </c>
      <c r="J117" s="877">
        <f>(('Input data meat and eggs'!S409*'Input data meat and eggs'!D48+'Input data meat and eggs'!T409*'Input data meat and eggs'!D47+'Input data meat and eggs'!U409*'Input data meat and eggs'!D35+'Input data meat and eggs'!V409*SUMPRODUCT('Input data meat and eggs'!D37:D46,'Input data meat and eggs'!E77:E86))*'Input data meat and eggs'!C70)*'Input data meat and eggs'!$E$409</f>
        <v>14341.763385622107</v>
      </c>
      <c r="K117" s="877">
        <f>('Input data meat and eggs'!K409*'Input data meat and eggs'!G409/12*('Input data meat and eggs'!$O$409*'Input data meat and eggs'!$B$457+'Input data meat and eggs'!$P$409*'Input data meat and eggs'!$C$457+'Input data meat and eggs'!$Q$409*'Input data meat and eggs'!$D$457+'Input data meat and eggs'!$R$409*'Input data meat and eggs'!$E$457)*44/28)*'Input data meat and eggs'!$E$409</f>
        <v>17028.226114083667</v>
      </c>
      <c r="L117" s="877">
        <f>('Input data meat and eggs'!$B$458*44/28*'Input data meat and eggs'!K409*'Input data meat and eggs'!G409/12*('Input data meat and eggs'!O409*'Input data meat and eggs'!B469+'Input data meat and eggs'!P409*'Input data meat and eggs'!C469+'Input data meat and eggs'!Q409*'Input data meat and eggs'!D469))*'Input data meat and eggs'!$E$409</f>
        <v>2326.0494611413737</v>
      </c>
      <c r="M117" s="877">
        <v>0</v>
      </c>
      <c r="N117" s="877">
        <v>0</v>
      </c>
      <c r="O117" s="877">
        <v>0</v>
      </c>
      <c r="P117" s="877">
        <v>0</v>
      </c>
      <c r="Q117" s="877">
        <v>0</v>
      </c>
      <c r="R117" s="877">
        <f>(SUM(G117+Q117))/'Input data meat and eggs'!$B$29</f>
        <v>56647.639614689018</v>
      </c>
      <c r="S117" s="877"/>
      <c r="T117" s="886"/>
      <c r="V117" s="1230"/>
      <c r="W117" s="183"/>
      <c r="X117" s="183"/>
      <c r="Y117" s="183"/>
      <c r="Z117" s="1231"/>
      <c r="AA117" s="183"/>
      <c r="AB117" s="1230"/>
      <c r="AC117" s="183"/>
      <c r="AD117" s="183"/>
      <c r="AE117" s="183"/>
      <c r="AF117" s="1231"/>
      <c r="AG117" s="189"/>
      <c r="AH117" s="879"/>
      <c r="AI117" s="877"/>
      <c r="AJ117" s="877"/>
      <c r="AK117" s="877"/>
      <c r="AL117" s="886"/>
      <c r="AM117" s="877"/>
      <c r="AN117" s="879"/>
      <c r="AO117" s="877"/>
      <c r="AP117" s="877"/>
      <c r="AQ117" s="877"/>
      <c r="AR117" s="886"/>
      <c r="AS117" s="877"/>
      <c r="AT117" s="879"/>
      <c r="AU117" s="877"/>
      <c r="AV117" s="877"/>
      <c r="AW117" s="877"/>
      <c r="AX117" s="877"/>
      <c r="AY117" s="877"/>
      <c r="AZ117" s="886"/>
      <c r="BA117" s="877"/>
      <c r="BB117" s="879"/>
      <c r="BC117" s="877"/>
      <c r="BD117" s="877"/>
      <c r="BE117" s="877"/>
      <c r="BF117" s="886"/>
      <c r="BG117" s="877"/>
      <c r="BH117" s="879"/>
      <c r="BI117" s="877"/>
      <c r="BJ117" s="877"/>
      <c r="BK117" s="877"/>
      <c r="BL117" s="886"/>
      <c r="BM117" s="877"/>
      <c r="BN117" s="879"/>
      <c r="BO117" s="877"/>
      <c r="BP117" s="877"/>
      <c r="BQ117" s="877"/>
      <c r="BR117" s="886"/>
      <c r="BS117" s="877"/>
      <c r="BT117" s="879"/>
      <c r="BU117" s="886"/>
    </row>
    <row r="118" spans="1:73">
      <c r="A118" s="94"/>
      <c r="B118" s="93" t="s">
        <v>347</v>
      </c>
      <c r="C118" s="144"/>
      <c r="E118" s="513" t="s">
        <v>316</v>
      </c>
      <c r="F118" s="930">
        <f>SUMPRODUCT($CA$7:$CA$10,F119:F122)</f>
        <v>1591694.3929402302</v>
      </c>
      <c r="G118" s="872">
        <f>SUMPRODUCT($CA$7:$CA$10,G119:G122)</f>
        <v>2851928.4359020512</v>
      </c>
      <c r="H118" s="873"/>
      <c r="I118" s="872"/>
      <c r="J118" s="872"/>
      <c r="K118" s="872"/>
      <c r="L118" s="872"/>
      <c r="M118" s="872"/>
      <c r="N118" s="884"/>
      <c r="O118" s="872"/>
      <c r="P118" s="872"/>
      <c r="Q118" s="872"/>
      <c r="R118" s="872"/>
      <c r="S118" s="884"/>
      <c r="T118" s="885"/>
      <c r="V118" s="1240">
        <f>'Input data meat and eggs'!$S410*'Input data meat and eggs'!E$48+'Input data meat and eggs'!$U410*'Input data meat and eggs'!E$35+'Input data meat and eggs'!$V410*SUMPRODUCT('Input data meat and eggs'!$E$77:$E$86,'Input data meat and eggs'!E$37:E$46)</f>
        <v>2564.3132726325653</v>
      </c>
      <c r="W118" s="211">
        <f>V118*'Input data meat and eggs'!$D410</f>
        <v>10928590.305305468</v>
      </c>
      <c r="X118" s="211"/>
      <c r="Y118" s="211"/>
      <c r="Z118" s="1242"/>
      <c r="AA118" s="189"/>
      <c r="AB118" s="1240">
        <f>'Input data meat and eggs'!$T410*'Input data meat and eggs'!F$47</f>
        <v>1034.1350387235511</v>
      </c>
      <c r="AC118" s="211">
        <f>AB118*'Input data meat and eggs'!$D410</f>
        <v>4407276.7080320306</v>
      </c>
      <c r="AD118" s="211"/>
      <c r="AE118" s="211"/>
      <c r="AF118" s="1242"/>
      <c r="AG118" s="189"/>
      <c r="AH118" s="883">
        <f>'Input data meat and eggs'!$S410*'Input data meat and eggs'!G$48+'Input data meat and eggs'!$T410*'Input data meat and eggs'!G$47+'Input data meat and eggs'!$U410*'Input data meat and eggs'!G$35+'Input data meat and eggs'!$V410*SUMPRODUCT('Input data meat and eggs'!$E$77:$E$86,'Input data meat and eggs'!G$37:G$46)</f>
        <v>56.055716290175184</v>
      </c>
      <c r="AI118" s="884">
        <f>AH118*'Input data meat and eggs'!$D410</f>
        <v>238898.2516854686</v>
      </c>
      <c r="AJ118" s="884"/>
      <c r="AK118" s="884"/>
      <c r="AL118" s="885"/>
      <c r="AM118" s="877"/>
      <c r="AN118" s="883">
        <f>'Input data meat and eggs'!$S410*'Input data meat and eggs'!H$48+'Input data meat and eggs'!$T410*'Input data meat and eggs'!H$47+'Input data meat and eggs'!$U410*'Input data meat and eggs'!H$35+'Input data meat and eggs'!$V410*SUMPRODUCT('Input data meat and eggs'!$E$77:$E$86,'Input data meat and eggs'!H$37:H$46)</f>
        <v>1.7433268568581499</v>
      </c>
      <c r="AO118" s="884">
        <f>AN118*'Input data meat and eggs'!$D410</f>
        <v>7429.7103985580634</v>
      </c>
      <c r="AP118" s="884"/>
      <c r="AQ118" s="884"/>
      <c r="AR118" s="885"/>
      <c r="AS118" s="877"/>
      <c r="AT118" s="883">
        <f>'Input data meat and eggs'!$S410*'Input data meat and eggs'!I$48+'Input data meat and eggs'!$T410*'Input data meat and eggs'!I$47+'Input data meat and eggs'!$U410*'Input data meat and eggs'!I$35+'Input data meat and eggs'!$V410*SUMPRODUCT('Input data meat and eggs'!$E$77:$E$86,'Input data meat and eggs'!I$37:I$46)</f>
        <v>1.8302875275127057</v>
      </c>
      <c r="AU118" s="884">
        <f>'Input data meat and eggs'!G410/12*((1-'Input data meat and eggs'!$R410)*'Input data meat and eggs'!$B$61+'Input data meat and eggs'!$R410*'Input data meat and eggs'!$B$62)</f>
        <v>11.080589100909439</v>
      </c>
      <c r="AV118" s="884">
        <f>SUM(AT118:AU118)</f>
        <v>12.910876628422145</v>
      </c>
      <c r="AW118" s="884">
        <f>AV118*'Input data meat and eggs'!$D410</f>
        <v>55023.574015009501</v>
      </c>
      <c r="AX118" s="884"/>
      <c r="AY118" s="884"/>
      <c r="AZ118" s="885"/>
      <c r="BA118" s="877"/>
      <c r="BB118" s="883">
        <f>'Input data meat and eggs'!$S410*'Input data meat and eggs'!J$48+'Input data meat and eggs'!$T410*'Input data meat and eggs'!J$47+'Input data meat and eggs'!$U410*'Input data meat and eggs'!J$35+'Input data meat and eggs'!$V410*SUMPRODUCT('Input data meat and eggs'!$E$77:$E$86,'Input data meat and eggs'!J$37:J$46)</f>
        <v>6.1466193612726443E-8</v>
      </c>
      <c r="BC118" s="884">
        <f>BB118*'Input data meat and eggs'!$D410</f>
        <v>2.6195662393871757E-4</v>
      </c>
      <c r="BD118" s="884"/>
      <c r="BE118" s="884"/>
      <c r="BF118" s="885"/>
      <c r="BG118" s="877"/>
      <c r="BH118" s="883">
        <f>'Input data meat and eggs'!$S410*'Input data meat and eggs'!P$48+'Input data meat and eggs'!$T410*'Input data meat and eggs'!P$47+'Input data meat and eggs'!$U410*'Input data meat and eggs'!P$35+'Input data meat and eggs'!$V410*SUMPRODUCT('Input data meat and eggs'!$E$77:$E$86,'Input data meat and eggs'!P$37:P$46)</f>
        <v>0.12039696342876612</v>
      </c>
      <c r="BI118" s="884">
        <f>BH118*'Input data meat and eggs'!$D410</f>
        <v>513.1077787407155</v>
      </c>
      <c r="BJ118" s="884"/>
      <c r="BK118" s="884"/>
      <c r="BL118" s="885"/>
      <c r="BM118" s="877"/>
      <c r="BN118" s="883">
        <f>'Input data meat and eggs'!$S410*'Input data meat and eggs'!W$48+'Input data meat and eggs'!$T410*'Input data meat and eggs'!W$47+'Input data meat and eggs'!$U410*'Input data meat and eggs'!W$35+'Input data meat and eggs'!$V410*SUMPRODUCT('Input data meat and eggs'!$E$77:$E$86,'Input data meat and eggs'!W$37:W$46)</f>
        <v>3.8517542451839364</v>
      </c>
      <c r="BO118" s="884">
        <f>BN118*'Input data meat and eggs'!$D410</f>
        <v>16415.4062421249</v>
      </c>
      <c r="BP118" s="884"/>
      <c r="BQ118" s="884"/>
      <c r="BR118" s="885"/>
      <c r="BS118" s="877"/>
      <c r="BT118" s="879"/>
      <c r="BU118" s="886"/>
    </row>
    <row r="119" spans="1:73">
      <c r="A119" s="18"/>
      <c r="C119" s="64"/>
      <c r="E119" s="511" t="s">
        <v>317</v>
      </c>
      <c r="F119" s="928">
        <f>IF(AND($G$2="No",$G$3="No"),SUM(J119:M119),IF(AND($G$2="Yes", $G$3="No"), SUM(J119:M119)+O119, IF(AND($G$2="No", $G$3="Yes"),SUM(J119:M119)+N119, SUM(J119:M119)+O119+N119)))</f>
        <v>-58606.465728932919</v>
      </c>
      <c r="G119" s="877">
        <f>IF(AND($G$2="No",$G$3="No"),SUM(I119:M119,P119),IF(AND($G$2="Yes", $G$3="No"), SUM(I119:M119,P119)+O119, IF(AND($G$2="No", $G$3="Yes"),SUM(I119:M119,P119)+N119, SUM(I119:M119,P119)+O119+N119)))</f>
        <v>952356.91889813216</v>
      </c>
      <c r="H119" s="878"/>
      <c r="I119" s="877">
        <f>('Input data meat and eggs'!S410*'Input data meat and eggs'!B48+'Input data meat and eggs'!T410*'Input data meat and eggs'!B47+'Input data meat and eggs'!U410*'Input data meat and eggs'!B35+'Input data meat and eggs'!V410*SUMPRODUCT('Input data meat and eggs'!B37:B46,'Input data meat and eggs'!E77:E86))*'Input data meat and eggs'!$E$410</f>
        <v>1010963.384627065</v>
      </c>
      <c r="J119" s="877">
        <v>0</v>
      </c>
      <c r="K119" s="877">
        <v>0</v>
      </c>
      <c r="L119" s="877">
        <v>0</v>
      </c>
      <c r="M119" s="877">
        <v>0</v>
      </c>
      <c r="N119" s="877">
        <f>(('Input data meat and eggs'!S410+'Input data meat and eggs'!T410)*'Common input data'!F19+
'Input data meat and eggs'!U410*'Common input data'!B19+'Input data meat and eggs'!V410*('Input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eggs'!$E$410</f>
        <v>-155556.66387563336</v>
      </c>
      <c r="O119" s="877">
        <f>('Input data meat and eggs'!V410*('Input data meat and eggs'!E79*'Common input data'!AR27*'Common input data'!G44/'Common input data'!F44+'Input data meat and eggs'!E83*'Common input data'!AS27*'Common input data'!J46/'Common input data'!I46))*'Input data meat and eggs'!$E$410</f>
        <v>96950.198146700437</v>
      </c>
      <c r="P119" s="877">
        <v>0</v>
      </c>
      <c r="Q119" s="877">
        <v>0</v>
      </c>
      <c r="R119" s="877">
        <f>(SUM(G119+Q119))/'Input data meat and eggs'!$B$29</f>
        <v>1370297.7250332837</v>
      </c>
      <c r="S119" s="877"/>
      <c r="T119" s="886"/>
      <c r="V119" s="1230"/>
      <c r="W119" s="183"/>
      <c r="X119" s="183"/>
      <c r="Y119" s="183"/>
      <c r="Z119" s="1231"/>
      <c r="AA119" s="183"/>
      <c r="AB119" s="1230"/>
      <c r="AC119" s="183"/>
      <c r="AD119" s="183"/>
      <c r="AE119" s="183"/>
      <c r="AF119" s="1231"/>
      <c r="AG119" s="189"/>
      <c r="AH119" s="879"/>
      <c r="AI119" s="877"/>
      <c r="AJ119" s="877"/>
      <c r="AK119" s="877"/>
      <c r="AL119" s="886"/>
      <c r="AM119" s="877"/>
      <c r="AN119" s="879"/>
      <c r="AO119" s="877"/>
      <c r="AP119" s="877"/>
      <c r="AQ119" s="877"/>
      <c r="AR119" s="886"/>
      <c r="AS119" s="877"/>
      <c r="AT119" s="879"/>
      <c r="AU119" s="877"/>
      <c r="AV119" s="877"/>
      <c r="AW119" s="877"/>
      <c r="AX119" s="877"/>
      <c r="AY119" s="877"/>
      <c r="AZ119" s="886"/>
      <c r="BA119" s="877"/>
      <c r="BB119" s="879"/>
      <c r="BC119" s="877"/>
      <c r="BD119" s="877"/>
      <c r="BE119" s="877"/>
      <c r="BF119" s="886"/>
      <c r="BG119" s="877"/>
      <c r="BH119" s="879"/>
      <c r="BI119" s="877"/>
      <c r="BJ119" s="877"/>
      <c r="BK119" s="877"/>
      <c r="BL119" s="886"/>
      <c r="BM119" s="877"/>
      <c r="BN119" s="879"/>
      <c r="BO119" s="877"/>
      <c r="BP119" s="877"/>
      <c r="BQ119" s="877"/>
      <c r="BR119" s="886"/>
      <c r="BS119" s="877"/>
      <c r="BT119" s="879"/>
      <c r="BU119" s="886"/>
    </row>
    <row r="120" spans="1:73">
      <c r="A120" s="18"/>
      <c r="C120" s="64"/>
      <c r="E120" s="511" t="s">
        <v>321</v>
      </c>
      <c r="F120" s="928">
        <f>SUM(J120:M120)</f>
        <v>106043.81105919137</v>
      </c>
      <c r="G120" s="877">
        <f>SUM(I120:M120,P120)</f>
        <v>106043.81105919137</v>
      </c>
      <c r="H120" s="878"/>
      <c r="I120" s="877">
        <v>0</v>
      </c>
      <c r="J120" s="877">
        <v>0</v>
      </c>
      <c r="K120" s="877">
        <f>('Input data meat and eggs'!M410*'Input data meat and eggs'!G410/12*'Input data meat and eggs'!$B$463*'Input data meat and eggs'!$B$464*'Input data meat and eggs'!$B$465*
('Input data meat and eggs'!$O$410*'Input data meat and eggs'!$B$455
+'Input data meat and eggs'!$P$410*'Input data meat and eggs'!$C$455+
'Input data meat and eggs'!$Q$410*'Input data meat and eggs'!$D$455+
'Input data meat and eggs'!$R$410*'Input data meat and eggs'!$E$455))*'Input data meat and eggs'!$E$410</f>
        <v>7355.7288586309096</v>
      </c>
      <c r="L120" s="877">
        <v>0</v>
      </c>
      <c r="M120" s="877">
        <f>('Input data meat and eggs'!L410*'Input data meat and eggs'!G410/12)*'Input data meat and eggs'!$E$410</f>
        <v>98688.082200560457</v>
      </c>
      <c r="N120" s="877">
        <v>0</v>
      </c>
      <c r="O120" s="877">
        <v>0</v>
      </c>
      <c r="P120" s="877">
        <v>0</v>
      </c>
      <c r="Q120" s="877">
        <v>0</v>
      </c>
      <c r="R120" s="877">
        <f>(SUM(G120+Q120))/'Input data meat and eggs'!$B$29</f>
        <v>152581.02310675019</v>
      </c>
      <c r="S120" s="877"/>
      <c r="T120" s="886"/>
      <c r="V120" s="1230"/>
      <c r="W120" s="183"/>
      <c r="X120" s="183"/>
      <c r="Y120" s="183"/>
      <c r="Z120" s="1231"/>
      <c r="AA120" s="183"/>
      <c r="AB120" s="1230"/>
      <c r="AC120" s="183"/>
      <c r="AD120" s="183"/>
      <c r="AE120" s="183"/>
      <c r="AF120" s="1231"/>
      <c r="AG120" s="189"/>
      <c r="AH120" s="879"/>
      <c r="AI120" s="877"/>
      <c r="AJ120" s="877"/>
      <c r="AK120" s="877"/>
      <c r="AL120" s="886"/>
      <c r="AM120" s="877"/>
      <c r="AN120" s="879"/>
      <c r="AO120" s="877"/>
      <c r="AP120" s="877"/>
      <c r="AQ120" s="877"/>
      <c r="AR120" s="886"/>
      <c r="AS120" s="877"/>
      <c r="AT120" s="879"/>
      <c r="AU120" s="877"/>
      <c r="AV120" s="877"/>
      <c r="AW120" s="877"/>
      <c r="AX120" s="877"/>
      <c r="AY120" s="877"/>
      <c r="AZ120" s="886"/>
      <c r="BA120" s="877"/>
      <c r="BB120" s="879"/>
      <c r="BC120" s="877"/>
      <c r="BD120" s="877"/>
      <c r="BE120" s="877"/>
      <c r="BF120" s="886"/>
      <c r="BG120" s="877"/>
      <c r="BH120" s="879"/>
      <c r="BI120" s="877"/>
      <c r="BJ120" s="877"/>
      <c r="BK120" s="877"/>
      <c r="BL120" s="886"/>
      <c r="BM120" s="877"/>
      <c r="BN120" s="879"/>
      <c r="BO120" s="877"/>
      <c r="BP120" s="877"/>
      <c r="BQ120" s="877"/>
      <c r="BR120" s="886"/>
      <c r="BS120" s="877"/>
      <c r="BT120" s="879"/>
      <c r="BU120" s="886"/>
    </row>
    <row r="121" spans="1:73">
      <c r="A121" s="18"/>
      <c r="C121" s="64"/>
      <c r="E121" s="511" t="s">
        <v>319</v>
      </c>
      <c r="F121" s="928">
        <f>SUM(J121:M121)</f>
        <v>0</v>
      </c>
      <c r="G121" s="877">
        <f>SUM(I121:M121,P121)</f>
        <v>1204.4502979328331</v>
      </c>
      <c r="H121" s="878"/>
      <c r="I121" s="877">
        <f>('Input data meat and eggs'!S410*'Input data meat and eggs'!C48+'Input data meat and eggs'!T410*'Input data meat and eggs'!C47+'Input data meat and eggs'!U410*'Input data meat and eggs'!C35+'Input data meat and eggs'!V410*SUMPRODUCT('Input data meat and eggs'!C37:C46,'Input data meat and eggs'!E77:E86))*'Input data meat and eggs'!$E$410</f>
        <v>1204.4502979328331</v>
      </c>
      <c r="J121" s="877">
        <v>0</v>
      </c>
      <c r="K121" s="877">
        <v>0</v>
      </c>
      <c r="L121" s="877">
        <v>0</v>
      </c>
      <c r="M121" s="877">
        <v>0</v>
      </c>
      <c r="N121" s="877">
        <v>0</v>
      </c>
      <c r="O121" s="877">
        <v>0</v>
      </c>
      <c r="P121" s="877">
        <v>0</v>
      </c>
      <c r="Q121" s="877">
        <v>0</v>
      </c>
      <c r="R121" s="877">
        <f>(SUM(G121+Q121))/'Input data meat and eggs'!$B$29</f>
        <v>1733.0220114141484</v>
      </c>
      <c r="S121" s="877"/>
      <c r="T121" s="886"/>
      <c r="V121" s="1230"/>
      <c r="W121" s="183"/>
      <c r="X121" s="183"/>
      <c r="Y121" s="183"/>
      <c r="Z121" s="1231"/>
      <c r="AA121" s="183"/>
      <c r="AB121" s="1230"/>
      <c r="AC121" s="183"/>
      <c r="AD121" s="183"/>
      <c r="AE121" s="183"/>
      <c r="AF121" s="1231"/>
      <c r="AG121" s="189"/>
      <c r="AH121" s="879"/>
      <c r="AI121" s="877"/>
      <c r="AJ121" s="877"/>
      <c r="AK121" s="877"/>
      <c r="AL121" s="886"/>
      <c r="AM121" s="877"/>
      <c r="AN121" s="879"/>
      <c r="AO121" s="877"/>
      <c r="AP121" s="877"/>
      <c r="AQ121" s="877"/>
      <c r="AR121" s="886"/>
      <c r="AS121" s="877"/>
      <c r="AT121" s="879"/>
      <c r="AU121" s="877"/>
      <c r="AV121" s="877"/>
      <c r="AW121" s="877"/>
      <c r="AX121" s="877"/>
      <c r="AY121" s="877"/>
      <c r="AZ121" s="886"/>
      <c r="BA121" s="877"/>
      <c r="BB121" s="879"/>
      <c r="BC121" s="877"/>
      <c r="BD121" s="877"/>
      <c r="BE121" s="877"/>
      <c r="BF121" s="886"/>
      <c r="BG121" s="877"/>
      <c r="BH121" s="879"/>
      <c r="BI121" s="877"/>
      <c r="BJ121" s="877"/>
      <c r="BK121" s="877"/>
      <c r="BL121" s="886"/>
      <c r="BM121" s="877"/>
      <c r="BN121" s="879"/>
      <c r="BO121" s="877"/>
      <c r="BP121" s="877"/>
      <c r="BQ121" s="877"/>
      <c r="BR121" s="886"/>
      <c r="BS121" s="877"/>
      <c r="BT121" s="879"/>
      <c r="BU121" s="886"/>
    </row>
    <row r="122" spans="1:73">
      <c r="A122" s="28"/>
      <c r="C122" s="64"/>
      <c r="E122" s="512" t="s">
        <v>320</v>
      </c>
      <c r="F122" s="928">
        <f>SUM(J122:M122)</f>
        <v>4943.75513601272</v>
      </c>
      <c r="G122" s="877">
        <f>SUM(I122:M122,P122)</f>
        <v>5989.29050912204</v>
      </c>
      <c r="H122" s="878"/>
      <c r="I122" s="877">
        <f>(('Input data meat and eggs'!S410*'Input data meat and eggs'!D48+'Input data meat and eggs'!T410*'Input data meat and eggs'!D47+'Input data meat and eggs'!U410*'Input data meat and eggs'!D35+'Input data meat and eggs'!V410*SUMPRODUCT('Input data meat and eggs'!D37:D46,'Input data meat and eggs'!E77:E86))*'Input data meat and eggs'!B70)*'Input data meat and eggs'!$E$410</f>
        <v>1045.5353731093207</v>
      </c>
      <c r="J122" s="877">
        <f>(('Input data meat and eggs'!S410*'Input data meat and eggs'!D48+'Input data meat and eggs'!T410*'Input data meat and eggs'!D47+'Input data meat and eggs'!U410*'Input data meat and eggs'!D35+'Input data meat and eggs'!V410*SUMPRODUCT('Input data meat and eggs'!D37:D46,'Input data meat and eggs'!E77:E86))*'Input data meat and eggs'!C70)*'Input data meat and eggs'!$E$410</f>
        <v>2642.6920045926418</v>
      </c>
      <c r="K122" s="877">
        <f>('Input data meat and eggs'!K410*'Input data meat and eggs'!G410/12*('Input data meat and eggs'!$O$410*'Input data meat and eggs'!$B$457+'Input data meat and eggs'!$P$410*'Input data meat and eggs'!$C$457+'Input data meat and eggs'!$Q$410*'Input data meat and eggs'!$D$457+'Input data meat and eggs'!$R$410*'Input data meat and eggs'!$E$457)*44/28)*'Input data meat and eggs'!$E$410</f>
        <v>2031.3864092501567</v>
      </c>
      <c r="L122" s="877">
        <f>('Input data meat and eggs'!$B$458*44/28*'Input data meat and eggs'!K410*'Input data meat and eggs'!G410/12*('Input data meat and eggs'!O410*'Input data meat and eggs'!B469+'Input data meat and eggs'!P410*'Input data meat and eggs'!C469+'Input data meat and eggs'!Q410*'Input data meat and eggs'!D469))*'Input data meat and eggs'!$E$410</f>
        <v>269.67672216992116</v>
      </c>
      <c r="M122" s="877">
        <v>0</v>
      </c>
      <c r="N122" s="877">
        <v>0</v>
      </c>
      <c r="O122" s="877">
        <v>0</v>
      </c>
      <c r="P122" s="877">
        <v>0</v>
      </c>
      <c r="Q122" s="877">
        <v>0</v>
      </c>
      <c r="R122" s="877">
        <f>(SUM(G122+Q122))/'Input data meat and eggs'!$B$29</f>
        <v>8617.6841857871077</v>
      </c>
      <c r="S122" s="877"/>
      <c r="T122" s="886"/>
      <c r="V122" s="1230"/>
      <c r="W122" s="183"/>
      <c r="X122" s="183"/>
      <c r="Y122" s="183"/>
      <c r="Z122" s="1231"/>
      <c r="AA122" s="183"/>
      <c r="AB122" s="1230"/>
      <c r="AC122" s="183"/>
      <c r="AD122" s="183"/>
      <c r="AE122" s="183"/>
      <c r="AF122" s="1231"/>
      <c r="AG122" s="189"/>
      <c r="AH122" s="879"/>
      <c r="AI122" s="877"/>
      <c r="AJ122" s="877"/>
      <c r="AK122" s="877"/>
      <c r="AL122" s="886"/>
      <c r="AM122" s="877"/>
      <c r="AN122" s="879"/>
      <c r="AO122" s="877"/>
      <c r="AP122" s="877"/>
      <c r="AQ122" s="877"/>
      <c r="AR122" s="886"/>
      <c r="AS122" s="877"/>
      <c r="AT122" s="879"/>
      <c r="AU122" s="877"/>
      <c r="AV122" s="877"/>
      <c r="AW122" s="877"/>
      <c r="AX122" s="877"/>
      <c r="AY122" s="877"/>
      <c r="AZ122" s="886"/>
      <c r="BA122" s="877"/>
      <c r="BB122" s="879"/>
      <c r="BC122" s="877"/>
      <c r="BD122" s="877"/>
      <c r="BE122" s="877"/>
      <c r="BF122" s="886"/>
      <c r="BG122" s="877"/>
      <c r="BH122" s="879"/>
      <c r="BI122" s="877"/>
      <c r="BJ122" s="877"/>
      <c r="BK122" s="877"/>
      <c r="BL122" s="886"/>
      <c r="BM122" s="877"/>
      <c r="BN122" s="879"/>
      <c r="BO122" s="877"/>
      <c r="BP122" s="877"/>
      <c r="BQ122" s="877"/>
      <c r="BR122" s="886"/>
      <c r="BS122" s="877"/>
      <c r="BT122" s="879"/>
      <c r="BU122" s="886"/>
    </row>
    <row r="123" spans="1:73">
      <c r="A123" s="94"/>
      <c r="B123" s="75" t="s">
        <v>202</v>
      </c>
      <c r="C123" s="904"/>
      <c r="D123" s="17"/>
      <c r="E123" s="513" t="s">
        <v>316</v>
      </c>
      <c r="F123" s="930">
        <f>SUMPRODUCT($CA$7:$CA$10,F124:F127)</f>
        <v>2082.038152745768</v>
      </c>
      <c r="G123" s="872">
        <f>SUMPRODUCT($CA$7:$CA$10,G124:G127)</f>
        <v>3981.8884058134367</v>
      </c>
      <c r="H123" s="873"/>
      <c r="I123" s="884"/>
      <c r="J123" s="884"/>
      <c r="K123" s="884"/>
      <c r="L123" s="884"/>
      <c r="M123" s="884"/>
      <c r="N123" s="1178"/>
      <c r="O123" s="884"/>
      <c r="P123" s="884"/>
      <c r="Q123" s="884"/>
      <c r="R123" s="884"/>
      <c r="S123" s="884"/>
      <c r="T123" s="885"/>
      <c r="V123" s="1240">
        <f>'Input data meat and eggs'!$S413*'Input data meat and eggs'!E$48+'Input data meat and eggs'!$U413*'Input data meat and eggs'!E$35+'Input data meat and eggs'!$V413*SUMPRODUCT('Input data meat and eggs'!$F$77:$F$86,'Input data meat and eggs'!E$37:E$46)</f>
        <v>14217.835608460924</v>
      </c>
      <c r="W123" s="211">
        <f>V123*'Input data meat and eggs'!$C413</f>
        <v>4963541647.4516697</v>
      </c>
      <c r="X123" s="211"/>
      <c r="Y123" s="211"/>
      <c r="Z123" s="1242"/>
      <c r="AA123" s="189"/>
      <c r="AB123" s="1240">
        <f>'Input data meat and eggs'!$T413*'Input data meat and eggs'!F$47</f>
        <v>9602.6825024329737</v>
      </c>
      <c r="AC123" s="211">
        <f>AB123*'Input data meat and eggs'!$C413</f>
        <v>3352360784.0645885</v>
      </c>
      <c r="AD123" s="211"/>
      <c r="AE123" s="211"/>
      <c r="AF123" s="1242"/>
      <c r="AG123" s="189"/>
      <c r="AH123" s="883">
        <f>'Input data meat and eggs'!$S413*'Input data meat and eggs'!G$48+'Input data meat and eggs'!$T413*'Input data meat and eggs'!G$47+'Input data meat and eggs'!$U413*'Input data meat and eggs'!G$35+'Input data meat and eggs'!$V413*SUMPRODUCT('Input data meat and eggs'!$F$77:$F$86,'Input data meat and eggs'!G$37:G$46)</f>
        <v>303.54166325478087</v>
      </c>
      <c r="AI123" s="884">
        <f>AH123*'Input data meat and eggs'!$C413</f>
        <v>105968427.88119341</v>
      </c>
      <c r="AJ123" s="884"/>
      <c r="AK123" s="884"/>
      <c r="AL123" s="885"/>
      <c r="AM123" s="877"/>
      <c r="AN123" s="883">
        <f>'Input data meat and eggs'!$S413*'Input data meat and eggs'!H$48+'Input data meat and eggs'!$T413*'Input data meat and eggs'!H$47+'Input data meat and eggs'!$U413*'Input data meat and eggs'!H$35+'Input data meat and eggs'!$V413*SUMPRODUCT('Input data meat and eggs'!$F$77:$F$86,'Input data meat and eggs'!H$37:H$46)</f>
        <v>11.832914046013359</v>
      </c>
      <c r="AO123" s="884">
        <f>AN123*'Input data meat and eggs'!$C413</f>
        <v>4130949.5548782055</v>
      </c>
      <c r="AP123" s="884"/>
      <c r="AQ123" s="884"/>
      <c r="AR123" s="885"/>
      <c r="AS123" s="877"/>
      <c r="AT123" s="883">
        <f>'Input data meat and eggs'!$S413*'Input data meat and eggs'!I$48+'Input data meat and eggs'!$T413*'Input data meat and eggs'!I$47+'Input data meat and eggs'!$U413*'Input data meat and eggs'!I$35+'Input data meat and eggs'!$V413*SUMPRODUCT('Input data meat and eggs'!$F$77:$F$86,'Input data meat and eggs'!I$37:I$46)</f>
        <v>14.819542767342179</v>
      </c>
      <c r="AU123" s="884">
        <f>'Input data meat and eggs'!G413/12*((1-'Input data meat and eggs'!$R413)*'Input data meat and eggs'!$B$61+'Input data meat and eggs'!$R413*'Input data meat and eggs'!$B$62)</f>
        <v>13.812329999999998</v>
      </c>
      <c r="AV123" s="884">
        <f>SUM(AT123:AU123)</f>
        <v>28.631872767342177</v>
      </c>
      <c r="AW123" s="884">
        <f>AV123*'Input data meat and eggs'!$C413</f>
        <v>9995578.5703886151</v>
      </c>
      <c r="AX123" s="884"/>
      <c r="AY123" s="884"/>
      <c r="AZ123" s="885"/>
      <c r="BA123" s="877"/>
      <c r="BB123" s="883">
        <f>'Input data meat and eggs'!$S413*'Input data meat and eggs'!J$48+'Input data meat and eggs'!$T413*'Input data meat and eggs'!J$47+'Input data meat and eggs'!$U413*'Input data meat and eggs'!J$35+'Input data meat and eggs'!$V413*SUMPRODUCT('Input data meat and eggs'!$F$77:$F$86,'Input data meat and eggs'!J$37:J$46)</f>
        <v>4.4149869979249945E-7</v>
      </c>
      <c r="BC123" s="884">
        <f>BB123*'Input data meat and eggs'!$C413</f>
        <v>0.15413015342586669</v>
      </c>
      <c r="BD123" s="884"/>
      <c r="BE123" s="884"/>
      <c r="BF123" s="885"/>
      <c r="BG123" s="877"/>
      <c r="BH123" s="883">
        <f>'Input data meat and eggs'!$S413*'Input data meat and eggs'!P$48+'Input data meat and eggs'!$T413*'Input data meat and eggs'!P$47+'Input data meat and eggs'!$U413*'Input data meat and eggs'!P$35+'Input data meat and eggs'!$V413*SUMPRODUCT('Input data meat and eggs'!$F$77:$F$86,'Input data meat and eggs'!P$37:P$46)</f>
        <v>0.76757409669050136</v>
      </c>
      <c r="BI123" s="884">
        <f>BH123*'Input data meat and eggs'!$C413</f>
        <v>267965.25866153388</v>
      </c>
      <c r="BJ123" s="884"/>
      <c r="BK123" s="884"/>
      <c r="BL123" s="885"/>
      <c r="BM123" s="877"/>
      <c r="BN123" s="883">
        <f>'Input data meat and eggs'!$S413*'Input data meat and eggs'!W$48+'Input data meat and eggs'!$T413*'Input data meat and eggs'!W$47+'Input data meat and eggs'!$U413*'Input data meat and eggs'!W$35+'Input data meat and eggs'!$V413*SUMPRODUCT('Input data meat and eggs'!$F$77:$F$86,'Input data meat and eggs'!W$37:W$46)</f>
        <v>19.920539438566117</v>
      </c>
      <c r="BO123" s="884">
        <f>BN123*'Input data meat and eggs'!$C413</f>
        <v>6954393.7534476649</v>
      </c>
      <c r="BP123" s="884"/>
      <c r="BQ123" s="884"/>
      <c r="BR123" s="885"/>
      <c r="BS123" s="877"/>
      <c r="BT123" s="879"/>
      <c r="BU123" s="886"/>
    </row>
    <row r="124" spans="1:73">
      <c r="A124" s="28"/>
      <c r="C124" s="64"/>
      <c r="E124" s="511" t="s">
        <v>317</v>
      </c>
      <c r="F124" s="928">
        <f>IF(AND($G$2="No",$G$3="No"),SUM(J124:M124),IF(AND($G$2="Yes", $G$3="No"), SUM(J124:M124)+O124, IF(AND($G$2="No", $G$3="Yes"),SUM(J124:M124)+N124, SUM(J124:M124)+O124+N124)))</f>
        <v>68.3117282790312</v>
      </c>
      <c r="G124" s="877">
        <f>IF(AND($G$2="No",$G$3="No"),SUM(I124:M124,P124),IF(AND($G$2="Yes", $G$3="No"), SUM(I124:M124,P124)+O124, IF(AND($G$2="No", $G$3="Yes"),SUM(I124:M124,P124)+N124, SUM(I124:M124,P124)+O124+N124)))</f>
        <v>1618.2952789763117</v>
      </c>
      <c r="H124" s="878"/>
      <c r="I124" s="877">
        <f>'Input data meat and eggs'!S413*'Input data meat and eggs'!B48+'Input data meat and eggs'!T413*'Input data meat and eggs'!B47+'Input data meat and eggs'!U413*'Input data meat and eggs'!B35+'Input data meat and eggs'!V413*SUMPRODUCT('Input data meat and eggs'!B37:B46,'Input data meat and eggs'!F77:F86)</f>
        <v>1465.2245106972805</v>
      </c>
      <c r="J124" s="877">
        <v>0</v>
      </c>
      <c r="K124" s="877">
        <v>0</v>
      </c>
      <c r="L124" s="877">
        <v>0</v>
      </c>
      <c r="M124" s="877">
        <v>0</v>
      </c>
      <c r="N124" s="877">
        <f>('Input data meat and eggs'!S413+'Input data meat and eggs'!T413)*'Common input data'!F19+
'Input data meat and eggs'!U413*'Common input data'!B19+'Input data meat and eggs'!V413*('Input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f>
        <v>-111.55924091175018</v>
      </c>
      <c r="O124" s="877">
        <f>'Input data meat and eggs'!V413*('Input data meat and eggs'!F79*'Common input data'!AR27*'Common input data'!G44/'Common input data'!F44+'Input data meat and eggs'!F83*'Common input data'!AS27*'Common input data'!J46/'Common input data'!I46)</f>
        <v>179.87096919078138</v>
      </c>
      <c r="P124" s="877">
        <f>'Input data meat and eggs'!B94*'Common input data'!B80</f>
        <v>84.759040000000013</v>
      </c>
      <c r="Q124" s="877">
        <f>('Input data meat and eggs'!B104*'Common input data'!B80+'Input data meat and eggs'!C104*3.6*'Common input data'!B66)*'Input data meat and eggs'!$F$413</f>
        <v>109.77624950943395</v>
      </c>
      <c r="R124" s="877"/>
      <c r="S124" s="877"/>
      <c r="T124" s="886"/>
      <c r="U124" s="55"/>
      <c r="V124" s="1230"/>
      <c r="W124" s="183"/>
      <c r="X124" s="183"/>
      <c r="Y124" s="183"/>
      <c r="Z124" s="1231"/>
      <c r="AA124" s="183"/>
      <c r="AB124" s="1230"/>
      <c r="AC124" s="183"/>
      <c r="AD124" s="183"/>
      <c r="AE124" s="183"/>
      <c r="AF124" s="1231"/>
      <c r="AG124" s="189"/>
      <c r="AH124" s="879"/>
      <c r="AI124" s="877"/>
      <c r="AJ124" s="877"/>
      <c r="AK124" s="877"/>
      <c r="AL124" s="886"/>
      <c r="AM124" s="877"/>
      <c r="AN124" s="879"/>
      <c r="AO124" s="877"/>
      <c r="AP124" s="877"/>
      <c r="AQ124" s="877"/>
      <c r="AR124" s="886"/>
      <c r="AS124" s="877"/>
      <c r="AT124" s="879"/>
      <c r="AU124" s="877"/>
      <c r="AV124" s="877"/>
      <c r="AW124" s="877"/>
      <c r="AX124" s="877"/>
      <c r="AY124" s="877"/>
      <c r="AZ124" s="886"/>
      <c r="BA124" s="877"/>
      <c r="BB124" s="879"/>
      <c r="BC124" s="877"/>
      <c r="BD124" s="877"/>
      <c r="BE124" s="877"/>
      <c r="BF124" s="886"/>
      <c r="BG124" s="877"/>
      <c r="BH124" s="879"/>
      <c r="BI124" s="877"/>
      <c r="BJ124" s="877"/>
      <c r="BK124" s="877"/>
      <c r="BL124" s="886"/>
      <c r="BM124" s="877"/>
      <c r="BN124" s="879"/>
      <c r="BO124" s="877"/>
      <c r="BP124" s="877"/>
      <c r="BQ124" s="877"/>
      <c r="BR124" s="886"/>
      <c r="BS124" s="877"/>
      <c r="BT124" s="879"/>
      <c r="BU124" s="886"/>
    </row>
    <row r="125" spans="1:73">
      <c r="A125" s="18"/>
      <c r="C125" s="58"/>
      <c r="D125" s="55"/>
      <c r="E125" s="511" t="s">
        <v>321</v>
      </c>
      <c r="F125" s="928">
        <f>SUM(J125:M125)</f>
        <v>147.39527747989121</v>
      </c>
      <c r="G125" s="877">
        <f>SUM(I125:M125,P125)</f>
        <v>147.39527747989121</v>
      </c>
      <c r="H125" s="878"/>
      <c r="I125" s="877">
        <v>0</v>
      </c>
      <c r="J125" s="877">
        <v>0</v>
      </c>
      <c r="K125" s="877">
        <f>'Input data meat and eggs'!M413*'Input data meat and eggs'!G413/12*'Input data meat and eggs'!$B$462*'Input data meat and eggs'!$B$464*'Input data meat and eggs'!$B$465*
('Input data meat and eggs'!$O$413*'Input data meat and eggs'!$B$455
+'Input data meat and eggs'!$P$413*'Input data meat and eggs'!$C$455+
'Input data meat and eggs'!$Q$413*'Input data meat and eggs'!$D$455+
'Input data meat and eggs'!$R$413*'Input data meat and eggs'!$E$455)</f>
        <v>8.3952774798912024</v>
      </c>
      <c r="L125" s="877">
        <v>0</v>
      </c>
      <c r="M125" s="67">
        <f>'Input data meat and eggs'!L413*'Input data meat and eggs'!G413/12</f>
        <v>139</v>
      </c>
      <c r="N125" s="877">
        <v>0</v>
      </c>
      <c r="O125" s="877">
        <v>0</v>
      </c>
      <c r="P125" s="877">
        <v>0</v>
      </c>
      <c r="Q125" s="877">
        <v>0</v>
      </c>
      <c r="R125" s="877"/>
      <c r="S125" s="877"/>
      <c r="T125" s="886"/>
      <c r="U125" s="55"/>
      <c r="V125" s="1230"/>
      <c r="W125" s="183"/>
      <c r="X125" s="183"/>
      <c r="Y125" s="183"/>
      <c r="Z125" s="1231"/>
      <c r="AA125" s="183"/>
      <c r="AB125" s="1230"/>
      <c r="AC125" s="183"/>
      <c r="AD125" s="183"/>
      <c r="AE125" s="183"/>
      <c r="AF125" s="1231"/>
      <c r="AG125" s="189"/>
      <c r="AH125" s="879"/>
      <c r="AI125" s="877"/>
      <c r="AJ125" s="877"/>
      <c r="AK125" s="877"/>
      <c r="AL125" s="886"/>
      <c r="AM125" s="877"/>
      <c r="AN125" s="879"/>
      <c r="AO125" s="877"/>
      <c r="AP125" s="877"/>
      <c r="AQ125" s="877"/>
      <c r="AR125" s="886"/>
      <c r="AS125" s="877"/>
      <c r="AT125" s="879"/>
      <c r="AU125" s="877"/>
      <c r="AV125" s="877"/>
      <c r="AW125" s="877"/>
      <c r="AX125" s="877"/>
      <c r="AY125" s="877"/>
      <c r="AZ125" s="886"/>
      <c r="BA125" s="877"/>
      <c r="BB125" s="879"/>
      <c r="BC125" s="877"/>
      <c r="BD125" s="877"/>
      <c r="BE125" s="877"/>
      <c r="BF125" s="886"/>
      <c r="BG125" s="877"/>
      <c r="BH125" s="879"/>
      <c r="BI125" s="877"/>
      <c r="BJ125" s="877"/>
      <c r="BK125" s="877"/>
      <c r="BL125" s="886"/>
      <c r="BM125" s="877"/>
      <c r="BN125" s="879"/>
      <c r="BO125" s="877"/>
      <c r="BP125" s="877"/>
      <c r="BQ125" s="877"/>
      <c r="BR125" s="886"/>
      <c r="BS125" s="877"/>
      <c r="BT125" s="879"/>
      <c r="BU125" s="886"/>
    </row>
    <row r="126" spans="1:73">
      <c r="A126" s="18"/>
      <c r="C126" s="58"/>
      <c r="D126" s="55"/>
      <c r="E126" s="511" t="s">
        <v>319</v>
      </c>
      <c r="F126" s="928">
        <f>SUM(J126:M126)</f>
        <v>0</v>
      </c>
      <c r="G126" s="877">
        <f>SUM(I126:M126,P126)</f>
        <v>1.7654591757172906</v>
      </c>
      <c r="H126" s="878"/>
      <c r="I126" s="877">
        <f>'Input data meat and eggs'!S413*'Input data meat and eggs'!C48+'Input data meat and eggs'!T413*'Input data meat and eggs'!C47+'Input data meat and eggs'!U413*'Input data meat and eggs'!C35+'Input data meat and eggs'!V413*SUMPRODUCT('Input data meat and eggs'!C37:C46,'Input data meat and eggs'!F77:F86)</f>
        <v>1.7654591757172906</v>
      </c>
      <c r="J126" s="877">
        <v>0</v>
      </c>
      <c r="K126" s="877">
        <v>0</v>
      </c>
      <c r="L126" s="877">
        <v>0</v>
      </c>
      <c r="M126" s="877">
        <v>0</v>
      </c>
      <c r="N126" s="877">
        <v>0</v>
      </c>
      <c r="O126" s="877">
        <v>0</v>
      </c>
      <c r="P126" s="877">
        <v>0</v>
      </c>
      <c r="Q126" s="877">
        <f>('Input data meat and eggs'!C104*3.6*'Common input data'!B67)*'Input data meat and eggs'!$F$413</f>
        <v>3.0346481886792457E-2</v>
      </c>
      <c r="R126" s="877"/>
      <c r="S126" s="877"/>
      <c r="T126" s="886"/>
      <c r="U126" s="55"/>
      <c r="V126" s="1230"/>
      <c r="W126" s="183"/>
      <c r="X126" s="183"/>
      <c r="Y126" s="183"/>
      <c r="Z126" s="1231"/>
      <c r="AA126" s="183"/>
      <c r="AB126" s="1230"/>
      <c r="AC126" s="183"/>
      <c r="AD126" s="183"/>
      <c r="AE126" s="183"/>
      <c r="AF126" s="1231"/>
      <c r="AG126" s="189"/>
      <c r="AH126" s="879"/>
      <c r="AI126" s="877"/>
      <c r="AJ126" s="877"/>
      <c r="AK126" s="877"/>
      <c r="AL126" s="886"/>
      <c r="AM126" s="877"/>
      <c r="AN126" s="879"/>
      <c r="AO126" s="877"/>
      <c r="AP126" s="877"/>
      <c r="AQ126" s="877"/>
      <c r="AR126" s="886"/>
      <c r="AS126" s="877"/>
      <c r="AT126" s="879"/>
      <c r="AU126" s="877"/>
      <c r="AV126" s="877"/>
      <c r="AW126" s="877"/>
      <c r="AX126" s="877"/>
      <c r="AY126" s="877"/>
      <c r="AZ126" s="886"/>
      <c r="BA126" s="877"/>
      <c r="BB126" s="879"/>
      <c r="BC126" s="877"/>
      <c r="BD126" s="877"/>
      <c r="BE126" s="877"/>
      <c r="BF126" s="886"/>
      <c r="BG126" s="877"/>
      <c r="BH126" s="879"/>
      <c r="BI126" s="877"/>
      <c r="BJ126" s="877"/>
      <c r="BK126" s="877"/>
      <c r="BL126" s="886"/>
      <c r="BM126" s="877"/>
      <c r="BN126" s="879"/>
      <c r="BO126" s="877"/>
      <c r="BP126" s="877"/>
      <c r="BQ126" s="877"/>
      <c r="BR126" s="886"/>
      <c r="BS126" s="877"/>
      <c r="BT126" s="879"/>
      <c r="BU126" s="886"/>
    </row>
    <row r="127" spans="1:73">
      <c r="A127" s="18"/>
      <c r="C127" s="83"/>
      <c r="D127" s="54"/>
      <c r="E127" s="512" t="s">
        <v>320</v>
      </c>
      <c r="F127" s="928">
        <f>SUM(J127:M127)</f>
        <v>5.6693932202199484</v>
      </c>
      <c r="G127" s="877">
        <f>SUM(I127:M127,P127)</f>
        <v>7.1353547835011391</v>
      </c>
      <c r="H127" s="878"/>
      <c r="I127" s="877">
        <f>('Input data meat and eggs'!S413*'Input data meat and eggs'!D48+'Input data meat and eggs'!T413*'Input data meat and eggs'!D47+'Input data meat and eggs'!U413*'Input data meat and eggs'!D35+'Input data meat and eggs'!V413*SUMPRODUCT('Input data meat and eggs'!D37:D46,'Input data meat and eggs'!F77:F86))*'Input data meat and eggs'!B70</f>
        <v>1.4659615632811906</v>
      </c>
      <c r="J127" s="877">
        <f>('Input data meat and eggs'!S413*'Input data meat and eggs'!D48+'Input data meat and eggs'!T413*'Input data meat and eggs'!D47+'Input data meat and eggs'!U413*'Input data meat and eggs'!D35+'Input data meat and eggs'!V413*SUMPRODUCT('Input data meat and eggs'!D37:D46,'Input data meat and eggs'!F77:F86))*'Input data meat and eggs'!C70</f>
        <v>3.705359954299948</v>
      </c>
      <c r="K127" s="877">
        <f>'Input data meat and eggs'!K413*'Input data meat and eggs'!G413/12*('Input data meat and eggs'!$O$413*'Input data meat and eggs'!$B$457+'Input data meat and eggs'!$P$413*'Input data meat and eggs'!$C$457+'Input data meat and eggs'!$Q$413*'Input data meat and eggs'!$D$457+'Input data meat and eggs'!$R$413*'Input data meat and eggs'!$E$457)*44/28</f>
        <v>1.8277864000000004</v>
      </c>
      <c r="L127" s="877">
        <f>'Input data meat and eggs'!$B$458*44/28*'Input data meat and eggs'!K413*'Input data meat and eggs'!G413/12*('Input data meat and eggs'!O413*'Input data meat and eggs'!B469+'Input data meat and eggs'!P413*'Input data meat and eggs'!C469+'Input data meat and eggs'!Q413*'Input data meat and eggs'!D469)</f>
        <v>0.1362468659200001</v>
      </c>
      <c r="M127" s="877">
        <v>0</v>
      </c>
      <c r="N127" s="877">
        <v>0</v>
      </c>
      <c r="O127" s="877">
        <v>0</v>
      </c>
      <c r="P127" s="877">
        <v>0</v>
      </c>
      <c r="Q127" s="877">
        <f>('Input data meat and eggs'!C104*3.6*'Common input data'!B68)*'Input data meat and eggs'!$F$413</f>
        <v>2.8289664781132075E-3</v>
      </c>
      <c r="R127" s="877"/>
      <c r="S127" s="877"/>
      <c r="T127" s="886"/>
      <c r="U127" s="55"/>
      <c r="V127" s="1230"/>
      <c r="W127" s="183"/>
      <c r="X127" s="183"/>
      <c r="Y127" s="183"/>
      <c r="Z127" s="1231"/>
      <c r="AA127" s="183"/>
      <c r="AB127" s="1230"/>
      <c r="AC127" s="183"/>
      <c r="AD127" s="183"/>
      <c r="AE127" s="183"/>
      <c r="AF127" s="1231"/>
      <c r="AG127" s="189"/>
      <c r="AH127" s="879"/>
      <c r="AI127" s="877"/>
      <c r="AJ127" s="877"/>
      <c r="AK127" s="877"/>
      <c r="AL127" s="886"/>
      <c r="AM127" s="877"/>
      <c r="AN127" s="879"/>
      <c r="AO127" s="877"/>
      <c r="AP127" s="877"/>
      <c r="AQ127" s="877"/>
      <c r="AR127" s="886"/>
      <c r="AS127" s="877"/>
      <c r="AT127" s="879"/>
      <c r="AU127" s="877"/>
      <c r="AV127" s="877"/>
      <c r="AW127" s="877"/>
      <c r="AX127" s="877"/>
      <c r="AY127" s="877"/>
      <c r="AZ127" s="886"/>
      <c r="BA127" s="877"/>
      <c r="BB127" s="879"/>
      <c r="BC127" s="877"/>
      <c r="BD127" s="877"/>
      <c r="BE127" s="877"/>
      <c r="BF127" s="886"/>
      <c r="BG127" s="877"/>
      <c r="BH127" s="879"/>
      <c r="BI127" s="877"/>
      <c r="BJ127" s="877"/>
      <c r="BK127" s="877"/>
      <c r="BL127" s="886"/>
      <c r="BM127" s="877"/>
      <c r="BN127" s="879"/>
      <c r="BO127" s="877"/>
      <c r="BP127" s="877"/>
      <c r="BQ127" s="877"/>
      <c r="BR127" s="886"/>
      <c r="BS127" s="877"/>
      <c r="BT127" s="879"/>
      <c r="BU127" s="886"/>
    </row>
    <row r="128" spans="1:73">
      <c r="A128" s="94"/>
      <c r="B128" s="93" t="s">
        <v>348</v>
      </c>
      <c r="C128" s="904"/>
      <c r="D128" s="17"/>
      <c r="E128" s="513" t="s">
        <v>316</v>
      </c>
      <c r="F128" s="930">
        <f>SUMPRODUCT($CA$7:$CA$10,F129:F132)</f>
        <v>489.38091099876817</v>
      </c>
      <c r="G128" s="872">
        <f>SUMPRODUCT($CA$7:$CA$10,G129:G132)</f>
        <v>1320.1169167790144</v>
      </c>
      <c r="H128" s="873"/>
      <c r="I128" s="884"/>
      <c r="J128" s="884"/>
      <c r="K128" s="884"/>
      <c r="L128" s="884"/>
      <c r="M128" s="884"/>
      <c r="N128" s="884"/>
      <c r="O128" s="884"/>
      <c r="P128" s="884"/>
      <c r="Q128" s="884"/>
      <c r="R128" s="884"/>
      <c r="S128" s="884"/>
      <c r="T128" s="885"/>
      <c r="U128" s="55"/>
      <c r="V128" s="1240">
        <f>'Input data meat and eggs'!$S414*'Input data meat and eggs'!E$48+'Input data meat and eggs'!$U414*'Input data meat and eggs'!E$35+'Input data meat and eggs'!$V414*SUMPRODUCT('Input data meat and eggs'!$F$77:$F$86,'Input data meat and eggs'!E$37:E$46)</f>
        <v>6189.2431336288992</v>
      </c>
      <c r="W128" s="211">
        <f>V128*'Input data meat and eggs'!$C414</f>
        <v>1476336753.4341335</v>
      </c>
      <c r="X128" s="211"/>
      <c r="Y128" s="211"/>
      <c r="Z128" s="1242"/>
      <c r="AA128" s="189"/>
      <c r="AB128" s="1240">
        <f>'Input data meat and eggs'!$T414*'Input data meat and eggs'!F$47</f>
        <v>17358.695292859607</v>
      </c>
      <c r="AC128" s="211">
        <f>AB128*'Input data meat and eggs'!$C414</f>
        <v>4140616113.9911218</v>
      </c>
      <c r="AD128" s="211"/>
      <c r="AE128" s="211"/>
      <c r="AF128" s="1242"/>
      <c r="AG128" s="189"/>
      <c r="AH128" s="883">
        <f>'Input data meat and eggs'!$S414*'Input data meat and eggs'!G$48+'Input data meat and eggs'!$T414*'Input data meat and eggs'!G$47+'Input data meat and eggs'!$U414*'Input data meat and eggs'!G$35+'Input data meat and eggs'!$V414*SUMPRODUCT('Input data meat and eggs'!$F$77:$F$86,'Input data meat and eggs'!G$37:G$46)</f>
        <v>191.25986725714804</v>
      </c>
      <c r="AI128" s="884">
        <f>AH128*'Input data meat and eggs'!$C414</f>
        <v>45621728.76267419</v>
      </c>
      <c r="AJ128" s="884"/>
      <c r="AK128" s="884"/>
      <c r="AL128" s="885"/>
      <c r="AM128" s="877"/>
      <c r="AN128" s="883">
        <f>'Input data meat and eggs'!$S414*'Input data meat and eggs'!H$48+'Input data meat and eggs'!$T414*'Input data meat and eggs'!H$47+'Input data meat and eggs'!$U414*'Input data meat and eggs'!H$35+'Input data meat and eggs'!$V414*SUMPRODUCT('Input data meat and eggs'!$F$77:$F$86,'Input data meat and eggs'!H$37:H$46)</f>
        <v>4.3772769231765913</v>
      </c>
      <c r="AO128" s="884">
        <f>AN128*'Input data meat and eggs'!$C414</f>
        <v>1044123.5967176592</v>
      </c>
      <c r="AP128" s="884"/>
      <c r="AQ128" s="884"/>
      <c r="AR128" s="885"/>
      <c r="AS128" s="877"/>
      <c r="AT128" s="883">
        <f>'Input data meat and eggs'!$S414*'Input data meat and eggs'!I$48+'Input data meat and eggs'!$T414*'Input data meat and eggs'!I$47+'Input data meat and eggs'!$U414*'Input data meat and eggs'!I$35+'Input data meat and eggs'!$V414*SUMPRODUCT('Input data meat and eggs'!$F$77:$F$86,'Input data meat and eggs'!I$37:I$46)</f>
        <v>0.39564437628479149</v>
      </c>
      <c r="AU128" s="884">
        <f>'Input data meat and eggs'!G414/12*((1-'Input data meat and eggs'!$R414)*'Input data meat and eggs'!$B$61+'Input data meat and eggs'!$R414*'Input data meat and eggs'!$B$62)</f>
        <v>12.097194999999999</v>
      </c>
      <c r="AV128" s="884">
        <f>SUM(AT128:AU128)</f>
        <v>12.49283937628479</v>
      </c>
      <c r="AW128" s="884">
        <f>AV128*'Input data meat and eggs'!$C414</f>
        <v>2979950.4604603327</v>
      </c>
      <c r="AX128" s="884"/>
      <c r="AY128" s="884"/>
      <c r="AZ128" s="885"/>
      <c r="BA128" s="877"/>
      <c r="BB128" s="883">
        <f>'Input data meat and eggs'!$S414*'Input data meat and eggs'!J$48+'Input data meat and eggs'!$T414*'Input data meat and eggs'!J$47+'Input data meat and eggs'!$U414*'Input data meat and eggs'!J$35+'Input data meat and eggs'!$V414*SUMPRODUCT('Input data meat and eggs'!$F$77:$F$86,'Input data meat and eggs'!J$37:J$46)</f>
        <v>1.8090543988466865E-7</v>
      </c>
      <c r="BC128" s="884">
        <f>BB128*'Input data meat and eggs'!$C414</f>
        <v>4.3151859448977856E-2</v>
      </c>
      <c r="BD128" s="884"/>
      <c r="BE128" s="884"/>
      <c r="BF128" s="885"/>
      <c r="BG128" s="877"/>
      <c r="BH128" s="883">
        <f>'Input data meat and eggs'!$S414*'Input data meat and eggs'!P$48+'Input data meat and eggs'!$T414*'Input data meat and eggs'!P$47+'Input data meat and eggs'!$U414*'Input data meat and eggs'!P$35+'Input data meat and eggs'!$V414*SUMPRODUCT('Input data meat and eggs'!$F$77:$F$86,'Input data meat and eggs'!P$37:P$46)</f>
        <v>0.25230570986190648</v>
      </c>
      <c r="BI128" s="884">
        <f>BH128*'Input data meat and eggs'!$C414</f>
        <v>60183.157217807151</v>
      </c>
      <c r="BJ128" s="884"/>
      <c r="BK128" s="884"/>
      <c r="BL128" s="885"/>
      <c r="BM128" s="877"/>
      <c r="BN128" s="883">
        <f>'Input data meat and eggs'!$S414*'Input data meat and eggs'!W$48+'Input data meat and eggs'!$T414*'Input data meat and eggs'!W$47+'Input data meat and eggs'!$U414*'Input data meat and eggs'!W$35+'Input data meat and eggs'!$V414*SUMPRODUCT('Input data meat and eggs'!$F$77:$F$86,'Input data meat and eggs'!W$37:W$46)</f>
        <v>12.506365267124744</v>
      </c>
      <c r="BO128" s="884">
        <f>BN128*'Input data meat and eggs'!$C414</f>
        <v>2983176.8274552668</v>
      </c>
      <c r="BP128" s="884"/>
      <c r="BQ128" s="884"/>
      <c r="BR128" s="885"/>
      <c r="BS128" s="877"/>
      <c r="BT128" s="879"/>
      <c r="BU128" s="886"/>
    </row>
    <row r="129" spans="1:73">
      <c r="A129" s="18"/>
      <c r="C129" s="64"/>
      <c r="E129" s="511" t="s">
        <v>317</v>
      </c>
      <c r="F129" s="928">
        <f>IF(AND($G$2="No",$G$3="No"),SUM(J129:M129),IF(AND($G$2="Yes", $G$3="No"), SUM(J129:M129)+O129, IF(AND($G$2="No", $G$3="Yes"),SUM(J129:M129)+N129, SUM(J129:M129)+O129+N129)))</f>
        <v>-390.05721187729756</v>
      </c>
      <c r="G129" s="877">
        <f>IF(AND($G$2="No",$G$3="No"),SUM(I129:M129,P129),IF(AND($G$2="Yes", $G$3="No"), SUM(I129:M129,P129)+O129, IF(AND($G$2="No", $G$3="Yes"),SUM(I129:M129,P129)+N129, SUM(I129:M129,P129)+O129+N129)))</f>
        <v>311.32667025848974</v>
      </c>
      <c r="H129" s="878"/>
      <c r="I129" s="877">
        <f>'Input data meat and eggs'!S414*'Input data meat and eggs'!B48+'Input data meat and eggs'!T414*'Input data meat and eggs'!B47+'Input data meat and eggs'!U414*'Input data meat and eggs'!B35+'Input data meat and eggs'!V414*SUMPRODUCT('Input data meat and eggs'!B37:B46,'Input data meat and eggs'!F77:F86)</f>
        <v>520.04758413578725</v>
      </c>
      <c r="J129" s="877">
        <v>0</v>
      </c>
      <c r="K129" s="877">
        <v>0</v>
      </c>
      <c r="L129" s="877">
        <v>0</v>
      </c>
      <c r="M129" s="877">
        <v>0</v>
      </c>
      <c r="N129" s="877">
        <f>('Input data meat and eggs'!S414+'Input data meat and eggs'!T414)*'Common input data'!F19+
'Input data meat and eggs'!U414*'Common input data'!B19+'Input data meat and eggs'!V414*('Input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f>
        <v>-394.7658759922395</v>
      </c>
      <c r="O129" s="877">
        <f>'Input data meat and eggs'!V414*('Input data meat and eggs'!F79*'Common input data'!AR27*'Common input data'!G44/'Common input data'!F44+'Input data meat and eggs'!F83*'Common input data'!AS27*'Common input data'!J46/'Common input data'!I46)</f>
        <v>4.7086641149419215</v>
      </c>
      <c r="P129" s="877">
        <f>('Input data meat and eggs'!B95*'Common input data'!B80)*'Input data meat and eggs'!F414</f>
        <v>181.33629800000006</v>
      </c>
      <c r="Q129" s="877">
        <v>0</v>
      </c>
      <c r="R129" s="877"/>
      <c r="S129" s="877"/>
      <c r="T129" s="886"/>
      <c r="U129" s="55"/>
      <c r="V129" s="1230"/>
      <c r="W129" s="183"/>
      <c r="X129" s="183"/>
      <c r="Y129" s="183"/>
      <c r="Z129" s="1231"/>
      <c r="AA129" s="183"/>
      <c r="AB129" s="1230"/>
      <c r="AC129" s="183"/>
      <c r="AD129" s="183"/>
      <c r="AE129" s="183"/>
      <c r="AF129" s="1231"/>
      <c r="AG129" s="189"/>
      <c r="AH129" s="879"/>
      <c r="AI129" s="877"/>
      <c r="AJ129" s="877"/>
      <c r="AK129" s="877"/>
      <c r="AL129" s="886"/>
      <c r="AM129" s="877"/>
      <c r="AN129" s="879"/>
      <c r="AO129" s="877"/>
      <c r="AP129" s="877"/>
      <c r="AQ129" s="877"/>
      <c r="AR129" s="886"/>
      <c r="AS129" s="877"/>
      <c r="AT129" s="879"/>
      <c r="AU129" s="877"/>
      <c r="AV129" s="877"/>
      <c r="AW129" s="877"/>
      <c r="AX129" s="877"/>
      <c r="AY129" s="877"/>
      <c r="AZ129" s="886"/>
      <c r="BA129" s="877"/>
      <c r="BB129" s="879"/>
      <c r="BC129" s="877"/>
      <c r="BD129" s="877"/>
      <c r="BE129" s="877"/>
      <c r="BF129" s="886"/>
      <c r="BG129" s="877"/>
      <c r="BH129" s="879"/>
      <c r="BI129" s="877"/>
      <c r="BJ129" s="877"/>
      <c r="BK129" s="877"/>
      <c r="BL129" s="886"/>
      <c r="BM129" s="877"/>
      <c r="BN129" s="879"/>
      <c r="BO129" s="877"/>
      <c r="BP129" s="877"/>
      <c r="BQ129" s="877"/>
      <c r="BR129" s="886"/>
      <c r="BS129" s="877"/>
      <c r="BT129" s="879"/>
      <c r="BU129" s="886"/>
    </row>
    <row r="130" spans="1:73">
      <c r="A130" s="18"/>
      <c r="C130" s="58"/>
      <c r="D130" s="55"/>
      <c r="E130" s="511" t="s">
        <v>321</v>
      </c>
      <c r="F130" s="928">
        <f>SUM(J130:M130)</f>
        <v>65.599158410640001</v>
      </c>
      <c r="G130" s="877">
        <f>SUM(I130:M130,P130)</f>
        <v>65.599158410640001</v>
      </c>
      <c r="H130" s="878"/>
      <c r="I130" s="877">
        <v>0</v>
      </c>
      <c r="J130" s="877">
        <v>0</v>
      </c>
      <c r="K130" s="877">
        <f>'Input data meat and eggs'!M414*'Input data meat and eggs'!G414/12*'Input data meat and eggs'!$B$462*'Input data meat and eggs'!$B$464*'Input data meat and eggs'!$B$465*
('Input data meat and eggs'!$O$414*'Input data meat and eggs'!$B$455
+'Input data meat and eggs'!$P$414*'Input data meat and eggs'!$C$455+
'Input data meat and eggs'!$Q$414*'Input data meat and eggs'!$D$455+
'Input data meat and eggs'!$R$414*'Input data meat and eggs'!$E$455)</f>
        <v>4.5791584106400007</v>
      </c>
      <c r="L130" s="877">
        <v>0</v>
      </c>
      <c r="M130" s="67">
        <f>'Input data meat and eggs'!L414*'Input data meat and eggs'!G414/12</f>
        <v>61.02</v>
      </c>
      <c r="N130" s="877">
        <v>0</v>
      </c>
      <c r="O130" s="877">
        <v>0</v>
      </c>
      <c r="P130" s="877">
        <v>0</v>
      </c>
      <c r="Q130" s="877">
        <v>0</v>
      </c>
      <c r="R130" s="877"/>
      <c r="S130" s="877"/>
      <c r="T130" s="886"/>
      <c r="U130" s="55"/>
      <c r="V130" s="1230"/>
      <c r="W130" s="183"/>
      <c r="X130" s="183"/>
      <c r="Y130" s="183"/>
      <c r="Z130" s="1231"/>
      <c r="AA130" s="183"/>
      <c r="AB130" s="1230"/>
      <c r="AC130" s="183"/>
      <c r="AD130" s="183"/>
      <c r="AE130" s="183"/>
      <c r="AF130" s="1231"/>
      <c r="AG130" s="189"/>
      <c r="AH130" s="879"/>
      <c r="AI130" s="877"/>
      <c r="AJ130" s="877"/>
      <c r="AK130" s="877"/>
      <c r="AL130" s="886"/>
      <c r="AM130" s="877"/>
      <c r="AN130" s="879"/>
      <c r="AO130" s="877"/>
      <c r="AP130" s="877"/>
      <c r="AQ130" s="877"/>
      <c r="AR130" s="886"/>
      <c r="AS130" s="877"/>
      <c r="AT130" s="879"/>
      <c r="AU130" s="877"/>
      <c r="AV130" s="877"/>
      <c r="AW130" s="877"/>
      <c r="AX130" s="877"/>
      <c r="AY130" s="877"/>
      <c r="AZ130" s="886"/>
      <c r="BA130" s="877"/>
      <c r="BB130" s="879"/>
      <c r="BC130" s="877"/>
      <c r="BD130" s="877"/>
      <c r="BE130" s="877"/>
      <c r="BF130" s="886"/>
      <c r="BG130" s="877"/>
      <c r="BH130" s="879"/>
      <c r="BI130" s="877"/>
      <c r="BJ130" s="877"/>
      <c r="BK130" s="877"/>
      <c r="BL130" s="886"/>
      <c r="BM130" s="877"/>
      <c r="BN130" s="879"/>
      <c r="BO130" s="877"/>
      <c r="BP130" s="877"/>
      <c r="BQ130" s="877"/>
      <c r="BR130" s="886"/>
      <c r="BS130" s="877"/>
      <c r="BT130" s="879"/>
      <c r="BU130" s="886"/>
    </row>
    <row r="131" spans="1:73">
      <c r="A131" s="18"/>
      <c r="C131" s="58"/>
      <c r="D131" s="55"/>
      <c r="E131" s="511" t="s">
        <v>319</v>
      </c>
      <c r="F131" s="928">
        <f>SUM(J131:M131)</f>
        <v>0</v>
      </c>
      <c r="G131" s="877">
        <f>SUM(I131:M131,P131)</f>
        <v>0.26434204929289279</v>
      </c>
      <c r="H131" s="878"/>
      <c r="I131" s="877">
        <f>'Input data meat and eggs'!S414*'Input data meat and eggs'!C48+'Input data meat and eggs'!T414*'Input data meat and eggs'!C47+'Input data meat and eggs'!U414*'Input data meat and eggs'!C35+'Input data meat and eggs'!V414*SUMPRODUCT('Input data meat and eggs'!C37:C46,'Input data meat and eggs'!F77:F86)</f>
        <v>0.26434204929289279</v>
      </c>
      <c r="J131" s="877">
        <v>0</v>
      </c>
      <c r="K131" s="877">
        <v>0</v>
      </c>
      <c r="L131" s="877">
        <v>0</v>
      </c>
      <c r="M131" s="877">
        <v>0</v>
      </c>
      <c r="N131" s="877">
        <v>0</v>
      </c>
      <c r="O131" s="877">
        <v>0</v>
      </c>
      <c r="P131" s="877">
        <v>0</v>
      </c>
      <c r="Q131" s="877">
        <v>0</v>
      </c>
      <c r="R131" s="877"/>
      <c r="S131" s="877"/>
      <c r="T131" s="886"/>
      <c r="U131" s="55"/>
      <c r="V131" s="1230"/>
      <c r="W131" s="183"/>
      <c r="X131" s="183"/>
      <c r="Y131" s="183"/>
      <c r="Z131" s="1231"/>
      <c r="AA131" s="183"/>
      <c r="AB131" s="1230"/>
      <c r="AC131" s="183"/>
      <c r="AD131" s="183"/>
      <c r="AE131" s="183"/>
      <c r="AF131" s="1231"/>
      <c r="AG131" s="189"/>
      <c r="AH131" s="879"/>
      <c r="AI131" s="877"/>
      <c r="AJ131" s="877"/>
      <c r="AK131" s="877"/>
      <c r="AL131" s="886"/>
      <c r="AM131" s="877"/>
      <c r="AN131" s="879"/>
      <c r="AO131" s="877"/>
      <c r="AP131" s="877"/>
      <c r="AQ131" s="877"/>
      <c r="AR131" s="886"/>
      <c r="AS131" s="877"/>
      <c r="AT131" s="879"/>
      <c r="AU131" s="877"/>
      <c r="AV131" s="877"/>
      <c r="AW131" s="877"/>
      <c r="AX131" s="877"/>
      <c r="AY131" s="877"/>
      <c r="AZ131" s="886"/>
      <c r="BA131" s="877"/>
      <c r="BB131" s="879"/>
      <c r="BC131" s="877"/>
      <c r="BD131" s="877"/>
      <c r="BE131" s="877"/>
      <c r="BF131" s="886"/>
      <c r="BG131" s="877"/>
      <c r="BH131" s="879"/>
      <c r="BI131" s="877"/>
      <c r="BJ131" s="877"/>
      <c r="BK131" s="877"/>
      <c r="BL131" s="886"/>
      <c r="BM131" s="877"/>
      <c r="BN131" s="879"/>
      <c r="BO131" s="877"/>
      <c r="BP131" s="877"/>
      <c r="BQ131" s="877"/>
      <c r="BR131" s="886"/>
      <c r="BS131" s="877"/>
      <c r="BT131" s="879"/>
      <c r="BU131" s="886"/>
    </row>
    <row r="132" spans="1:73">
      <c r="A132" s="18"/>
      <c r="C132" s="83"/>
      <c r="D132" s="54"/>
      <c r="E132" s="512" t="s">
        <v>320</v>
      </c>
      <c r="F132" s="928">
        <f>SUM(J132:M132)</f>
        <v>2.4511677182234237</v>
      </c>
      <c r="G132" s="877">
        <f>SUM(I132:M132,P132)</f>
        <v>3.0009948255744212</v>
      </c>
      <c r="H132" s="878"/>
      <c r="I132" s="877">
        <f>('Input data meat and eggs'!S414*'Input data meat and eggs'!D48+'Input data meat and eggs'!T414*'Input data meat and eggs'!D47+'Input data meat and eggs'!U414*'Input data meat and eggs'!D35+'Input data meat and eggs'!V414*SUMPRODUCT('Input data meat and eggs'!D37:D46,'Input data meat and eggs'!F77:F86))*'Input data meat and eggs'!B70</f>
        <v>0.5498271073509976</v>
      </c>
      <c r="J132" s="877">
        <f>('Input data meat and eggs'!S414*'Input data meat and eggs'!D48+'Input data meat and eggs'!T414*'Input data meat and eggs'!D47+'Input data meat and eggs'!U414*'Input data meat and eggs'!D35+'Input data meat and eggs'!V414*SUMPRODUCT('Input data meat and eggs'!D37:D46,'Input data meat and eggs'!F77:F86))*'Input data meat and eggs'!C70</f>
        <v>1.3897413113662809</v>
      </c>
      <c r="K132" s="877">
        <f>'Input data meat and eggs'!K414*'Input data meat and eggs'!G414/12*('Input data meat and eggs'!$O$414*'Input data meat and eggs'!$B$457+'Input data meat and eggs'!$P$414*'Input data meat and eggs'!$C$457+'Input data meat and eggs'!$Q$414*'Input data meat and eggs'!$D$457+'Input data meat and eggs'!$R$414*'Input data meat and eggs'!$E$457)*44/28</f>
        <v>0.9919014285714286</v>
      </c>
      <c r="L132" s="877">
        <f>'Input data meat and eggs'!$B$458*44/28*'Input data meat and eggs'!K414*'Input data meat and eggs'!G414/12*('Input data meat and eggs'!O414*'Input data meat and eggs'!B469+'Input data meat and eggs'!P414*'Input data meat and eggs'!C469+'Input data meat and eggs'!Q414*'Input data meat and eggs'!D469)</f>
        <v>6.9524978285714328E-2</v>
      </c>
      <c r="M132" s="877">
        <v>0</v>
      </c>
      <c r="N132" s="877">
        <v>0</v>
      </c>
      <c r="O132" s="877">
        <v>0</v>
      </c>
      <c r="P132" s="877">
        <v>0</v>
      </c>
      <c r="Q132" s="877">
        <v>0</v>
      </c>
      <c r="R132" s="877"/>
      <c r="S132" s="877"/>
      <c r="T132" s="886"/>
      <c r="U132" s="55"/>
      <c r="V132" s="1230"/>
      <c r="W132" s="183"/>
      <c r="X132" s="183"/>
      <c r="Y132" s="183"/>
      <c r="Z132" s="1231"/>
      <c r="AA132" s="183"/>
      <c r="AB132" s="1230"/>
      <c r="AC132" s="183"/>
      <c r="AD132" s="183"/>
      <c r="AE132" s="183"/>
      <c r="AF132" s="1231"/>
      <c r="AG132" s="189"/>
      <c r="AH132" s="879"/>
      <c r="AI132" s="877"/>
      <c r="AJ132" s="877"/>
      <c r="AK132" s="877"/>
      <c r="AL132" s="886"/>
      <c r="AM132" s="877"/>
      <c r="AN132" s="879"/>
      <c r="AO132" s="877"/>
      <c r="AP132" s="877"/>
      <c r="AQ132" s="877"/>
      <c r="AR132" s="886"/>
      <c r="AS132" s="877"/>
      <c r="AT132" s="879"/>
      <c r="AU132" s="877"/>
      <c r="AV132" s="877"/>
      <c r="AW132" s="877"/>
      <c r="AX132" s="877"/>
      <c r="AY132" s="877"/>
      <c r="AZ132" s="886"/>
      <c r="BA132" s="877"/>
      <c r="BB132" s="879"/>
      <c r="BC132" s="877"/>
      <c r="BD132" s="877"/>
      <c r="BE132" s="877"/>
      <c r="BF132" s="886"/>
      <c r="BG132" s="877"/>
      <c r="BH132" s="879"/>
      <c r="BI132" s="877"/>
      <c r="BJ132" s="877"/>
      <c r="BK132" s="877"/>
      <c r="BL132" s="886"/>
      <c r="BM132" s="877"/>
      <c r="BN132" s="879"/>
      <c r="BO132" s="877"/>
      <c r="BP132" s="877"/>
      <c r="BQ132" s="877"/>
      <c r="BR132" s="886"/>
      <c r="BS132" s="877"/>
      <c r="BT132" s="879"/>
      <c r="BU132" s="886"/>
    </row>
    <row r="133" spans="1:73">
      <c r="A133" s="94"/>
      <c r="B133" s="93" t="s">
        <v>349</v>
      </c>
      <c r="C133" s="87"/>
      <c r="D133" s="54"/>
      <c r="E133" s="513" t="s">
        <v>316</v>
      </c>
      <c r="F133" s="930">
        <f>SUMPRODUCT($CA$7:$CA$10,F134:F137)</f>
        <v>843586805.78458691</v>
      </c>
      <c r="G133" s="872">
        <f>SUMPRODUCT($CA$7:$CA$10,G134:G137)</f>
        <v>1704994941.1048565</v>
      </c>
      <c r="H133" s="873"/>
      <c r="I133" s="884"/>
      <c r="J133" s="884"/>
      <c r="K133" s="884"/>
      <c r="L133" s="884"/>
      <c r="M133" s="884"/>
      <c r="N133" s="884"/>
      <c r="O133" s="884"/>
      <c r="P133" s="884"/>
      <c r="Q133" s="884"/>
      <c r="R133" s="884"/>
      <c r="S133" s="884"/>
      <c r="T133" s="885"/>
      <c r="U133" s="55"/>
      <c r="V133" s="1239"/>
      <c r="W133" s="358"/>
      <c r="X133" s="358">
        <f>X138*$C$138+X143*$C$143+X148*$C$148+X153*$C$153+X158*$C$158+X163*$C$163</f>
        <v>6.5174718675779282</v>
      </c>
      <c r="Y133" s="358">
        <f>Y138*$C$138+Y143*$C$143+Y148*$C$148+Y153*$C$153+Y158*$C$158+Y163*$C$163</f>
        <v>7.0910093919247856</v>
      </c>
      <c r="Z133" s="433">
        <f>Z138*$C$138+Z143*$C$143+Z148*$C$148+Z153*$C$153+Z158*$C$158+Z163*$C$163</f>
        <v>7.8710204250365132</v>
      </c>
      <c r="AA133" s="183"/>
      <c r="AB133" s="1239"/>
      <c r="AC133" s="358"/>
      <c r="AD133" s="358">
        <f>AD138*$C$138+AD143*$C$143+AD148*$C$148+AD153*$C$153+AD158*$C$158+AD163*$C$163</f>
        <v>5.5703439855784787</v>
      </c>
      <c r="AE133" s="358">
        <f>AE138*$C$138+AE143*$C$143+AE148*$C$148+AE153*$C$153+AE158*$C$158+AE163*$C$163</f>
        <v>6.0605342563093849</v>
      </c>
      <c r="AF133" s="433">
        <f>AF138*$C$138+AF143*$C$143+AF148*$C$148+AF153*$C$153+AF158*$C$158+AF163*$C$163</f>
        <v>6.7271930245034186</v>
      </c>
      <c r="AG133" s="189"/>
      <c r="AH133" s="883"/>
      <c r="AI133" s="884"/>
      <c r="AJ133" s="884">
        <f>AJ138*$C$138+AJ143*$C$143+AJ148*$C$148+AJ153*$C$153+AJ158*$C$158+AJ163*$C$163</f>
        <v>0.15022835935977366</v>
      </c>
      <c r="AK133" s="884">
        <f>AK138*$C$138+AK143*$C$143+AK148*$C$148+AK153*$C$153+AK158*$C$158+AK163*$C$163</f>
        <v>0.16344845498343369</v>
      </c>
      <c r="AL133" s="885">
        <f>AL138*$C$138+AL143*$C$143+AL148*$C$148+AL153*$C$153+AL158*$C$158+AL163*$C$163</f>
        <v>0.18142778503161144</v>
      </c>
      <c r="AM133" s="877"/>
      <c r="AN133" s="883"/>
      <c r="AO133" s="884"/>
      <c r="AP133" s="884">
        <f>AP138*$C$138+AP143*$C$143+AP148*$C$148+AP153*$C$153+AP158*$C$158+AP163*$C$163</f>
        <v>4.4680878868506016E-3</v>
      </c>
      <c r="AQ133" s="884">
        <f>AQ138*$C$138+AQ143*$C$143+AQ148*$C$148+AQ153*$C$153+AQ158*$C$158+AQ163*$C$163</f>
        <v>4.8612796208934543E-3</v>
      </c>
      <c r="AR133" s="885">
        <f>AR138*$C$138+AR143*$C$143+AR148*$C$148+AR153*$C$153+AR158*$C$158+AR163*$C$163</f>
        <v>5.3960203791917332E-3</v>
      </c>
      <c r="AS133" s="877"/>
      <c r="AT133" s="883"/>
      <c r="AU133" s="884"/>
      <c r="AV133" s="884"/>
      <c r="AW133" s="884"/>
      <c r="AX133" s="884">
        <f>AX138*$C$138+AX143*$C$143+AX148*$C$148+AX153*$C$153+AX158*$C$158+AX163*$C$163</f>
        <v>2.1123978799244839E-2</v>
      </c>
      <c r="AY133" s="884">
        <f>AY138*$C$138+AY143*$C$143+AY148*$C$148+AY153*$C$153+AY158*$C$158+AY163*$C$163</f>
        <v>2.2982888933578385E-2</v>
      </c>
      <c r="AZ133" s="885">
        <f>AZ138*$C$138+AZ143*$C$143+AZ148*$C$148+AZ153*$C$153+AZ158*$C$158+AZ163*$C$163</f>
        <v>2.551100671627201E-2</v>
      </c>
      <c r="BA133" s="877"/>
      <c r="BB133" s="883"/>
      <c r="BC133" s="884"/>
      <c r="BD133" s="884">
        <f>BD138*$C$138+BD143*$C$143+BD148*$C$148+BD153*$C$153+BD158*$C$158+BD163*$C$163</f>
        <v>1.3236422111821382E-12</v>
      </c>
      <c r="BE133" s="884">
        <f>BE138*$C$138+BE143*$C$143+BE148*$C$148+BE153*$C$153+BE158*$C$158+BE163*$C$163</f>
        <v>1.4401227257661664E-12</v>
      </c>
      <c r="BF133" s="885">
        <f>BF138*$C$138+BF143*$C$143+BF148*$C$148+BF153*$C$153+BF158*$C$158+BF163*$C$163</f>
        <v>1.5985362256004449E-12</v>
      </c>
      <c r="BG133" s="877"/>
      <c r="BH133" s="883"/>
      <c r="BI133" s="884"/>
      <c r="BJ133" s="884">
        <f>BJ138*$C$138+BJ143*$C$143+BJ148*$C$148+BJ153*$C$153+BJ158*$C$158+BJ163*$C$163</f>
        <v>2.9058367062259854E-4</v>
      </c>
      <c r="BK133" s="884">
        <f>BK138*$C$138+BK143*$C$143+BK148*$C$148+BK153*$C$153+BK158*$C$158+BK163*$C$163</f>
        <v>3.1615503363738724E-4</v>
      </c>
      <c r="BL133" s="885">
        <f>BL138*$C$138+BL143*$C$143+BL148*$C$148+BL153*$C$153+BL158*$C$158+BL163*$C$163</f>
        <v>3.5093208733749984E-4</v>
      </c>
      <c r="BM133" s="877"/>
      <c r="BN133" s="883"/>
      <c r="BO133" s="884"/>
      <c r="BP133" s="884">
        <f>BP138*$C$138+BP143*$C$143+BP148*$C$148+BP153*$C$153+BP158*$C$158+BP163*$C$163</f>
        <v>1.0207523416981385E-2</v>
      </c>
      <c r="BQ133" s="884">
        <f>BQ138*$C$138+BQ143*$C$143+BQ148*$C$148+BQ153*$C$153+BQ158*$C$158+BQ163*$C$163</f>
        <v>1.1105785477675748E-2</v>
      </c>
      <c r="BR133" s="885">
        <f>BR138*$C$138+BR143*$C$143+BR148*$C$148+BR153*$C$153+BR158*$C$158+BR163*$C$163</f>
        <v>1.2327421880220081E-2</v>
      </c>
      <c r="BS133" s="877"/>
      <c r="BT133" s="883">
        <f>BT138*$C$138+BT143*$C$143+BT148*$C$148+BT153*$C$153+BT158*$C$158+BT163*$C$163</f>
        <v>4.8122309778242216E-2</v>
      </c>
      <c r="BU133" s="885">
        <f>BU138*$C$138+BU143*$C$143+BU148*$C$148+BU153*$C$153+BU158*$C$158+BU163*$C$163</f>
        <v>5.3415763853848844E-2</v>
      </c>
    </row>
    <row r="134" spans="1:73">
      <c r="A134" s="18"/>
      <c r="C134" s="83"/>
      <c r="D134" s="54"/>
      <c r="E134" s="511" t="s">
        <v>317</v>
      </c>
      <c r="F134" s="928">
        <f>IF(AND($G$2="No",$G$3="No"),SUM(J134:M134),IF(AND($G$2="Yes", $G$3="No"), SUM(J134:M134)+O134, IF(AND($G$2="No", $G$3="Yes"),SUM(J134:M134)+N134, SUM(J134:M134)+O134+N134)))</f>
        <v>-69193310.282659054</v>
      </c>
      <c r="G134" s="877">
        <f>IF(AND($G$2="No",$G$3="No"),SUM(I134:M134,P134),IF(AND($G$2="Yes", $G$3="No"), SUM(I134:M134,P134)+O134, IF(AND($G$2="No", $G$3="Yes"),SUM(I134:M134,P134)+N134, SUM(I134:M134,P134)+O134+N134)))</f>
        <v>639219306.94820499</v>
      </c>
      <c r="H134" s="878"/>
      <c r="I134" s="877">
        <f>I124*'Input data meat and eggs'!$C$413+I129*'Input data meat and eggs'!$C$414</f>
        <v>635568035.42813599</v>
      </c>
      <c r="J134" s="877">
        <f>J124*'Input data meat and eggs'!$C$413+J129*'Input data meat and eggs'!$C$414</f>
        <v>0</v>
      </c>
      <c r="K134" s="877">
        <f>K124*'Input data meat and eggs'!$C$413+K129*'Input data meat and eggs'!$C$414</f>
        <v>0</v>
      </c>
      <c r="L134" s="877">
        <f>L124*'Input data meat and eggs'!$C$413+L129*'Input data meat and eggs'!$C$414</f>
        <v>0</v>
      </c>
      <c r="M134" s="877">
        <f>M124*'Input data meat and eggs'!$C$413+M129*'Input data meat and eggs'!$C$414</f>
        <v>0</v>
      </c>
      <c r="N134" s="877">
        <f>N124*'Input data meat and eggs'!$C$413+N129*'Input data meat and eggs'!$C$414</f>
        <v>-133110640.74395052</v>
      </c>
      <c r="O134" s="877">
        <f>O124*'Input data meat and eggs'!$C$413+O129*'Input data meat and eggs'!$C$414</f>
        <v>63917330.46129147</v>
      </c>
      <c r="P134" s="877">
        <f>P124*'Input data meat and eggs'!$C$413+P129*'Input data meat and eggs'!$C$414</f>
        <v>72844581.802728087</v>
      </c>
      <c r="Q134" s="877">
        <f>Q124*'Input data meat and eggs'!$E$413+Q129*'Input data meat and eggs'!$E$414</f>
        <v>10798228.603995079</v>
      </c>
      <c r="R134" s="877"/>
      <c r="S134" s="877"/>
      <c r="T134" s="886"/>
      <c r="U134" s="55"/>
      <c r="V134" s="1230"/>
      <c r="W134" s="183"/>
      <c r="X134" s="183"/>
      <c r="Y134" s="183"/>
      <c r="Z134" s="1231"/>
      <c r="AA134" s="183"/>
      <c r="AB134" s="1230"/>
      <c r="AC134" s="183"/>
      <c r="AD134" s="183"/>
      <c r="AE134" s="183"/>
      <c r="AF134" s="1231"/>
      <c r="AG134" s="189"/>
      <c r="AH134" s="879"/>
      <c r="AI134" s="877"/>
      <c r="AJ134" s="877"/>
      <c r="AK134" s="877"/>
      <c r="AL134" s="886"/>
      <c r="AM134" s="877"/>
      <c r="AN134" s="879"/>
      <c r="AO134" s="877"/>
      <c r="AP134" s="877"/>
      <c r="AQ134" s="877"/>
      <c r="AR134" s="886"/>
      <c r="AS134" s="877"/>
      <c r="AT134" s="879"/>
      <c r="AU134" s="877"/>
      <c r="AV134" s="877"/>
      <c r="AW134" s="877"/>
      <c r="AX134" s="877"/>
      <c r="AY134" s="877"/>
      <c r="AZ134" s="886"/>
      <c r="BA134" s="877"/>
      <c r="BB134" s="879"/>
      <c r="BC134" s="877"/>
      <c r="BD134" s="877"/>
      <c r="BE134" s="877"/>
      <c r="BF134" s="886"/>
      <c r="BG134" s="877"/>
      <c r="BH134" s="879"/>
      <c r="BI134" s="877"/>
      <c r="BJ134" s="877"/>
      <c r="BK134" s="877"/>
      <c r="BL134" s="886"/>
      <c r="BM134" s="877"/>
      <c r="BN134" s="879"/>
      <c r="BO134" s="877"/>
      <c r="BP134" s="877"/>
      <c r="BQ134" s="877"/>
      <c r="BR134" s="886"/>
      <c r="BS134" s="877"/>
      <c r="BT134" s="879"/>
      <c r="BU134" s="886"/>
    </row>
    <row r="135" spans="1:73">
      <c r="A135" s="18"/>
      <c r="C135" s="83"/>
      <c r="D135" s="54"/>
      <c r="E135" s="511" t="s">
        <v>321</v>
      </c>
      <c r="F135" s="928">
        <f>SUM(J135:M135)</f>
        <v>67104221.756929986</v>
      </c>
      <c r="G135" s="877">
        <f>SUM(I135:M135,P135)</f>
        <v>67104221.756929986</v>
      </c>
      <c r="H135" s="878"/>
      <c r="I135" s="877">
        <v>0</v>
      </c>
      <c r="J135" s="877">
        <f>J125*'Input data meat and eggs'!$C$413+J130*'Input data meat and eggs'!$C$414</f>
        <v>0</v>
      </c>
      <c r="K135" s="877">
        <f>K125*'Input data meat and eggs'!$C$413+K130*'Input data meat and eggs'!$C$414</f>
        <v>4023126.5320482804</v>
      </c>
      <c r="L135" s="877">
        <f>L125*'Input data meat and eggs'!$C$413+L130*'Input data meat and eggs'!$C$414</f>
        <v>0</v>
      </c>
      <c r="M135" s="877">
        <f>M125*'Input data meat and eggs'!$C$413+M130*'Input data meat and eggs'!$C$414</f>
        <v>63081095.224881709</v>
      </c>
      <c r="N135" s="877">
        <f>N125*'Input data meat and eggs'!$C$413+N130*'Input data meat and eggs'!$C$414</f>
        <v>0</v>
      </c>
      <c r="O135" s="877">
        <f>O125*'Input data meat and eggs'!$C$413+O130*'Input data meat and eggs'!$C$414</f>
        <v>0</v>
      </c>
      <c r="P135" s="877">
        <f>P125*'Input data meat and eggs'!$C$413+P130*'Input data meat and eggs'!$C$414</f>
        <v>0</v>
      </c>
      <c r="Q135" s="877">
        <v>0</v>
      </c>
      <c r="R135" s="877"/>
      <c r="S135" s="877"/>
      <c r="T135" s="886"/>
      <c r="U135" s="55"/>
      <c r="V135" s="1230"/>
      <c r="W135" s="183"/>
      <c r="X135" s="183"/>
      <c r="Y135" s="183"/>
      <c r="Z135" s="1231"/>
      <c r="AA135" s="183"/>
      <c r="AB135" s="1230"/>
      <c r="AC135" s="183"/>
      <c r="AD135" s="183"/>
      <c r="AE135" s="183"/>
      <c r="AF135" s="1231"/>
      <c r="AG135" s="189"/>
      <c r="AH135" s="879"/>
      <c r="AI135" s="877"/>
      <c r="AJ135" s="877"/>
      <c r="AK135" s="877"/>
      <c r="AL135" s="886"/>
      <c r="AM135" s="877"/>
      <c r="AN135" s="879"/>
      <c r="AO135" s="877"/>
      <c r="AP135" s="877"/>
      <c r="AQ135" s="877"/>
      <c r="AR135" s="886"/>
      <c r="AS135" s="877"/>
      <c r="AT135" s="879"/>
      <c r="AU135" s="877"/>
      <c r="AV135" s="877"/>
      <c r="AW135" s="877"/>
      <c r="AX135" s="877"/>
      <c r="AY135" s="877"/>
      <c r="AZ135" s="886"/>
      <c r="BA135" s="877"/>
      <c r="BB135" s="879"/>
      <c r="BC135" s="877"/>
      <c r="BD135" s="877"/>
      <c r="BE135" s="877"/>
      <c r="BF135" s="886"/>
      <c r="BG135" s="877"/>
      <c r="BH135" s="879"/>
      <c r="BI135" s="877"/>
      <c r="BJ135" s="877"/>
      <c r="BK135" s="877"/>
      <c r="BL135" s="886"/>
      <c r="BM135" s="877"/>
      <c r="BN135" s="879"/>
      <c r="BO135" s="877"/>
      <c r="BP135" s="877"/>
      <c r="BQ135" s="877"/>
      <c r="BR135" s="886"/>
      <c r="BS135" s="877"/>
      <c r="BT135" s="879"/>
      <c r="BU135" s="886"/>
    </row>
    <row r="136" spans="1:73">
      <c r="A136" s="18"/>
      <c r="C136" s="83"/>
      <c r="D136" s="54"/>
      <c r="E136" s="511" t="s">
        <v>319</v>
      </c>
      <c r="F136" s="928">
        <f>SUM(J136:M136)</f>
        <v>0</v>
      </c>
      <c r="G136" s="877">
        <f>SUM(I136:M136,P136)</f>
        <v>679387.84149109223</v>
      </c>
      <c r="H136" s="878"/>
      <c r="I136" s="877">
        <f>I126*'Input data meat and eggs'!$C$413+I131*'Input data meat and eggs'!$C$414</f>
        <v>679387.84149109223</v>
      </c>
      <c r="J136" s="877">
        <v>0</v>
      </c>
      <c r="K136" s="877">
        <v>0</v>
      </c>
      <c r="L136" s="877">
        <v>0</v>
      </c>
      <c r="M136" s="877">
        <v>0</v>
      </c>
      <c r="N136" s="877">
        <v>0</v>
      </c>
      <c r="O136" s="877">
        <v>0</v>
      </c>
      <c r="P136" s="877">
        <v>0</v>
      </c>
      <c r="Q136" s="877">
        <f>Q126*'Input data meat and eggs'!$E$413+Q130*'Input data meat and eggs'!$E$414</f>
        <v>2985.0559679798494</v>
      </c>
      <c r="R136" s="877"/>
      <c r="S136" s="877"/>
      <c r="T136" s="886"/>
      <c r="U136" s="55"/>
      <c r="V136" s="1230"/>
      <c r="W136" s="183"/>
      <c r="X136" s="183"/>
      <c r="Y136" s="183"/>
      <c r="Z136" s="1231"/>
      <c r="AA136" s="183"/>
      <c r="AB136" s="1230"/>
      <c r="AC136" s="183"/>
      <c r="AD136" s="183"/>
      <c r="AE136" s="183"/>
      <c r="AF136" s="1231"/>
      <c r="AG136" s="189"/>
      <c r="AH136" s="879"/>
      <c r="AI136" s="877"/>
      <c r="AJ136" s="877"/>
      <c r="AK136" s="877"/>
      <c r="AL136" s="886"/>
      <c r="AM136" s="877"/>
      <c r="AN136" s="879"/>
      <c r="AO136" s="877"/>
      <c r="AP136" s="877"/>
      <c r="AQ136" s="877"/>
      <c r="AR136" s="886"/>
      <c r="AS136" s="877"/>
      <c r="AT136" s="879"/>
      <c r="AU136" s="877"/>
      <c r="AV136" s="877"/>
      <c r="AW136" s="877"/>
      <c r="AX136" s="877"/>
      <c r="AY136" s="877"/>
      <c r="AZ136" s="886"/>
      <c r="BA136" s="877"/>
      <c r="BB136" s="879"/>
      <c r="BC136" s="877"/>
      <c r="BD136" s="877"/>
      <c r="BE136" s="877"/>
      <c r="BF136" s="886"/>
      <c r="BG136" s="877"/>
      <c r="BH136" s="879"/>
      <c r="BI136" s="877"/>
      <c r="BJ136" s="877"/>
      <c r="BK136" s="877"/>
      <c r="BL136" s="886"/>
      <c r="BM136" s="877"/>
      <c r="BN136" s="879"/>
      <c r="BO136" s="877"/>
      <c r="BP136" s="877"/>
      <c r="BQ136" s="877"/>
      <c r="BR136" s="886"/>
      <c r="BS136" s="877"/>
      <c r="BT136" s="879"/>
      <c r="BU136" s="886"/>
    </row>
    <row r="137" spans="1:73">
      <c r="A137" s="18"/>
      <c r="C137" s="83"/>
      <c r="D137" s="54"/>
      <c r="E137" s="512" t="s">
        <v>320</v>
      </c>
      <c r="F137" s="928">
        <f>SUM(J137:M137)</f>
        <v>2563906.754547962</v>
      </c>
      <c r="G137" s="877">
        <f>SUM(I137:M137,P137)</f>
        <v>3206835.4894595379</v>
      </c>
      <c r="H137" s="878"/>
      <c r="I137" s="877">
        <f>I127*'Input data meat and eggs'!$C$413+I132*'Input data meat and eggs'!$C$414</f>
        <v>642928.73491157626</v>
      </c>
      <c r="J137" s="877">
        <f>J127*'Input data meat and eggs'!$C$413+J132*'Input data meat and eggs'!$C$414</f>
        <v>1625064.6998396975</v>
      </c>
      <c r="K137" s="877">
        <f>K127*'Input data meat and eggs'!$C$413+K132*'Input data meat and eggs'!$C$414</f>
        <v>874693.38176623371</v>
      </c>
      <c r="L137" s="877">
        <f>L127*'Input data meat and eggs'!$C$413+L132*'Input data meat and eggs'!$C$414</f>
        <v>64148.67294203068</v>
      </c>
      <c r="M137" s="877">
        <f>M127*'Input data meat and eggs'!$C$413+M132*'Input data meat and eggs'!$C$414</f>
        <v>0</v>
      </c>
      <c r="N137" s="877">
        <f>N127*'Input data meat and eggs'!$C$413+N132*'Input data meat and eggs'!$C$414</f>
        <v>0</v>
      </c>
      <c r="O137" s="877">
        <f>O127*'Input data meat and eggs'!$C$413+O132*'Input data meat and eggs'!$C$414</f>
        <v>0</v>
      </c>
      <c r="P137" s="877">
        <f>P127*'Input data meat and eggs'!$C$413+P132*'Input data meat and eggs'!$C$414</f>
        <v>0</v>
      </c>
      <c r="Q137" s="877">
        <f>Q127*'Input data meat and eggs'!$E$413+Q132*'Input data meat and eggs'!$E$414</f>
        <v>278.27355079278817</v>
      </c>
      <c r="R137" s="877"/>
      <c r="S137" s="877"/>
      <c r="T137" s="886"/>
      <c r="U137" s="55"/>
      <c r="V137" s="1230"/>
      <c r="W137" s="183"/>
      <c r="X137" s="183"/>
      <c r="Y137" s="183"/>
      <c r="Z137" s="1231"/>
      <c r="AA137" s="183"/>
      <c r="AB137" s="1230"/>
      <c r="AC137" s="183"/>
      <c r="AD137" s="183"/>
      <c r="AE137" s="183"/>
      <c r="AF137" s="1231"/>
      <c r="AG137" s="189"/>
      <c r="AH137" s="879"/>
      <c r="AI137" s="877"/>
      <c r="AJ137" s="877"/>
      <c r="AK137" s="877"/>
      <c r="AL137" s="886"/>
      <c r="AM137" s="877"/>
      <c r="AN137" s="879"/>
      <c r="AO137" s="877"/>
      <c r="AP137" s="877"/>
      <c r="AQ137" s="877"/>
      <c r="AR137" s="886"/>
      <c r="AS137" s="877"/>
      <c r="AT137" s="879"/>
      <c r="AU137" s="877"/>
      <c r="AV137" s="877"/>
      <c r="AW137" s="877"/>
      <c r="AX137" s="877"/>
      <c r="AY137" s="877"/>
      <c r="AZ137" s="886"/>
      <c r="BA137" s="877"/>
      <c r="BB137" s="879"/>
      <c r="BC137" s="877"/>
      <c r="BD137" s="877"/>
      <c r="BE137" s="877"/>
      <c r="BF137" s="886"/>
      <c r="BG137" s="877"/>
      <c r="BH137" s="879"/>
      <c r="BI137" s="877"/>
      <c r="BJ137" s="877"/>
      <c r="BK137" s="877"/>
      <c r="BL137" s="886"/>
      <c r="BM137" s="877"/>
      <c r="BN137" s="879"/>
      <c r="BO137" s="877"/>
      <c r="BP137" s="877"/>
      <c r="BQ137" s="877"/>
      <c r="BR137" s="886"/>
      <c r="BS137" s="877"/>
      <c r="BT137" s="879"/>
      <c r="BU137" s="886"/>
    </row>
    <row r="138" spans="1:73">
      <c r="A138" s="94"/>
      <c r="B138" s="93" t="s">
        <v>350</v>
      </c>
      <c r="C138" s="87">
        <f>'Input data meat and eggs'!D5</f>
        <v>0.12658505282894914</v>
      </c>
      <c r="D138" s="54"/>
      <c r="E138" s="513" t="s">
        <v>316</v>
      </c>
      <c r="F138" s="930">
        <f>SUMPRODUCT($CA$7:$CA$10,F139:F142)</f>
        <v>2.117274112271053</v>
      </c>
      <c r="G138" s="872">
        <f>SUMPRODUCT($CA$7:$CA$10,G139:G142)</f>
        <v>4.2792770413199586</v>
      </c>
      <c r="H138" s="873">
        <f>SUMPRODUCT($CA$7:$CA$10,H139:H142)</f>
        <v>6.9369717512131253</v>
      </c>
      <c r="I138" s="884"/>
      <c r="J138" s="884"/>
      <c r="K138" s="884"/>
      <c r="L138" s="884"/>
      <c r="M138" s="884"/>
      <c r="N138" s="884"/>
      <c r="O138" s="884"/>
      <c r="P138" s="884"/>
      <c r="Q138" s="884"/>
      <c r="R138" s="884"/>
      <c r="S138" s="884"/>
      <c r="T138" s="885"/>
      <c r="V138" s="1240"/>
      <c r="W138" s="211"/>
      <c r="X138" s="211">
        <f>SUM(W123:W128)*'Common input data'!$G$52/'Input data meat and eggs'!$J413</f>
        <v>16.16311176380675</v>
      </c>
      <c r="Y138" s="212">
        <f>X138+X138*'Common input data'!$B$145</f>
        <v>17.585465599021745</v>
      </c>
      <c r="Z138" s="1241">
        <f>Y138+Y138*'Common input data'!$B$179</f>
        <v>19.519866814914138</v>
      </c>
      <c r="AA138" s="189"/>
      <c r="AB138" s="1240"/>
      <c r="AC138" s="211"/>
      <c r="AD138" s="211">
        <f>SUM(AC123:AC128)*'Common input data'!$G$52/'Input data meat and eggs'!$J413</f>
        <v>18.806228240309295</v>
      </c>
      <c r="AE138" s="212">
        <f>AD138+AD138*'Common input data'!$B$145</f>
        <v>20.461176325456513</v>
      </c>
      <c r="AF138" s="1241">
        <f>AE138+AE138*'Common input data'!$B$179</f>
        <v>22.711905721256731</v>
      </c>
      <c r="AG138" s="189"/>
      <c r="AH138" s="883"/>
      <c r="AI138" s="884"/>
      <c r="AJ138" s="884">
        <f>SUM(AI123:AI129)*'Common input data'!$G$52/'Input data meat and eggs'!$J413</f>
        <v>0.38046815352767915</v>
      </c>
      <c r="AK138" s="1225">
        <f>AJ138+AJ138*'Common input data'!$B$145</f>
        <v>0.41394935103811492</v>
      </c>
      <c r="AL138" s="1227">
        <f>AK138+AK138*'Common input data'!$B$179</f>
        <v>0.45948377965230758</v>
      </c>
      <c r="AM138" s="877"/>
      <c r="AN138" s="883"/>
      <c r="AO138" s="884"/>
      <c r="AP138" s="884">
        <f>SUM(AO123:AO128)*'Common input data'!$G$52/'Input data meat and eggs'!$J413</f>
        <v>1.2988643655696078E-2</v>
      </c>
      <c r="AQ138" s="1225">
        <f>AP138+AP138*'Common input data'!$B$145</f>
        <v>1.4131644297397335E-2</v>
      </c>
      <c r="AR138" s="1227">
        <f>AQ138+AQ138*'Common input data'!$B$179</f>
        <v>1.5686125170111042E-2</v>
      </c>
      <c r="AS138" s="877"/>
      <c r="AT138" s="883"/>
      <c r="AU138" s="884"/>
      <c r="AV138" s="884"/>
      <c r="AW138" s="884"/>
      <c r="AX138" s="884">
        <f>SUM(AW123:AW128)*'Common input data'!$G$52/'Input data meat and eggs'!$J413</f>
        <v>3.2566597203338973E-2</v>
      </c>
      <c r="AY138" s="1225">
        <f>AX138+AX138*'Common input data'!$B$145</f>
        <v>3.5432457757232805E-2</v>
      </c>
      <c r="AZ138" s="1227">
        <f>AY138+AY138*'Common input data'!$B$179</f>
        <v>3.9330028110528416E-2</v>
      </c>
      <c r="BA138" s="877"/>
      <c r="BB138" s="883"/>
      <c r="BC138" s="884"/>
      <c r="BD138" s="884">
        <f>(SUM(BC123:BC128)*'Common input data'!$G$52/'Input data meat and eggs'!$J413)/$AS$3</f>
        <v>4.951477379831072E-12</v>
      </c>
      <c r="BE138" s="1225">
        <f>BD138+BD138*'Common input data'!$B$145</f>
        <v>5.3872073892562064E-12</v>
      </c>
      <c r="BF138" s="1227">
        <f>BE138+BE138*'Common input data'!$B$179</f>
        <v>5.979800202074389E-12</v>
      </c>
      <c r="BG138" s="877"/>
      <c r="BH138" s="883"/>
      <c r="BI138" s="884"/>
      <c r="BJ138" s="884">
        <f>SUM(BI123:BI129)*'Common input data'!$G$52/'Input data meat and eggs'!$J413</f>
        <v>8.2360243327643848E-4</v>
      </c>
      <c r="BK138" s="1225">
        <f>BJ138+BJ138*'Common input data'!$B$145</f>
        <v>8.9607944740476508E-4</v>
      </c>
      <c r="BL138" s="1227">
        <f>BK138+BK138*'Common input data'!$B$179</f>
        <v>9.9464818661928914E-4</v>
      </c>
      <c r="BM138" s="877"/>
      <c r="BN138" s="883"/>
      <c r="BO138" s="884"/>
      <c r="BP138" s="884">
        <f>SUM(BO123:BO128)*'Common input data'!$G$52/'Input data meat and eggs'!$J413</f>
        <v>2.4941785226528276E-2</v>
      </c>
      <c r="BQ138" s="1225">
        <f>BP138+BP138*'Common input data'!$B$145</f>
        <v>2.7136662326462765E-2</v>
      </c>
      <c r="BR138" s="1227">
        <f>BQ138+BQ138*'Common input data'!$B$179</f>
        <v>3.0121695182373669E-2</v>
      </c>
      <c r="BS138" s="877"/>
      <c r="BT138" s="883">
        <f>'Common input data'!$C$202+'Common input data'!$C$202*'Common input data'!$B$145</f>
        <v>0.15580160000000001</v>
      </c>
      <c r="BU138" s="1227">
        <f>BT138+BT138*'Common input data'!$B$179</f>
        <v>0.17293977600000002</v>
      </c>
    </row>
    <row r="139" spans="1:73">
      <c r="A139" s="18"/>
      <c r="C139" s="83"/>
      <c r="D139" s="54"/>
      <c r="E139" s="511" t="s">
        <v>317</v>
      </c>
      <c r="F139" s="928">
        <f>IF(AND($G$2="No",$G$3="No"),SUM(J139:M139),IF(AND($G$2="Yes", $G$3="No"), SUM(J139:M139)+O139, IF(AND($G$2="No", $G$3="Yes"),SUM(J139:M139)+N139, SUM(J139:M139)+O139+N139)))</f>
        <v>-0.17366464671950088</v>
      </c>
      <c r="G139" s="877">
        <f>IF(AND($G$2="No",$G$3="No"),SUM(I139:M139,P139),IF(AND($G$2="Yes", $G$3="No"), SUM(I139:M139,P139)+O139, IF(AND($G$2="No", $G$3="Yes"),SUM(I139:M139,P139)+N139, SUM(I139:M139,P139)+O139+N139)))</f>
        <v>1.6043428860963895</v>
      </c>
      <c r="H139" s="878">
        <f>SUM(R139:T139)/(1-'Common input data'!B$145)</f>
        <v>2.7164501949778748</v>
      </c>
      <c r="I139" s="877">
        <f>I134*'Common input data'!$G$52/'Input data meat and eggs'!$H$413</f>
        <v>1.5951787519334273</v>
      </c>
      <c r="J139" s="877">
        <f>J134*'Common input data'!$G$52/'Input data meat and eggs'!$H$413</f>
        <v>0</v>
      </c>
      <c r="K139" s="877">
        <f>K134*'Common input data'!$G$52/'Input data meat and eggs'!$H$413</f>
        <v>0</v>
      </c>
      <c r="L139" s="877">
        <f>L134*'Common input data'!$G$52/'Input data meat and eggs'!$H$413</f>
        <v>0</v>
      </c>
      <c r="M139" s="877">
        <f>M134*'Common input data'!$G$52/'Input data meat and eggs'!$H$413</f>
        <v>0</v>
      </c>
      <c r="N139" s="877">
        <f>N134*'Common input data'!$G$52/'Input data meat and eggs'!$H$413</f>
        <v>-0.33408738944518973</v>
      </c>
      <c r="O139" s="877">
        <f>O134*'Common input data'!$G$52/'Input data meat and eggs'!$H$413</f>
        <v>0.16042274272568885</v>
      </c>
      <c r="P139" s="877">
        <f>P134*'Common input data'!$G$52/'Input data meat and eggs'!$H$413</f>
        <v>0.18282878088246313</v>
      </c>
      <c r="Q139" s="877">
        <f>Q134*'Common input data'!$G$52/'Input data meat and eggs'!$H$413</f>
        <v>2.710190548838631E-2</v>
      </c>
      <c r="R139" s="877">
        <f>(G139+Q139)/'Input data meat and eggs'!$B$29</f>
        <v>2.3474025778198215</v>
      </c>
      <c r="S139" s="877">
        <f>'Common input data'!B109</f>
        <v>0.1</v>
      </c>
      <c r="T139" s="886">
        <f>'Common input data'!C115</f>
        <v>0.03</v>
      </c>
      <c r="V139" s="1230"/>
      <c r="W139" s="183"/>
      <c r="X139" s="183"/>
      <c r="Y139" s="183"/>
      <c r="Z139" s="1231"/>
      <c r="AA139" s="183"/>
      <c r="AB139" s="1230"/>
      <c r="AC139" s="183"/>
      <c r="AD139" s="183"/>
      <c r="AE139" s="183"/>
      <c r="AF139" s="1231"/>
      <c r="AG139" s="189"/>
      <c r="AH139" s="879"/>
      <c r="AI139" s="877"/>
      <c r="AJ139" s="877"/>
      <c r="AK139" s="877"/>
      <c r="AL139" s="886"/>
      <c r="AM139" s="877"/>
      <c r="AN139" s="879"/>
      <c r="AO139" s="877"/>
      <c r="AP139" s="877"/>
      <c r="AQ139" s="877"/>
      <c r="AR139" s="886"/>
      <c r="AS139" s="877"/>
      <c r="AT139" s="879"/>
      <c r="AU139" s="877"/>
      <c r="AV139" s="877"/>
      <c r="AW139" s="877"/>
      <c r="AX139" s="877"/>
      <c r="AY139" s="877"/>
      <c r="AZ139" s="886"/>
      <c r="BA139" s="877"/>
      <c r="BB139" s="879"/>
      <c r="BC139" s="877"/>
      <c r="BD139" s="877"/>
      <c r="BE139" s="877"/>
      <c r="BF139" s="886"/>
      <c r="BG139" s="877"/>
      <c r="BH139" s="879"/>
      <c r="BI139" s="877"/>
      <c r="BJ139" s="877"/>
      <c r="BK139" s="877"/>
      <c r="BL139" s="886"/>
      <c r="BM139" s="877"/>
      <c r="BN139" s="879"/>
      <c r="BO139" s="877"/>
      <c r="BP139" s="877"/>
      <c r="BQ139" s="877"/>
      <c r="BR139" s="886"/>
      <c r="BS139" s="877"/>
      <c r="BT139" s="879"/>
      <c r="BU139" s="886"/>
    </row>
    <row r="140" spans="1:73">
      <c r="A140" s="18"/>
      <c r="C140" s="83"/>
      <c r="D140" s="54"/>
      <c r="E140" s="511" t="s">
        <v>321</v>
      </c>
      <c r="F140" s="928">
        <f>SUM(J140:M140)</f>
        <v>0.16842135341116748</v>
      </c>
      <c r="G140" s="877">
        <f>SUM(I140:M140,P140)</f>
        <v>0.16842135341116748</v>
      </c>
      <c r="H140" s="878">
        <f>SUM(R140:T140)/(1-'Common input data'!B$145)</f>
        <v>0.26572770012304353</v>
      </c>
      <c r="I140" s="877">
        <f>I135*'Common input data'!$G$52/'Input data meat and eggs'!$H$413</f>
        <v>0</v>
      </c>
      <c r="J140" s="877">
        <f>J135*'Common input data'!$G$52/'Input data meat and eggs'!$H$413</f>
        <v>0</v>
      </c>
      <c r="K140" s="877">
        <f>K135*'Common input data'!$G$52/'Input data meat and eggs'!$H$413</f>
        <v>1.0097433480807383E-2</v>
      </c>
      <c r="L140" s="877">
        <f>L135*'Common input data'!$G$52/'Input data meat and eggs'!$H$413</f>
        <v>0</v>
      </c>
      <c r="M140" s="877">
        <f>M135*'Common input data'!$G$52/'Input data meat and eggs'!$H$413</f>
        <v>0.1583239199303601</v>
      </c>
      <c r="N140" s="877">
        <f>N135*'Common input data'!$G$52/'Input data meat and eggs'!$H$413</f>
        <v>0</v>
      </c>
      <c r="O140" s="877">
        <f>O135*'Common input data'!$G$52/'Input data meat and eggs'!$H$413</f>
        <v>0</v>
      </c>
      <c r="P140" s="877">
        <f>P135*'Common input data'!$G$52/'Input data meat and eggs'!$H$413</f>
        <v>0</v>
      </c>
      <c r="Q140" s="877">
        <f>Q136*'Common input data'!$G$52/'Input data meat and eggs'!$H$413</f>
        <v>7.4920348224339425E-6</v>
      </c>
      <c r="R140" s="877">
        <f>(G140+Q140)/'Input data meat and eggs'!$B$29</f>
        <v>0.2423436625122157</v>
      </c>
      <c r="S140" s="877">
        <v>0</v>
      </c>
      <c r="T140" s="886">
        <v>0</v>
      </c>
      <c r="V140" s="1230"/>
      <c r="W140" s="183"/>
      <c r="X140" s="183"/>
      <c r="Y140" s="183"/>
      <c r="Z140" s="1231"/>
      <c r="AA140" s="183"/>
      <c r="AB140" s="1230"/>
      <c r="AC140" s="183"/>
      <c r="AD140" s="183"/>
      <c r="AE140" s="183"/>
      <c r="AF140" s="1231"/>
      <c r="AG140" s="189"/>
      <c r="AH140" s="879"/>
      <c r="AI140" s="877"/>
      <c r="AJ140" s="877"/>
      <c r="AK140" s="877"/>
      <c r="AL140" s="886"/>
      <c r="AM140" s="877"/>
      <c r="AN140" s="879"/>
      <c r="AO140" s="877"/>
      <c r="AP140" s="877"/>
      <c r="AQ140" s="877"/>
      <c r="AR140" s="886"/>
      <c r="AS140" s="877"/>
      <c r="AT140" s="879"/>
      <c r="AU140" s="877"/>
      <c r="AV140" s="877"/>
      <c r="AW140" s="877"/>
      <c r="AX140" s="877"/>
      <c r="AY140" s="877"/>
      <c r="AZ140" s="886"/>
      <c r="BA140" s="877"/>
      <c r="BB140" s="879"/>
      <c r="BC140" s="877"/>
      <c r="BD140" s="877"/>
      <c r="BE140" s="877"/>
      <c r="BF140" s="886"/>
      <c r="BG140" s="877"/>
      <c r="BH140" s="879"/>
      <c r="BI140" s="877"/>
      <c r="BJ140" s="877"/>
      <c r="BK140" s="877"/>
      <c r="BL140" s="886"/>
      <c r="BM140" s="877"/>
      <c r="BN140" s="879"/>
      <c r="BO140" s="877"/>
      <c r="BP140" s="877"/>
      <c r="BQ140" s="877"/>
      <c r="BR140" s="886"/>
      <c r="BS140" s="877"/>
      <c r="BT140" s="879"/>
      <c r="BU140" s="886"/>
    </row>
    <row r="141" spans="1:73">
      <c r="A141" s="18"/>
      <c r="C141" s="83"/>
      <c r="D141" s="54"/>
      <c r="E141" s="511" t="s">
        <v>319</v>
      </c>
      <c r="F141" s="928">
        <f>SUM(J141:M141)</f>
        <v>0</v>
      </c>
      <c r="G141" s="877">
        <f>SUM(I141:M141,P141)</f>
        <v>1.7051597762283079E-3</v>
      </c>
      <c r="H141" s="878">
        <f>SUM(R141:T141)/(1-'Common input data'!B$145)</f>
        <v>2.6913072705468596E-3</v>
      </c>
      <c r="I141" s="877">
        <f>I136*'Common input data'!$G$52/'Input data meat and eggs'!$H$413</f>
        <v>1.7051597762283079E-3</v>
      </c>
      <c r="J141" s="877">
        <f>J136*'Common input data'!$G$52/'Input data meat and eggs'!$H$413</f>
        <v>0</v>
      </c>
      <c r="K141" s="877">
        <f>K136*'Common input data'!$G$52/'Input data meat and eggs'!$H$413</f>
        <v>0</v>
      </c>
      <c r="L141" s="877">
        <f>L136*'Common input data'!$G$52/'Input data meat and eggs'!$H$413</f>
        <v>0</v>
      </c>
      <c r="M141" s="877">
        <f>M136*'Common input data'!$G$52/'Input data meat and eggs'!$H$413</f>
        <v>0</v>
      </c>
      <c r="N141" s="877">
        <f>N136*'Common input data'!$G$52/'Input data meat and eggs'!$H$413</f>
        <v>0</v>
      </c>
      <c r="O141" s="877">
        <f>O136*'Common input data'!$G$52/'Input data meat and eggs'!$H$413</f>
        <v>0</v>
      </c>
      <c r="P141" s="877">
        <f>P136*'Common input data'!$G$52/'Input data meat and eggs'!$H$413</f>
        <v>0</v>
      </c>
      <c r="Q141" s="877">
        <f>Q137*'Common input data'!$G$52/'Input data meat and eggs'!$H$413</f>
        <v>6.9842413511356419E-7</v>
      </c>
      <c r="R141" s="877">
        <f>(G141+Q141)/'Input data meat and eggs'!$B$29</f>
        <v>2.4544722307387359E-3</v>
      </c>
      <c r="S141" s="877">
        <v>0</v>
      </c>
      <c r="T141" s="886">
        <v>0</v>
      </c>
      <c r="V141" s="1230"/>
      <c r="W141" s="183"/>
      <c r="X141" s="183"/>
      <c r="Y141" s="183"/>
      <c r="Z141" s="1231"/>
      <c r="AA141" s="183"/>
      <c r="AB141" s="1230"/>
      <c r="AC141" s="183"/>
      <c r="AD141" s="183"/>
      <c r="AE141" s="183"/>
      <c r="AF141" s="1231"/>
      <c r="AG141" s="189"/>
      <c r="AH141" s="879"/>
      <c r="AI141" s="877"/>
      <c r="AJ141" s="877"/>
      <c r="AK141" s="877"/>
      <c r="AL141" s="886"/>
      <c r="AM141" s="877"/>
      <c r="AN141" s="879"/>
      <c r="AO141" s="877"/>
      <c r="AP141" s="877"/>
      <c r="AQ141" s="877"/>
      <c r="AR141" s="886"/>
      <c r="AS141" s="877"/>
      <c r="AT141" s="879"/>
      <c r="AU141" s="877"/>
      <c r="AV141" s="877"/>
      <c r="AW141" s="877"/>
      <c r="AX141" s="877"/>
      <c r="AY141" s="877"/>
      <c r="AZ141" s="886"/>
      <c r="BA141" s="877"/>
      <c r="BB141" s="879"/>
      <c r="BC141" s="877"/>
      <c r="BD141" s="877"/>
      <c r="BE141" s="877"/>
      <c r="BF141" s="886"/>
      <c r="BG141" s="877"/>
      <c r="BH141" s="879"/>
      <c r="BI141" s="877"/>
      <c r="BJ141" s="877"/>
      <c r="BK141" s="877"/>
      <c r="BL141" s="886"/>
      <c r="BM141" s="877"/>
      <c r="BN141" s="879"/>
      <c r="BO141" s="877"/>
      <c r="BP141" s="877"/>
      <c r="BQ141" s="877"/>
      <c r="BR141" s="886"/>
      <c r="BS141" s="877"/>
      <c r="BT141" s="879"/>
      <c r="BU141" s="886"/>
    </row>
    <row r="142" spans="1:73">
      <c r="A142" s="18"/>
      <c r="C142" s="83"/>
      <c r="D142" s="54"/>
      <c r="E142" s="512" t="s">
        <v>320</v>
      </c>
      <c r="F142" s="928">
        <f>SUM(J142:M142)</f>
        <v>6.4350145835110166E-3</v>
      </c>
      <c r="G142" s="877">
        <f>SUM(I142:M142,P142)</f>
        <v>8.0486675675657017E-3</v>
      </c>
      <c r="H142" s="878">
        <f>SUM(R142:T142)/(1-'Common input data'!B$145)</f>
        <v>1.2699365757447961E-2</v>
      </c>
      <c r="I142" s="877">
        <f>I137*'Common input data'!$G$52/'Input data meat and eggs'!$H$413</f>
        <v>1.6136529840546851E-3</v>
      </c>
      <c r="J142" s="877">
        <f>J137*'Common input data'!$G$52/'Input data meat and eggs'!$H$413</f>
        <v>4.0786643367851797E-3</v>
      </c>
      <c r="K142" s="877">
        <f>K137*'Common input data'!$G$52/'Input data meat and eggs'!$H$413</f>
        <v>2.1953468696870233E-3</v>
      </c>
      <c r="L142" s="877">
        <f>L137*'Common input data'!$G$52/'Input data meat and eggs'!$H$413</f>
        <v>1.6100337703881342E-4</v>
      </c>
      <c r="M142" s="877">
        <f>M137*'Common input data'!$G$52/'Input data meat and eggs'!$H$413</f>
        <v>0</v>
      </c>
      <c r="N142" s="877">
        <f>N137*'Common input data'!$G$52/'Input data meat and eggs'!$H$413</f>
        <v>0</v>
      </c>
      <c r="O142" s="877">
        <f>O137*'Common input data'!$G$52/'Input data meat and eggs'!$H$413</f>
        <v>0</v>
      </c>
      <c r="P142" s="877">
        <f>P137*'Common input data'!$G$52/'Input data meat and eggs'!$H$413</f>
        <v>0</v>
      </c>
      <c r="Q142" s="877">
        <f>Q137*'Common input data'!$G$52/'Input data meat and eggs'!$H$413</f>
        <v>6.9842413511356419E-7</v>
      </c>
      <c r="R142" s="877">
        <f>(G142+Q142)/'Input data meat and eggs'!$B$29</f>
        <v>1.1581821570792539E-2</v>
      </c>
      <c r="S142" s="877">
        <v>0</v>
      </c>
      <c r="T142" s="886">
        <v>0</v>
      </c>
      <c r="V142" s="1230"/>
      <c r="W142" s="183"/>
      <c r="X142" s="183"/>
      <c r="Y142" s="183"/>
      <c r="Z142" s="1231"/>
      <c r="AA142" s="183"/>
      <c r="AB142" s="1230"/>
      <c r="AC142" s="183"/>
      <c r="AD142" s="183"/>
      <c r="AE142" s="183"/>
      <c r="AF142" s="1231"/>
      <c r="AG142" s="189"/>
      <c r="AH142" s="879"/>
      <c r="AI142" s="877"/>
      <c r="AJ142" s="877"/>
      <c r="AK142" s="877"/>
      <c r="AL142" s="886"/>
      <c r="AM142" s="877"/>
      <c r="AN142" s="879"/>
      <c r="AO142" s="877"/>
      <c r="AP142" s="877"/>
      <c r="AQ142" s="877"/>
      <c r="AR142" s="886"/>
      <c r="AS142" s="877"/>
      <c r="AT142" s="879"/>
      <c r="AU142" s="877"/>
      <c r="AV142" s="877"/>
      <c r="AW142" s="877"/>
      <c r="AX142" s="877"/>
      <c r="AY142" s="877"/>
      <c r="AZ142" s="886"/>
      <c r="BA142" s="877"/>
      <c r="BB142" s="879"/>
      <c r="BC142" s="877"/>
      <c r="BD142" s="877"/>
      <c r="BE142" s="877"/>
      <c r="BF142" s="886"/>
      <c r="BG142" s="877"/>
      <c r="BH142" s="879"/>
      <c r="BI142" s="877"/>
      <c r="BJ142" s="877"/>
      <c r="BK142" s="877"/>
      <c r="BL142" s="886"/>
      <c r="BM142" s="877"/>
      <c r="BN142" s="879"/>
      <c r="BO142" s="877"/>
      <c r="BP142" s="877"/>
      <c r="BQ142" s="877"/>
      <c r="BR142" s="886"/>
      <c r="BS142" s="877"/>
      <c r="BT142" s="879"/>
      <c r="BU142" s="886"/>
    </row>
    <row r="143" spans="1:73">
      <c r="A143" s="94"/>
      <c r="B143" s="93" t="s">
        <v>351</v>
      </c>
      <c r="C143" s="87">
        <f>'Input data meat and eggs'!D6</f>
        <v>1.8248091789190072E-2</v>
      </c>
      <c r="D143" s="54"/>
      <c r="E143" s="513" t="s">
        <v>316</v>
      </c>
      <c r="F143" s="930">
        <f>SUMPRODUCT($CA$7:$CA$10,F144:F147)</f>
        <v>5.2252851511039662</v>
      </c>
      <c r="G143" s="872">
        <f>SUMPRODUCT($CA$7:$CA$10,G144:G147)</f>
        <v>8.3468443519051583</v>
      </c>
      <c r="H143" s="873">
        <f>SUMPRODUCT($CA$7:$CA$10,H144:H147)</f>
        <v>13.908683171485857</v>
      </c>
      <c r="I143" s="884"/>
      <c r="J143" s="884"/>
      <c r="K143" s="884"/>
      <c r="L143" s="884"/>
      <c r="M143" s="884"/>
      <c r="N143" s="884"/>
      <c r="O143" s="884"/>
      <c r="P143" s="884"/>
      <c r="Q143" s="884"/>
      <c r="R143" s="884"/>
      <c r="S143" s="884"/>
      <c r="T143" s="885"/>
      <c r="V143" s="1240">
        <f>'Input data meat and eggs'!$S415*'Input data meat and eggs'!E$48+'Input data meat and eggs'!$U415*'Input data meat and eggs'!E$35+'Input data meat and eggs'!$V415*SUMPRODUCT('Input data meat and eggs'!$E$77:$E$86,'Input data meat and eggs'!E$37:E$46)</f>
        <v>5747.7097727526207</v>
      </c>
      <c r="W143" s="211">
        <f>V143*'Input data meat and eggs'!$D415</f>
        <v>91949561.860587329</v>
      </c>
      <c r="X143" s="1243">
        <f>W143/'Input data meat and eggs'!$J415</f>
        <v>22.206505323002048</v>
      </c>
      <c r="Y143" s="212">
        <f>X143+X143*'Common input data'!$B$145</f>
        <v>24.160677791426231</v>
      </c>
      <c r="Z143" s="1241">
        <f>Y143+Y143*'Common input data'!$B$179</f>
        <v>26.818352348483117</v>
      </c>
      <c r="AA143" s="189"/>
      <c r="AB143" s="1240">
        <f>'Input data meat and eggs'!$T415*'Input data meat and eggs'!F$47</f>
        <v>16029.093100215041</v>
      </c>
      <c r="AC143" s="211">
        <f>AB143*'Input data meat and eggs'!$D415</f>
        <v>256427019.78000015</v>
      </c>
      <c r="AD143" s="1243">
        <f>AC143/'Input data meat and eggs'!$J415</f>
        <v>61.929038752134758</v>
      </c>
      <c r="AE143" s="212">
        <f>AD143+AD143*'Common input data'!$B$145</f>
        <v>67.37879416232262</v>
      </c>
      <c r="AF143" s="1241">
        <f>AE143+AE143*'Common input data'!$B$179</f>
        <v>74.790461520178113</v>
      </c>
      <c r="AG143" s="189"/>
      <c r="AH143" s="883">
        <f>'Input data meat and eggs'!$S415*'Input data meat and eggs'!G$48+'Input data meat and eggs'!$T415*'Input data meat and eggs'!G$47+'Input data meat and eggs'!$U415*'Input data meat and eggs'!G$35+'Input data meat and eggs'!$V415*SUMPRODUCT('Input data meat and eggs'!$E$77:$E$86,'Input data meat and eggs'!G$37:G$46)</f>
        <v>177.33693702462006</v>
      </c>
      <c r="AI143" s="884">
        <f>AH143*'Input data meat and eggs'!$D415</f>
        <v>2836965.3837450617</v>
      </c>
      <c r="AJ143" s="884">
        <f>AI143/'Input data meat and eggs'!$J415</f>
        <v>0.68514830979646879</v>
      </c>
      <c r="AK143" s="1225">
        <f>AJ143+AJ143*'Common input data'!$B$145</f>
        <v>0.74544136105855807</v>
      </c>
      <c r="AL143" s="1227">
        <f>AK143+AK143*'Common input data'!$B$179</f>
        <v>0.82743991077499945</v>
      </c>
      <c r="AM143" s="877"/>
      <c r="AN143" s="883">
        <f>'Input data meat and eggs'!$S415*'Input data meat and eggs'!H$48+'Input data meat and eggs'!$T415*'Input data meat and eggs'!H$47+'Input data meat and eggs'!$U415*'Input data meat and eggs'!H$35+'Input data meat and eggs'!$V415*SUMPRODUCT('Input data meat and eggs'!$E$77:$E$86,'Input data meat and eggs'!H$37:H$46)</f>
        <v>4.052410990753728</v>
      </c>
      <c r="AO143" s="884">
        <f>AN143*'Input data meat and eggs'!$D415</f>
        <v>64828.850065681843</v>
      </c>
      <c r="AP143" s="884">
        <f>AO143/'Input data meat and eggs'!$J415</f>
        <v>1.5656651047999567E-2</v>
      </c>
      <c r="AQ143" s="1225">
        <f>AP143+AP143*'Common input data'!$B$145</f>
        <v>1.703443634022353E-2</v>
      </c>
      <c r="AR143" s="1227">
        <f>AQ143+AQ143*'Common input data'!$B$179</f>
        <v>1.8908224337648119E-2</v>
      </c>
      <c r="AS143" s="877"/>
      <c r="AT143" s="883">
        <f>'Input data meat and eggs'!$S415*'Input data meat and eggs'!I$48+'Input data meat and eggs'!$T415*'Input data meat and eggs'!I$47+'Input data meat and eggs'!$U415*'Input data meat and eggs'!I$35+'Input data meat and eggs'!$V415*SUMPRODUCT('Input data meat and eggs'!$E$77:$E$86,'Input data meat and eggs'!I$37:I$46)</f>
        <v>0.33392501803477886</v>
      </c>
      <c r="AU143" s="884">
        <f>'Input data meat and eggs'!G415/12*((1-'Input data meat and eggs'!$R415)*'Input data meat and eggs'!$B$61+'Input data meat and eggs'!$R415*'Input data meat and eggs'!$B$62)</f>
        <v>29.638127749999995</v>
      </c>
      <c r="AV143" s="884">
        <f>SUM(AT143:AU143)</f>
        <v>29.972052768034775</v>
      </c>
      <c r="AW143" s="884">
        <f>AV143*'Input data meat and eggs'!$D415</f>
        <v>479480.91136191314</v>
      </c>
      <c r="AX143" s="884">
        <f>AW143/'Input data meat and eggs'!$J415</f>
        <v>0.11579821801195678</v>
      </c>
      <c r="AY143" s="1225">
        <f>AX143+AX143*'Common input data'!$B$145</f>
        <v>0.12598846119700899</v>
      </c>
      <c r="AZ143" s="1227">
        <f>AY143+AY143*'Common input data'!$B$179</f>
        <v>0.13984719192867998</v>
      </c>
      <c r="BA143" s="877"/>
      <c r="BB143" s="883">
        <f>'Input data meat and eggs'!$S415*'Input data meat and eggs'!J$48+'Input data meat and eggs'!$T415*'Input data meat and eggs'!J$47+'Input data meat and eggs'!$U415*'Input data meat and eggs'!J$35+'Input data meat and eggs'!$V415*SUMPRODUCT('Input data meat and eggs'!$E$77:$E$86,'Input data meat and eggs'!J$37:J$46)</f>
        <v>1.6713042746540969E-7</v>
      </c>
      <c r="BC143" s="884">
        <f>BB143*'Input data meat and eggs'!$D415</f>
        <v>2.6736857264206383E-3</v>
      </c>
      <c r="BD143" s="884">
        <f>(BC143/'Input data meat and eggs'!$J415)/$AS$3</f>
        <v>6.4571505414909273E-12</v>
      </c>
      <c r="BE143" s="1225">
        <f>BD143+BD143*'Common input data'!$B$145</f>
        <v>7.0253797891421292E-12</v>
      </c>
      <c r="BF143" s="1227">
        <f>BE143+BE143*'Common input data'!$B$179</f>
        <v>7.7981715659477637E-12</v>
      </c>
      <c r="BG143" s="877"/>
      <c r="BH143" s="883">
        <f>'Input data meat and eggs'!$S415*'Input data meat and eggs'!P$48+'Input data meat and eggs'!$T415*'Input data meat and eggs'!P$47+'Input data meat and eggs'!$U415*'Input data meat and eggs'!P$35+'Input data meat and eggs'!$V415*SUMPRODUCT('Input data meat and eggs'!$E$77:$E$86,'Input data meat and eggs'!P$37:P$46)</f>
        <v>0.23398107291115275</v>
      </c>
      <c r="BI143" s="884">
        <f>BH143*'Input data meat and eggs'!$D415</f>
        <v>3743.1356120034575</v>
      </c>
      <c r="BJ143" s="884">
        <f>BI143/'Input data meat and eggs'!$J415</f>
        <v>9.0399518182263539E-4</v>
      </c>
      <c r="BK143" s="1225">
        <f>BJ143+BJ143*'Common input data'!$B$145</f>
        <v>9.8354675782302728E-4</v>
      </c>
      <c r="BL143" s="1227">
        <f>BK143+BK143*'Common input data'!$B$179</f>
        <v>1.0917369011835603E-3</v>
      </c>
      <c r="BM143" s="877"/>
      <c r="BN143" s="883">
        <f>'Input data meat and eggs'!$S415*'Input data meat and eggs'!W$48+'Input data meat and eggs'!$T415*'Input data meat and eggs'!W$47+'Input data meat and eggs'!$U415*'Input data meat and eggs'!W$35+'Input data meat and eggs'!$V415*SUMPRODUCT('Input data meat and eggs'!$E$77:$E$86,'Input data meat and eggs'!W$37:W$46)</f>
        <v>11.604438330904573</v>
      </c>
      <c r="BO143" s="884">
        <f>BN143*'Input data meat and eggs'!$D415</f>
        <v>185643.162642479</v>
      </c>
      <c r="BP143" s="884">
        <f>BO143/'Input data meat and eggs'!$J415</f>
        <v>4.4834209059632084E-2</v>
      </c>
      <c r="BQ143" s="1225">
        <f>BP143+BP143*'Common input data'!$B$145</f>
        <v>4.8779619456879711E-2</v>
      </c>
      <c r="BR143" s="1227">
        <f>BQ143+BQ143*'Common input data'!$B$179</f>
        <v>5.4145377597136481E-2</v>
      </c>
      <c r="BS143" s="877"/>
      <c r="BT143" s="883">
        <f>'Common input data'!$C$202+'Common input data'!$C$202*'Common input data'!$B$145</f>
        <v>0.15580160000000001</v>
      </c>
      <c r="BU143" s="1227">
        <f>BT143+BT143*'Common input data'!$B$179</f>
        <v>0.17293977600000002</v>
      </c>
    </row>
    <row r="144" spans="1:73">
      <c r="A144" s="18"/>
      <c r="C144" s="64"/>
      <c r="E144" s="511" t="s">
        <v>317</v>
      </c>
      <c r="F144" s="928">
        <f>IF(AND($G$2="No",$G$3="No"),SUM(J144:M144),IF(AND($G$2="Yes", $G$3="No"), SUM(J144:M144)+O144, IF(AND($G$2="No", $G$3="Yes"),SUM(J144:M144)+N144, SUM(J144:M144)+O144+N144)))</f>
        <v>-1.447478021704357</v>
      </c>
      <c r="G144" s="877">
        <f>IF(AND($G$2="No",$G$3="No"),SUM(I144:M144,P144),IF(AND($G$2="Yes", $G$3="No"), SUM(I144:M144,P144)+O144, IF(AND($G$2="No", $G$3="Yes"),SUM(I144:M144,P144)+N144, SUM(I144:M144,P144)+O144+N144)))</f>
        <v>1.1919378545243919</v>
      </c>
      <c r="H144" s="878">
        <f>SUM(R144:T144)/(1-'Common input data'!B$145)</f>
        <v>2.6161609825285588</v>
      </c>
      <c r="I144" s="877">
        <f>('Input data meat and eggs'!S415*'Input data meat and eggs'!B48+'Input data meat and eggs'!T415*'Input data meat and eggs'!B47+'Input data meat and eggs'!U415*'Input data meat and eggs'!B35+'Input data meat and eggs'!V415*SUMPRODUCT('Input data meat and eggs'!B37:B46,'Input data meat and eggs'!F77:F86))*'Input data meat and eggs'!$E$415/'Input data meat and eggs'!$H$415</f>
        <v>1.9388158762287488</v>
      </c>
      <c r="J144" s="877">
        <v>0</v>
      </c>
      <c r="K144" s="877">
        <v>0</v>
      </c>
      <c r="L144" s="877">
        <v>0</v>
      </c>
      <c r="M144" s="877">
        <v>0</v>
      </c>
      <c r="N144" s="877">
        <f>(('Input data meat and eggs'!S415+'Input data meat and eggs'!T415)*'Common input data'!F19+
'Input data meat and eggs'!U415*'Common input data'!B19+'Input data meat and eggs'!V415*('Input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eggs'!$E$415/'Input data meat and eggs'!$H$415</f>
        <v>-1.4663844753378532</v>
      </c>
      <c r="O144" s="877">
        <f>('Input data meat and eggs'!V415*('Input data meat and eggs'!F79*'Common input data'!AR27*'Common input data'!G44/'Common input data'!F44+'Input data meat and eggs'!F83*'Common input data'!AS27*'Common input data'!J46/'Common input data'!I46))*'Input data meat and eggs'!$E$415/'Input data meat and eggs'!$H$415</f>
        <v>1.8906453633496231E-2</v>
      </c>
      <c r="P144" s="877">
        <f>'Input data meat and eggs'!B95*'Common input data'!B80</f>
        <v>0.70060000000000011</v>
      </c>
      <c r="Q144" s="877">
        <f>'Input data meat and eggs'!B104*'Common input data'!B80+'Input data meat and eggs'!C104*3.6*'Common input data'!B66</f>
        <v>0.37593962264150943</v>
      </c>
      <c r="R144" s="877">
        <f>(G144+Q144)/'Input data meat and eggs'!$B$29</f>
        <v>2.2559388160660454</v>
      </c>
      <c r="S144" s="877">
        <f>'Common input data'!B109</f>
        <v>0.1</v>
      </c>
      <c r="T144" s="886">
        <f>'Common input data'!C115</f>
        <v>0.03</v>
      </c>
      <c r="V144" s="1230"/>
      <c r="W144" s="183"/>
      <c r="X144" s="183"/>
      <c r="Y144" s="183"/>
      <c r="Z144" s="1231"/>
      <c r="AA144" s="183"/>
      <c r="AB144" s="1230"/>
      <c r="AC144" s="183"/>
      <c r="AD144" s="183"/>
      <c r="AE144" s="183"/>
      <c r="AF144" s="1231"/>
      <c r="AG144" s="189"/>
      <c r="AH144" s="879"/>
      <c r="AI144" s="877"/>
      <c r="AJ144" s="877"/>
      <c r="AK144" s="877"/>
      <c r="AL144" s="886"/>
      <c r="AM144" s="877"/>
      <c r="AN144" s="879"/>
      <c r="AO144" s="877"/>
      <c r="AP144" s="877"/>
      <c r="AQ144" s="877"/>
      <c r="AR144" s="886"/>
      <c r="AS144" s="877"/>
      <c r="AT144" s="879"/>
      <c r="AU144" s="877"/>
      <c r="AV144" s="877"/>
      <c r="AW144" s="877"/>
      <c r="AX144" s="877"/>
      <c r="AY144" s="877"/>
      <c r="AZ144" s="886"/>
      <c r="BA144" s="877"/>
      <c r="BB144" s="879"/>
      <c r="BC144" s="877"/>
      <c r="BD144" s="877"/>
      <c r="BE144" s="877"/>
      <c r="BF144" s="886"/>
      <c r="BG144" s="877"/>
      <c r="BH144" s="879"/>
      <c r="BI144" s="877"/>
      <c r="BJ144" s="877"/>
      <c r="BK144" s="877"/>
      <c r="BL144" s="886"/>
      <c r="BM144" s="877"/>
      <c r="BN144" s="879"/>
      <c r="BO144" s="877"/>
      <c r="BP144" s="877"/>
      <c r="BQ144" s="877"/>
      <c r="BR144" s="886"/>
      <c r="BS144" s="877"/>
      <c r="BT144" s="879"/>
      <c r="BU144" s="886"/>
    </row>
    <row r="145" spans="1:73">
      <c r="A145" s="18"/>
      <c r="C145" s="64"/>
      <c r="E145" s="511" t="s">
        <v>321</v>
      </c>
      <c r="F145" s="928">
        <f>SUM(J145:M145)</f>
        <v>0.64532236122579567</v>
      </c>
      <c r="G145" s="877">
        <f>SUM(I145:M145,P145)</f>
        <v>0.64532236122579567</v>
      </c>
      <c r="H145" s="878">
        <f>SUM(R145:T145)/(1-'Common input data'!B$145)</f>
        <v>1.0181155515994507</v>
      </c>
      <c r="I145" s="877">
        <v>0</v>
      </c>
      <c r="J145" s="877">
        <v>0</v>
      </c>
      <c r="K145" s="877">
        <f>('Input data meat and eggs'!M415*'Input data meat and eggs'!G415/12*'Input data meat and eggs'!$B$462*'Input data meat and eggs'!$B$464*'Input data meat and eggs'!$B$465*
('Input data meat and eggs'!$O$415*'Input data meat and eggs'!$B$455
+'Input data meat and eggs'!$P$415*'Input data meat and eggs'!$C$455+
'Input data meat and eggs'!$Q$415*'Input data meat and eggs'!$D$455+
'Input data meat and eggs'!$R$415*'Input data meat and eggs'!$E$455))*'Input data meat and eggs'!$E$415/'Input data meat and eggs'!$H$415</f>
        <v>4.5046817513772687E-2</v>
      </c>
      <c r="L145" s="877">
        <v>0</v>
      </c>
      <c r="M145" s="877">
        <f>('Input data meat and eggs'!L415*'Input data meat and eggs'!G415/12)*'Input data meat and eggs'!$E$415/'Input data meat and eggs'!$H$415</f>
        <v>0.60027554371202296</v>
      </c>
      <c r="N145" s="877">
        <v>0</v>
      </c>
      <c r="O145" s="877">
        <v>0</v>
      </c>
      <c r="P145" s="877">
        <v>0</v>
      </c>
      <c r="Q145" s="877">
        <v>0</v>
      </c>
      <c r="R145" s="877">
        <f>(G145+Q145)/'Input data meat and eggs'!$B$29</f>
        <v>0.92852138305869891</v>
      </c>
      <c r="S145" s="877">
        <v>0</v>
      </c>
      <c r="T145" s="886">
        <v>0</v>
      </c>
      <c r="V145" s="1230"/>
      <c r="W145" s="183"/>
      <c r="X145" s="183"/>
      <c r="Y145" s="183"/>
      <c r="Z145" s="1231"/>
      <c r="AA145" s="183"/>
      <c r="AB145" s="1230"/>
      <c r="AC145" s="183"/>
      <c r="AD145" s="183"/>
      <c r="AE145" s="183"/>
      <c r="AF145" s="1231"/>
      <c r="AG145" s="189"/>
      <c r="AH145" s="879"/>
      <c r="AI145" s="877"/>
      <c r="AJ145" s="877"/>
      <c r="AK145" s="877"/>
      <c r="AL145" s="886"/>
      <c r="AM145" s="877"/>
      <c r="AN145" s="879"/>
      <c r="AO145" s="877"/>
      <c r="AP145" s="877"/>
      <c r="AQ145" s="877"/>
      <c r="AR145" s="886"/>
      <c r="AS145" s="877"/>
      <c r="AT145" s="879"/>
      <c r="AU145" s="877"/>
      <c r="AV145" s="877"/>
      <c r="AW145" s="877"/>
      <c r="AX145" s="877"/>
      <c r="AY145" s="877"/>
      <c r="AZ145" s="886"/>
      <c r="BA145" s="877"/>
      <c r="BB145" s="879"/>
      <c r="BC145" s="877"/>
      <c r="BD145" s="877"/>
      <c r="BE145" s="877"/>
      <c r="BF145" s="886"/>
      <c r="BG145" s="877"/>
      <c r="BH145" s="879"/>
      <c r="BI145" s="877"/>
      <c r="BJ145" s="877"/>
      <c r="BK145" s="877"/>
      <c r="BL145" s="886"/>
      <c r="BM145" s="877"/>
      <c r="BN145" s="879"/>
      <c r="BO145" s="877"/>
      <c r="BP145" s="877"/>
      <c r="BQ145" s="877"/>
      <c r="BR145" s="886"/>
      <c r="BS145" s="877"/>
      <c r="BT145" s="879"/>
      <c r="BU145" s="886"/>
    </row>
    <row r="146" spans="1:73">
      <c r="A146" s="18"/>
      <c r="C146" s="64"/>
      <c r="E146" s="511" t="s">
        <v>319</v>
      </c>
      <c r="F146" s="928">
        <f>SUM(J146:M146)</f>
        <v>0</v>
      </c>
      <c r="G146" s="877">
        <f>SUM(I146:M146,P146)</f>
        <v>9.9462891776264453E-4</v>
      </c>
      <c r="H146" s="878">
        <f>SUM(R146:T146)/(1-'Common input data'!B$145)</f>
        <v>1.7331715355050667E-3</v>
      </c>
      <c r="I146" s="877">
        <f>('Input data meat and eggs'!S415*'Input data meat and eggs'!C48+'Input data meat and eggs'!T415*'Input data meat and eggs'!C47+'Input data meat and eggs'!U415*'Input data meat and eggs'!C35+'Input data meat and eggs'!V415*SUMPRODUCT('Input data meat and eggs'!C37:C46,'Input data meat and eggs'!F77:F86))*'Input data meat and eggs'!$E$415/'Input data meat and eggs'!$H$415</f>
        <v>9.9462891776264453E-4</v>
      </c>
      <c r="J146" s="877">
        <v>0</v>
      </c>
      <c r="K146" s="877">
        <v>0</v>
      </c>
      <c r="L146" s="877">
        <v>0</v>
      </c>
      <c r="M146" s="877">
        <v>0</v>
      </c>
      <c r="N146" s="877">
        <v>0</v>
      </c>
      <c r="O146" s="877">
        <v>0</v>
      </c>
      <c r="P146" s="877">
        <v>0</v>
      </c>
      <c r="Q146" s="877">
        <f>'Input data meat and eggs'!C104*3.6*'Common input data'!B67</f>
        <v>1.0392452830188681E-4</v>
      </c>
      <c r="R146" s="877">
        <f>(G146+Q146)/'Input data meat and eggs'!$B$29</f>
        <v>1.5806524403806207E-3</v>
      </c>
      <c r="S146" s="877">
        <v>0</v>
      </c>
      <c r="T146" s="886">
        <v>0</v>
      </c>
      <c r="V146" s="1230"/>
      <c r="W146" s="183"/>
      <c r="X146" s="183"/>
      <c r="Y146" s="183"/>
      <c r="Z146" s="1231"/>
      <c r="AA146" s="183"/>
      <c r="AB146" s="1230"/>
      <c r="AC146" s="183"/>
      <c r="AD146" s="183"/>
      <c r="AE146" s="183"/>
      <c r="AF146" s="1231"/>
      <c r="AG146" s="189"/>
      <c r="AH146" s="879"/>
      <c r="AI146" s="877"/>
      <c r="AJ146" s="877"/>
      <c r="AK146" s="877"/>
      <c r="AL146" s="886"/>
      <c r="AM146" s="877"/>
      <c r="AN146" s="879"/>
      <c r="AO146" s="877"/>
      <c r="AP146" s="877"/>
      <c r="AQ146" s="877"/>
      <c r="AR146" s="886"/>
      <c r="AS146" s="877"/>
      <c r="AT146" s="879"/>
      <c r="AU146" s="877"/>
      <c r="AV146" s="877"/>
      <c r="AW146" s="877"/>
      <c r="AX146" s="877"/>
      <c r="AY146" s="877"/>
      <c r="AZ146" s="886"/>
      <c r="BA146" s="877"/>
      <c r="BB146" s="879"/>
      <c r="BC146" s="877"/>
      <c r="BD146" s="877"/>
      <c r="BE146" s="877"/>
      <c r="BF146" s="886"/>
      <c r="BG146" s="877"/>
      <c r="BH146" s="879"/>
      <c r="BI146" s="877"/>
      <c r="BJ146" s="877"/>
      <c r="BK146" s="877"/>
      <c r="BL146" s="886"/>
      <c r="BM146" s="877"/>
      <c r="BN146" s="879"/>
      <c r="BO146" s="877"/>
      <c r="BP146" s="877"/>
      <c r="BQ146" s="877"/>
      <c r="BR146" s="886"/>
      <c r="BS146" s="877"/>
      <c r="BT146" s="879"/>
      <c r="BU146" s="886"/>
    </row>
    <row r="147" spans="1:73">
      <c r="A147" s="18"/>
      <c r="C147" s="64"/>
      <c r="E147" s="512" t="s">
        <v>320</v>
      </c>
      <c r="F147" s="928">
        <f>SUM(J147:M147)</f>
        <v>1.5621236373592634E-2</v>
      </c>
      <c r="G147" s="877">
        <f>SUM(I147:M147,P147)</f>
        <v>1.7670457698309199E-2</v>
      </c>
      <c r="H147" s="878">
        <f>SUM(R147:T147)/(1-'Common input data'!B$145)</f>
        <v>2.7893704679068695E-2</v>
      </c>
      <c r="I147" s="877">
        <f>(('Input data meat and eggs'!S415*'Input data meat and eggs'!D48+'Input data meat and eggs'!T415*'Input data meat and eggs'!D47+'Input data meat and eggs'!U415*'Input data meat and eggs'!D35+'Input data meat and eggs'!V415*SUMPRODUCT('Input data meat and eggs'!D37:D46,'Input data meat and eggs'!F77:F86))*'Input data meat and eggs'!B70)*'Input data meat and eggs'!$E$415/'Input data meat and eggs'!$H$415</f>
        <v>2.0492213247165695E-3</v>
      </c>
      <c r="J147" s="877">
        <f>(('Input data meat and eggs'!S415*'Input data meat and eggs'!D48+'Input data meat and eggs'!T415*'Input data meat and eggs'!D47+'Input data meat and eggs'!U415*'Input data meat and eggs'!D35+'Input data meat and eggs'!V415*SUMPRODUCT('Input data meat and eggs'!D37:D46,'Input data meat and eggs'!F77:F86))*'Input data meat and eggs'!C70)*'Input data meat and eggs'!$E$415/'Input data meat and eggs'!$H$415</f>
        <v>5.1796055396616221E-3</v>
      </c>
      <c r="K147" s="877">
        <f>('Input data meat and eggs'!K415*'Input data meat and eggs'!G415/12*('Input data meat and eggs'!$O$415*'Input data meat and eggs'!$B$457+'Input data meat and eggs'!$P$415*'Input data meat and eggs'!$C$457+'Input data meat and eggs'!$Q$415*'Input data meat and eggs'!$D$457+'Input data meat and eggs'!$R$415*'Input data meat and eggs'!$E$457)*44/28)*'Input data meat and eggs'!$E$415/'Input data meat and eggs'!$H$415</f>
        <v>9.7576887798172165E-3</v>
      </c>
      <c r="L147" s="877">
        <f>('Input data meat and eggs'!$B$458*44/28*'Input data meat and eggs'!K415*'Input data meat and eggs'!G415/12*('Input data meat and eggs'!O415*'Input data meat and eggs'!B469+'Input data meat and eggs'!P415*'Input data meat and eggs'!C469+'Input data meat and eggs'!Q415*'Input data meat and eggs'!D469))*'Input data meat and eggs'!$E$415/'Input data meat and eggs'!$H$415</f>
        <v>6.839420541137946E-4</v>
      </c>
      <c r="M147" s="877">
        <v>0</v>
      </c>
      <c r="N147" s="877">
        <v>0</v>
      </c>
      <c r="O147" s="877">
        <v>0</v>
      </c>
      <c r="P147" s="877">
        <v>0</v>
      </c>
      <c r="Q147" s="877">
        <f>'Input data meat and eggs'!C104*3.6*'Common input data'!B68</f>
        <v>9.6880754716981128E-6</v>
      </c>
      <c r="R147" s="877">
        <f>(G147+Q147)/'Input data meat and eggs'!$B$29</f>
        <v>2.5439058667310648E-2</v>
      </c>
      <c r="S147" s="877">
        <v>0</v>
      </c>
      <c r="T147" s="886">
        <v>0</v>
      </c>
      <c r="V147" s="1230"/>
      <c r="W147" s="183"/>
      <c r="X147" s="183"/>
      <c r="Y147" s="183"/>
      <c r="Z147" s="1231"/>
      <c r="AA147" s="183"/>
      <c r="AB147" s="1230"/>
      <c r="AC147" s="183"/>
      <c r="AD147" s="183"/>
      <c r="AE147" s="183"/>
      <c r="AF147" s="1231"/>
      <c r="AG147" s="189"/>
      <c r="AH147" s="879"/>
      <c r="AI147" s="877"/>
      <c r="AJ147" s="877"/>
      <c r="AK147" s="877"/>
      <c r="AL147" s="886"/>
      <c r="AM147" s="877"/>
      <c r="AN147" s="879"/>
      <c r="AO147" s="877"/>
      <c r="AP147" s="877"/>
      <c r="AQ147" s="877"/>
      <c r="AR147" s="886"/>
      <c r="AS147" s="877"/>
      <c r="AT147" s="879"/>
      <c r="AU147" s="877"/>
      <c r="AV147" s="877"/>
      <c r="AW147" s="877"/>
      <c r="AX147" s="877"/>
      <c r="AY147" s="877"/>
      <c r="AZ147" s="886"/>
      <c r="BA147" s="877"/>
      <c r="BB147" s="879"/>
      <c r="BC147" s="877"/>
      <c r="BD147" s="877"/>
      <c r="BE147" s="877"/>
      <c r="BF147" s="886"/>
      <c r="BG147" s="877"/>
      <c r="BH147" s="879"/>
      <c r="BI147" s="877"/>
      <c r="BJ147" s="877"/>
      <c r="BK147" s="877"/>
      <c r="BL147" s="886"/>
      <c r="BM147" s="877"/>
      <c r="BN147" s="879"/>
      <c r="BO147" s="877"/>
      <c r="BP147" s="877"/>
      <c r="BQ147" s="877"/>
      <c r="BR147" s="886"/>
      <c r="BS147" s="877"/>
      <c r="BT147" s="879"/>
      <c r="BU147" s="886"/>
    </row>
    <row r="148" spans="1:73">
      <c r="A148" s="94"/>
      <c r="B148" s="93" t="s">
        <v>352</v>
      </c>
      <c r="C148" s="87">
        <f>'Input data meat and eggs'!D7</f>
        <v>0.10251274167564287</v>
      </c>
      <c r="D148" s="54"/>
      <c r="E148" s="513" t="s">
        <v>316</v>
      </c>
      <c r="F148" s="930">
        <f>SUMPRODUCT($CA$7:$CA$10,F149:F152)</f>
        <v>3.982658733861471</v>
      </c>
      <c r="G148" s="872">
        <f>SUMPRODUCT($CA$7:$CA$10,G149:G152)</f>
        <v>7.3762125660291886</v>
      </c>
      <c r="H148" s="873">
        <f>SUMPRODUCT($CA$7:$CA$10,H149:H152)</f>
        <v>12.377331748609466</v>
      </c>
      <c r="I148" s="884"/>
      <c r="J148" s="884"/>
      <c r="K148" s="884"/>
      <c r="L148" s="884"/>
      <c r="M148" s="884"/>
      <c r="N148" s="884"/>
      <c r="O148" s="884"/>
      <c r="P148" s="884"/>
      <c r="Q148" s="884"/>
      <c r="R148" s="884"/>
      <c r="S148" s="884"/>
      <c r="T148" s="885"/>
      <c r="V148" s="1240">
        <f>'Input data meat and eggs'!$S416*'Input data meat and eggs'!E$48+'Input data meat and eggs'!$U416*'Input data meat and eggs'!E$35+'Input data meat and eggs'!$V416*SUMPRODUCT('Input data meat and eggs'!$E$77:$E$86,'Input data meat and eggs'!E$37:E$46)</f>
        <v>8437.9052367194345</v>
      </c>
      <c r="W148" s="211">
        <f>V148*'Input data meat and eggs'!$D416</f>
        <v>615821950.31044722</v>
      </c>
      <c r="X148" s="1243">
        <f>W148/'Input data meat and eggs'!$J416</f>
        <v>26.474351269827544</v>
      </c>
      <c r="Y148" s="212">
        <f>X148+X148*'Common input data'!$B$145</f>
        <v>28.804094181572371</v>
      </c>
      <c r="Z148" s="1241">
        <f>Y148+Y148*'Common input data'!$B$179</f>
        <v>31.972544541545332</v>
      </c>
      <c r="AA148" s="189"/>
      <c r="AB148" s="1240">
        <f>'Input data meat and eggs'!$T416*'Input data meat and eggs'!F$47</f>
        <v>0</v>
      </c>
      <c r="AC148" s="211">
        <f>AB148*'Input data meat and eggs'!$D416</f>
        <v>0</v>
      </c>
      <c r="AD148" s="1243">
        <f>AC148/'Input data meat and eggs'!$J416</f>
        <v>0</v>
      </c>
      <c r="AE148" s="212">
        <f>AD148+AD148*'Common input data'!$B$145</f>
        <v>0</v>
      </c>
      <c r="AF148" s="1241">
        <f>AE148+AE148*'Common input data'!$B$179</f>
        <v>0</v>
      </c>
      <c r="AG148" s="189"/>
      <c r="AH148" s="883">
        <f>'Input data meat and eggs'!$S416*'Input data meat and eggs'!G$48+'Input data meat and eggs'!$T416*'Input data meat and eggs'!G$47+'Input data meat and eggs'!$U416*'Input data meat and eggs'!G$35+'Input data meat and eggs'!$V416*SUMPRODUCT('Input data meat and eggs'!$E$77:$E$86,'Input data meat and eggs'!G$37:G$46)</f>
        <v>169.40590954448814</v>
      </c>
      <c r="AI148" s="884">
        <f>AH148*'Input data meat and eggs'!$D416</f>
        <v>12363717.61510347</v>
      </c>
      <c r="AJ148" s="884">
        <f>AI148/'Input data meat and eggs'!$J416</f>
        <v>0.53151954550855962</v>
      </c>
      <c r="AK148" s="1225">
        <f>AJ148+AJ148*'Common input data'!$B$145</f>
        <v>0.57829326551331295</v>
      </c>
      <c r="AL148" s="1227">
        <f>AK148+AK148*'Common input data'!$B$179</f>
        <v>0.64190552471977735</v>
      </c>
      <c r="AM148" s="877"/>
      <c r="AN148" s="883">
        <f>'Input data meat and eggs'!$S416*'Input data meat and eggs'!H$48+'Input data meat and eggs'!$T416*'Input data meat and eggs'!H$47+'Input data meat and eggs'!$U416*'Input data meat and eggs'!H$35+'Input data meat and eggs'!$V416*SUMPRODUCT('Input data meat and eggs'!$E$77:$E$86,'Input data meat and eggs'!H$37:H$46)</f>
        <v>5.0321304691688091</v>
      </c>
      <c r="AO148" s="884">
        <f>AN148*'Input data meat and eggs'!$D416</f>
        <v>367258.97160525341</v>
      </c>
      <c r="AP148" s="884">
        <f>AO148/'Input data meat and eggs'!$J416</f>
        <v>1.5788561964008564E-2</v>
      </c>
      <c r="AQ148" s="1225">
        <f>AP148+AP148*'Common input data'!$B$145</f>
        <v>1.717795541684132E-2</v>
      </c>
      <c r="AR148" s="1227">
        <f>AQ148+AQ148*'Common input data'!$B$179</f>
        <v>1.9067530512693866E-2</v>
      </c>
      <c r="AS148" s="877"/>
      <c r="AT148" s="883">
        <f>'Input data meat and eggs'!$S416*'Input data meat and eggs'!I$48+'Input data meat and eggs'!$T416*'Input data meat and eggs'!I$47+'Input data meat and eggs'!$U416*'Input data meat and eggs'!I$35+'Input data meat and eggs'!$V416*SUMPRODUCT('Input data meat and eggs'!$E$77:$E$86,'Input data meat and eggs'!I$37:I$46)</f>
        <v>1.14220759803553</v>
      </c>
      <c r="AU148" s="884">
        <f>'Input data meat and eggs'!G416/12*((1-'Input data meat and eggs'!$R416)*'Input data meat and eggs'!$B$61+'Input data meat and eggs'!$R416*'Input data meat and eggs'!$B$62)</f>
        <v>25.594043333333332</v>
      </c>
      <c r="AV148" s="884">
        <f>SUM(AT148:AU148)</f>
        <v>26.736250931368861</v>
      </c>
      <c r="AW148" s="884">
        <f>AV148*'Input data meat and eggs'!$D416</f>
        <v>1951286.4544739074</v>
      </c>
      <c r="AX148" s="884">
        <f>AW148/'Input data meat and eggs'!$J416</f>
        <v>8.3886329478441449E-2</v>
      </c>
      <c r="AY148" s="1225">
        <f>AX148+AX148*'Common input data'!$B$145</f>
        <v>9.1268326472544306E-2</v>
      </c>
      <c r="AZ148" s="1227">
        <f>AY148+AY148*'Common input data'!$B$179</f>
        <v>0.10130784238452419</v>
      </c>
      <c r="BA148" s="877"/>
      <c r="BB148" s="883">
        <f>'Input data meat and eggs'!$S416*'Input data meat and eggs'!J$48+'Input data meat and eggs'!$T416*'Input data meat and eggs'!J$47+'Input data meat and eggs'!$U416*'Input data meat and eggs'!J$35+'Input data meat and eggs'!$V416*SUMPRODUCT('Input data meat and eggs'!$E$77:$E$86,'Input data meat and eggs'!J$37:J$46)</f>
        <v>8.1289126883079481E-8</v>
      </c>
      <c r="BC148" s="884">
        <f>BB148*'Input data meat and eggs'!$D416</f>
        <v>5.9327080894824137E-3</v>
      </c>
      <c r="BD148" s="884">
        <f>(BC148/'Input data meat and eggs'!$J416)/$AS$3</f>
        <v>2.5504871637512383E-12</v>
      </c>
      <c r="BE148" s="1225">
        <f>BD148+BD148*'Common input data'!$B$145</f>
        <v>2.7749300341613474E-12</v>
      </c>
      <c r="BF148" s="1227">
        <f>BE148+BE148*'Common input data'!$B$179</f>
        <v>3.0801723379190957E-12</v>
      </c>
      <c r="BG148" s="877"/>
      <c r="BH148" s="883">
        <f>'Input data meat and eggs'!$S416*'Input data meat and eggs'!P$48+'Input data meat and eggs'!$T416*'Input data meat and eggs'!P$47+'Input data meat and eggs'!$U416*'Input data meat and eggs'!P$35+'Input data meat and eggs'!$V416*SUMPRODUCT('Input data meat and eggs'!$E$77:$E$86,'Input data meat and eggs'!P$37:P$46)</f>
        <v>0.3480507347782667</v>
      </c>
      <c r="BI148" s="884">
        <f>BH148*'Input data meat and eggs'!$D416</f>
        <v>25401.717166175284</v>
      </c>
      <c r="BJ148" s="884">
        <f>BI148/'Input data meat and eggs'!$J416</f>
        <v>1.0920266527932564E-3</v>
      </c>
      <c r="BK148" s="1225">
        <f>BJ148+BJ148*'Common input data'!$B$145</f>
        <v>1.1881249982390631E-3</v>
      </c>
      <c r="BL148" s="1227">
        <f>BK148+BK148*'Common input data'!$B$179</f>
        <v>1.3188187480453601E-3</v>
      </c>
      <c r="BM148" s="877"/>
      <c r="BN148" s="883">
        <f>'Input data meat and eggs'!$S416*'Input data meat and eggs'!W$48+'Input data meat and eggs'!$T416*'Input data meat and eggs'!W$47+'Input data meat and eggs'!$U416*'Input data meat and eggs'!W$35+'Input data meat and eggs'!$V416*SUMPRODUCT('Input data meat and eggs'!$E$77:$E$86,'Input data meat and eggs'!W$37:W$46)</f>
        <v>12.059672999178975</v>
      </c>
      <c r="BO148" s="884">
        <f>BN148*'Input data meat and eggs'!$D416</f>
        <v>880148.70256447932</v>
      </c>
      <c r="BP148" s="884">
        <f>BO148/'Input data meat and eggs'!$J416</f>
        <v>3.7837829440195071E-2</v>
      </c>
      <c r="BQ148" s="1225">
        <f>BP148+BP148*'Common input data'!$B$145</f>
        <v>4.1167558430932241E-2</v>
      </c>
      <c r="BR148" s="1227">
        <f>BQ148+BQ148*'Common input data'!$B$179</f>
        <v>4.5695989858334785E-2</v>
      </c>
      <c r="BS148" s="877"/>
      <c r="BT148" s="883">
        <f>'Common input data'!$C$202+'Common input data'!$C$202*'Common input data'!$B$145</f>
        <v>0.15580160000000001</v>
      </c>
      <c r="BU148" s="1227">
        <f>BT148+BT148*'Common input data'!$B$179</f>
        <v>0.17293977600000002</v>
      </c>
    </row>
    <row r="149" spans="1:73">
      <c r="A149" s="18"/>
      <c r="C149" s="64"/>
      <c r="E149" s="511" t="s">
        <v>317</v>
      </c>
      <c r="F149" s="928">
        <f>IF(AND($G$2="No",$G$3="No"),SUM(J149:M149),IF(AND($G$2="Yes", $G$3="No"), SUM(J149:M149)+O149, IF(AND($G$2="No", $G$3="Yes"),SUM(J149:M149)+N149, SUM(J149:M149)+O149+N149)))</f>
        <v>-3.9703233844165416E-2</v>
      </c>
      <c r="G149" s="877">
        <f>IF(AND($G$2="No",$G$3="No"),SUM(I149:M149,P149),IF(AND($G$2="Yes", $G$3="No"), SUM(I149:M149,P149)+O149, IF(AND($G$2="No", $G$3="Yes"),SUM(I149:M149,P149)+N149, SUM(I149:M149,P149)+O149+N149)))</f>
        <v>2.7404319736441503</v>
      </c>
      <c r="H149" s="878">
        <f>SUM(R149:T149)/(1-'Common input data'!B$145)</f>
        <v>5.0591972678998802</v>
      </c>
      <c r="I149" s="877">
        <f>('Input data meat and eggs'!S416*'Input data meat and eggs'!B48+'Input data meat and eggs'!T416*'Input data meat and eggs'!B47+'Input data meat and eggs'!U416*'Input data meat and eggs'!B35+'Input data meat and eggs'!V416*SUMPRODUCT('Input data meat and eggs'!B37:B46,'Input data meat and eggs'!F77:F86))*'Input data meat and eggs'!$E$416/'Input data meat and eggs'!$H$416</f>
        <v>2.0795352074883158</v>
      </c>
      <c r="J149" s="877">
        <v>0</v>
      </c>
      <c r="K149" s="877">
        <v>0</v>
      </c>
      <c r="L149" s="877">
        <v>0</v>
      </c>
      <c r="M149" s="877">
        <v>0</v>
      </c>
      <c r="N149" s="877">
        <f>(('Input data meat and eggs'!S416+'Input data meat and eggs'!T416)*'Common input data'!F19+
'Input data meat and eggs'!U416*'Common input data'!B19+'Input data meat and eggs'!V416*('Input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eggs'!$E$416/'Input data meat and eggs'!$H$416</f>
        <v>-9.19060925899505E-2</v>
      </c>
      <c r="O149" s="877">
        <f>('Input data meat and eggs'!V416*('Input data meat and eggs'!F79*'Common input data'!AR27*'Common input data'!G44/'Common input data'!F44+'Input data meat and eggs'!F83*'Common input data'!AS27*'Common input data'!J46/'Common input data'!I46))*'Input data meat and eggs'!$E$416/'Input data meat and eggs'!$H$416</f>
        <v>5.2202858745785084E-2</v>
      </c>
      <c r="P149" s="877">
        <f>'Input data meat and eggs'!B95*'Common input data'!B80</f>
        <v>0.70060000000000011</v>
      </c>
      <c r="Q149" s="877">
        <f>'Input data meat and eggs'!B104*'Common input data'!B80+'Input data meat and eggs'!C104*3.6*'Common input data'!B66</f>
        <v>0.37593962264150943</v>
      </c>
      <c r="R149" s="877">
        <f>(G149+Q149)/'Input data meat and eggs'!$B$29</f>
        <v>4.4839879083246901</v>
      </c>
      <c r="S149" s="877">
        <f>'Common input data'!B109</f>
        <v>0.1</v>
      </c>
      <c r="T149" s="886">
        <f>'Common input data'!C115</f>
        <v>0.03</v>
      </c>
      <c r="V149" s="1230"/>
      <c r="W149" s="183"/>
      <c r="X149" s="183"/>
      <c r="Y149" s="183"/>
      <c r="Z149" s="1231"/>
      <c r="AA149" s="183"/>
      <c r="AB149" s="1230"/>
      <c r="AC149" s="183"/>
      <c r="AD149" s="183"/>
      <c r="AE149" s="183"/>
      <c r="AF149" s="1231"/>
      <c r="AG149" s="189"/>
      <c r="AH149" s="879"/>
      <c r="AI149" s="877"/>
      <c r="AJ149" s="877"/>
      <c r="AK149" s="877"/>
      <c r="AL149" s="886"/>
      <c r="AM149" s="877"/>
      <c r="AN149" s="879"/>
      <c r="AO149" s="877"/>
      <c r="AP149" s="877"/>
      <c r="AQ149" s="877"/>
      <c r="AR149" s="886"/>
      <c r="AS149" s="877"/>
      <c r="AT149" s="879"/>
      <c r="AU149" s="877"/>
      <c r="AV149" s="877"/>
      <c r="AW149" s="877"/>
      <c r="AX149" s="877"/>
      <c r="AY149" s="877"/>
      <c r="AZ149" s="886"/>
      <c r="BA149" s="877"/>
      <c r="BB149" s="879"/>
      <c r="BC149" s="877"/>
      <c r="BD149" s="877"/>
      <c r="BE149" s="877"/>
      <c r="BF149" s="886"/>
      <c r="BG149" s="877"/>
      <c r="BH149" s="879"/>
      <c r="BI149" s="877"/>
      <c r="BJ149" s="877"/>
      <c r="BK149" s="877"/>
      <c r="BL149" s="886"/>
      <c r="BM149" s="877"/>
      <c r="BN149" s="879"/>
      <c r="BO149" s="877"/>
      <c r="BP149" s="877"/>
      <c r="BQ149" s="877"/>
      <c r="BR149" s="886"/>
      <c r="BS149" s="877"/>
      <c r="BT149" s="879"/>
      <c r="BU149" s="886"/>
    </row>
    <row r="150" spans="1:73">
      <c r="A150" s="18"/>
      <c r="C150" s="64"/>
      <c r="E150" s="511" t="s">
        <v>321</v>
      </c>
      <c r="F150" s="928">
        <f>SUM(J150:M150)</f>
        <v>0.35607157181949145</v>
      </c>
      <c r="G150" s="877">
        <f>SUM(I150:M150,P150)</f>
        <v>0.35607157181949145</v>
      </c>
      <c r="H150" s="878">
        <f>SUM(R150:T150)/(1-'Common input data'!B$145)</f>
        <v>0.56176885620896677</v>
      </c>
      <c r="I150" s="877">
        <v>0</v>
      </c>
      <c r="J150" s="877">
        <v>0</v>
      </c>
      <c r="K150" s="877">
        <f>('Input data meat and eggs'!M416*'Input data meat and eggs'!G416/12*'Input data meat and eggs'!$B$462*'Input data meat and eggs'!$B$464*'Input data meat and eggs'!$B$465*
('Input data meat and eggs'!$O$416*'Input data meat and eggs'!$B$455
+'Input data meat and eggs'!$P$416*'Input data meat and eggs'!$C$455+
'Input data meat and eggs'!$Q$416*'Input data meat and eggs'!$D$455+
'Input data meat and eggs'!$R$416*'Input data meat and eggs'!$E$455))*'Input data meat and eggs'!$E$416/'Input data meat and eggs'!$H$416</f>
        <v>5.0141738608199038E-2</v>
      </c>
      <c r="L150" s="877">
        <v>0</v>
      </c>
      <c r="M150" s="877">
        <f>('Input data meat and eggs'!L416*'Input data meat and eggs'!G416/12)*'Input data meat and eggs'!$E$416/'Input data meat and eggs'!$H$416</f>
        <v>0.30592983321129241</v>
      </c>
      <c r="N150" s="877">
        <v>0</v>
      </c>
      <c r="O150" s="877">
        <v>0</v>
      </c>
      <c r="P150" s="877">
        <v>0</v>
      </c>
      <c r="Q150" s="877">
        <v>0</v>
      </c>
      <c r="R150" s="877">
        <f>(G150+Q150)/'Input data meat and eggs'!$B$29</f>
        <v>0.51233319686257761</v>
      </c>
      <c r="S150" s="877">
        <v>0</v>
      </c>
      <c r="T150" s="886">
        <v>0</v>
      </c>
      <c r="V150" s="1230"/>
      <c r="W150" s="183"/>
      <c r="X150" s="183"/>
      <c r="Y150" s="183"/>
      <c r="Z150" s="1231"/>
      <c r="AA150" s="183"/>
      <c r="AB150" s="1230"/>
      <c r="AC150" s="183"/>
      <c r="AD150" s="183"/>
      <c r="AE150" s="183"/>
      <c r="AF150" s="1231"/>
      <c r="AG150" s="189"/>
      <c r="AH150" s="879"/>
      <c r="AI150" s="877"/>
      <c r="AJ150" s="877"/>
      <c r="AK150" s="877"/>
      <c r="AL150" s="886"/>
      <c r="AM150" s="877"/>
      <c r="AN150" s="879"/>
      <c r="AO150" s="877"/>
      <c r="AP150" s="877"/>
      <c r="AQ150" s="877"/>
      <c r="AR150" s="886"/>
      <c r="AS150" s="877"/>
      <c r="AT150" s="879"/>
      <c r="AU150" s="877"/>
      <c r="AV150" s="877"/>
      <c r="AW150" s="877"/>
      <c r="AX150" s="877"/>
      <c r="AY150" s="877"/>
      <c r="AZ150" s="886"/>
      <c r="BA150" s="877"/>
      <c r="BB150" s="879"/>
      <c r="BC150" s="877"/>
      <c r="BD150" s="877"/>
      <c r="BE150" s="877"/>
      <c r="BF150" s="886"/>
      <c r="BG150" s="877"/>
      <c r="BH150" s="879"/>
      <c r="BI150" s="877"/>
      <c r="BJ150" s="877"/>
      <c r="BK150" s="877"/>
      <c r="BL150" s="886"/>
      <c r="BM150" s="877"/>
      <c r="BN150" s="879"/>
      <c r="BO150" s="877"/>
      <c r="BP150" s="877"/>
      <c r="BQ150" s="877"/>
      <c r="BR150" s="886"/>
      <c r="BS150" s="877"/>
      <c r="BT150" s="879"/>
      <c r="BU150" s="886"/>
    </row>
    <row r="151" spans="1:73">
      <c r="A151" s="18"/>
      <c r="C151" s="64"/>
      <c r="E151" s="511" t="s">
        <v>319</v>
      </c>
      <c r="F151" s="928">
        <f>SUM(J151:M151)</f>
        <v>0</v>
      </c>
      <c r="G151" s="877">
        <f>SUM(I151:M151,P151)</f>
        <v>9.6093979623694222E-4</v>
      </c>
      <c r="H151" s="878">
        <f>SUM(R151:T151)/(1-'Common input data'!B$145)</f>
        <v>1.6800207063909333E-3</v>
      </c>
      <c r="I151" s="877">
        <f>('Input data meat and eggs'!S416*'Input data meat and eggs'!C48+'Input data meat and eggs'!T416*'Input data meat and eggs'!C47+'Input data meat and eggs'!U416*'Input data meat and eggs'!C35+'Input data meat and eggs'!V416*SUMPRODUCT('Input data meat and eggs'!C37:C46,'Input data meat and eggs'!F77:F86))*'Input data meat and eggs'!$E$416/'Input data meat and eggs'!$H$416</f>
        <v>9.6093979623694222E-4</v>
      </c>
      <c r="J151" s="877">
        <v>0</v>
      </c>
      <c r="K151" s="877">
        <v>0</v>
      </c>
      <c r="L151" s="877">
        <v>0</v>
      </c>
      <c r="M151" s="877">
        <v>0</v>
      </c>
      <c r="N151" s="877">
        <v>0</v>
      </c>
      <c r="O151" s="877">
        <v>0</v>
      </c>
      <c r="P151" s="877">
        <v>0</v>
      </c>
      <c r="Q151" s="877">
        <f>'Input data meat and eggs'!C104*3.6*'Common input data'!B67</f>
        <v>1.0392452830188681E-4</v>
      </c>
      <c r="R151" s="877">
        <f>(G151+Q151)/'Input data meat and eggs'!$B$29</f>
        <v>1.532178884228531E-3</v>
      </c>
      <c r="S151" s="877">
        <v>0</v>
      </c>
      <c r="T151" s="886">
        <v>0</v>
      </c>
      <c r="V151" s="1230"/>
      <c r="W151" s="183"/>
      <c r="X151" s="183"/>
      <c r="Y151" s="183"/>
      <c r="Z151" s="1231"/>
      <c r="AA151" s="183"/>
      <c r="AB151" s="1230"/>
      <c r="AC151" s="183"/>
      <c r="AD151" s="183"/>
      <c r="AE151" s="183"/>
      <c r="AF151" s="1231"/>
      <c r="AG151" s="189"/>
      <c r="AH151" s="879"/>
      <c r="AI151" s="877"/>
      <c r="AJ151" s="877"/>
      <c r="AK151" s="877"/>
      <c r="AL151" s="886"/>
      <c r="AM151" s="877"/>
      <c r="AN151" s="879"/>
      <c r="AO151" s="877"/>
      <c r="AP151" s="877"/>
      <c r="AQ151" s="877"/>
      <c r="AR151" s="886"/>
      <c r="AS151" s="877"/>
      <c r="AT151" s="879"/>
      <c r="AU151" s="877"/>
      <c r="AV151" s="877"/>
      <c r="AW151" s="877"/>
      <c r="AX151" s="877"/>
      <c r="AY151" s="877"/>
      <c r="AZ151" s="886"/>
      <c r="BA151" s="877"/>
      <c r="BB151" s="879"/>
      <c r="BC151" s="877"/>
      <c r="BD151" s="877"/>
      <c r="BE151" s="877"/>
      <c r="BF151" s="886"/>
      <c r="BG151" s="877"/>
      <c r="BH151" s="879"/>
      <c r="BI151" s="877"/>
      <c r="BJ151" s="877"/>
      <c r="BK151" s="877"/>
      <c r="BL151" s="886"/>
      <c r="BM151" s="877"/>
      <c r="BN151" s="879"/>
      <c r="BO151" s="877"/>
      <c r="BP151" s="877"/>
      <c r="BQ151" s="877"/>
      <c r="BR151" s="886"/>
      <c r="BS151" s="877"/>
      <c r="BT151" s="879"/>
      <c r="BU151" s="886"/>
    </row>
    <row r="152" spans="1:73">
      <c r="A152" s="18"/>
      <c r="C152" s="64"/>
      <c r="E152" s="512" t="s">
        <v>320</v>
      </c>
      <c r="F152" s="928">
        <f>SUM(J152:M152)</f>
        <v>1.0080796481347755E-2</v>
      </c>
      <c r="G152" s="877">
        <f>SUM(I152:M152,P152)</f>
        <v>1.2694110677215088E-2</v>
      </c>
      <c r="H152" s="878">
        <f>SUM(R152:T152)/(1-'Common input data'!B$145)</f>
        <v>2.0042595533078991E-2</v>
      </c>
      <c r="I152" s="877">
        <f>(('Input data meat and eggs'!S416*'Input data meat and eggs'!D48+'Input data meat and eggs'!T416*'Input data meat and eggs'!D47+'Input data meat and eggs'!U416*'Input data meat and eggs'!D35+'Input data meat and eggs'!V416*SUMPRODUCT('Input data meat and eggs'!D37:D46,'Input data meat and eggs'!F77:F86))*'Input data meat and eggs'!B70)*'Input data meat and eggs'!$E$416/'Input data meat and eggs'!$H$416</f>
        <v>2.613314195867333E-3</v>
      </c>
      <c r="J152" s="877">
        <f>(('Input data meat and eggs'!S416*'Input data meat and eggs'!D48+'Input data meat and eggs'!T416*'Input data meat and eggs'!D47+'Input data meat and eggs'!U416*'Input data meat and eggs'!D35+'Input data meat and eggs'!V416*SUMPRODUCT('Input data meat and eggs'!D37:D46,'Input data meat and eggs'!F77:F86))*'Input data meat and eggs'!C70)*'Input data meat and eggs'!$E$416/'Input data meat and eggs'!$H$416</f>
        <v>6.6054049518848188E-3</v>
      </c>
      <c r="K152" s="877">
        <f>('Input data meat and eggs'!K416*'Input data meat and eggs'!G416/12*('Input data meat and eggs'!$O$416*'Input data meat and eggs'!$B$457+'Input data meat and eggs'!$P$416*'Input data meat and eggs'!$C$457+'Input data meat and eggs'!$Q$416*'Input data meat and eggs'!$D$457+'Input data meat and eggs'!$R$416*'Input data meat and eggs'!$E$457)*44/28)*'Input data meat and eggs'!$E$416/'Input data meat and eggs'!$H$416</f>
        <v>2.6031583738755702E-3</v>
      </c>
      <c r="L152" s="877">
        <f>('Input data meat and eggs'!$B$458*44/28*'Input data meat and eggs'!K416*'Input data meat and eggs'!G416/12*('Input data meat and eggs'!O416*'Input data meat and eggs'!B469+'Input data meat and eggs'!P416*'Input data meat and eggs'!C469+'Input data meat and eggs'!Q416*'Input data meat and eggs'!D469))*'Input data meat and eggs'!$E$416/'Input data meat and eggs'!$H$416</f>
        <v>8.7223315558736649E-4</v>
      </c>
      <c r="M152" s="877">
        <v>0</v>
      </c>
      <c r="N152" s="877">
        <v>0</v>
      </c>
      <c r="O152" s="877">
        <v>0</v>
      </c>
      <c r="P152" s="877">
        <v>0</v>
      </c>
      <c r="Q152" s="877">
        <f>'Input data meat and eggs'!C104*3.6*'Common input data'!B68</f>
        <v>9.6880754716981128E-6</v>
      </c>
      <c r="R152" s="877">
        <f>(G152+Q152)/'Input data meat and eggs'!$B$29</f>
        <v>1.8278847126168039E-2</v>
      </c>
      <c r="S152" s="877">
        <v>0</v>
      </c>
      <c r="T152" s="886">
        <v>0</v>
      </c>
      <c r="V152" s="18"/>
      <c r="Z152" s="64"/>
      <c r="AB152" s="18"/>
      <c r="AF152" s="64"/>
      <c r="AH152" s="879"/>
      <c r="AI152" s="877"/>
      <c r="AJ152" s="877"/>
      <c r="AK152" s="877"/>
      <c r="AL152" s="886"/>
      <c r="AM152" s="877"/>
      <c r="AN152" s="879"/>
      <c r="AO152" s="877"/>
      <c r="AP152" s="877"/>
      <c r="AQ152" s="877"/>
      <c r="AR152" s="886"/>
      <c r="AS152" s="877"/>
      <c r="AT152" s="879"/>
      <c r="AU152" s="877"/>
      <c r="AV152" s="877"/>
      <c r="AW152" s="877"/>
      <c r="AX152" s="877"/>
      <c r="AY152" s="877"/>
      <c r="AZ152" s="886"/>
      <c r="BA152" s="877"/>
      <c r="BB152" s="879"/>
      <c r="BC152" s="877"/>
      <c r="BD152" s="877"/>
      <c r="BE152" s="877"/>
      <c r="BF152" s="886"/>
      <c r="BG152" s="877"/>
      <c r="BH152" s="879"/>
      <c r="BI152" s="877"/>
      <c r="BJ152" s="877"/>
      <c r="BK152" s="877"/>
      <c r="BL152" s="886"/>
      <c r="BM152" s="877"/>
      <c r="BN152" s="879"/>
      <c r="BO152" s="877"/>
      <c r="BP152" s="877"/>
      <c r="BQ152" s="877"/>
      <c r="BR152" s="886"/>
      <c r="BS152" s="877"/>
      <c r="BT152" s="879"/>
      <c r="BU152" s="886"/>
    </row>
    <row r="153" spans="1:73">
      <c r="A153" s="94"/>
      <c r="B153" s="93" t="s">
        <v>353</v>
      </c>
      <c r="C153" s="87">
        <f>'Input data meat and eggs'!D8</f>
        <v>1.717416608313841E-2</v>
      </c>
      <c r="D153" s="54"/>
      <c r="E153" s="513" t="s">
        <v>316</v>
      </c>
      <c r="F153" s="930">
        <f>SUMPRODUCT($CA$7:$CA$10,F154:F157)</f>
        <v>4.6507737578989605</v>
      </c>
      <c r="G153" s="872">
        <f>SUMPRODUCT($CA$7:$CA$10,G154:G157)</f>
        <v>8.0423553757643127</v>
      </c>
      <c r="H153" s="873">
        <f>SUMPRODUCT($CA$7:$CA$10,H154:H157)</f>
        <v>13.428295414100951</v>
      </c>
      <c r="I153" s="884"/>
      <c r="J153" s="884"/>
      <c r="K153" s="884"/>
      <c r="L153" s="884"/>
      <c r="M153" s="884"/>
      <c r="N153" s="884"/>
      <c r="O153" s="884"/>
      <c r="P153" s="884"/>
      <c r="Q153" s="884"/>
      <c r="R153" s="884"/>
      <c r="S153" s="884"/>
      <c r="T153" s="885"/>
      <c r="V153" s="1240">
        <f>'Input data meat and eggs'!$S417*'Input data meat and eggs'!E$48+'Input data meat and eggs'!$U417*'Input data meat and eggs'!E$35+'Input data meat and eggs'!$V417*SUMPRODUCT('Input data meat and eggs'!$E$77:$E$86,'Input data meat and eggs'!E$37:E$46)</f>
        <v>9043.7870561539858</v>
      </c>
      <c r="W153" s="211">
        <f>V153*'Input data meat and eggs'!$D417</f>
        <v>103126303.80132391</v>
      </c>
      <c r="X153" s="1243">
        <f>W153/'Input data meat and eggs'!$J417</f>
        <v>26.463166221372308</v>
      </c>
      <c r="Y153" s="212">
        <f>X153+X153*'Common input data'!$B$145</f>
        <v>28.791924848853075</v>
      </c>
      <c r="Z153" s="1241">
        <f>Y153+Y153*'Common input data'!$B$179</f>
        <v>31.959036582226915</v>
      </c>
      <c r="AA153" s="189"/>
      <c r="AB153" s="1240">
        <f>'Input data meat and eggs'!$T417*'Input data meat and eggs'!F$47</f>
        <v>0</v>
      </c>
      <c r="AC153" s="211">
        <f>AB153*'Input data meat and eggs'!$D417</f>
        <v>0</v>
      </c>
      <c r="AD153" s="1243">
        <f>AC153/'Input data meat and eggs'!$J417</f>
        <v>0</v>
      </c>
      <c r="AE153" s="212">
        <f>AD153+AD153*'Common input data'!$B$145</f>
        <v>0</v>
      </c>
      <c r="AF153" s="1241">
        <f>AE153+AE153*'Common input data'!$B$179</f>
        <v>0</v>
      </c>
      <c r="AG153" s="189"/>
      <c r="AH153" s="883">
        <f>'Input data meat and eggs'!$S417*'Input data meat and eggs'!G$48+'Input data meat and eggs'!$T417*'Input data meat and eggs'!G$47+'Input data meat and eggs'!$U417*'Input data meat and eggs'!G$35+'Input data meat and eggs'!$V417*SUMPRODUCT('Input data meat and eggs'!$E$77:$E$86,'Input data meat and eggs'!G$37:G$46)</f>
        <v>181.56041657933849</v>
      </c>
      <c r="AI153" s="884">
        <f>AH153*'Input data meat and eggs'!$D417</f>
        <v>2070333.4302541967</v>
      </c>
      <c r="AJ153" s="884">
        <f>AI153/'Input data meat and eggs'!$J417</f>
        <v>0.5312667639483204</v>
      </c>
      <c r="AK153" s="1225">
        <f>AJ153+AJ153*'Common input data'!$B$145</f>
        <v>0.57801823917577266</v>
      </c>
      <c r="AL153" s="1227">
        <f>AK153+AK153*'Common input data'!$B$179</f>
        <v>0.64160024548510763</v>
      </c>
      <c r="AM153" s="877"/>
      <c r="AN153" s="883">
        <f>'Input data meat and eggs'!$S417*'Input data meat and eggs'!H$48+'Input data meat and eggs'!$T417*'Input data meat and eggs'!H$47+'Input data meat and eggs'!$U417*'Input data meat and eggs'!H$35+'Input data meat and eggs'!$V417*SUMPRODUCT('Input data meat and eggs'!$E$77:$E$86,'Input data meat and eggs'!H$37:H$46)</f>
        <v>5.3920721037284753</v>
      </c>
      <c r="AO153" s="884">
        <f>AN153*'Input data meat and eggs'!$D417</f>
        <v>61485.798198815806</v>
      </c>
      <c r="AP153" s="884">
        <f>AO153/'Input data meat and eggs'!$J417</f>
        <v>1.5777826199644407E-2</v>
      </c>
      <c r="AQ153" s="1225">
        <f>AP153+AP153*'Common input data'!$B$145</f>
        <v>1.7166274905213115E-2</v>
      </c>
      <c r="AR153" s="1227">
        <f>AQ153+AQ153*'Common input data'!$B$179</f>
        <v>1.9054565144786557E-2</v>
      </c>
      <c r="AS153" s="877"/>
      <c r="AT153" s="883">
        <f>'Input data meat and eggs'!$S417*'Input data meat and eggs'!I$48+'Input data meat and eggs'!$T417*'Input data meat and eggs'!I$47+'Input data meat and eggs'!$U417*'Input data meat and eggs'!I$35+'Input data meat and eggs'!$V417*SUMPRODUCT('Input data meat and eggs'!$E$77:$E$86,'Input data meat and eggs'!I$37:I$46)</f>
        <v>1.2098821897354668</v>
      </c>
      <c r="AU153" s="884">
        <f>'Input data meat and eggs'!G417/12*((1-'Input data meat and eggs'!$R417)*'Input data meat and eggs'!$B$61+'Input data meat and eggs'!$R417*'Input data meat and eggs'!$B$62)</f>
        <v>34.837059999999994</v>
      </c>
      <c r="AV153" s="884">
        <f>SUM(AT153:AU153)</f>
        <v>36.046942189735461</v>
      </c>
      <c r="AW153" s="884">
        <f>AV153*'Input data meat and eggs'!$D417</f>
        <v>411043.28178955347</v>
      </c>
      <c r="AX153" s="884">
        <f>AW153/'Input data meat and eggs'!$J417</f>
        <v>0.10547751920917472</v>
      </c>
      <c r="AY153" s="1225">
        <f>AX153+AX153*'Common input data'!$B$145</f>
        <v>0.11475954089958211</v>
      </c>
      <c r="AZ153" s="1227">
        <f>AY153+AY153*'Common input data'!$B$179</f>
        <v>0.12738309039853615</v>
      </c>
      <c r="BA153" s="877"/>
      <c r="BB153" s="883">
        <f>'Input data meat and eggs'!$S417*'Input data meat and eggs'!J$48+'Input data meat and eggs'!$T417*'Input data meat and eggs'!J$47+'Input data meat and eggs'!$U417*'Input data meat and eggs'!J$35+'Input data meat and eggs'!$V417*SUMPRODUCT('Input data meat and eggs'!$E$77:$E$86,'Input data meat and eggs'!J$37:J$46)</f>
        <v>8.6845675452996166E-8</v>
      </c>
      <c r="BC153" s="884">
        <f>BB153*'Input data meat and eggs'!$D417</f>
        <v>9.9030123719051535E-4</v>
      </c>
      <c r="BD153" s="884">
        <f>(BC153/'Input data meat and eggs'!$J417)/$AS$3</f>
        <v>2.5412048413459012E-12</v>
      </c>
      <c r="BE153" s="1225">
        <f>BD153+BD153*'Common input data'!$B$145</f>
        <v>2.7648308673843409E-12</v>
      </c>
      <c r="BF153" s="1227">
        <f>BE153+BE153*'Common input data'!$B$179</f>
        <v>3.0689622627966185E-12</v>
      </c>
      <c r="BG153" s="877"/>
      <c r="BH153" s="883">
        <f>'Input data meat and eggs'!$S417*'Input data meat and eggs'!P$48+'Input data meat and eggs'!$T417*'Input data meat and eggs'!P$47+'Input data meat and eggs'!$U417*'Input data meat and eggs'!P$35+'Input data meat and eggs'!$V417*SUMPRODUCT('Input data meat and eggs'!$E$77:$E$86,'Input data meat and eggs'!P$37:P$46)</f>
        <v>0.37291293640590595</v>
      </c>
      <c r="BI153" s="884">
        <f>BH153*'Input data meat and eggs'!$D417</f>
        <v>4252.3262138365453</v>
      </c>
      <c r="BJ153" s="884">
        <f>BI153/'Input data meat and eggs'!$J417</f>
        <v>1.0911863537846553E-3</v>
      </c>
      <c r="BK153" s="1225">
        <f>BJ153+BJ153*'Common input data'!$B$145</f>
        <v>1.1872107529177049E-3</v>
      </c>
      <c r="BL153" s="1227">
        <f>BK153+BK153*'Common input data'!$B$179</f>
        <v>1.3178039357386526E-3</v>
      </c>
      <c r="BM153" s="877"/>
      <c r="BN153" s="883">
        <f>'Input data meat and eggs'!$S417*'Input data meat and eggs'!W$48+'Input data meat and eggs'!$T417*'Input data meat and eggs'!W$47+'Input data meat and eggs'!$U417*'Input data meat and eggs'!W$35+'Input data meat and eggs'!$V417*SUMPRODUCT('Input data meat and eggs'!$E$77:$E$86,'Input data meat and eggs'!W$37:W$46)</f>
        <v>12.925551502046616</v>
      </c>
      <c r="BO153" s="884">
        <f>BN153*'Input data meat and eggs'!$D417</f>
        <v>147390.06377783755</v>
      </c>
      <c r="BP153" s="884">
        <f>BO153/'Input data meat and eggs'!$J417</f>
        <v>3.7821657650465593E-2</v>
      </c>
      <c r="BQ153" s="1225">
        <f>BP153+BP153*'Common input data'!$B$145</f>
        <v>4.1149963523706569E-2</v>
      </c>
      <c r="BR153" s="1227">
        <f>BQ153+BQ153*'Common input data'!$B$179</f>
        <v>4.5676459511314292E-2</v>
      </c>
      <c r="BS153" s="877"/>
      <c r="BT153" s="883">
        <f>'Common input data'!$C$202+'Common input data'!$C$202*'Common input data'!$B$145</f>
        <v>0.15580160000000001</v>
      </c>
      <c r="BU153" s="1227">
        <f>BT153+BT153*'Common input data'!$B$179</f>
        <v>0.17293977600000002</v>
      </c>
    </row>
    <row r="154" spans="1:73">
      <c r="A154" s="18"/>
      <c r="C154" s="64"/>
      <c r="E154" s="511" t="s">
        <v>317</v>
      </c>
      <c r="F154" s="928">
        <f>IF(AND($G$2="No",$G$3="No"),SUM(J154:M154),IF(AND($G$2="Yes", $G$3="No"), SUM(J154:M154)+O154, IF(AND($G$2="No", $G$3="Yes"),SUM(J154:M154)+N154, SUM(J154:M154)+O154+N154)))</f>
        <v>-4.0129961470388935E-2</v>
      </c>
      <c r="G154" s="877">
        <f>IF(AND($G$2="No",$G$3="No"),SUM(I154:M154,P154),IF(AND($G$2="Yes", $G$3="No"), SUM(I154:M154,P154)+O154, IF(AND($G$2="No", $G$3="Yes"),SUM(I154:M154,P154)+N154, SUM(I154:M154,P154)+O154+N154)))</f>
        <v>2.7382548385742855</v>
      </c>
      <c r="H154" s="878">
        <f>SUM(R154:T154)/(1-'Common input data'!B$145)</f>
        <v>5.0557624340776774</v>
      </c>
      <c r="I154" s="877">
        <f>('Input data meat and eggs'!S417*'Input data meat and eggs'!B48+'Input data meat and eggs'!T417*'Input data meat and eggs'!B47+'Input data meat and eggs'!U417*'Input data meat and eggs'!B35+'Input data meat and eggs'!V417*SUMPRODUCT('Input data meat and eggs'!B37:B46,'Input data meat and eggs'!F77:F86))*'Input data meat and eggs'!$E$417/'Input data meat and eggs'!$H$417</f>
        <v>2.0777848000446744</v>
      </c>
      <c r="J154" s="877">
        <v>0</v>
      </c>
      <c r="K154" s="877">
        <v>0</v>
      </c>
      <c r="L154" s="877">
        <v>0</v>
      </c>
      <c r="M154" s="877">
        <v>0</v>
      </c>
      <c r="N154" s="877">
        <f>(('Input data meat and eggs'!S417+'Input data meat and eggs'!T417)*'Common input data'!F19+
'Input data meat and eggs'!U417*'Common input data'!B19+'Input data meat and eggs'!V417*('Input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eggs'!$E$417/'Input data meat and eggs'!$H$417</f>
        <v>-9.1678773813470685E-2</v>
      </c>
      <c r="O154" s="877">
        <f>('Input data meat and eggs'!V417*('Input data meat and eggs'!F79*'Common input data'!AR27*'Common input data'!G44/'Common input data'!F44+'Input data meat and eggs'!F83*'Common input data'!AS27*'Common input data'!J46/'Common input data'!I46))*'Input data meat and eggs'!$E$417/'Input data meat and eggs'!$H$417</f>
        <v>5.154881234308175E-2</v>
      </c>
      <c r="P154" s="877">
        <f>'Input data meat and eggs'!B95*'Common input data'!B80</f>
        <v>0.70060000000000011</v>
      </c>
      <c r="Q154" s="877">
        <f>'Input data meat and eggs'!B104*'Common input data'!B80+'Input data meat and eggs'!C104*3.6*'Common input data'!B66</f>
        <v>0.37593962264150943</v>
      </c>
      <c r="R154" s="877">
        <f>(G154+Q154)/'Input data meat and eggs'!$B$29</f>
        <v>4.4808553398788415</v>
      </c>
      <c r="S154" s="877">
        <f>'Common input data'!B109</f>
        <v>0.1</v>
      </c>
      <c r="T154" s="886">
        <f>'Common input data'!C115</f>
        <v>0.03</v>
      </c>
      <c r="V154" s="1230"/>
      <c r="W154" s="183"/>
      <c r="X154" s="183"/>
      <c r="Y154" s="183"/>
      <c r="Z154" s="1231"/>
      <c r="AA154" s="183"/>
      <c r="AB154" s="1230"/>
      <c r="AC154" s="183"/>
      <c r="AD154" s="183"/>
      <c r="AE154" s="183"/>
      <c r="AF154" s="1231"/>
      <c r="AG154" s="189"/>
      <c r="AH154" s="879"/>
      <c r="AI154" s="877"/>
      <c r="AJ154" s="877"/>
      <c r="AK154" s="877"/>
      <c r="AL154" s="886"/>
      <c r="AM154" s="877"/>
      <c r="AN154" s="879"/>
      <c r="AO154" s="877"/>
      <c r="AP154" s="877"/>
      <c r="AQ154" s="877"/>
      <c r="AR154" s="886"/>
      <c r="AS154" s="877"/>
      <c r="AT154" s="879"/>
      <c r="AU154" s="877"/>
      <c r="AV154" s="877"/>
      <c r="AW154" s="877"/>
      <c r="AX154" s="877"/>
      <c r="AY154" s="877"/>
      <c r="AZ154" s="886"/>
      <c r="BA154" s="877"/>
      <c r="BB154" s="879"/>
      <c r="BC154" s="877"/>
      <c r="BD154" s="877"/>
      <c r="BE154" s="877"/>
      <c r="BF154" s="886"/>
      <c r="BG154" s="877"/>
      <c r="BH154" s="879"/>
      <c r="BI154" s="877"/>
      <c r="BJ154" s="877"/>
      <c r="BK154" s="877"/>
      <c r="BL154" s="886"/>
      <c r="BM154" s="877"/>
      <c r="BN154" s="879"/>
      <c r="BO154" s="877"/>
      <c r="BP154" s="877"/>
      <c r="BQ154" s="877"/>
      <c r="BR154" s="886"/>
      <c r="BS154" s="877"/>
      <c r="BT154" s="879"/>
      <c r="BU154" s="886"/>
    </row>
    <row r="155" spans="1:73">
      <c r="A155" s="18"/>
      <c r="C155" s="64"/>
      <c r="E155" s="511" t="s">
        <v>321</v>
      </c>
      <c r="F155" s="928">
        <f>SUM(J155:M155)</f>
        <v>0.45200234795762789</v>
      </c>
      <c r="G155" s="877">
        <f>SUM(I155:M155,P155)</f>
        <v>0.45200234795762789</v>
      </c>
      <c r="H155" s="878">
        <f>SUM(R155:T155)/(1-'Common input data'!B$145)</f>
        <v>0.71311742388872268</v>
      </c>
      <c r="I155" s="877">
        <v>0</v>
      </c>
      <c r="J155" s="877">
        <v>0</v>
      </c>
      <c r="K155" s="877">
        <f>('Input data meat and eggs'!M417*'Input data meat and eggs'!G417/12*'Input data meat and eggs'!$B$462*'Input data meat and eggs'!$B$464*'Input data meat and eggs'!$B$465*
('Input data meat and eggs'!$O$417*'Input data meat and eggs'!$B$455
+'Input data meat and eggs'!$P$417*'Input data meat and eggs'!$C$455+
'Input data meat and eggs'!$Q$417*'Input data meat and eggs'!$D$455+
'Input data meat and eggs'!$R$417*'Input data meat and eggs'!$E$455))*'Input data meat and eggs'!$E$417/'Input data meat and eggs'!$H$417</f>
        <v>6.3650640419766757E-2</v>
      </c>
      <c r="L155" s="877">
        <v>0</v>
      </c>
      <c r="M155" s="877">
        <f>('Input data meat and eggs'!L417*'Input data meat and eggs'!G417/12)*'Input data meat and eggs'!$E$417/'Input data meat and eggs'!$H$417</f>
        <v>0.38835170753786113</v>
      </c>
      <c r="N155" s="877">
        <v>0</v>
      </c>
      <c r="O155" s="877">
        <v>0</v>
      </c>
      <c r="P155" s="877">
        <v>0</v>
      </c>
      <c r="Q155" s="877">
        <v>0</v>
      </c>
      <c r="R155" s="877">
        <f>(G155+Q155)/'Input data meat and eggs'!$B$29</f>
        <v>0.65036309058651498</v>
      </c>
      <c r="S155" s="877">
        <v>0</v>
      </c>
      <c r="T155" s="886">
        <v>0</v>
      </c>
      <c r="V155" s="1232"/>
      <c r="W155" s="189"/>
      <c r="X155" s="189"/>
      <c r="Y155" s="189"/>
      <c r="Z155" s="199"/>
      <c r="AA155" s="189"/>
      <c r="AB155" s="1232"/>
      <c r="AC155" s="189"/>
      <c r="AD155" s="189"/>
      <c r="AE155" s="189"/>
      <c r="AF155" s="199"/>
      <c r="AG155" s="189"/>
      <c r="AH155" s="879"/>
      <c r="AI155" s="877"/>
      <c r="AJ155" s="877"/>
      <c r="AK155" s="877"/>
      <c r="AL155" s="886"/>
      <c r="AM155" s="877"/>
      <c r="AN155" s="879"/>
      <c r="AO155" s="877"/>
      <c r="AP155" s="877"/>
      <c r="AQ155" s="877"/>
      <c r="AR155" s="886"/>
      <c r="AS155" s="877"/>
      <c r="AT155" s="879"/>
      <c r="AU155" s="877"/>
      <c r="AV155" s="877"/>
      <c r="AW155" s="877"/>
      <c r="AX155" s="877"/>
      <c r="AY155" s="877"/>
      <c r="AZ155" s="886"/>
      <c r="BA155" s="877"/>
      <c r="BB155" s="879"/>
      <c r="BC155" s="877"/>
      <c r="BD155" s="877"/>
      <c r="BE155" s="877"/>
      <c r="BF155" s="886"/>
      <c r="BG155" s="877"/>
      <c r="BH155" s="879"/>
      <c r="BI155" s="877"/>
      <c r="BJ155" s="877"/>
      <c r="BK155" s="877"/>
      <c r="BL155" s="886"/>
      <c r="BM155" s="877"/>
      <c r="BN155" s="879"/>
      <c r="BO155" s="877"/>
      <c r="BP155" s="877"/>
      <c r="BQ155" s="877"/>
      <c r="BR155" s="886"/>
      <c r="BS155" s="877"/>
      <c r="BT155" s="879"/>
      <c r="BU155" s="886"/>
    </row>
    <row r="156" spans="1:73">
      <c r="A156" s="18"/>
      <c r="C156" s="64"/>
      <c r="E156" s="511" t="s">
        <v>319</v>
      </c>
      <c r="F156" s="928">
        <f>SUM(J156:M156)</f>
        <v>0</v>
      </c>
      <c r="G156" s="877">
        <f>SUM(I156:M156,P156)</f>
        <v>9.5545695058571977E-4</v>
      </c>
      <c r="H156" s="878">
        <f>SUM(R156:T156)/(1-'Common input data'!B$145)</f>
        <v>1.6713705018421158E-3</v>
      </c>
      <c r="I156" s="877">
        <f>('Input data meat and eggs'!S417*'Input data meat and eggs'!C48+'Input data meat and eggs'!T417*'Input data meat and eggs'!C47+'Input data meat and eggs'!U417*'Input data meat and eggs'!C35+'Input data meat and eggs'!V417*SUMPRODUCT('Input data meat and eggs'!C37:C46,'Input data meat and eggs'!F77:F86))*'Input data meat and eggs'!$E$417/'Input data meat and eggs'!$H$417</f>
        <v>9.5545695058571977E-4</v>
      </c>
      <c r="J156" s="877">
        <v>0</v>
      </c>
      <c r="K156" s="877">
        <v>0</v>
      </c>
      <c r="L156" s="877">
        <v>0</v>
      </c>
      <c r="M156" s="877">
        <v>0</v>
      </c>
      <c r="N156" s="877">
        <v>0</v>
      </c>
      <c r="O156" s="877">
        <v>0</v>
      </c>
      <c r="P156" s="877">
        <v>0</v>
      </c>
      <c r="Q156" s="877">
        <f>'Input data meat and eggs'!C104*3.6*'Common input data'!B67</f>
        <v>1.0392452830188681E-4</v>
      </c>
      <c r="R156" s="877">
        <f>(G156+Q156)/'Input data meat and eggs'!$B$29</f>
        <v>1.5242898976800094E-3</v>
      </c>
      <c r="S156" s="877">
        <v>0</v>
      </c>
      <c r="T156" s="886">
        <v>0</v>
      </c>
      <c r="V156" s="1230"/>
      <c r="W156" s="183"/>
      <c r="X156" s="183"/>
      <c r="Y156" s="183"/>
      <c r="Z156" s="1231"/>
      <c r="AA156" s="183"/>
      <c r="AB156" s="1230"/>
      <c r="AC156" s="183"/>
      <c r="AD156" s="183"/>
      <c r="AE156" s="183"/>
      <c r="AF156" s="1231"/>
      <c r="AG156" s="189"/>
      <c r="AH156" s="879"/>
      <c r="AI156" s="877"/>
      <c r="AJ156" s="877"/>
      <c r="AK156" s="877"/>
      <c r="AL156" s="886"/>
      <c r="AM156" s="877"/>
      <c r="AN156" s="879"/>
      <c r="AO156" s="877"/>
      <c r="AP156" s="877"/>
      <c r="AQ156" s="877"/>
      <c r="AR156" s="886"/>
      <c r="AS156" s="877"/>
      <c r="AT156" s="879"/>
      <c r="AU156" s="877"/>
      <c r="AV156" s="877"/>
      <c r="AW156" s="877"/>
      <c r="AX156" s="877"/>
      <c r="AY156" s="877"/>
      <c r="AZ156" s="886"/>
      <c r="BA156" s="877"/>
      <c r="BB156" s="879"/>
      <c r="BC156" s="877"/>
      <c r="BD156" s="877"/>
      <c r="BE156" s="877"/>
      <c r="BF156" s="886"/>
      <c r="BG156" s="877"/>
      <c r="BH156" s="879"/>
      <c r="BI156" s="877"/>
      <c r="BJ156" s="877"/>
      <c r="BK156" s="877"/>
      <c r="BL156" s="886"/>
      <c r="BM156" s="877"/>
      <c r="BN156" s="879"/>
      <c r="BO156" s="877"/>
      <c r="BP156" s="877"/>
      <c r="BQ156" s="877"/>
      <c r="BR156" s="886"/>
      <c r="BS156" s="877"/>
      <c r="BT156" s="879"/>
      <c r="BU156" s="886"/>
    </row>
    <row r="157" spans="1:73">
      <c r="A157" s="18"/>
      <c r="C157" s="64"/>
      <c r="E157" s="512" t="s">
        <v>320</v>
      </c>
      <c r="F157" s="928">
        <f>SUM(J157:M157)</f>
        <v>1.1014990059950639E-2</v>
      </c>
      <c r="G157" s="877">
        <f>SUM(I157:M157,P157)</f>
        <v>1.3627462893224996E-2</v>
      </c>
      <c r="H157" s="878">
        <f>SUM(R157:T157)/(1-'Common input data'!B$145)</f>
        <v>2.1515131529560604E-2</v>
      </c>
      <c r="I157" s="877">
        <f>(('Input data meat and eggs'!S417*'Input data meat and eggs'!D48+'Input data meat and eggs'!T417*'Input data meat and eggs'!D47+'Input data meat and eggs'!U417*'Input data meat and eggs'!D35+'Input data meat and eggs'!V417*SUMPRODUCT('Input data meat and eggs'!D37:D46,'Input data meat and eggs'!F77:F86))*'Input data meat and eggs'!B70)*'Input data meat and eggs'!$E$417/'Input data meat and eggs'!$H$417</f>
        <v>2.6124728332743569E-3</v>
      </c>
      <c r="J157" s="877">
        <f>(('Input data meat and eggs'!S417*'Input data meat and eggs'!D48+'Input data meat and eggs'!T417*'Input data meat and eggs'!D47+'Input data meat and eggs'!U417*'Input data meat and eggs'!D35+'Input data meat and eggs'!V417*SUMPRODUCT('Input data meat and eggs'!D37:D46,'Input data meat and eggs'!F77:F86))*'Input data meat and eggs'!C70)*'Input data meat and eggs'!$E$417/'Input data meat and eggs'!$H$417</f>
        <v>6.6032783263735165E-3</v>
      </c>
      <c r="K157" s="877">
        <f>('Input data meat and eggs'!K417*'Input data meat and eggs'!G417/12*('Input data meat and eggs'!$O$417*'Input data meat and eggs'!$B$457+'Input data meat and eggs'!$P$417*'Input data meat and eggs'!$C$457+'Input data meat and eggs'!$Q$417*'Input data meat and eggs'!$D$457+'Input data meat and eggs'!$R$417*'Input data meat and eggs'!$E$457)*44/28)*'Input data meat and eggs'!$E$417/'Input data meat and eggs'!$H$417</f>
        <v>3.3044864859186423E-3</v>
      </c>
      <c r="L157" s="877">
        <f>('Input data meat and eggs'!$B$458*44/28*'Input data meat and eggs'!K417*'Input data meat and eggs'!G417/12*('Input data meat and eggs'!O417*'Input data meat and eggs'!B469+'Input data meat and eggs'!P417*'Input data meat and eggs'!C469+'Input data meat and eggs'!Q417*'Input data meat and eggs'!D469))*'Input data meat and eggs'!$E$417/'Input data meat and eggs'!$H$417</f>
        <v>1.1072252476584804E-3</v>
      </c>
      <c r="M157" s="877">
        <v>0</v>
      </c>
      <c r="N157" s="877">
        <v>0</v>
      </c>
      <c r="O157" s="877">
        <v>0</v>
      </c>
      <c r="P157" s="877">
        <v>0</v>
      </c>
      <c r="Q157" s="877">
        <f>'Input data meat and eggs'!C104*3.6*'Common input data'!B68</f>
        <v>9.6880754716981128E-6</v>
      </c>
      <c r="R157" s="877">
        <f>(G157+Q157)/'Input data meat and eggs'!$B$29</f>
        <v>1.962179995495927E-2</v>
      </c>
      <c r="S157" s="877">
        <v>0</v>
      </c>
      <c r="T157" s="886">
        <v>0</v>
      </c>
      <c r="V157" s="1230"/>
      <c r="W157" s="183"/>
      <c r="X157" s="183"/>
      <c r="Y157" s="183"/>
      <c r="Z157" s="1231"/>
      <c r="AA157" s="183"/>
      <c r="AB157" s="1230"/>
      <c r="AC157" s="183"/>
      <c r="AD157" s="183"/>
      <c r="AE157" s="183"/>
      <c r="AF157" s="1231"/>
      <c r="AG157" s="189"/>
      <c r="AH157" s="879"/>
      <c r="AI157" s="877"/>
      <c r="AJ157" s="877"/>
      <c r="AK157" s="877"/>
      <c r="AL157" s="886"/>
      <c r="AM157" s="877"/>
      <c r="AN157" s="879"/>
      <c r="AO157" s="877"/>
      <c r="AP157" s="877"/>
      <c r="AQ157" s="877"/>
      <c r="AR157" s="886"/>
      <c r="AS157" s="877"/>
      <c r="AT157" s="879"/>
      <c r="AU157" s="877"/>
      <c r="AV157" s="877"/>
      <c r="AW157" s="877"/>
      <c r="AX157" s="877"/>
      <c r="AY157" s="877"/>
      <c r="AZ157" s="886"/>
      <c r="BA157" s="877"/>
      <c r="BB157" s="879"/>
      <c r="BC157" s="877"/>
      <c r="BD157" s="877"/>
      <c r="BE157" s="877"/>
      <c r="BF157" s="886"/>
      <c r="BG157" s="877"/>
      <c r="BH157" s="879"/>
      <c r="BI157" s="877"/>
      <c r="BJ157" s="877"/>
      <c r="BK157" s="877"/>
      <c r="BL157" s="886"/>
      <c r="BM157" s="877"/>
      <c r="BN157" s="879"/>
      <c r="BO157" s="877"/>
      <c r="BP157" s="877"/>
      <c r="BQ157" s="877"/>
      <c r="BR157" s="886"/>
      <c r="BS157" s="877"/>
      <c r="BT157" s="879"/>
      <c r="BU157" s="886"/>
    </row>
    <row r="158" spans="1:73">
      <c r="A158" s="94"/>
      <c r="B158" s="93" t="s">
        <v>354</v>
      </c>
      <c r="C158" s="87">
        <f>'Input data meat and eggs'!D9</f>
        <v>3.2821329020673647E-2</v>
      </c>
      <c r="D158" s="54"/>
      <c r="E158" s="513" t="s">
        <v>316</v>
      </c>
      <c r="F158" s="930">
        <f>SUMPRODUCT($CA$7:$CA$10,F159:F162)</f>
        <v>3.513756577925311</v>
      </c>
      <c r="G158" s="872">
        <f>SUMPRODUCT($CA$7:$CA$10,G159:G162)</f>
        <v>6.554443593808422</v>
      </c>
      <c r="H158" s="873">
        <f>SUMPRODUCT($CA$7:$CA$10,H159:H162)</f>
        <v>11.080838986680956</v>
      </c>
      <c r="I158" s="884"/>
      <c r="J158" s="884"/>
      <c r="K158" s="884"/>
      <c r="L158" s="884"/>
      <c r="M158" s="884"/>
      <c r="N158" s="884"/>
      <c r="O158" s="884"/>
      <c r="P158" s="884"/>
      <c r="Q158" s="884"/>
      <c r="R158" s="884"/>
      <c r="S158" s="884"/>
      <c r="T158" s="885"/>
      <c r="V158" s="1240">
        <f>'Input data meat and eggs'!$S418*'Input data meat and eggs'!E$48+'Input data meat and eggs'!$U418*'Input data meat and eggs'!E$35+'Input data meat and eggs'!$V418*SUMPRODUCT('Input data meat and eggs'!$E$77:$E$86,'Input data meat and eggs'!E$37:E$46)</f>
        <v>7150.9963552520421</v>
      </c>
      <c r="W158" s="211">
        <f>V158*'Input data meat and eggs'!$D418</f>
        <v>166954311.90606943</v>
      </c>
      <c r="X158" s="1243">
        <f>W158/'Input data meat and eggs'!$J418</f>
        <v>22.417619220828371</v>
      </c>
      <c r="Y158" s="212">
        <f>X158+X158*'Common input data'!$B$145</f>
        <v>24.390369712261268</v>
      </c>
      <c r="Z158" s="1241">
        <f>Y158+Y158*'Common input data'!$B$179</f>
        <v>27.073310380610007</v>
      </c>
      <c r="AA158" s="189"/>
      <c r="AB158" s="1240">
        <f>'Input data meat and eggs'!$T418*'Input data meat and eggs'!F$47</f>
        <v>20017.899678148737</v>
      </c>
      <c r="AC158" s="211">
        <f>AB158*'Input data meat and eggs'!$D418</f>
        <v>467357903.78573853</v>
      </c>
      <c r="AD158" s="1243">
        <f>AC158/'Input data meat and eggs'!$J418</f>
        <v>62.754003818767785</v>
      </c>
      <c r="AE158" s="212">
        <f>AD158+AD158*'Common input data'!$B$145</f>
        <v>68.276356154819354</v>
      </c>
      <c r="AF158" s="1241">
        <f>AE158+AE158*'Common input data'!$B$179</f>
        <v>75.786755331849477</v>
      </c>
      <c r="AG158" s="189"/>
      <c r="AH158" s="883">
        <f>'Input data meat and eggs'!$S418*'Input data meat and eggs'!G$48+'Input data meat and eggs'!$T418*'Input data meat and eggs'!G$47+'Input data meat and eggs'!$U418*'Input data meat and eggs'!G$35+'Input data meat and eggs'!$V418*SUMPRODUCT('Input data meat and eggs'!$E$77:$E$86,'Input data meat and eggs'!G$37:G$46)</f>
        <v>224.91430176808473</v>
      </c>
      <c r="AI158" s="884">
        <f>AH158*'Input data meat and eggs'!$D418</f>
        <v>5251074.2033794736</v>
      </c>
      <c r="AJ158" s="884">
        <f>AI158/'Input data meat and eggs'!$J418</f>
        <v>0.70508261001311856</v>
      </c>
      <c r="AK158" s="1225">
        <f>AJ158+AJ158*'Common input data'!$B$145</f>
        <v>0.76712987969427304</v>
      </c>
      <c r="AL158" s="1227">
        <f>AK158+AK158*'Common input data'!$B$179</f>
        <v>0.85151416646064304</v>
      </c>
      <c r="AM158" s="877"/>
      <c r="AN158" s="883">
        <f>'Input data meat and eggs'!$S418*'Input data meat and eggs'!H$48+'Input data meat and eggs'!$T418*'Input data meat and eggs'!H$47+'Input data meat and eggs'!$U418*'Input data meat and eggs'!H$35+'Input data meat and eggs'!$V418*SUMPRODUCT('Input data meat and eggs'!$E$77:$E$86,'Input data meat and eggs'!H$37:H$46)</f>
        <v>4.7863654205379307</v>
      </c>
      <c r="AO158" s="884">
        <f>AN158*'Input data meat and eggs'!$D418</f>
        <v>111747.27347329906</v>
      </c>
      <c r="AP158" s="884">
        <f>AO158/'Input data meat and eggs'!$J418</f>
        <v>1.5004750683525912E-2</v>
      </c>
      <c r="AQ158" s="1225">
        <f>AP158+AP158*'Common input data'!$B$145</f>
        <v>1.6325168743676195E-2</v>
      </c>
      <c r="AR158" s="1227">
        <f>AQ158+AQ158*'Common input data'!$B$179</f>
        <v>1.8120937305480575E-2</v>
      </c>
      <c r="AS158" s="877"/>
      <c r="AT158" s="883">
        <f>'Input data meat and eggs'!$S418*'Input data meat and eggs'!I$48+'Input data meat and eggs'!$T418*'Input data meat and eggs'!I$47+'Input data meat and eggs'!$U418*'Input data meat and eggs'!I$35+'Input data meat and eggs'!$V418*SUMPRODUCT('Input data meat and eggs'!$E$77:$E$86,'Input data meat and eggs'!I$37:I$46)</f>
        <v>0.33286598459075389</v>
      </c>
      <c r="AU158" s="884">
        <f>'Input data meat and eggs'!G418/12*((1-'Input data meat and eggs'!$R418)*'Input data meat and eggs'!$B$61+'Input data meat and eggs'!$R418*'Input data meat and eggs'!$B$62)</f>
        <v>31.391223966666658</v>
      </c>
      <c r="AV158" s="884">
        <f>SUM(AT158:AU158)</f>
        <v>31.724089951257412</v>
      </c>
      <c r="AW158" s="884">
        <f>AV158*'Input data meat and eggs'!$D418</f>
        <v>740662.32809200673</v>
      </c>
      <c r="AX158" s="884">
        <f>AW158/'Input data meat and eggs'!$J418</f>
        <v>9.945167544831314E-2</v>
      </c>
      <c r="AY158" s="1225">
        <f>AX158+AX158*'Common input data'!$B$145</f>
        <v>0.1082034228877647</v>
      </c>
      <c r="AZ158" s="1227">
        <f>AY158+AY158*'Common input data'!$B$179</f>
        <v>0.12010579940541882</v>
      </c>
      <c r="BA158" s="877"/>
      <c r="BB158" s="883">
        <f>'Input data meat and eggs'!$S418*'Input data meat and eggs'!J$48+'Input data meat and eggs'!$T418*'Input data meat and eggs'!J$47+'Input data meat and eggs'!$U418*'Input data meat and eggs'!J$35+'Input data meat and eggs'!$V418*SUMPRODUCT('Input data meat and eggs'!$E$77:$E$86,'Input data meat and eggs'!J$37:J$46)</f>
        <v>2.069484216074536E-7</v>
      </c>
      <c r="BC158" s="884">
        <f>BB158*'Input data meat and eggs'!$D418</f>
        <v>4.831624799269219E-3</v>
      </c>
      <c r="BD158" s="884">
        <f>(BC158/'Input data meat and eggs'!$J418)/$AS$3</f>
        <v>6.4876147091587065E-12</v>
      </c>
      <c r="BE158" s="1225">
        <f>BD158+BD158*'Common input data'!$B$145</f>
        <v>7.0585248035646727E-12</v>
      </c>
      <c r="BF158" s="1227">
        <f>BE158+BE158*'Common input data'!$B$179</f>
        <v>7.8349625319567875E-12</v>
      </c>
      <c r="BG158" s="877"/>
      <c r="BH158" s="883">
        <f>'Input data meat and eggs'!$S418*'Input data meat and eggs'!P$48+'Input data meat and eggs'!$T418*'Input data meat and eggs'!P$47+'Input data meat and eggs'!$U418*'Input data meat and eggs'!P$35+'Input data meat and eggs'!$V418*SUMPRODUCT('Input data meat and eggs'!$E$77:$E$86,'Input data meat and eggs'!P$37:P$46)</f>
        <v>0.27960575180892261</v>
      </c>
      <c r="BI158" s="884">
        <f>BH158*'Input data meat and eggs'!$D418</f>
        <v>6527.9554874829164</v>
      </c>
      <c r="BJ158" s="884">
        <f>BI158/'Input data meat and eggs'!$J418</f>
        <v>8.7653453653381802E-4</v>
      </c>
      <c r="BK158" s="1225">
        <f>BJ158+BJ158*'Common input data'!$B$145</f>
        <v>9.5366957574879411E-4</v>
      </c>
      <c r="BL158" s="1227">
        <f>BK158+BK158*'Common input data'!$B$179</f>
        <v>1.0585732290811615E-3</v>
      </c>
      <c r="BM158" s="877"/>
      <c r="BN158" s="883">
        <f>'Input data meat and eggs'!$S418*'Input data meat and eggs'!W$48+'Input data meat and eggs'!$T418*'Input data meat and eggs'!W$47+'Input data meat and eggs'!$U418*'Input data meat and eggs'!W$35+'Input data meat and eggs'!$V418*SUMPRODUCT('Input data meat and eggs'!$E$77:$E$86,'Input data meat and eggs'!W$37:W$46)</f>
        <v>14.807784085059296</v>
      </c>
      <c r="BO158" s="884">
        <f>BN158*'Input data meat and eggs'!$D418</f>
        <v>345717.33503387938</v>
      </c>
      <c r="BP158" s="884">
        <f>BO158/'Input data meat and eggs'!$J418</f>
        <v>4.6420841045359713E-2</v>
      </c>
      <c r="BQ158" s="1225">
        <f>BP158+BP158*'Common input data'!$B$145</f>
        <v>5.0505875057351372E-2</v>
      </c>
      <c r="BR158" s="1227">
        <f>BQ158+BQ158*'Common input data'!$B$179</f>
        <v>5.6061521313660025E-2</v>
      </c>
      <c r="BS158" s="877"/>
      <c r="BT158" s="883">
        <f>'Common input data'!$C$202+'Common input data'!$C$202*'Common input data'!$B$145</f>
        <v>0.15580160000000001</v>
      </c>
      <c r="BU158" s="1227">
        <f>BT158+BT158*'Common input data'!$B$179</f>
        <v>0.17293977600000002</v>
      </c>
    </row>
    <row r="159" spans="1:73">
      <c r="A159" s="18"/>
      <c r="C159" s="64"/>
      <c r="E159" s="511" t="s">
        <v>317</v>
      </c>
      <c r="F159" s="928">
        <f>IF(AND($G$2="No",$G$3="No"),SUM(J159:M159),IF(AND($G$2="Yes", $G$3="No"), SUM(J159:M159)+O159, IF(AND($G$2="No", $G$3="Yes"),SUM(J159:M159)+N159, SUM(J159:M159)+O159+N159)))</f>
        <v>-1.563290730312457</v>
      </c>
      <c r="G159" s="877">
        <f>IF(AND($G$2="No",$G$3="No"),SUM(I159:M159,P159),IF(AND($G$2="Yes", $G$3="No"), SUM(I159:M159,P159)+O159, IF(AND($G$2="No", $G$3="Yes"),SUM(I159:M159,P159)+N159, SUM(I159:M159,P159)+O159+N159)))</f>
        <v>1.0148592147010023</v>
      </c>
      <c r="H159" s="878">
        <f>SUM(R159:T159)/(1-'Common input data'!B$145)</f>
        <v>2.3367866296581346</v>
      </c>
      <c r="I159" s="877">
        <f>('Input data meat and eggs'!S418*'Input data meat and eggs'!B48+'Input data meat and eggs'!T418*'Input data meat and eggs'!B47+'Input data meat and eggs'!U418*'Input data meat and eggs'!B35+'Input data meat and eggs'!V418*SUMPRODUCT('Input data meat and eggs'!B37:B46,'Input data meat and eggs'!F77:F86))*'Input data meat and eggs'!$E$418/'Input data meat and eggs'!$H$418</f>
        <v>1.8775499450134594</v>
      </c>
      <c r="J159" s="877">
        <v>0</v>
      </c>
      <c r="K159" s="877">
        <v>0</v>
      </c>
      <c r="L159" s="877">
        <v>0</v>
      </c>
      <c r="M159" s="877">
        <v>0</v>
      </c>
      <c r="N159" s="877">
        <f>(('Input data meat and eggs'!S418+'Input data meat and eggs'!T418)*'Common input data'!F19+
'Input data meat and eggs'!U418*'Common input data'!B19+'Input data meat and eggs'!V418*('Input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eggs'!$E$418/'Input data meat and eggs'!$H$418</f>
        <v>-1.5786315165250588</v>
      </c>
      <c r="O159" s="877">
        <f>('Input data meat and eggs'!V418*('Input data meat and eggs'!F79*'Common input data'!AR27*'Common input data'!G44/'Common input data'!F44+'Input data meat and eggs'!F83*'Common input data'!AS27*'Common input data'!J46/'Common input data'!I46))*'Input data meat and eggs'!$E$418/'Input data meat and eggs'!$H$418</f>
        <v>1.5340786212601744E-2</v>
      </c>
      <c r="P159" s="877">
        <f>'Input data meat and eggs'!B95*'Common input data'!B80</f>
        <v>0.70060000000000011</v>
      </c>
      <c r="Q159" s="877">
        <f>'Input data meat and eggs'!B104*'Common input data'!B80+'Input data meat and eggs'!C104*3.6*'Common input data'!B66</f>
        <v>0.37593962264150943</v>
      </c>
      <c r="R159" s="877">
        <f>(G159+Q159)/'Input data meat and eggs'!$B$29</f>
        <v>2.0011494062482185</v>
      </c>
      <c r="S159" s="877">
        <f>'Common input data'!B109</f>
        <v>0.1</v>
      </c>
      <c r="T159" s="886">
        <f>'Common input data'!C115</f>
        <v>0.03</v>
      </c>
      <c r="V159" s="1230"/>
      <c r="W159" s="183"/>
      <c r="X159" s="183"/>
      <c r="Y159" s="183"/>
      <c r="Z159" s="1231"/>
      <c r="AA159" s="183"/>
      <c r="AB159" s="1230"/>
      <c r="AC159" s="183"/>
      <c r="AD159" s="183"/>
      <c r="AE159" s="183"/>
      <c r="AF159" s="1231"/>
      <c r="AG159" s="189"/>
      <c r="AH159" s="879"/>
      <c r="AI159" s="877"/>
      <c r="AJ159" s="877"/>
      <c r="AK159" s="877"/>
      <c r="AL159" s="886"/>
      <c r="AM159" s="877"/>
      <c r="AN159" s="879"/>
      <c r="AO159" s="877"/>
      <c r="AP159" s="877"/>
      <c r="AQ159" s="877"/>
      <c r="AR159" s="886"/>
      <c r="AS159" s="877"/>
      <c r="AT159" s="879"/>
      <c r="AU159" s="877"/>
      <c r="AV159" s="877"/>
      <c r="AW159" s="877"/>
      <c r="AX159" s="877"/>
      <c r="AY159" s="877"/>
      <c r="AZ159" s="886"/>
      <c r="BA159" s="877"/>
      <c r="BB159" s="879"/>
      <c r="BC159" s="877"/>
      <c r="BD159" s="877"/>
      <c r="BE159" s="877"/>
      <c r="BF159" s="886"/>
      <c r="BG159" s="877"/>
      <c r="BH159" s="879"/>
      <c r="BI159" s="877"/>
      <c r="BJ159" s="877"/>
      <c r="BK159" s="877"/>
      <c r="BL159" s="886"/>
      <c r="BM159" s="877"/>
      <c r="BN159" s="879"/>
      <c r="BO159" s="877"/>
      <c r="BP159" s="877"/>
      <c r="BQ159" s="877"/>
      <c r="BR159" s="886"/>
      <c r="BS159" s="877"/>
      <c r="BT159" s="879"/>
      <c r="BU159" s="886"/>
    </row>
    <row r="160" spans="1:73">
      <c r="A160" s="18"/>
      <c r="C160" s="64"/>
      <c r="E160" s="511" t="s">
        <v>321</v>
      </c>
      <c r="F160" s="928">
        <f>SUM(J160:M160)</f>
        <v>0.4873669016700326</v>
      </c>
      <c r="G160" s="877">
        <f>SUM(I160:M160,P160)</f>
        <v>0.4873669016700326</v>
      </c>
      <c r="H160" s="878">
        <f>SUM(R160:T160)/(1-'Common input data'!B$145)</f>
        <v>0.768911557601339</v>
      </c>
      <c r="I160" s="877">
        <v>0</v>
      </c>
      <c r="J160" s="877">
        <v>0</v>
      </c>
      <c r="K160" s="877">
        <f>('Input data meat and eggs'!M418*'Input data meat and eggs'!G418/12*'Input data meat and eggs'!$B$462*'Input data meat and eggs'!$B$464*'Input data meat and eggs'!$B$465*
('Input data meat and eggs'!$O$418*'Input data meat and eggs'!$B$455
+'Input data meat and eggs'!$P$418*'Input data meat and eggs'!$C$455+
'Input data meat and eggs'!$Q$418*'Input data meat and eggs'!$D$455+
'Input data meat and eggs'!$R$418*'Input data meat and eggs'!$E$455))*'Input data meat and eggs'!$E$418/'Input data meat and eggs'!$H$418</f>
        <v>5.1404964294935136E-2</v>
      </c>
      <c r="L160" s="877">
        <v>0</v>
      </c>
      <c r="M160" s="877">
        <f>('Input data meat and eggs'!L418*'Input data meat and eggs'!G418/12)*'Input data meat and eggs'!$E$418/'Input data meat and eggs'!$H$418</f>
        <v>0.43596193737509747</v>
      </c>
      <c r="N160" s="877">
        <v>0</v>
      </c>
      <c r="O160" s="877">
        <v>0</v>
      </c>
      <c r="P160" s="877">
        <v>0</v>
      </c>
      <c r="Q160" s="877">
        <v>0</v>
      </c>
      <c r="R160" s="877">
        <f>(G160+Q160)/'Input data meat and eggs'!$B$29</f>
        <v>0.7012473405324211</v>
      </c>
      <c r="S160" s="877">
        <v>0</v>
      </c>
      <c r="T160" s="886">
        <v>0</v>
      </c>
      <c r="V160" s="1232"/>
      <c r="W160" s="189"/>
      <c r="X160" s="189"/>
      <c r="Y160" s="189"/>
      <c r="Z160" s="199"/>
      <c r="AA160" s="189"/>
      <c r="AB160" s="1232"/>
      <c r="AC160" s="189"/>
      <c r="AD160" s="189"/>
      <c r="AE160" s="189"/>
      <c r="AF160" s="199"/>
      <c r="AG160" s="189"/>
      <c r="AH160" s="879"/>
      <c r="AI160" s="877"/>
      <c r="AJ160" s="877"/>
      <c r="AK160" s="877"/>
      <c r="AL160" s="886"/>
      <c r="AM160" s="877"/>
      <c r="AN160" s="879"/>
      <c r="AO160" s="877"/>
      <c r="AP160" s="877"/>
      <c r="AQ160" s="877"/>
      <c r="AR160" s="886"/>
      <c r="AS160" s="877"/>
      <c r="AT160" s="879"/>
      <c r="AU160" s="877"/>
      <c r="AV160" s="877"/>
      <c r="AW160" s="877"/>
      <c r="AX160" s="877"/>
      <c r="AY160" s="877"/>
      <c r="AZ160" s="886"/>
      <c r="BA160" s="877"/>
      <c r="BB160" s="879"/>
      <c r="BC160" s="877"/>
      <c r="BD160" s="877"/>
      <c r="BE160" s="877"/>
      <c r="BF160" s="886"/>
      <c r="BG160" s="877"/>
      <c r="BH160" s="879"/>
      <c r="BI160" s="877"/>
      <c r="BJ160" s="877"/>
      <c r="BK160" s="877"/>
      <c r="BL160" s="886"/>
      <c r="BM160" s="877"/>
      <c r="BN160" s="879"/>
      <c r="BO160" s="877"/>
      <c r="BP160" s="877"/>
      <c r="BQ160" s="877"/>
      <c r="BR160" s="886"/>
      <c r="BS160" s="877"/>
      <c r="BT160" s="879"/>
      <c r="BU160" s="886"/>
    </row>
    <row r="161" spans="1:73">
      <c r="A161" s="18"/>
      <c r="C161" s="64"/>
      <c r="E161" s="511" t="s">
        <v>319</v>
      </c>
      <c r="F161" s="928">
        <f>SUM(J161:M161)</f>
        <v>0</v>
      </c>
      <c r="G161" s="877">
        <f>SUM(I161:M161,P161)</f>
        <v>9.8319541991667898E-4</v>
      </c>
      <c r="H161" s="878">
        <f>SUM(R161:T161)/(1-'Common input data'!B$145)</f>
        <v>1.7151330749377856E-3</v>
      </c>
      <c r="I161" s="877">
        <f>('Input data meat and eggs'!S418*'Input data meat and eggs'!C48+'Input data meat and eggs'!T418*'Input data meat and eggs'!C47+'Input data meat and eggs'!U418*'Input data meat and eggs'!C35+'Input data meat and eggs'!V418*SUMPRODUCT('Input data meat and eggs'!C37:C46,'Input data meat and eggs'!F77:F86))*'Input data meat and eggs'!$E$418/'Input data meat and eggs'!$H$418</f>
        <v>9.8319541991667898E-4</v>
      </c>
      <c r="J161" s="877">
        <v>0</v>
      </c>
      <c r="K161" s="877">
        <v>0</v>
      </c>
      <c r="L161" s="877">
        <v>0</v>
      </c>
      <c r="M161" s="877">
        <v>0</v>
      </c>
      <c r="N161" s="877">
        <v>0</v>
      </c>
      <c r="O161" s="877">
        <v>0</v>
      </c>
      <c r="P161" s="877">
        <v>0</v>
      </c>
      <c r="Q161" s="877">
        <f>'Input data meat and eggs'!C104*3.6*'Common input data'!B67</f>
        <v>1.0392452830188681E-4</v>
      </c>
      <c r="R161" s="877">
        <f>(G161+Q161)/'Input data meat and eggs'!$B$29</f>
        <v>1.5642013643432603E-3</v>
      </c>
      <c r="S161" s="877">
        <v>0</v>
      </c>
      <c r="T161" s="886">
        <v>0</v>
      </c>
      <c r="V161" s="1230"/>
      <c r="W161" s="183"/>
      <c r="X161" s="183"/>
      <c r="Y161" s="183"/>
      <c r="Z161" s="1231"/>
      <c r="AA161" s="183"/>
      <c r="AB161" s="1230"/>
      <c r="AC161" s="183"/>
      <c r="AD161" s="183"/>
      <c r="AE161" s="183"/>
      <c r="AF161" s="1231"/>
      <c r="AG161" s="189"/>
      <c r="AH161" s="879"/>
      <c r="AI161" s="877"/>
      <c r="AJ161" s="877"/>
      <c r="AK161" s="877"/>
      <c r="AL161" s="886"/>
      <c r="AM161" s="877"/>
      <c r="AN161" s="879"/>
      <c r="AO161" s="877"/>
      <c r="AP161" s="877"/>
      <c r="AQ161" s="877"/>
      <c r="AR161" s="886"/>
      <c r="AS161" s="877"/>
      <c r="AT161" s="879"/>
      <c r="AU161" s="877"/>
      <c r="AV161" s="877"/>
      <c r="AW161" s="877"/>
      <c r="AX161" s="877"/>
      <c r="AY161" s="877"/>
      <c r="AZ161" s="886"/>
      <c r="BA161" s="877"/>
      <c r="BB161" s="879"/>
      <c r="BC161" s="877"/>
      <c r="BD161" s="877"/>
      <c r="BE161" s="877"/>
      <c r="BF161" s="886"/>
      <c r="BG161" s="877"/>
      <c r="BH161" s="879"/>
      <c r="BI161" s="877"/>
      <c r="BJ161" s="877"/>
      <c r="BK161" s="877"/>
      <c r="BL161" s="886"/>
      <c r="BM161" s="877"/>
      <c r="BN161" s="879"/>
      <c r="BO161" s="877"/>
      <c r="BP161" s="877"/>
      <c r="BQ161" s="877"/>
      <c r="BR161" s="886"/>
      <c r="BS161" s="877"/>
      <c r="BT161" s="879"/>
      <c r="BU161" s="886"/>
    </row>
    <row r="162" spans="1:73">
      <c r="A162" s="18"/>
      <c r="C162" s="64"/>
      <c r="E162" s="512" t="s">
        <v>320</v>
      </c>
      <c r="F162" s="928">
        <f>SUM(J162:M162)</f>
        <v>1.1958896439436116E-2</v>
      </c>
      <c r="G162" s="877">
        <f>SUM(I162:M162,P162)</f>
        <v>1.3924201385341882E-2</v>
      </c>
      <c r="H162" s="878">
        <f>SUM(R162:T162)/(1-'Common input data'!B$145)</f>
        <v>2.1983291462851162E-2</v>
      </c>
      <c r="I162" s="877">
        <f>(('Input data meat and eggs'!S418*'Input data meat and eggs'!D48+'Input data meat and eggs'!T418*'Input data meat and eggs'!D47+'Input data meat and eggs'!U418*'Input data meat and eggs'!D35+'Input data meat and eggs'!V418*SUMPRODUCT('Input data meat and eggs'!D37:D46,'Input data meat and eggs'!F77:F86))*'Input data meat and eggs'!B70)*'Input data meat and eggs'!$E$418/'Input data meat and eggs'!$H$418</f>
        <v>1.9653049459057671E-3</v>
      </c>
      <c r="J162" s="877">
        <f>(('Input data meat and eggs'!S418*'Input data meat and eggs'!D48+'Input data meat and eggs'!T418*'Input data meat and eggs'!D47+'Input data meat and eggs'!U418*'Input data meat and eggs'!D35+'Input data meat and eggs'!V418*SUMPRODUCT('Input data meat and eggs'!D37:D46,'Input data meat and eggs'!F77:F86))*'Input data meat and eggs'!C70)*'Input data meat and eggs'!$E$418/'Input data meat and eggs'!$H$418</f>
        <v>4.9674987577761212E-3</v>
      </c>
      <c r="K162" s="877">
        <f>('Input data meat and eggs'!K418*'Input data meat and eggs'!G418/12*('Input data meat and eggs'!$O$418*'Input data meat and eggs'!$B$457+'Input data meat and eggs'!$P$418*'Input data meat and eggs'!$C$457+'Input data meat and eggs'!$Q$418*'Input data meat and eggs'!$D$457+'Input data meat and eggs'!$R$418*'Input data meat and eggs'!$E$457)*44/28)*'Input data meat and eggs'!$E$418/'Input data meat and eggs'!$H$418</f>
        <v>6.1511524993051814E-3</v>
      </c>
      <c r="L162" s="877">
        <f>('Input data meat and eggs'!$B$458*44/28*'Input data meat and eggs'!K418*'Input data meat and eggs'!G418/12*('Input data meat and eggs'!O418*'Input data meat and eggs'!B469+'Input data meat and eggs'!P418*'Input data meat and eggs'!C469+'Input data meat and eggs'!Q418*'Input data meat and eggs'!D469))*'Input data meat and eggs'!$E$418/'Input data meat and eggs'!$H$418</f>
        <v>8.4024518235481418E-4</v>
      </c>
      <c r="M162" s="877">
        <v>0</v>
      </c>
      <c r="N162" s="877">
        <v>0</v>
      </c>
      <c r="O162" s="877">
        <v>0</v>
      </c>
      <c r="P162" s="877">
        <v>0</v>
      </c>
      <c r="Q162" s="877">
        <f>'Input data meat and eggs'!C104*3.6*'Common input data'!B68</f>
        <v>9.6880754716981128E-6</v>
      </c>
      <c r="R162" s="877">
        <f>(G162+Q162)/'Input data meat and eggs'!$B$29</f>
        <v>2.0048761814120259E-2</v>
      </c>
      <c r="S162" s="877">
        <v>0</v>
      </c>
      <c r="T162" s="886">
        <v>0</v>
      </c>
      <c r="V162" s="1230"/>
      <c r="W162" s="183"/>
      <c r="X162" s="183"/>
      <c r="Y162" s="183"/>
      <c r="Z162" s="1231"/>
      <c r="AA162" s="183"/>
      <c r="AB162" s="1230"/>
      <c r="AC162" s="183"/>
      <c r="AD162" s="183"/>
      <c r="AE162" s="183"/>
      <c r="AF162" s="1231"/>
      <c r="AG162" s="189"/>
      <c r="AH162" s="879"/>
      <c r="AI162" s="877"/>
      <c r="AJ162" s="877"/>
      <c r="AK162" s="877"/>
      <c r="AL162" s="886"/>
      <c r="AM162" s="877"/>
      <c r="AN162" s="879"/>
      <c r="AO162" s="877"/>
      <c r="AP162" s="877"/>
      <c r="AQ162" s="877"/>
      <c r="AR162" s="886"/>
      <c r="AS162" s="877"/>
      <c r="AT162" s="879"/>
      <c r="AU162" s="877"/>
      <c r="AV162" s="877"/>
      <c r="AW162" s="877"/>
      <c r="AX162" s="877"/>
      <c r="AY162" s="877"/>
      <c r="AZ162" s="886"/>
      <c r="BA162" s="877"/>
      <c r="BB162" s="879"/>
      <c r="BC162" s="877"/>
      <c r="BD162" s="877"/>
      <c r="BE162" s="877"/>
      <c r="BF162" s="886"/>
      <c r="BG162" s="877"/>
      <c r="BH162" s="879"/>
      <c r="BI162" s="877"/>
      <c r="BJ162" s="877"/>
      <c r="BK162" s="877"/>
      <c r="BL162" s="886"/>
      <c r="BM162" s="877"/>
      <c r="BN162" s="879"/>
      <c r="BO162" s="877"/>
      <c r="BP162" s="877"/>
      <c r="BQ162" s="877"/>
      <c r="BR162" s="886"/>
      <c r="BS162" s="877"/>
      <c r="BT162" s="879"/>
      <c r="BU162" s="886"/>
    </row>
    <row r="163" spans="1:73">
      <c r="A163" s="94"/>
      <c r="B163" s="93" t="s">
        <v>355</v>
      </c>
      <c r="C163" s="87">
        <f>'Input data meat and eggs'!D10</f>
        <v>1.1527781552222855E-2</v>
      </c>
      <c r="D163" s="54"/>
      <c r="E163" s="513" t="s">
        <v>316</v>
      </c>
      <c r="F163" s="930">
        <f>SUMPRODUCT($CA$7:$CA$10,F164:F167)</f>
        <v>2.9135139816494817</v>
      </c>
      <c r="G163" s="872">
        <f>SUMPRODUCT($CA$7:$CA$10,G164:G167)</f>
        <v>5.8524191204765916</v>
      </c>
      <c r="H163" s="873">
        <f>SUMPRODUCT($CA$7:$CA$10,H164:H167)</f>
        <v>9.9732653508551472</v>
      </c>
      <c r="I163" s="884"/>
      <c r="J163" s="884"/>
      <c r="K163" s="884"/>
      <c r="L163" s="884"/>
      <c r="M163" s="884"/>
      <c r="N163" s="884"/>
      <c r="O163" s="884"/>
      <c r="P163" s="884"/>
      <c r="Q163" s="884"/>
      <c r="R163" s="884"/>
      <c r="S163" s="884"/>
      <c r="T163" s="885"/>
      <c r="V163" s="1240">
        <f>'Input data meat and eggs'!$S419*'Input data meat and eggs'!E$48+'Input data meat and eggs'!$U419*'Input data meat and eggs'!E$35+'Input data meat and eggs'!$V419*SUMPRODUCT('Input data meat and eggs'!$E$77:$E$86,'Input data meat and eggs'!E$37:E$46)</f>
        <v>2327.3242572518589</v>
      </c>
      <c r="W163" s="211">
        <f>V163*'Input data meat and eggs'!$D419</f>
        <v>36763810.362104714</v>
      </c>
      <c r="X163" s="1243">
        <f>W163/'Input data meat and eggs'!$J419</f>
        <v>14.054739158474902</v>
      </c>
      <c r="Y163" s="212">
        <f>X163+X163*'Common input data'!$B$145</f>
        <v>15.291556204420695</v>
      </c>
      <c r="Z163" s="1241">
        <f>Y163+Y163*'Common input data'!$B$179</f>
        <v>16.973627386906973</v>
      </c>
      <c r="AA163" s="189"/>
      <c r="AB163" s="1240">
        <f>'Input data meat and eggs'!$T419*'Input data meat and eggs'!F$47</f>
        <v>0</v>
      </c>
      <c r="AC163" s="211">
        <f>AB163*'Input data meat and eggs'!$D419</f>
        <v>0</v>
      </c>
      <c r="AD163" s="1243">
        <f>AC163/'Input data meat and eggs'!$J419</f>
        <v>0</v>
      </c>
      <c r="AE163" s="212">
        <f>AD163+AD163*'Common input data'!$B$145</f>
        <v>0</v>
      </c>
      <c r="AF163" s="1241">
        <f>AE163+AE163*'Common input data'!$B$179</f>
        <v>0</v>
      </c>
      <c r="AG163" s="189"/>
      <c r="AH163" s="883">
        <f>'Input data meat and eggs'!$S419*'Input data meat and eggs'!G$48+'Input data meat and eggs'!$T419*'Input data meat and eggs'!G$47+'Input data meat and eggs'!$U419*'Input data meat and eggs'!G$35+'Input data meat and eggs'!$V419*SUMPRODUCT('Input data meat and eggs'!$E$77:$E$86,'Input data meat and eggs'!G$37:G$46)</f>
        <v>40.375407362639677</v>
      </c>
      <c r="AI163" s="884">
        <f>AH163*'Input data meat and eggs'!$D419</f>
        <v>637794.159944674</v>
      </c>
      <c r="AJ163" s="884">
        <f>AI163/'Input data meat and eggs'!$J419</f>
        <v>0.24382757027984589</v>
      </c>
      <c r="AK163" s="1225">
        <f>AJ163+AJ163*'Common input data'!$B$145</f>
        <v>0.26528439646447233</v>
      </c>
      <c r="AL163" s="1227">
        <f>AK163+AK163*'Common input data'!$B$179</f>
        <v>0.29446568007556428</v>
      </c>
      <c r="AM163" s="877"/>
      <c r="AN163" s="883">
        <f>'Input data meat and eggs'!$S419*'Input data meat and eggs'!H$48+'Input data meat and eggs'!$T419*'Input data meat and eggs'!H$47+'Input data meat and eggs'!$U419*'Input data meat and eggs'!H$35+'Input data meat and eggs'!$V419*SUMPRODUCT('Input data meat and eggs'!$E$77:$E$86,'Input data meat and eggs'!H$37:H$46)</f>
        <v>2.2442997909477223</v>
      </c>
      <c r="AO163" s="884">
        <f>AN163*'Input data meat and eggs'!$D419</f>
        <v>35452.306077684792</v>
      </c>
      <c r="AP163" s="884">
        <f>AO163/'Input data meat and eggs'!$J419</f>
        <v>1.355335340870658E-2</v>
      </c>
      <c r="AQ163" s="1225">
        <f>AP163+AP163*'Common input data'!$B$145</f>
        <v>1.474604850867276E-2</v>
      </c>
      <c r="AR163" s="1227">
        <f>AQ163+AQ163*'Common input data'!$B$179</f>
        <v>1.6368113844626764E-2</v>
      </c>
      <c r="AS163" s="877"/>
      <c r="AT163" s="883">
        <f>'Input data meat and eggs'!$S419*'Input data meat and eggs'!I$48+'Input data meat and eggs'!$T419*'Input data meat and eggs'!I$47+'Input data meat and eggs'!$U419*'Input data meat and eggs'!I$35+'Input data meat and eggs'!$V419*SUMPRODUCT('Input data meat and eggs'!$E$77:$E$86,'Input data meat and eggs'!I$37:I$46)</f>
        <v>3.6563389212493118</v>
      </c>
      <c r="AU163" s="884">
        <f>'Input data meat and eggs'!G419/12*((1-'Input data meat and eggs'!$R419)*'Input data meat and eggs'!$B$61+'Input data meat and eggs'!$R419*'Input data meat and eggs'!$B$62)</f>
        <v>13.773396666666665</v>
      </c>
      <c r="AV163" s="884">
        <f>SUM(AT163:AU163)</f>
        <v>17.429735587915978</v>
      </c>
      <c r="AW163" s="884">
        <f>AV163*'Input data meat and eggs'!$D419</f>
        <v>275330.56118807354</v>
      </c>
      <c r="AX163" s="884">
        <f>AW163/'Input data meat and eggs'!$J419</f>
        <v>0.10525838267960612</v>
      </c>
      <c r="AY163" s="1225">
        <f>AX163+AX163*'Common input data'!$B$145</f>
        <v>0.11452112035541147</v>
      </c>
      <c r="AZ163" s="1227">
        <f>AY163+AY163*'Common input data'!$B$179</f>
        <v>0.12711844359450672</v>
      </c>
      <c r="BA163" s="877"/>
      <c r="BB163" s="883">
        <f>'Input data meat and eggs'!$S419*'Input data meat and eggs'!J$48+'Input data meat and eggs'!$T419*'Input data meat and eggs'!J$47+'Input data meat and eggs'!$U419*'Input data meat and eggs'!J$35+'Input data meat and eggs'!$V419*SUMPRODUCT('Input data meat and eggs'!$E$77:$E$86,'Input data meat and eggs'!J$37:J$46)</f>
        <v>8.7617080285342777E-8</v>
      </c>
      <c r="BC163" s="884">
        <f>BB163*'Input data meat and eggs'!$D419</f>
        <v>1.3840519704354458E-3</v>
      </c>
      <c r="BD163" s="884">
        <f>(BC163/'Input data meat and eggs'!$J419)/$AS$3</f>
        <v>5.2912060079318068E-12</v>
      </c>
      <c r="BE163" s="1225">
        <f>BD163+BD163*'Common input data'!$B$145</f>
        <v>5.7568321366298062E-12</v>
      </c>
      <c r="BF163" s="1227">
        <f>BE163+BE163*'Common input data'!$B$179</f>
        <v>6.3900836716590852E-12</v>
      </c>
      <c r="BG163" s="877"/>
      <c r="BH163" s="883">
        <f>'Input data meat and eggs'!$S419*'Input data meat and eggs'!P$48+'Input data meat and eggs'!$T419*'Input data meat and eggs'!P$47+'Input data meat and eggs'!$U419*'Input data meat and eggs'!P$35+'Input data meat and eggs'!$V419*SUMPRODUCT('Input data meat and eggs'!$E$77:$E$86,'Input data meat and eggs'!P$37:P$46)</f>
        <v>0.14904295687229446</v>
      </c>
      <c r="BI163" s="884">
        <f>BH163*'Input data meat and eggs'!$D419</f>
        <v>2354.3719725288865</v>
      </c>
      <c r="BJ163" s="884">
        <f>BI163/'Input data meat and eggs'!$J419</f>
        <v>9.0007220769547955E-4</v>
      </c>
      <c r="BK163" s="1225">
        <f>BJ163+BJ163*'Common input data'!$B$145</f>
        <v>9.7927856197268181E-4</v>
      </c>
      <c r="BL163" s="1227">
        <f>BK163+BK163*'Common input data'!$B$179</f>
        <v>1.0869992037896767E-3</v>
      </c>
      <c r="BM163" s="877"/>
      <c r="BN163" s="883">
        <f>'Input data meat and eggs'!$S419*'Input data meat and eggs'!W$48+'Input data meat and eggs'!$T419*'Input data meat and eggs'!W$47+'Input data meat and eggs'!$U419*'Input data meat and eggs'!W$35+'Input data meat and eggs'!$V419*SUMPRODUCT('Input data meat and eggs'!$E$77:$E$86,'Input data meat and eggs'!W$37:W$46)</f>
        <v>2.5873021664003502</v>
      </c>
      <c r="BO163" s="884">
        <f>BN163*'Input data meat and eggs'!$D419</f>
        <v>40870.577401759772</v>
      </c>
      <c r="BP163" s="884">
        <f>BO163/'Input data meat and eggs'!$J419</f>
        <v>1.5624748876141979E-2</v>
      </c>
      <c r="BQ163" s="1225">
        <f>BP163+BP163*'Common input data'!$B$145</f>
        <v>1.6999726777242475E-2</v>
      </c>
      <c r="BR163" s="1227">
        <f>BQ163+BQ163*'Common input data'!$B$179</f>
        <v>1.8869696722739148E-2</v>
      </c>
      <c r="BS163" s="877"/>
      <c r="BT163" s="883">
        <f>'Common input data'!$C$202+'Common input data'!$C$202*'Common input data'!$B$145</f>
        <v>0.15580160000000001</v>
      </c>
      <c r="BU163" s="1227">
        <f>BT163+BT163*'Common input data'!$B$179</f>
        <v>0.17293977600000002</v>
      </c>
    </row>
    <row r="164" spans="1:73">
      <c r="A164" s="18"/>
      <c r="C164" s="64"/>
      <c r="E164" s="511" t="s">
        <v>317</v>
      </c>
      <c r="F164" s="928">
        <f>IF(AND($G$2="No",$G$3="No"),SUM(J164:M164),IF(AND($G$2="Yes", $G$3="No"), SUM(J164:M164)+O164, IF(AND($G$2="No", $G$3="Yes"),SUM(J164:M164)+N164, SUM(J164:M164)+O164+N164)))</f>
        <v>0.57707898580392614</v>
      </c>
      <c r="G164" s="877">
        <f>IF(AND($G$2="No",$G$3="No"),SUM(I164:M164,P164),IF(AND($G$2="Yes", $G$3="No"), SUM(I164:M164,P164)+O164, IF(AND($G$2="No", $G$3="Yes"),SUM(I164:M164,P164)+N164, SUM(I164:M164,P164)+O164+N164)))</f>
        <v>3.1088180854036547</v>
      </c>
      <c r="H164" s="878">
        <f>SUM(R164:T164)/(1-'Common input data'!B$145)</f>
        <v>5.6403945917663201</v>
      </c>
      <c r="I164" s="877">
        <f>('Input data meat and eggs'!S419*'Input data meat and eggs'!B48+'Input data meat and eggs'!T419*'Input data meat and eggs'!B47+'Input data meat and eggs'!U419*'Input data meat and eggs'!B35+'Input data meat and eggs'!V419*SUMPRODUCT('Input data meat and eggs'!B37:B46,'Input data meat and eggs'!F77:F86))*'Input data meat and eggs'!$E$419/'Input data meat and eggs'!$H$419</f>
        <v>1.8311390995997285</v>
      </c>
      <c r="J164" s="877">
        <v>0</v>
      </c>
      <c r="K164" s="877">
        <v>0</v>
      </c>
      <c r="L164" s="877">
        <v>0</v>
      </c>
      <c r="M164" s="877">
        <v>0</v>
      </c>
      <c r="N164" s="877">
        <f>(('Input data meat and eggs'!S419+'Input data meat and eggs'!T419)*'Common input data'!F19+
'Input data meat and eggs'!U419*'Common input data'!B19+'Input data meat and eggs'!V419*('Input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eggs'!$E$419/'Input data meat and eggs'!$H$419</f>
        <v>0.24609376439968858</v>
      </c>
      <c r="O164" s="877">
        <f>('Input data meat and eggs'!V419*('Input data meat and eggs'!F79*'Common input data'!AR27*'Common input data'!G44/'Common input data'!F44+'Input data meat and eggs'!F83*'Common input data'!AS27*'Common input data'!J46/'Common input data'!I46))*'Input data meat and eggs'!$E$419/'Input data meat and eggs'!$H$419</f>
        <v>0.33098522140423753</v>
      </c>
      <c r="P164" s="877">
        <f>'Input data meat and eggs'!B95*'Common input data'!B80</f>
        <v>0.70060000000000011</v>
      </c>
      <c r="Q164" s="877">
        <f>'Input data meat and eggs'!B104*'Common input data'!B80+'Input data meat and eggs'!C104*3.6*'Common input data'!B66</f>
        <v>0.37593962264150943</v>
      </c>
      <c r="R164" s="877">
        <f>(G164+Q164)/'Input data meat and eggs'!$B$29</f>
        <v>5.0140398676908839</v>
      </c>
      <c r="S164" s="877">
        <f>'Common input data'!B109</f>
        <v>0.1</v>
      </c>
      <c r="T164" s="886">
        <f>'Common input data'!C115</f>
        <v>0.03</v>
      </c>
      <c r="V164" s="1230"/>
      <c r="W164" s="183"/>
      <c r="X164" s="183"/>
      <c r="Y164" s="183"/>
      <c r="Z164" s="1231"/>
      <c r="AA164" s="183"/>
      <c r="AB164" s="1230"/>
      <c r="AC164" s="183"/>
      <c r="AD164" s="183"/>
      <c r="AE164" s="183"/>
      <c r="AF164" s="1231"/>
      <c r="AG164" s="189"/>
      <c r="AH164" s="879"/>
      <c r="AI164" s="877"/>
      <c r="AJ164" s="877"/>
      <c r="AK164" s="877"/>
      <c r="AL164" s="886"/>
      <c r="AM164" s="877"/>
      <c r="AN164" s="879"/>
      <c r="AO164" s="877"/>
      <c r="AP164" s="877"/>
      <c r="AQ164" s="877"/>
      <c r="AR164" s="886"/>
      <c r="AS164" s="877"/>
      <c r="AT164" s="879"/>
      <c r="AU164" s="877"/>
      <c r="AV164" s="877"/>
      <c r="AW164" s="877"/>
      <c r="AX164" s="877"/>
      <c r="AY164" s="877"/>
      <c r="AZ164" s="886"/>
      <c r="BA164" s="877"/>
      <c r="BB164" s="879"/>
      <c r="BC164" s="877"/>
      <c r="BD164" s="877"/>
      <c r="BE164" s="877"/>
      <c r="BF164" s="886"/>
      <c r="BG164" s="877"/>
      <c r="BH164" s="879"/>
      <c r="BI164" s="877"/>
      <c r="BJ164" s="877"/>
      <c r="BK164" s="877"/>
      <c r="BL164" s="886"/>
      <c r="BM164" s="877"/>
      <c r="BN164" s="879"/>
      <c r="BO164" s="877"/>
      <c r="BP164" s="877"/>
      <c r="BQ164" s="877"/>
      <c r="BR164" s="886"/>
      <c r="BS164" s="877"/>
      <c r="BT164" s="879"/>
      <c r="BU164" s="886"/>
    </row>
    <row r="165" spans="1:73">
      <c r="A165" s="18"/>
      <c r="C165" s="64"/>
      <c r="E165" s="511" t="s">
        <v>321</v>
      </c>
      <c r="F165" s="928">
        <f>SUM(J165:M165)</f>
        <v>0.1664464400925392</v>
      </c>
      <c r="G165" s="877">
        <f>SUM(I165:M165,P165)</f>
        <v>0.1664464400925392</v>
      </c>
      <c r="H165" s="878">
        <f>SUM(R165:T165)/(1-'Common input data'!B$145)</f>
        <v>0.26260008849637012</v>
      </c>
      <c r="I165" s="877">
        <v>0</v>
      </c>
      <c r="J165" s="877">
        <v>0</v>
      </c>
      <c r="K165" s="877">
        <f>('Input data meat and eggs'!M419*'Input data meat and eggs'!G419/12*'Input data meat and eggs'!$B$462*'Input data meat and eggs'!$B$464*'Input data meat and eggs'!$B$465*
('Input data meat and eggs'!$O$419*'Input data meat and eggs'!$B$455
+'Input data meat and eggs'!$P$419*'Input data meat and eggs'!$C$455+
'Input data meat and eggs'!$Q$419*'Input data meat and eggs'!$D$455+
'Input data meat and eggs'!$R$419*'Input data meat and eggs'!$E$455))*'Input data meat and eggs'!$E$419/'Input data meat and eggs'!$H$419</f>
        <v>2.2022962806456291E-2</v>
      </c>
      <c r="L165" s="877">
        <v>0</v>
      </c>
      <c r="M165" s="877">
        <f>('Input data meat and eggs'!L419*'Input data meat and eggs'!G419/12)*'Input data meat and eggs'!$E$419/'Input data meat and eggs'!$H$419</f>
        <v>0.1444234772860829</v>
      </c>
      <c r="N165" s="877">
        <v>0</v>
      </c>
      <c r="O165" s="877">
        <v>0</v>
      </c>
      <c r="P165" s="877">
        <v>0</v>
      </c>
      <c r="Q165" s="877">
        <v>0</v>
      </c>
      <c r="R165" s="877">
        <f>(G165+Q165)/'Input data meat and eggs'!$B$29</f>
        <v>0.23949128070868952</v>
      </c>
      <c r="S165" s="877">
        <v>0</v>
      </c>
      <c r="T165" s="886">
        <v>0</v>
      </c>
      <c r="V165" s="1232"/>
      <c r="W165" s="189"/>
      <c r="X165" s="189"/>
      <c r="Y165" s="189"/>
      <c r="Z165" s="199"/>
      <c r="AA165" s="189"/>
      <c r="AB165" s="1232"/>
      <c r="AC165" s="189"/>
      <c r="AD165" s="189"/>
      <c r="AE165" s="189"/>
      <c r="AF165" s="199"/>
      <c r="AG165" s="189"/>
      <c r="AH165" s="879"/>
      <c r="AI165" s="877"/>
      <c r="AJ165" s="877"/>
      <c r="AK165" s="877"/>
      <c r="AL165" s="886"/>
      <c r="AM165" s="877"/>
      <c r="AN165" s="879"/>
      <c r="AO165" s="877"/>
      <c r="AP165" s="877"/>
      <c r="AQ165" s="877"/>
      <c r="AR165" s="886"/>
      <c r="AS165" s="877"/>
      <c r="AT165" s="879"/>
      <c r="AU165" s="877"/>
      <c r="AV165" s="877"/>
      <c r="AW165" s="877"/>
      <c r="AX165" s="877"/>
      <c r="AY165" s="877"/>
      <c r="AZ165" s="886"/>
      <c r="BA165" s="877"/>
      <c r="BB165" s="879"/>
      <c r="BC165" s="877"/>
      <c r="BD165" s="877"/>
      <c r="BE165" s="877"/>
      <c r="BF165" s="886"/>
      <c r="BG165" s="877"/>
      <c r="BH165" s="879"/>
      <c r="BI165" s="877"/>
      <c r="BJ165" s="877"/>
      <c r="BK165" s="877"/>
      <c r="BL165" s="886"/>
      <c r="BM165" s="877"/>
      <c r="BN165" s="879"/>
      <c r="BO165" s="877"/>
      <c r="BP165" s="877"/>
      <c r="BQ165" s="877"/>
      <c r="BR165" s="886"/>
      <c r="BS165" s="877"/>
      <c r="BT165" s="879"/>
      <c r="BU165" s="886"/>
    </row>
    <row r="166" spans="1:73">
      <c r="A166" s="18"/>
      <c r="C166" s="64"/>
      <c r="E166" s="511" t="s">
        <v>319</v>
      </c>
      <c r="F166" s="928">
        <f>SUM(J166:M166)</f>
        <v>0</v>
      </c>
      <c r="G166" s="877">
        <f>SUM(I166:M166,P166)</f>
        <v>2.9147632751471502E-3</v>
      </c>
      <c r="H166" s="878">
        <f>SUM(R166:T166)/(1-'Common input data'!B$145)</f>
        <v>4.7625391320349573E-3</v>
      </c>
      <c r="I166" s="877">
        <f>('Input data meat and eggs'!S419*'Input data meat and eggs'!C48+'Input data meat and eggs'!T419*'Input data meat and eggs'!C47+'Input data meat and eggs'!U419*'Input data meat and eggs'!C35+'Input data meat and eggs'!V419*SUMPRODUCT('Input data meat and eggs'!C37:C46,'Input data meat and eggs'!F77:F86))*'Input data meat and eggs'!$E$419/'Input data meat and eggs'!$H$419</f>
        <v>2.9147632751471502E-3</v>
      </c>
      <c r="J166" s="877">
        <v>0</v>
      </c>
      <c r="K166" s="877">
        <v>0</v>
      </c>
      <c r="L166" s="877">
        <v>0</v>
      </c>
      <c r="M166" s="877">
        <v>0</v>
      </c>
      <c r="N166" s="877">
        <v>0</v>
      </c>
      <c r="O166" s="877">
        <v>0</v>
      </c>
      <c r="P166" s="877">
        <v>0</v>
      </c>
      <c r="Q166" s="877">
        <f>'Input data meat and eggs'!C104*3.6*'Common input data'!B67</f>
        <v>1.0392452830188681E-4</v>
      </c>
      <c r="R166" s="877">
        <f>(G166+Q166)/'Input data meat and eggs'!$B$29</f>
        <v>4.3434356884158804E-3</v>
      </c>
      <c r="S166" s="877">
        <v>0</v>
      </c>
      <c r="T166" s="886">
        <v>0</v>
      </c>
      <c r="V166" s="1230"/>
      <c r="W166" s="183"/>
      <c r="X166" s="183"/>
      <c r="Y166" s="183"/>
      <c r="Z166" s="1231"/>
      <c r="AA166" s="183"/>
      <c r="AB166" s="1230"/>
      <c r="AC166" s="183"/>
      <c r="AD166" s="183"/>
      <c r="AE166" s="183"/>
      <c r="AF166" s="1231"/>
      <c r="AG166" s="189"/>
      <c r="AH166" s="879"/>
      <c r="AI166" s="877"/>
      <c r="AJ166" s="877"/>
      <c r="AK166" s="877"/>
      <c r="AL166" s="886"/>
      <c r="AM166" s="877"/>
      <c r="AN166" s="879"/>
      <c r="AO166" s="877"/>
      <c r="AP166" s="877"/>
      <c r="AQ166" s="877"/>
      <c r="AR166" s="886"/>
      <c r="AS166" s="877"/>
      <c r="AT166" s="879"/>
      <c r="AU166" s="877"/>
      <c r="AV166" s="877"/>
      <c r="AW166" s="877"/>
      <c r="AX166" s="877"/>
      <c r="AY166" s="877"/>
      <c r="AZ166" s="886"/>
      <c r="BA166" s="877"/>
      <c r="BB166" s="879"/>
      <c r="BC166" s="877"/>
      <c r="BD166" s="877"/>
      <c r="BE166" s="877"/>
      <c r="BF166" s="886"/>
      <c r="BG166" s="877"/>
      <c r="BH166" s="879"/>
      <c r="BI166" s="877"/>
      <c r="BJ166" s="877"/>
      <c r="BK166" s="877"/>
      <c r="BL166" s="886"/>
      <c r="BM166" s="877"/>
      <c r="BN166" s="879">
        <f>'Input data meat and eggs'!$S414*'Input data meat and eggs'!W$48+'Input data meat and eggs'!$T414*'Input data meat and eggs'!W$47+'Input data meat and eggs'!$U414*'Input data meat and eggs'!W$35+'Input data meat and eggs'!$V414*SUMPRODUCT('Input data meat and eggs'!$F$77:$F$86,'Input data meat and eggs'!W$37:W$46)</f>
        <v>12.506365267124744</v>
      </c>
      <c r="BO166" s="877">
        <f>BN166*'Input data meat and eggs'!$C414</f>
        <v>2983176.8274552668</v>
      </c>
      <c r="BP166" s="877"/>
      <c r="BQ166" s="877"/>
      <c r="BR166" s="886"/>
      <c r="BS166" s="877"/>
      <c r="BT166" s="879"/>
      <c r="BU166" s="886"/>
    </row>
    <row r="167" spans="1:73">
      <c r="A167" s="18"/>
      <c r="C167" s="64"/>
      <c r="E167" s="512" t="s">
        <v>320</v>
      </c>
      <c r="F167" s="928">
        <f>SUM(J167:M167)</f>
        <v>6.670114709916828E-3</v>
      </c>
      <c r="G167" s="877">
        <f>SUM(I167:M167,P167)</f>
        <v>8.3588127864584159E-3</v>
      </c>
      <c r="H167" s="878">
        <f>SUM(R167:T167)/(1-'Common input data'!B$145)</f>
        <v>1.3202860125473488E-2</v>
      </c>
      <c r="I167" s="877">
        <f>(('Input data meat and eggs'!S419*'Input data meat and eggs'!D48+'Input data meat and eggs'!T419*'Input data meat and eggs'!D47+'Input data meat and eggs'!U419*'Input data meat and eggs'!D35+'Input data meat and eggs'!V419*SUMPRODUCT('Input data meat and eggs'!D37:D46,'Input data meat and eggs'!F77:F86))*'Input data meat and eggs'!B70)*'Input data meat and eggs'!$E$419/'Input data meat and eggs'!$H$419</f>
        <v>1.6886980765415877E-3</v>
      </c>
      <c r="J167" s="877">
        <f>(('Input data meat and eggs'!S419*'Input data meat and eggs'!D48+'Input data meat and eggs'!T419*'Input data meat and eggs'!D47+'Input data meat and eggs'!U419*'Input data meat and eggs'!D35+'Input data meat and eggs'!V419*SUMPRODUCT('Input data meat and eggs'!D37:D46,'Input data meat and eggs'!F77:F86))*'Input data meat and eggs'!C70)*'Input data meat and eggs'!$E$419/'Input data meat and eggs'!$H$419</f>
        <v>4.2683480825481427E-3</v>
      </c>
      <c r="K167" s="877">
        <f>('Input data meat and eggs'!K419*'Input data meat and eggs'!G419/12*('Input data meat and eggs'!$O$419*'Input data meat and eggs'!$B$457+'Input data meat and eggs'!$P$419*'Input data meat and eggs'!$C$457+'Input data meat and eggs'!$Q$419*'Input data meat and eggs'!$D$457+'Input data meat and eggs'!$R$419*'Input data meat and eggs'!$E$457)*44/28)*'Input data meat and eggs'!$E$419/'Input data meat and eggs'!$H$419</f>
        <v>1.7533755493809632E-3</v>
      </c>
      <c r="L167" s="877">
        <f>('Input data meat and eggs'!$B$458*44/28*'Input data meat and eggs'!K419*'Input data meat and eggs'!G419/12*('Input data meat and eggs'!O419*'Input data meat and eggs'!B469+'Input data meat and eggs'!P419*'Input data meat and eggs'!C469+'Input data meat and eggs'!Q419*'Input data meat and eggs'!D469))*'Input data meat and eggs'!$E$419/'Input data meat and eggs'!$H$419</f>
        <v>6.4839107798772165E-4</v>
      </c>
      <c r="M167" s="877">
        <v>0</v>
      </c>
      <c r="N167" s="877">
        <v>0</v>
      </c>
      <c r="O167" s="877">
        <v>0</v>
      </c>
      <c r="P167" s="877">
        <v>0</v>
      </c>
      <c r="Q167" s="877">
        <f>'Input data meat and eggs'!C104*3.6*'Common input data'!B68</f>
        <v>9.6880754716981128E-6</v>
      </c>
      <c r="R167" s="877">
        <f>(G167+Q167)/'Input data meat and eggs'!$B$29</f>
        <v>1.2041008434431819E-2</v>
      </c>
      <c r="S167" s="877">
        <v>0</v>
      </c>
      <c r="T167" s="886">
        <v>0</v>
      </c>
      <c r="V167" s="1230"/>
      <c r="W167" s="183"/>
      <c r="X167" s="183"/>
      <c r="Y167" s="183"/>
      <c r="Z167" s="1231"/>
      <c r="AA167" s="183"/>
      <c r="AB167" s="1230"/>
      <c r="AC167" s="183"/>
      <c r="AD167" s="183"/>
      <c r="AE167" s="183"/>
      <c r="AF167" s="1231"/>
      <c r="AG167" s="189"/>
      <c r="AH167" s="879"/>
      <c r="AI167" s="877"/>
      <c r="AJ167" s="877"/>
      <c r="AK167" s="877"/>
      <c r="AL167" s="886"/>
      <c r="AM167" s="877"/>
      <c r="AN167" s="879"/>
      <c r="AO167" s="877"/>
      <c r="AP167" s="877"/>
      <c r="AQ167" s="877"/>
      <c r="AR167" s="886"/>
      <c r="AS167" s="877"/>
      <c r="AT167" s="879"/>
      <c r="AU167" s="877"/>
      <c r="AV167" s="877"/>
      <c r="AW167" s="877"/>
      <c r="AX167" s="877"/>
      <c r="AY167" s="877"/>
      <c r="AZ167" s="886"/>
      <c r="BA167" s="877"/>
      <c r="BB167" s="879"/>
      <c r="BC167" s="877"/>
      <c r="BD167" s="877"/>
      <c r="BE167" s="877"/>
      <c r="BF167" s="886"/>
      <c r="BG167" s="877"/>
      <c r="BH167" s="879"/>
      <c r="BI167" s="877"/>
      <c r="BJ167" s="877"/>
      <c r="BK167" s="877"/>
      <c r="BL167" s="886"/>
      <c r="BM167" s="877"/>
      <c r="BN167" s="879"/>
      <c r="BO167" s="877"/>
      <c r="BP167" s="877"/>
      <c r="BQ167" s="877"/>
      <c r="BR167" s="886"/>
      <c r="BS167" s="877"/>
      <c r="BT167" s="879"/>
      <c r="BU167" s="886"/>
    </row>
    <row r="168" spans="1:73">
      <c r="A168" s="108" t="s">
        <v>201</v>
      </c>
      <c r="B168" s="75" t="s">
        <v>202</v>
      </c>
      <c r="C168" s="904"/>
      <c r="D168" s="17"/>
      <c r="E168" s="513" t="s">
        <v>316</v>
      </c>
      <c r="F168" s="930">
        <f>SUMPRODUCT($CA$7:$CA$10,F169:F172)</f>
        <v>1606513662.1896415</v>
      </c>
      <c r="G168" s="872">
        <f>SUMPRODUCT($CA$7:$CA$10,G169:G172)</f>
        <v>2567630967.1919842</v>
      </c>
      <c r="H168" s="873"/>
      <c r="I168" s="884"/>
      <c r="J168" s="884"/>
      <c r="K168" s="884"/>
      <c r="L168" s="884"/>
      <c r="M168" s="884"/>
      <c r="N168" s="884"/>
      <c r="O168" s="884"/>
      <c r="P168" s="884"/>
      <c r="Q168" s="884"/>
      <c r="R168" s="884"/>
      <c r="S168" s="884"/>
      <c r="T168" s="885"/>
      <c r="V168" s="1240">
        <f>'Input data meat and eggs'!$S422*'Input data meat and eggs'!E$48+'Input data meat and eggs'!$U422*'Input data meat and eggs'!E$35+'Input data meat and eggs'!$V422*SUMPRODUCT('Input data meat and eggs'!$F$77:$F$86,'Input data meat and eggs'!E$37:E$46)</f>
        <v>3927.9479998930792</v>
      </c>
      <c r="W168" s="211">
        <f>V168*'Input data meat and eggs'!$C422</f>
        <v>5067240986.1343946</v>
      </c>
      <c r="X168" s="211"/>
      <c r="Y168" s="211"/>
      <c r="Z168" s="1242"/>
      <c r="AA168" s="189"/>
      <c r="AB168" s="1240">
        <f>'Input data meat and eggs'!$T422*'Input data meat and eggs'!F$47</f>
        <v>29103.514661219935</v>
      </c>
      <c r="AC168" s="211">
        <f>AB168*'Input data meat and eggs'!$C422</f>
        <v>37544927360.522911</v>
      </c>
      <c r="AD168" s="211"/>
      <c r="AE168" s="211"/>
      <c r="AF168" s="1242"/>
      <c r="AG168" s="189"/>
      <c r="AH168" s="883">
        <f>'Input data meat and eggs'!$S422*'Input data meat and eggs'!G$48+'Input data meat and eggs'!$T422*'Input data meat and eggs'!G$47+'Input data meat and eggs'!$U422*'Input data meat and eggs'!G$35+'Input data meat and eggs'!$V422*SUMPRODUCT('Input data meat and eggs'!$F$77:$F$86,'Input data meat and eggs'!G$37:G$46)</f>
        <v>151.47057170106402</v>
      </c>
      <c r="AI168" s="884">
        <f>AH168*'Input data meat and eggs'!$C422</f>
        <v>195404289.75580454</v>
      </c>
      <c r="AJ168" s="884"/>
      <c r="AK168" s="884"/>
      <c r="AL168" s="885"/>
      <c r="AM168" s="877"/>
      <c r="AN168" s="883">
        <f>'Input data meat and eggs'!$S422*'Input data meat and eggs'!H$48+'Input data meat and eggs'!$T422*'Input data meat and eggs'!H$47+'Input data meat and eggs'!$U422*'Input data meat and eggs'!H$35+'Input data meat and eggs'!$V422*SUMPRODUCT('Input data meat and eggs'!$F$77:$F$86,'Input data meat and eggs'!H$37:H$46)</f>
        <v>6.251398413392149</v>
      </c>
      <c r="AO168" s="884">
        <f>AN168*'Input data meat and eggs'!$C422</f>
        <v>8064603.2640601397</v>
      </c>
      <c r="AP168" s="884"/>
      <c r="AQ168" s="884"/>
      <c r="AR168" s="885"/>
      <c r="AS168" s="877"/>
      <c r="AT168" s="883">
        <f>'Input data meat and eggs'!$S422*'Input data meat and eggs'!I$48+'Input data meat and eggs'!$T422*'Input data meat and eggs'!I$47+'Input data meat and eggs'!$U422*'Input data meat and eggs'!I$35+'Input data meat and eggs'!$V422*SUMPRODUCT('Input data meat and eggs'!$F$77:$F$86,'Input data meat and eggs'!I$37:I$46)</f>
        <v>1.9498397851240883</v>
      </c>
      <c r="AU168" s="884">
        <f>'Input data meat and eggs'!G422/12*((1-'Input data meat and eggs'!$R422)*'Input data meat and eggs'!$B$61+'Input data meat and eggs'!$R422*'Input data meat and eggs'!$B$62)</f>
        <v>10.92226</v>
      </c>
      <c r="AV168" s="884">
        <f>SUM(AT168:AU168)</f>
        <v>12.872099785124089</v>
      </c>
      <c r="AW168" s="884">
        <f>AV168*'Input data meat and eggs'!$C422</f>
        <v>16605625.026239656</v>
      </c>
      <c r="AX168" s="884"/>
      <c r="AY168" s="884"/>
      <c r="AZ168" s="885"/>
      <c r="BA168" s="877"/>
      <c r="BB168" s="883">
        <f>'Input data meat and eggs'!$S422*'Input data meat and eggs'!M$48+'Input data meat and eggs'!$T422*'Input data meat and eggs'!M$47+'Input data meat and eggs'!$U422*'Input data meat and eggs'!M$35+'Input data meat and eggs'!$V422*SUMPRODUCT('Input data meat and eggs'!$F$77:$F$86,'Input data meat and eggs'!M$37:M$46)</f>
        <v>1.0570576072019317E-6</v>
      </c>
      <c r="BC168" s="884">
        <f>BB168*'Input data meat and eggs'!$C422</f>
        <v>1.3636549241651323</v>
      </c>
      <c r="BD168" s="884"/>
      <c r="BE168" s="884"/>
      <c r="BF168" s="885"/>
      <c r="BG168" s="877"/>
      <c r="BH168" s="883">
        <f>'Input data meat and eggs'!$S422*'Input data meat and eggs'!U$48+'Input data meat and eggs'!$T422*'Input data meat and eggs'!U$47+'Input data meat and eggs'!$U422*'Input data meat and eggs'!U$35+'Input data meat and eggs'!$V422*SUMPRODUCT('Input data meat and eggs'!$F$77:$F$86,'Input data meat and eggs'!U$37:U$46)</f>
        <v>0.18639821665287262</v>
      </c>
      <c r="BI168" s="884">
        <f>BH168*'Input data meat and eggs'!$C422</f>
        <v>240462.6240447952</v>
      </c>
      <c r="BJ168" s="884"/>
      <c r="BK168" s="884"/>
      <c r="BL168" s="885"/>
      <c r="BM168" s="877"/>
      <c r="BN168" s="883">
        <f>'Input data meat and eggs'!$S422*'Input data meat and eggs'!W$48+'Input data meat and eggs'!$T422*'Input data meat and eggs'!W$47+'Input data meat and eggs'!$U422*'Input data meat and eggs'!W$35+'Input data meat and eggs'!$V422*SUMPRODUCT('Input data meat and eggs'!$F$77:$F$86,'Input data meat and eggs'!W$37:W$46)</f>
        <v>8.1466532441135726</v>
      </c>
      <c r="BO168" s="884">
        <f>BN168*'Input data meat and eggs'!$C422</f>
        <v>10509572.738620959</v>
      </c>
      <c r="BP168" s="884"/>
      <c r="BQ168" s="884"/>
      <c r="BR168" s="885"/>
      <c r="BS168" s="877"/>
      <c r="BT168" s="879"/>
      <c r="BU168" s="886"/>
    </row>
    <row r="169" spans="1:73">
      <c r="A169" s="97"/>
      <c r="C169" s="64"/>
      <c r="E169" s="511" t="s">
        <v>317</v>
      </c>
      <c r="F169" s="928">
        <f>IF(AND($G$2="No",$G$3="No"),SUM(J169:M169),IF(AND($G$2="Yes", $G$3="No"), SUM(J169:M169)+O169, IF(AND($G$2="No", $G$3="Yes"),SUM(J169:M169)+N169, SUM(J169:M169)+O169+N169)))</f>
        <v>-428076132.24132133</v>
      </c>
      <c r="G169" s="877">
        <f>IF(AND($G$2="No",$G$3="No"),SUM(I169:M169,P169),IF(AND($G$2="Yes", $G$3="No"), SUM(I169:M169,P169)+O169, IF(AND($G$2="No", $G$3="Yes"),SUM(I169:M169,P169)+N169, SUM(I169:M169,P169)+O169+N169)))</f>
        <v>343472353.14975953</v>
      </c>
      <c r="H169" s="878"/>
      <c r="I169" s="877">
        <f>('Input data meat and eggs'!S422*'Input data meat and eggs'!B48+'Input data meat and eggs'!T422*'Input data meat and eggs'!B47+'Input data meat and eggs'!U424*'Input data meat and eggs'!B35+'Input data meat and eggs'!V422*SUMPRODUCT('Input data meat and eggs'!B37:B46,'Input data meat and eggs'!F77:F86))*'Input data meat and eggs'!$C$422</f>
        <v>618834486.52961695</v>
      </c>
      <c r="J169" s="877">
        <v>0</v>
      </c>
      <c r="K169" s="877">
        <v>0</v>
      </c>
      <c r="L169" s="877">
        <v>0</v>
      </c>
      <c r="M169" s="877">
        <v>0</v>
      </c>
      <c r="N169" s="877">
        <f>(('Input data meat and eggs'!S422+'Input data meat and eggs'!T422)*'Common input data'!F19+
'Input data meat and eggs'!U422*'Common input data'!B19+'Input data meat and eggs'!V422*('Input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eggs'!$C$422</f>
        <v>-458448143.01364243</v>
      </c>
      <c r="O169" s="877">
        <f>('Input data meat and eggs'!V422*('Input data meat and eggs'!F79*'Common input data'!AR27*'Common input data'!G44/'Common input data'!F44+'Input data meat and eggs'!F83*'Common input data'!AS27*'Common input data'!J46/'Common input data'!I46))*'Input data meat and eggs'!$C$422</f>
        <v>30372010.772321094</v>
      </c>
      <c r="P169" s="877">
        <f>'Input data meat and eggs'!C94*'Common input data'!C80*'Input data meat and eggs'!$C$422</f>
        <v>152713998.86146393</v>
      </c>
      <c r="Q169" s="877">
        <f>(('Input data meat and eggs'!B104*'Common input data'!C80+'Input data meat and eggs'!C104*3.6*'Common input data'!B66)*'Input data meat and eggs'!$F$422)*'Input data meat and eggs'!$E$422</f>
        <v>45092324.409881562</v>
      </c>
      <c r="R169" s="877">
        <f>SUM(G169+Q169)/'Input data meat and eggs'!$B$29</f>
        <v>559085866.99228942</v>
      </c>
      <c r="S169" s="877"/>
      <c r="T169" s="886"/>
      <c r="V169" s="1230"/>
      <c r="W169" s="183"/>
      <c r="X169" s="183"/>
      <c r="Y169" s="183"/>
      <c r="Z169" s="1231"/>
      <c r="AA169" s="183"/>
      <c r="AB169" s="1230"/>
      <c r="AC169" s="183"/>
      <c r="AD169" s="183"/>
      <c r="AE169" s="183"/>
      <c r="AF169" s="1231"/>
      <c r="AG169" s="189"/>
      <c r="AH169" s="879"/>
      <c r="AI169" s="877"/>
      <c r="AJ169" s="877"/>
      <c r="AK169" s="877"/>
      <c r="AL169" s="886"/>
      <c r="AM169" s="877"/>
      <c r="AN169" s="879"/>
      <c r="AO169" s="877"/>
      <c r="AP169" s="877"/>
      <c r="AQ169" s="877"/>
      <c r="AR169" s="886"/>
      <c r="AS169" s="877"/>
      <c r="AT169" s="879"/>
      <c r="AU169" s="877"/>
      <c r="AV169" s="877"/>
      <c r="AW169" s="877"/>
      <c r="AX169" s="877"/>
      <c r="AY169" s="877"/>
      <c r="AZ169" s="886"/>
      <c r="BA169" s="877"/>
      <c r="BB169" s="879"/>
      <c r="BC169" s="877"/>
      <c r="BD169" s="877"/>
      <c r="BE169" s="877"/>
      <c r="BF169" s="886"/>
      <c r="BG169" s="877"/>
      <c r="BH169" s="879"/>
      <c r="BI169" s="877"/>
      <c r="BJ169" s="877"/>
      <c r="BK169" s="877"/>
      <c r="BL169" s="886"/>
      <c r="BM169" s="877"/>
      <c r="BN169" s="879"/>
      <c r="BO169" s="877"/>
      <c r="BP169" s="877"/>
      <c r="BQ169" s="877"/>
      <c r="BR169" s="886"/>
      <c r="BS169" s="877"/>
      <c r="BT169" s="879"/>
      <c r="BU169" s="886"/>
    </row>
    <row r="170" spans="1:73">
      <c r="A170" s="359"/>
      <c r="C170" s="58"/>
      <c r="D170" s="55"/>
      <c r="E170" s="511" t="s">
        <v>321</v>
      </c>
      <c r="F170" s="928">
        <f>SUM(J170:M170)</f>
        <v>158464321.26640874</v>
      </c>
      <c r="G170" s="877">
        <f>SUM(I170:M170,P170)</f>
        <v>158464321.26640874</v>
      </c>
      <c r="H170" s="878"/>
      <c r="I170" s="877">
        <v>0</v>
      </c>
      <c r="J170" s="877">
        <v>0</v>
      </c>
      <c r="K170" s="877">
        <f>'Input data meat and eggs'!N422*'Input data meat and eggs'!G422/12*'Input data meat and eggs'!C422</f>
        <v>13225570.855638595</v>
      </c>
      <c r="L170" s="877">
        <v>0</v>
      </c>
      <c r="M170" s="877">
        <f>('Input data meat and eggs'!L422*'Input data meat and eggs'!G422/12)*'Input data meat and eggs'!$C$422</f>
        <v>145238750.41077015</v>
      </c>
      <c r="N170" s="877">
        <v>0</v>
      </c>
      <c r="O170" s="877">
        <v>0</v>
      </c>
      <c r="P170" s="877">
        <v>0</v>
      </c>
      <c r="Q170" s="877">
        <v>0</v>
      </c>
      <c r="R170" s="877">
        <f>SUM(G170+Q170)/'Input data meat and eggs'!$B$29</f>
        <v>228006217.64950898</v>
      </c>
      <c r="S170" s="877"/>
      <c r="T170" s="886"/>
      <c r="V170" s="1230"/>
      <c r="W170" s="183"/>
      <c r="X170" s="183"/>
      <c r="Y170" s="183"/>
      <c r="Z170" s="1231"/>
      <c r="AA170" s="183"/>
      <c r="AB170" s="1230"/>
      <c r="AC170" s="183"/>
      <c r="AD170" s="183"/>
      <c r="AE170" s="183"/>
      <c r="AF170" s="1231"/>
      <c r="AG170" s="189"/>
      <c r="AH170" s="879"/>
      <c r="AI170" s="877"/>
      <c r="AJ170" s="877"/>
      <c r="AK170" s="877"/>
      <c r="AL170" s="886"/>
      <c r="AM170" s="877"/>
      <c r="AN170" s="879"/>
      <c r="AO170" s="877"/>
      <c r="AP170" s="877"/>
      <c r="AQ170" s="877"/>
      <c r="AR170" s="886"/>
      <c r="AS170" s="877"/>
      <c r="AT170" s="879"/>
      <c r="AU170" s="877"/>
      <c r="AV170" s="877"/>
      <c r="AW170" s="877"/>
      <c r="AX170" s="877"/>
      <c r="AY170" s="877"/>
      <c r="AZ170" s="886"/>
      <c r="BA170" s="877"/>
      <c r="BB170" s="879"/>
      <c r="BC170" s="877"/>
      <c r="BD170" s="877"/>
      <c r="BE170" s="877"/>
      <c r="BF170" s="886"/>
      <c r="BG170" s="877"/>
      <c r="BH170" s="879"/>
      <c r="BI170" s="877"/>
      <c r="BJ170" s="877"/>
      <c r="BK170" s="877"/>
      <c r="BL170" s="886"/>
      <c r="BM170" s="877"/>
      <c r="BN170" s="879"/>
      <c r="BO170" s="877"/>
      <c r="BP170" s="877"/>
      <c r="BQ170" s="877"/>
      <c r="BR170" s="886"/>
      <c r="BS170" s="877"/>
      <c r="BT170" s="879"/>
      <c r="BU170" s="886"/>
    </row>
    <row r="171" spans="1:73">
      <c r="A171" s="359"/>
      <c r="C171" s="58"/>
      <c r="D171" s="55"/>
      <c r="E171" s="511" t="s">
        <v>319</v>
      </c>
      <c r="F171" s="928">
        <f>SUM(J171:M171)</f>
        <v>0</v>
      </c>
      <c r="G171" s="877">
        <f>SUM(I171:M171,P171)</f>
        <v>538935.06748839153</v>
      </c>
      <c r="H171" s="878"/>
      <c r="I171" s="877">
        <f>('Input data meat and eggs'!S422*'Input data meat and eggs'!C48+'Input data meat and eggs'!T422*'Input data meat and eggs'!C47+'Input data meat and eggs'!U422*'Input data meat and eggs'!C35+'Input data meat and eggs'!V422*SUMPRODUCT('Input data meat and eggs'!C37:C46,'Input data meat and eggs'!F77:F86))*'Input data meat and eggs'!$C$422</f>
        <v>538935.06748839153</v>
      </c>
      <c r="J171" s="877">
        <v>0</v>
      </c>
      <c r="K171" s="877">
        <v>0</v>
      </c>
      <c r="L171" s="877">
        <v>0</v>
      </c>
      <c r="M171" s="877">
        <v>0</v>
      </c>
      <c r="N171" s="877">
        <v>0</v>
      </c>
      <c r="O171" s="877">
        <v>0</v>
      </c>
      <c r="P171" s="877">
        <v>0</v>
      </c>
      <c r="Q171" s="877">
        <f>(('Input data meat and eggs'!C104*3.6*'Common input data'!B67)*'Input data meat and eggs'!$F$422)*'Input data meat and eggs'!$E$422</f>
        <v>6005.2897540176837</v>
      </c>
      <c r="R171" s="877">
        <f>SUM(G171+Q171)/'Input data meat and eggs'!$B$29</f>
        <v>784086.84495310695</v>
      </c>
      <c r="S171" s="877"/>
      <c r="T171" s="886"/>
      <c r="V171" s="1232"/>
      <c r="W171" s="189"/>
      <c r="X171" s="991"/>
      <c r="Y171" s="991"/>
      <c r="Z171" s="1121"/>
      <c r="AA171" s="189"/>
      <c r="AB171" s="1232"/>
      <c r="AC171" s="189"/>
      <c r="AD171" s="991"/>
      <c r="AE171" s="991"/>
      <c r="AF171" s="1121"/>
      <c r="AG171" s="189"/>
      <c r="AH171" s="879"/>
      <c r="AI171" s="877"/>
      <c r="AJ171" s="877"/>
      <c r="AK171" s="877"/>
      <c r="AL171" s="886"/>
      <c r="AM171" s="877"/>
      <c r="AN171" s="879"/>
      <c r="AO171" s="877"/>
      <c r="AP171" s="877"/>
      <c r="AQ171" s="877"/>
      <c r="AR171" s="886"/>
      <c r="AS171" s="877"/>
      <c r="AT171" s="879"/>
      <c r="AU171" s="877"/>
      <c r="AV171" s="877"/>
      <c r="AW171" s="877"/>
      <c r="AX171" s="877"/>
      <c r="AY171" s="877"/>
      <c r="AZ171" s="886"/>
      <c r="BA171" s="877"/>
      <c r="BB171" s="879"/>
      <c r="BC171" s="877"/>
      <c r="BD171" s="877"/>
      <c r="BE171" s="877"/>
      <c r="BF171" s="886"/>
      <c r="BG171" s="877"/>
      <c r="BH171" s="879"/>
      <c r="BI171" s="877"/>
      <c r="BJ171" s="877"/>
      <c r="BK171" s="877"/>
      <c r="BL171" s="886"/>
      <c r="BM171" s="877"/>
      <c r="BN171" s="879"/>
      <c r="BO171" s="877"/>
      <c r="BP171" s="877"/>
      <c r="BQ171" s="877"/>
      <c r="BR171" s="886"/>
      <c r="BS171" s="877"/>
      <c r="BT171" s="879"/>
      <c r="BU171" s="886"/>
    </row>
    <row r="172" spans="1:73">
      <c r="A172" s="359"/>
      <c r="C172" s="83"/>
      <c r="D172" s="54"/>
      <c r="E172" s="512" t="s">
        <v>320</v>
      </c>
      <c r="F172" s="928">
        <f>SUM(J172:M172)</f>
        <v>5535654.4398233555</v>
      </c>
      <c r="G172" s="877">
        <f>SUM(I172:M172,P172)</f>
        <v>6338383.3016004637</v>
      </c>
      <c r="H172" s="878"/>
      <c r="I172" s="877">
        <f>(('Input data meat and eggs'!S422*'Input data meat and eggs'!D48+'Input data meat and eggs'!T422*'Input data meat and eggs'!D47+'Input data meat and eggs'!U422*'Input data meat and eggs'!D35+'Input data meat and eggs'!V422*SUMPRODUCT('Input data meat and eggs'!D37:D46,'Input data meat and eggs'!F77:F86))*'Input data meat and eggs'!B70)*'Input data meat and eggs'!$C$422</f>
        <v>802728.86177710677</v>
      </c>
      <c r="J172" s="877">
        <f>(('Input data meat and eggs'!S422*'Input data meat and eggs'!D48+'Input data meat and eggs'!T422*'Input data meat and eggs'!D47+'Input data meat and eggs'!U422*'Input data meat and eggs'!D35+'Input data meat and eggs'!V422*SUMPRODUCT('Input data meat and eggs'!D37:D46,'Input data meat and eggs'!F77:F86))*'Input data meat and eggs'!C70)*'Input data meat and eggs'!$C$422</f>
        <v>2028975.0107309881</v>
      </c>
      <c r="K172" s="877">
        <f>('Input data meat and eggs'!K422*'Input data meat and eggs'!G422/12*('Input data meat and eggs'!$O$422*'Input data meat and eggs'!$B$457+'Input data meat and eggs'!$P$422*'Input data meat and eggs'!$C$457+'Input data meat and eggs'!$Q$422*'Input data meat and eggs'!$D$457+'Input data meat and eggs'!$R$422*'Input data meat and eggs'!$E$457)*44/28)*'Input data meat and eggs'!$C$422</f>
        <v>3191250.7805162449</v>
      </c>
      <c r="L172" s="877">
        <f>('Input data meat and eggs'!$B$458*44/28*'Input data meat and eggs'!K422*'Input data meat and eggs'!G422/12*('Input data meat and eggs'!O422*'Input data meat and eggs'!B470+'Input data meat and eggs'!P424*'Input data meat and eggs'!C470+'Input data meat and eggs'!Q424*'Input data meat and eggs'!D470))*'Input data meat and eggs'!$C$422</f>
        <v>315428.64857612317</v>
      </c>
      <c r="M172" s="877">
        <v>0</v>
      </c>
      <c r="N172" s="877">
        <v>0</v>
      </c>
      <c r="O172" s="877">
        <v>0</v>
      </c>
      <c r="P172" s="877">
        <v>0</v>
      </c>
      <c r="Q172" s="877">
        <f>(('Input data meat and eggs'!C104*3.6*'Common input data'!B68)*'Input data meat and eggs'!$F$422)*'Input data meat and eggs'!$E$422</f>
        <v>559.82645595787062</v>
      </c>
      <c r="R172" s="877">
        <f>SUM(G172+Q172)/'Input data meat and eggs'!$B$29</f>
        <v>9120781.4792178739</v>
      </c>
      <c r="S172" s="877"/>
      <c r="T172" s="886"/>
      <c r="V172" s="1230"/>
      <c r="W172" s="183"/>
      <c r="X172" s="183"/>
      <c r="Y172" s="183"/>
      <c r="Z172" s="1231"/>
      <c r="AA172" s="183"/>
      <c r="AB172" s="1230"/>
      <c r="AC172" s="183"/>
      <c r="AD172" s="183"/>
      <c r="AE172" s="183"/>
      <c r="AF172" s="1231"/>
      <c r="AG172" s="189"/>
      <c r="AH172" s="879"/>
      <c r="AI172" s="877"/>
      <c r="AJ172" s="877"/>
      <c r="AK172" s="877"/>
      <c r="AL172" s="886"/>
      <c r="AM172" s="877"/>
      <c r="AN172" s="879"/>
      <c r="AO172" s="877"/>
      <c r="AP172" s="877"/>
      <c r="AQ172" s="877"/>
      <c r="AR172" s="886"/>
      <c r="AS172" s="877"/>
      <c r="AT172" s="879"/>
      <c r="AU172" s="877"/>
      <c r="AV172" s="877"/>
      <c r="AW172" s="877"/>
      <c r="AX172" s="877"/>
      <c r="AY172" s="877"/>
      <c r="AZ172" s="886"/>
      <c r="BA172" s="877"/>
      <c r="BB172" s="879"/>
      <c r="BC172" s="877"/>
      <c r="BD172" s="877"/>
      <c r="BE172" s="877"/>
      <c r="BF172" s="886"/>
      <c r="BG172" s="877"/>
      <c r="BH172" s="879"/>
      <c r="BI172" s="877"/>
      <c r="BJ172" s="877"/>
      <c r="BK172" s="877"/>
      <c r="BL172" s="886"/>
      <c r="BM172" s="877"/>
      <c r="BN172" s="879"/>
      <c r="BO172" s="877"/>
      <c r="BP172" s="877"/>
      <c r="BQ172" s="877"/>
      <c r="BR172" s="886"/>
      <c r="BS172" s="877"/>
      <c r="BT172" s="879"/>
      <c r="BU172" s="886"/>
    </row>
    <row r="173" spans="1:73">
      <c r="A173" s="108"/>
      <c r="B173" s="93" t="s">
        <v>348</v>
      </c>
      <c r="C173" s="904"/>
      <c r="D173" s="17"/>
      <c r="E173" s="513" t="s">
        <v>316</v>
      </c>
      <c r="F173" s="930">
        <f>SUMPRODUCT($CA$7:$CA$10,F174:F177)</f>
        <v>372112499.04311532</v>
      </c>
      <c r="G173" s="872">
        <f>SUMPRODUCT($CA$7:$CA$10,G174:G177)</f>
        <v>1160333922.1932468</v>
      </c>
      <c r="H173" s="873"/>
      <c r="I173" s="884"/>
      <c r="J173" s="884"/>
      <c r="K173" s="884"/>
      <c r="L173" s="884"/>
      <c r="M173" s="884"/>
      <c r="N173" s="884"/>
      <c r="O173" s="884"/>
      <c r="P173" s="884"/>
      <c r="Q173" s="884"/>
      <c r="R173" s="884"/>
      <c r="S173" s="884"/>
      <c r="T173" s="885"/>
      <c r="V173" s="1240">
        <f>'Input data meat and eggs'!$S423*'Input data meat and eggs'!E$48+'Input data meat and eggs'!$U423*'Input data meat and eggs'!E$35+'Input data meat and eggs'!$V423*SUMPRODUCT('Input data meat and eggs'!$F$77:$F$86,'Input data meat and eggs'!E$37:E$46)</f>
        <v>5536.1212437859149</v>
      </c>
      <c r="W173" s="211">
        <f>V173*'Input data meat and eggs'!$C423</f>
        <v>2462418010.7896085</v>
      </c>
      <c r="X173" s="211"/>
      <c r="Y173" s="211"/>
      <c r="Z173" s="1242"/>
      <c r="AA173" s="189"/>
      <c r="AB173" s="1240">
        <f>'Input data meat and eggs'!$T423*'Input data meat and eggs'!F$47</f>
        <v>12335.753676202359</v>
      </c>
      <c r="AC173" s="211">
        <f>AB173*'Input data meat and eggs'!$C423</f>
        <v>5486834679.2513752</v>
      </c>
      <c r="AD173" s="211"/>
      <c r="AE173" s="211"/>
      <c r="AF173" s="1242"/>
      <c r="AG173" s="189"/>
      <c r="AH173" s="883">
        <f>'Input data meat and eggs'!$S423*'Input data meat and eggs'!G$48+'Input data meat and eggs'!$T423*'Input data meat and eggs'!G$47+'Input data meat and eggs'!$U423*'Input data meat and eggs'!G$35+'Input data meat and eggs'!$V423*SUMPRODUCT('Input data meat and eggs'!$F$77:$F$86,'Input data meat and eggs'!G$37:G$46)</f>
        <v>147.73817875433218</v>
      </c>
      <c r="AI173" s="884">
        <f>AH173*'Input data meat and eggs'!$C423</f>
        <v>65712641.798491359</v>
      </c>
      <c r="AJ173" s="884"/>
      <c r="AK173" s="884"/>
      <c r="AL173" s="885"/>
      <c r="AM173" s="877"/>
      <c r="AN173" s="883">
        <f>'Input data meat and eggs'!$S423*'Input data meat and eggs'!H$48+'Input data meat and eggs'!$T423*'Input data meat and eggs'!H$47+'Input data meat and eggs'!$U423*'Input data meat and eggs'!H$35+'Input data meat and eggs'!$V423*SUMPRODUCT('Input data meat and eggs'!$F$77:$F$86,'Input data meat and eggs'!H$37:H$46)</f>
        <v>4.7749941577320509</v>
      </c>
      <c r="AO173" s="884">
        <f>AN173*'Input data meat and eggs'!$C423</f>
        <v>2123875.3809108683</v>
      </c>
      <c r="AP173" s="884"/>
      <c r="AQ173" s="884"/>
      <c r="AR173" s="885"/>
      <c r="AS173" s="877"/>
      <c r="AT173" s="883">
        <f>'Input data meat and eggs'!$S423*'Input data meat and eggs'!I$48+'Input data meat and eggs'!$T423*'Input data meat and eggs'!I$47+'Input data meat and eggs'!$U423*'Input data meat and eggs'!I$35+'Input data meat and eggs'!$V423*SUMPRODUCT('Input data meat and eggs'!$F$77:$F$86,'Input data meat and eggs'!I$37:I$46)</f>
        <v>2.646410690140665</v>
      </c>
      <c r="AU173" s="884">
        <f>'Input data meat and eggs'!G423/12*((1-'Input data meat and eggs'!$R423)*'Input data meat and eggs'!$B$61+'Input data meat and eggs'!$R423*'Input data meat and eggs'!$B$62)</f>
        <v>11.232875</v>
      </c>
      <c r="AV173" s="884">
        <f>SUM(AT173:AU173)</f>
        <v>13.879285690140666</v>
      </c>
      <c r="AW173" s="884">
        <f>AV173*'Input data meat and eggs'!$C423</f>
        <v>6173384.1358078625</v>
      </c>
      <c r="AX173" s="884"/>
      <c r="AY173" s="884"/>
      <c r="AZ173" s="885"/>
      <c r="BA173" s="877"/>
      <c r="BB173" s="883">
        <f>'Input data meat and eggs'!$S423*'Input data meat and eggs'!M$48+'Input data meat and eggs'!$T423*'Input data meat and eggs'!M$47+'Input data meat and eggs'!$U423*'Input data meat and eggs'!M$35+'Input data meat and eggs'!$V423*SUMPRODUCT('Input data meat and eggs'!$F$77:$F$86,'Input data meat and eggs'!M$37:M$46)</f>
        <v>5.9813782843125268E-7</v>
      </c>
      <c r="BC173" s="884">
        <f>BB173*'Input data meat and eggs'!$C423</f>
        <v>0.26604644241072878</v>
      </c>
      <c r="BD173" s="884"/>
      <c r="BE173" s="884"/>
      <c r="BF173" s="885"/>
      <c r="BG173" s="877"/>
      <c r="BH173" s="883">
        <f>'Input data meat and eggs'!$S423*'Input data meat and eggs'!U$48+'Input data meat and eggs'!$T423*'Input data meat and eggs'!U$47+'Input data meat and eggs'!$U423*'Input data meat and eggs'!U$35+'Input data meat and eggs'!$V423*SUMPRODUCT('Input data meat and eggs'!$F$77:$F$86,'Input data meat and eggs'!U$37:U$46)</f>
        <v>0.17417698341064577</v>
      </c>
      <c r="BI173" s="884">
        <f>BH173*'Input data meat and eggs'!$C423</f>
        <v>77472.389445371533</v>
      </c>
      <c r="BJ173" s="884"/>
      <c r="BK173" s="884"/>
      <c r="BL173" s="885"/>
      <c r="BM173" s="877"/>
      <c r="BN173" s="883">
        <f>'Input data meat and eggs'!$S423*'Input data meat and eggs'!W$48+'Input data meat and eggs'!$T423*'Input data meat and eggs'!W$47+'Input data meat and eggs'!$U423*'Input data meat and eggs'!W$35+'Input data meat and eggs'!$V423*SUMPRODUCT('Input data meat and eggs'!$F$77:$F$86,'Input data meat and eggs'!W$37:W$46)</f>
        <v>9.419411818320448</v>
      </c>
      <c r="BO173" s="884">
        <f>BN173*'Input data meat and eggs'!$C423</f>
        <v>4189671.4849790805</v>
      </c>
      <c r="BP173" s="884"/>
      <c r="BQ173" s="884"/>
      <c r="BR173" s="885"/>
      <c r="BS173" s="877"/>
      <c r="BT173" s="879"/>
      <c r="BU173" s="886"/>
    </row>
    <row r="174" spans="1:73">
      <c r="A174" s="359"/>
      <c r="C174" s="64"/>
      <c r="E174" s="511" t="s">
        <v>317</v>
      </c>
      <c r="F174" s="928">
        <f>IF(AND($G$2="No",$G$3="No"),SUM(J174:M174),IF(AND($G$2="Yes", $G$3="No"), SUM(J174:M174)+O174, IF(AND($G$2="No", $G$3="Yes"),SUM(J174:M174)+N174, SUM(J174:M174)+O174+N174)))</f>
        <v>-76653785.469009504</v>
      </c>
      <c r="G174" s="877">
        <f>IF(AND($G$2="No",$G$3="No"),SUM(I174:M174,P174),IF(AND($G$2="Yes", $G$3="No"), SUM(I174:M174,P174)+O174, IF(AND($G$2="No", $G$3="Yes"),SUM(I174:M174,P174)+N174, SUM(I174:M174,P174)+O174+N174)))</f>
        <v>650151879.76421738</v>
      </c>
      <c r="H174" s="878"/>
      <c r="I174" s="877">
        <f>('Input data meat and eggs'!S423*'Input data meat and eggs'!B48+'Input data meat and eggs'!T423*'Input data meat and eggs'!B47+'Input data meat and eggs'!U423*'Input data meat and eggs'!B35+'Input data meat and eggs'!V423*SUMPRODUCT('Input data meat and eggs'!B37:B46,'Input data meat and eggs'!F77:F86))*'Input data meat and eggs'!$C$423</f>
        <v>249755031.24696967</v>
      </c>
      <c r="J174" s="877">
        <v>0</v>
      </c>
      <c r="K174" s="877">
        <v>0</v>
      </c>
      <c r="L174" s="877">
        <v>0</v>
      </c>
      <c r="M174" s="877">
        <v>0</v>
      </c>
      <c r="N174" s="877">
        <f>(('Input data meat and eggs'!S423+'Input data meat and eggs'!T423)*'Common input data'!F19+
'Input data meat and eggs'!U423*'Common input data'!B19+'Input data meat and eggs'!V423*('Input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eggs'!$C$423</f>
        <v>-90895517.52781564</v>
      </c>
      <c r="O174" s="877">
        <f>('Input data meat and eggs'!V423*('Input data meat and eggs'!F79*'Common input data'!AR27*'Common input data'!G44/'Common input data'!F44+'Input data meat and eggs'!F83*'Common input data'!AS27*'Common input data'!J46/'Common input data'!I46))*'Input data meat and eggs'!$C$423</f>
        <v>14241732.058806133</v>
      </c>
      <c r="P174" s="877">
        <f>('Input data meat and eggs'!B95*'Common input data'!C80)*'Input data meat and eggs'!$F$423*'Input data meat and eggs'!$C$423</f>
        <v>477050633.9862572</v>
      </c>
      <c r="Q174" s="877">
        <v>0</v>
      </c>
      <c r="R174" s="877">
        <f>SUM(G174+Q174)/'Input data meat and eggs'!$B$29</f>
        <v>935470330.59599626</v>
      </c>
      <c r="S174" s="877"/>
      <c r="T174" s="886"/>
      <c r="V174" s="1230"/>
      <c r="W174" s="183"/>
      <c r="X174" s="183"/>
      <c r="Y174" s="183"/>
      <c r="Z174" s="1231"/>
      <c r="AA174" s="183"/>
      <c r="AB174" s="1230"/>
      <c r="AC174" s="183"/>
      <c r="AD174" s="183"/>
      <c r="AE174" s="183"/>
      <c r="AF174" s="1231"/>
      <c r="AG174" s="189"/>
      <c r="AH174" s="879"/>
      <c r="AI174" s="877"/>
      <c r="AJ174" s="877"/>
      <c r="AK174" s="877"/>
      <c r="AL174" s="886"/>
      <c r="AM174" s="877"/>
      <c r="AN174" s="879"/>
      <c r="AO174" s="877"/>
      <c r="AP174" s="877"/>
      <c r="AQ174" s="877"/>
      <c r="AR174" s="886"/>
      <c r="AS174" s="877"/>
      <c r="AT174" s="879"/>
      <c r="AU174" s="877"/>
      <c r="AV174" s="877"/>
      <c r="AW174" s="877"/>
      <c r="AX174" s="877"/>
      <c r="AY174" s="877"/>
      <c r="AZ174" s="886"/>
      <c r="BA174" s="877"/>
      <c r="BB174" s="879"/>
      <c r="BC174" s="877"/>
      <c r="BD174" s="877"/>
      <c r="BE174" s="877"/>
      <c r="BF174" s="886"/>
      <c r="BG174" s="877"/>
      <c r="BH174" s="879"/>
      <c r="BI174" s="877"/>
      <c r="BJ174" s="877"/>
      <c r="BK174" s="877"/>
      <c r="BL174" s="886"/>
      <c r="BM174" s="877"/>
      <c r="BN174" s="879"/>
      <c r="BO174" s="877"/>
      <c r="BP174" s="877"/>
      <c r="BQ174" s="877"/>
      <c r="BR174" s="886"/>
      <c r="BS174" s="877"/>
      <c r="BT174" s="879"/>
      <c r="BU174" s="886"/>
    </row>
    <row r="175" spans="1:73">
      <c r="A175" s="359"/>
      <c r="C175" s="58"/>
      <c r="D175" s="55"/>
      <c r="E175" s="511" t="s">
        <v>321</v>
      </c>
      <c r="F175" s="928">
        <f>SUM(J175:M175)</f>
        <v>23992037.322354537</v>
      </c>
      <c r="G175" s="877">
        <f>SUM(I175:M175,P175)</f>
        <v>23992037.322354537</v>
      </c>
      <c r="H175" s="878"/>
      <c r="I175" s="877">
        <v>0</v>
      </c>
      <c r="J175" s="877">
        <v>0</v>
      </c>
      <c r="K175" s="877">
        <f>'Input data meat and eggs'!N423*'Input data meat and eggs'!G423/12*'Input data meat and eggs'!C423</f>
        <v>1681310.7356043779</v>
      </c>
      <c r="L175" s="877">
        <v>0</v>
      </c>
      <c r="M175" s="877">
        <f>('Input data meat and eggs'!L423*'Input data meat and eggs'!G423/12)*'Input data meat and eggs'!$C$423</f>
        <v>22310726.586750157</v>
      </c>
      <c r="N175" s="877">
        <v>0</v>
      </c>
      <c r="O175" s="877">
        <v>0</v>
      </c>
      <c r="P175" s="877">
        <v>0</v>
      </c>
      <c r="Q175" s="877">
        <v>0</v>
      </c>
      <c r="R175" s="877">
        <f>SUM(G175+Q175)/'Input data meat and eggs'!$B$29</f>
        <v>34520917.010582067</v>
      </c>
      <c r="S175" s="877"/>
      <c r="T175" s="886"/>
      <c r="V175" s="1230"/>
      <c r="W175" s="183"/>
      <c r="X175" s="183"/>
      <c r="Y175" s="183"/>
      <c r="Z175" s="1231"/>
      <c r="AA175" s="183"/>
      <c r="AB175" s="1230"/>
      <c r="AC175" s="183"/>
      <c r="AD175" s="183"/>
      <c r="AE175" s="183"/>
      <c r="AF175" s="1231"/>
      <c r="AG175" s="189"/>
      <c r="AH175" s="879"/>
      <c r="AI175" s="877"/>
      <c r="AJ175" s="877"/>
      <c r="AK175" s="877"/>
      <c r="AL175" s="886"/>
      <c r="AM175" s="877"/>
      <c r="AN175" s="879"/>
      <c r="AO175" s="877"/>
      <c r="AP175" s="877"/>
      <c r="AQ175" s="877"/>
      <c r="AR175" s="886"/>
      <c r="AS175" s="877"/>
      <c r="AT175" s="879"/>
      <c r="AU175" s="877"/>
      <c r="AV175" s="877"/>
      <c r="AW175" s="877"/>
      <c r="AX175" s="877"/>
      <c r="AY175" s="877"/>
      <c r="AZ175" s="886"/>
      <c r="BA175" s="877"/>
      <c r="BB175" s="879"/>
      <c r="BC175" s="877"/>
      <c r="BD175" s="877"/>
      <c r="BE175" s="877"/>
      <c r="BF175" s="886"/>
      <c r="BG175" s="877"/>
      <c r="BH175" s="879"/>
      <c r="BI175" s="877"/>
      <c r="BJ175" s="877"/>
      <c r="BK175" s="877"/>
      <c r="BL175" s="886"/>
      <c r="BM175" s="877"/>
      <c r="BN175" s="879"/>
      <c r="BO175" s="877"/>
      <c r="BP175" s="877"/>
      <c r="BQ175" s="877"/>
      <c r="BR175" s="886"/>
      <c r="BS175" s="877"/>
      <c r="BT175" s="879"/>
      <c r="BU175" s="886"/>
    </row>
    <row r="176" spans="1:73">
      <c r="A176" s="359"/>
      <c r="C176" s="58"/>
      <c r="D176" s="55"/>
      <c r="E176" s="511" t="s">
        <v>319</v>
      </c>
      <c r="F176" s="928">
        <f>SUM(J176:M176)</f>
        <v>0</v>
      </c>
      <c r="G176" s="877">
        <f>SUM(I176:M176,P176)</f>
        <v>192638.64598537851</v>
      </c>
      <c r="H176" s="878"/>
      <c r="I176" s="877">
        <f>('Input data meat and eggs'!S423*'Input data meat and eggs'!C48+'Input data meat and eggs'!T423*'Input data meat and eggs'!C47+'Input data meat and eggs'!U423*'Input data meat and eggs'!C35+'Input data meat and eggs'!V423*SUMPRODUCT('Input data meat and eggs'!C37:C46,'Input data meat and eggs'!F77:F86))*'Input data meat and eggs'!$C$423</f>
        <v>192638.64598537851</v>
      </c>
      <c r="J176" s="877">
        <v>0</v>
      </c>
      <c r="K176" s="877">
        <v>0</v>
      </c>
      <c r="L176" s="877">
        <v>0</v>
      </c>
      <c r="M176" s="877">
        <v>0</v>
      </c>
      <c r="N176" s="877">
        <v>0</v>
      </c>
      <c r="O176" s="877">
        <v>0</v>
      </c>
      <c r="P176" s="877">
        <v>0</v>
      </c>
      <c r="Q176" s="877">
        <v>0</v>
      </c>
      <c r="R176" s="877">
        <f>SUM(G176+Q176)/'Input data meat and eggs'!$B$29</f>
        <v>277177.90789263096</v>
      </c>
      <c r="S176" s="877"/>
      <c r="T176" s="886"/>
      <c r="V176" s="1230"/>
      <c r="W176" s="183"/>
      <c r="X176" s="183"/>
      <c r="Y176" s="183"/>
      <c r="Z176" s="1231"/>
      <c r="AA176" s="183"/>
      <c r="AB176" s="1230"/>
      <c r="AC176" s="183"/>
      <c r="AD176" s="183"/>
      <c r="AE176" s="183"/>
      <c r="AF176" s="1231"/>
      <c r="AG176" s="189"/>
      <c r="AH176" s="879"/>
      <c r="AI176" s="877"/>
      <c r="AJ176" s="877"/>
      <c r="AK176" s="877"/>
      <c r="AL176" s="886"/>
      <c r="AM176" s="877"/>
      <c r="AN176" s="879"/>
      <c r="AO176" s="877"/>
      <c r="AP176" s="877"/>
      <c r="AQ176" s="877"/>
      <c r="AR176" s="886"/>
      <c r="AS176" s="877"/>
      <c r="AT176" s="879"/>
      <c r="AU176" s="877"/>
      <c r="AV176" s="877"/>
      <c r="AW176" s="877"/>
      <c r="AX176" s="877"/>
      <c r="AY176" s="877"/>
      <c r="AZ176" s="886"/>
      <c r="BA176" s="877"/>
      <c r="BB176" s="879"/>
      <c r="BC176" s="877"/>
      <c r="BD176" s="877"/>
      <c r="BE176" s="877"/>
      <c r="BF176" s="886"/>
      <c r="BG176" s="877"/>
      <c r="BH176" s="879"/>
      <c r="BI176" s="877"/>
      <c r="BJ176" s="877"/>
      <c r="BK176" s="877"/>
      <c r="BL176" s="886"/>
      <c r="BM176" s="877"/>
      <c r="BN176" s="879"/>
      <c r="BO176" s="877"/>
      <c r="BP176" s="877"/>
      <c r="BQ176" s="877"/>
      <c r="BR176" s="886"/>
      <c r="BS176" s="877"/>
      <c r="BT176" s="879"/>
      <c r="BU176" s="886"/>
    </row>
    <row r="177" spans="1:73">
      <c r="A177" s="359"/>
      <c r="C177" s="83"/>
      <c r="D177" s="54"/>
      <c r="E177" s="512" t="s">
        <v>320</v>
      </c>
      <c r="F177" s="928">
        <f>SUM(J177:M177)</f>
        <v>1442076.0047084056</v>
      </c>
      <c r="G177" s="877">
        <f>SUM(I177:M177,P177)</f>
        <v>1701777.1046258872</v>
      </c>
      <c r="H177" s="878"/>
      <c r="I177" s="877">
        <f>(('Input data meat and eggs'!S423*'Input data meat and eggs'!D48+'Input data meat and eggs'!T423*'Input data meat and eggs'!D47+'Input data meat and eggs'!U423*'Input data meat and eggs'!D35+'Input data meat and eggs'!V423*SUMPRODUCT('Input data meat and eggs'!D37:D46,'Input data meat and eggs'!F77:F86))*'Input data meat and eggs'!B70)*'Input data meat and eggs'!$C$423</f>
        <v>259701.09991748168</v>
      </c>
      <c r="J177" s="877">
        <f>(('Input data meat and eggs'!S423*'Input data meat and eggs'!D48+'Input data meat and eggs'!T423*'Input data meat and eggs'!D47+'Input data meat and eggs'!U423*'Input data meat and eggs'!D35+'Input data meat and eggs'!V423*SUMPRODUCT('Input data meat and eggs'!D37:D46,'Input data meat and eggs'!F77:F86))*'Input data meat and eggs'!C70)*'Input data meat and eggs'!$C$423</f>
        <v>656419.70418927493</v>
      </c>
      <c r="K177" s="877">
        <f>('Input data meat and eggs'!K423*'Input data meat and eggs'!G423/12*('Input data meat and eggs'!$O$423*'Input data meat and eggs'!$B$457+'Input data meat and eggs'!$P$423*'Input data meat and eggs'!$C$457+'Input data meat and eggs'!$Q$423*'Input data meat and eggs'!$D$457+'Input data meat and eggs'!$R$423*'Input data meat and eggs'!$E$457)*44/28)*'Input data meat and eggs'!$C$423</f>
        <v>717549.87199115648</v>
      </c>
      <c r="L177" s="877">
        <f>('Input data meat and eggs'!$B$458*44/28*'Input data meat and eggs'!K423*'Input data meat and eggs'!G423/12*('Input data meat and eggs'!O423*'Input data meat and eggs'!B470+'Input data meat and eggs'!P423*'Input data meat and eggs'!C470+'Input data meat and eggs'!Q423*'Input data meat and eggs'!D470))*'Input data meat and eggs'!$C$423</f>
        <v>68106.42852797416</v>
      </c>
      <c r="M177" s="877">
        <v>0</v>
      </c>
      <c r="N177" s="877">
        <v>0</v>
      </c>
      <c r="O177" s="877">
        <v>0</v>
      </c>
      <c r="P177" s="877">
        <v>0</v>
      </c>
      <c r="Q177" s="877">
        <v>0</v>
      </c>
      <c r="R177" s="877">
        <f>SUM(G177+Q177)/'Input data meat and eggs'!$B$29</f>
        <v>2448600.150540845</v>
      </c>
      <c r="S177" s="877"/>
      <c r="T177" s="886"/>
      <c r="V177" s="1230"/>
      <c r="W177" s="183"/>
      <c r="X177" s="183"/>
      <c r="Y177" s="183"/>
      <c r="Z177" s="1231"/>
      <c r="AA177" s="183"/>
      <c r="AB177" s="1230"/>
      <c r="AC177" s="183"/>
      <c r="AD177" s="183"/>
      <c r="AE177" s="183"/>
      <c r="AF177" s="1231"/>
      <c r="AG177" s="189"/>
      <c r="AH177" s="879"/>
      <c r="AI177" s="877"/>
      <c r="AJ177" s="877"/>
      <c r="AK177" s="877"/>
      <c r="AL177" s="886"/>
      <c r="AM177" s="877"/>
      <c r="AN177" s="879"/>
      <c r="AO177" s="877"/>
      <c r="AP177" s="877"/>
      <c r="AQ177" s="877"/>
      <c r="AR177" s="886"/>
      <c r="AS177" s="877"/>
      <c r="AT177" s="879"/>
      <c r="AU177" s="877"/>
      <c r="AV177" s="877"/>
      <c r="AW177" s="877"/>
      <c r="AX177" s="877"/>
      <c r="AY177" s="877"/>
      <c r="AZ177" s="886"/>
      <c r="BA177" s="877"/>
      <c r="BB177" s="879"/>
      <c r="BC177" s="877"/>
      <c r="BD177" s="877"/>
      <c r="BE177" s="877"/>
      <c r="BF177" s="886"/>
      <c r="BG177" s="877"/>
      <c r="BH177" s="879"/>
      <c r="BI177" s="877"/>
      <c r="BJ177" s="877"/>
      <c r="BK177" s="877"/>
      <c r="BL177" s="886"/>
      <c r="BM177" s="877"/>
      <c r="BN177" s="879"/>
      <c r="BO177" s="877"/>
      <c r="BP177" s="877"/>
      <c r="BQ177" s="877"/>
      <c r="BR177" s="886"/>
      <c r="BS177" s="877"/>
      <c r="BT177" s="879"/>
      <c r="BU177" s="886"/>
    </row>
    <row r="178" spans="1:73">
      <c r="A178" s="386"/>
      <c r="B178" s="93" t="s">
        <v>349</v>
      </c>
      <c r="C178" s="87"/>
      <c r="D178" s="54"/>
      <c r="E178" s="513" t="s">
        <v>316</v>
      </c>
      <c r="F178" s="930">
        <f>SUMPRODUCT($CA$7:$CA$10,F179:F182)</f>
        <v>1978626161.2327569</v>
      </c>
      <c r="G178" s="872">
        <f>SUMPRODUCT($CA$7:$CA$10,G179:G182)</f>
        <v>3727964889.3852301</v>
      </c>
      <c r="H178" s="873"/>
      <c r="I178" s="884"/>
      <c r="J178" s="884"/>
      <c r="K178" s="884"/>
      <c r="L178" s="884"/>
      <c r="M178" s="884"/>
      <c r="N178" s="884"/>
      <c r="O178" s="884"/>
      <c r="P178" s="884"/>
      <c r="Q178" s="884"/>
      <c r="R178" s="884"/>
      <c r="S178" s="884"/>
      <c r="T178" s="885"/>
      <c r="V178" s="1239"/>
      <c r="W178" s="358"/>
      <c r="X178" s="358"/>
      <c r="Y178" s="358"/>
      <c r="Z178" s="433"/>
      <c r="AA178" s="183"/>
      <c r="AB178" s="1239"/>
      <c r="AC178" s="358"/>
      <c r="AD178" s="358"/>
      <c r="AE178" s="358"/>
      <c r="AF178" s="433"/>
      <c r="AG178" s="189"/>
      <c r="AH178" s="883"/>
      <c r="AI178" s="884"/>
      <c r="AJ178" s="884"/>
      <c r="AK178" s="884"/>
      <c r="AL178" s="885"/>
      <c r="AM178" s="877"/>
      <c r="AN178" s="883"/>
      <c r="AO178" s="884"/>
      <c r="AP178" s="884"/>
      <c r="AQ178" s="884"/>
      <c r="AR178" s="885"/>
      <c r="AS178" s="877"/>
      <c r="AT178" s="883"/>
      <c r="AU178" s="884"/>
      <c r="AV178" s="884"/>
      <c r="AW178" s="884"/>
      <c r="AX178" s="884"/>
      <c r="AY178" s="884"/>
      <c r="AZ178" s="885"/>
      <c r="BA178" s="877"/>
      <c r="BB178" s="883"/>
      <c r="BC178" s="884"/>
      <c r="BD178" s="884"/>
      <c r="BE178" s="884"/>
      <c r="BF178" s="885"/>
      <c r="BG178" s="877"/>
      <c r="BH178" s="883"/>
      <c r="BI178" s="884"/>
      <c r="BJ178" s="884"/>
      <c r="BK178" s="884"/>
      <c r="BL178" s="885"/>
      <c r="BM178" s="877"/>
      <c r="BN178" s="883"/>
      <c r="BO178" s="884"/>
      <c r="BP178" s="884"/>
      <c r="BQ178" s="884"/>
      <c r="BR178" s="885"/>
      <c r="BS178" s="877"/>
      <c r="BT178" s="879"/>
      <c r="BU178" s="886"/>
    </row>
    <row r="179" spans="1:73">
      <c r="A179" s="359"/>
      <c r="C179" s="83"/>
      <c r="D179" s="54"/>
      <c r="E179" s="511" t="s">
        <v>317</v>
      </c>
      <c r="F179" s="928">
        <f>IF(AND($G$2="No",$G$3="No"),SUM(J179:M179),IF(AND($G$2="Yes", $G$3="No"), SUM(J179:M179)+O179, IF(AND($G$2="No", $G$3="Yes"),SUM(J179:M179)+N179, SUM(J179:M179)+O179+N179)))</f>
        <v>-504729917.7103309</v>
      </c>
      <c r="G179" s="877">
        <f>IF(AND($G$2="No",$G$3="No"),SUM(I179:M179,P179),IF(AND($G$2="Yes", $G$3="No"), SUM(I179:M179,P179)+O179, IF(AND($G$2="No", $G$3="Yes"),SUM(I179:M179,P179)+N179, SUM(I179:M179,P179)+O179+N179)))</f>
        <v>993624232.91397667</v>
      </c>
      <c r="H179" s="878"/>
      <c r="I179" s="877">
        <f>I169+I174</f>
        <v>868589517.77658665</v>
      </c>
      <c r="J179" s="877">
        <f t="shared" ref="J179:Q179" si="25">J169+J174</f>
        <v>0</v>
      </c>
      <c r="K179" s="877">
        <f t="shared" si="25"/>
        <v>0</v>
      </c>
      <c r="L179" s="877">
        <f t="shared" si="25"/>
        <v>0</v>
      </c>
      <c r="M179" s="877">
        <f t="shared" si="25"/>
        <v>0</v>
      </c>
      <c r="N179" s="877">
        <f t="shared" si="25"/>
        <v>-549343660.54145813</v>
      </c>
      <c r="O179" s="877">
        <f t="shared" si="25"/>
        <v>44613742.831127226</v>
      </c>
      <c r="P179" s="877">
        <f t="shared" si="25"/>
        <v>629764632.8477211</v>
      </c>
      <c r="Q179" s="877">
        <f t="shared" si="25"/>
        <v>45092324.409881562</v>
      </c>
      <c r="R179" s="877">
        <f>R169+R174</f>
        <v>1494556197.5882857</v>
      </c>
      <c r="S179" s="877"/>
      <c r="T179" s="886"/>
      <c r="V179" s="1230"/>
      <c r="W179" s="183"/>
      <c r="X179" s="183"/>
      <c r="Y179" s="183"/>
      <c r="Z179" s="1231"/>
      <c r="AA179" s="183"/>
      <c r="AB179" s="1230"/>
      <c r="AC179" s="183"/>
      <c r="AD179" s="183"/>
      <c r="AE179" s="183"/>
      <c r="AF179" s="1231"/>
      <c r="AG179" s="189"/>
      <c r="AH179" s="879"/>
      <c r="AI179" s="877"/>
      <c r="AJ179" s="877"/>
      <c r="AK179" s="877"/>
      <c r="AL179" s="886"/>
      <c r="AM179" s="877"/>
      <c r="AN179" s="879"/>
      <c r="AO179" s="877"/>
      <c r="AP179" s="877"/>
      <c r="AQ179" s="877"/>
      <c r="AR179" s="886"/>
      <c r="AS179" s="877"/>
      <c r="AT179" s="879"/>
      <c r="AU179" s="877"/>
      <c r="AV179" s="877"/>
      <c r="AW179" s="877"/>
      <c r="AX179" s="877"/>
      <c r="AY179" s="877"/>
      <c r="AZ179" s="886"/>
      <c r="BA179" s="877"/>
      <c r="BB179" s="879"/>
      <c r="BC179" s="877"/>
      <c r="BD179" s="877"/>
      <c r="BE179" s="877"/>
      <c r="BF179" s="886"/>
      <c r="BG179" s="877"/>
      <c r="BH179" s="879"/>
      <c r="BI179" s="877"/>
      <c r="BJ179" s="877"/>
      <c r="BK179" s="877"/>
      <c r="BL179" s="886"/>
      <c r="BM179" s="877"/>
      <c r="BN179" s="879"/>
      <c r="BO179" s="877"/>
      <c r="BP179" s="877"/>
      <c r="BQ179" s="877"/>
      <c r="BR179" s="886"/>
      <c r="BS179" s="877"/>
      <c r="BT179" s="879"/>
      <c r="BU179" s="886"/>
    </row>
    <row r="180" spans="1:73">
      <c r="A180" s="359"/>
      <c r="C180" s="83"/>
      <c r="D180" s="54"/>
      <c r="E180" s="511" t="s">
        <v>321</v>
      </c>
      <c r="F180" s="928">
        <f>SUM(J180:M180)</f>
        <v>182456358.58876327</v>
      </c>
      <c r="G180" s="877">
        <f>SUM(I180:M180,P180)</f>
        <v>182456358.58876327</v>
      </c>
      <c r="H180" s="878"/>
      <c r="I180" s="877">
        <v>0</v>
      </c>
      <c r="J180" s="877">
        <f t="shared" ref="J180:Q180" si="26">J170+J175</f>
        <v>0</v>
      </c>
      <c r="K180" s="877">
        <f t="shared" si="26"/>
        <v>14906881.591242973</v>
      </c>
      <c r="L180" s="877">
        <f t="shared" si="26"/>
        <v>0</v>
      </c>
      <c r="M180" s="877">
        <f t="shared" si="26"/>
        <v>167549476.9975203</v>
      </c>
      <c r="N180" s="877">
        <f t="shared" si="26"/>
        <v>0</v>
      </c>
      <c r="O180" s="877">
        <f t="shared" si="26"/>
        <v>0</v>
      </c>
      <c r="P180" s="877">
        <f t="shared" si="26"/>
        <v>0</v>
      </c>
      <c r="Q180" s="877">
        <f t="shared" si="26"/>
        <v>0</v>
      </c>
      <c r="R180" s="877">
        <f>R170+R175</f>
        <v>262527134.66009104</v>
      </c>
      <c r="S180" s="877"/>
      <c r="T180" s="886"/>
      <c r="V180" s="1230"/>
      <c r="W180" s="183"/>
      <c r="X180" s="183"/>
      <c r="Y180" s="183"/>
      <c r="Z180" s="1231"/>
      <c r="AA180" s="183"/>
      <c r="AB180" s="1230"/>
      <c r="AC180" s="183"/>
      <c r="AD180" s="183"/>
      <c r="AE180" s="183"/>
      <c r="AF180" s="1231"/>
      <c r="AG180" s="189"/>
      <c r="AH180" s="879"/>
      <c r="AI180" s="877"/>
      <c r="AJ180" s="877"/>
      <c r="AK180" s="877"/>
      <c r="AL180" s="886"/>
      <c r="AM180" s="877"/>
      <c r="AN180" s="879"/>
      <c r="AO180" s="877"/>
      <c r="AP180" s="877"/>
      <c r="AQ180" s="877"/>
      <c r="AR180" s="886"/>
      <c r="AS180" s="877"/>
      <c r="AT180" s="879"/>
      <c r="AU180" s="877"/>
      <c r="AV180" s="877"/>
      <c r="AW180" s="877"/>
      <c r="AX180" s="877"/>
      <c r="AY180" s="877"/>
      <c r="AZ180" s="886"/>
      <c r="BA180" s="877"/>
      <c r="BB180" s="879"/>
      <c r="BC180" s="877"/>
      <c r="BD180" s="877"/>
      <c r="BE180" s="877"/>
      <c r="BF180" s="886"/>
      <c r="BG180" s="877"/>
      <c r="BH180" s="879"/>
      <c r="BI180" s="877"/>
      <c r="BJ180" s="877"/>
      <c r="BK180" s="877"/>
      <c r="BL180" s="886"/>
      <c r="BM180" s="877"/>
      <c r="BN180" s="879"/>
      <c r="BO180" s="877"/>
      <c r="BP180" s="877"/>
      <c r="BQ180" s="877"/>
      <c r="BR180" s="886"/>
      <c r="BS180" s="877"/>
      <c r="BT180" s="879"/>
      <c r="BU180" s="886"/>
    </row>
    <row r="181" spans="1:73">
      <c r="A181" s="359"/>
      <c r="C181" s="83"/>
      <c r="D181" s="54"/>
      <c r="E181" s="511" t="s">
        <v>319</v>
      </c>
      <c r="F181" s="928">
        <f>SUM(J181:M181)</f>
        <v>0</v>
      </c>
      <c r="G181" s="877">
        <f>SUM(I181:M181,P181)</f>
        <v>731573.71347377007</v>
      </c>
      <c r="H181" s="878"/>
      <c r="I181" s="877">
        <f>I171+I176</f>
        <v>731573.71347377007</v>
      </c>
      <c r="J181" s="877">
        <v>0</v>
      </c>
      <c r="K181" s="877">
        <v>0</v>
      </c>
      <c r="L181" s="877">
        <v>0</v>
      </c>
      <c r="M181" s="877">
        <v>0</v>
      </c>
      <c r="N181" s="877">
        <f>N171+N176</f>
        <v>0</v>
      </c>
      <c r="O181" s="877">
        <f>O171+O176</f>
        <v>0</v>
      </c>
      <c r="P181" s="877">
        <f>P171+P176</f>
        <v>0</v>
      </c>
      <c r="Q181" s="877">
        <f>Q171+Q176</f>
        <v>6005.2897540176837</v>
      </c>
      <c r="R181" s="877">
        <f>R171+R176</f>
        <v>1061264.7528457379</v>
      </c>
      <c r="S181" s="877"/>
      <c r="T181" s="886"/>
      <c r="V181" s="1230"/>
      <c r="W181" s="183"/>
      <c r="X181" s="183"/>
      <c r="Y181" s="183"/>
      <c r="Z181" s="1231"/>
      <c r="AA181" s="183"/>
      <c r="AB181" s="1230"/>
      <c r="AC181" s="183"/>
      <c r="AD181" s="183"/>
      <c r="AE181" s="183"/>
      <c r="AF181" s="1231"/>
      <c r="AG181" s="189"/>
      <c r="AH181" s="879"/>
      <c r="AI181" s="877"/>
      <c r="AJ181" s="877"/>
      <c r="AK181" s="877"/>
      <c r="AL181" s="886"/>
      <c r="AM181" s="877"/>
      <c r="AN181" s="879"/>
      <c r="AO181" s="877"/>
      <c r="AP181" s="877"/>
      <c r="AQ181" s="877"/>
      <c r="AR181" s="886"/>
      <c r="AS181" s="877"/>
      <c r="AT181" s="879"/>
      <c r="AU181" s="877"/>
      <c r="AV181" s="877"/>
      <c r="AW181" s="877"/>
      <c r="AX181" s="877"/>
      <c r="AY181" s="877"/>
      <c r="AZ181" s="886"/>
      <c r="BA181" s="877"/>
      <c r="BB181" s="879"/>
      <c r="BC181" s="877"/>
      <c r="BD181" s="877"/>
      <c r="BE181" s="877"/>
      <c r="BF181" s="886"/>
      <c r="BG181" s="877"/>
      <c r="BH181" s="879"/>
      <c r="BI181" s="877"/>
      <c r="BJ181" s="877"/>
      <c r="BK181" s="877"/>
      <c r="BL181" s="886"/>
      <c r="BM181" s="877"/>
      <c r="BN181" s="879"/>
      <c r="BO181" s="877"/>
      <c r="BP181" s="877"/>
      <c r="BQ181" s="877"/>
      <c r="BR181" s="886"/>
      <c r="BS181" s="877"/>
      <c r="BT181" s="879"/>
      <c r="BU181" s="886"/>
    </row>
    <row r="182" spans="1:73">
      <c r="A182" s="359"/>
      <c r="C182" s="83"/>
      <c r="D182" s="54"/>
      <c r="E182" s="512" t="s">
        <v>320</v>
      </c>
      <c r="F182" s="928">
        <f>SUM(J182:M182)</f>
        <v>6977730.4445317611</v>
      </c>
      <c r="G182" s="877">
        <f>SUM(I182:M182,P182)</f>
        <v>8040160.40622635</v>
      </c>
      <c r="H182" s="878"/>
      <c r="I182" s="877">
        <f t="shared" ref="I182:P182" si="27">I172+I177</f>
        <v>1062429.9616945884</v>
      </c>
      <c r="J182" s="877">
        <f t="shared" si="27"/>
        <v>2685394.7149202628</v>
      </c>
      <c r="K182" s="877">
        <f t="shared" si="27"/>
        <v>3908800.6525074015</v>
      </c>
      <c r="L182" s="877">
        <f t="shared" si="27"/>
        <v>383535.07710409735</v>
      </c>
      <c r="M182" s="877">
        <f t="shared" si="27"/>
        <v>0</v>
      </c>
      <c r="N182" s="877">
        <f t="shared" si="27"/>
        <v>0</v>
      </c>
      <c r="O182" s="877">
        <f t="shared" si="27"/>
        <v>0</v>
      </c>
      <c r="P182" s="877">
        <f t="shared" si="27"/>
        <v>0</v>
      </c>
      <c r="Q182" s="877">
        <f>Q172+Q177</f>
        <v>559.82645595787062</v>
      </c>
      <c r="R182" s="877">
        <f>R172+R177</f>
        <v>11569381.629758719</v>
      </c>
      <c r="S182" s="877"/>
      <c r="T182" s="886"/>
      <c r="V182" s="1230"/>
      <c r="W182" s="183"/>
      <c r="X182" s="183"/>
      <c r="Y182" s="183"/>
      <c r="Z182" s="1231"/>
      <c r="AA182" s="183"/>
      <c r="AB182" s="1230"/>
      <c r="AC182" s="183"/>
      <c r="AD182" s="183"/>
      <c r="AE182" s="183"/>
      <c r="AF182" s="1231"/>
      <c r="AG182" s="189"/>
      <c r="AH182" s="879"/>
      <c r="AI182" s="877"/>
      <c r="AJ182" s="877"/>
      <c r="AK182" s="877"/>
      <c r="AL182" s="886"/>
      <c r="AM182" s="877"/>
      <c r="AN182" s="879"/>
      <c r="AO182" s="877"/>
      <c r="AP182" s="877"/>
      <c r="AQ182" s="877"/>
      <c r="AR182" s="886"/>
      <c r="AS182" s="877"/>
      <c r="AT182" s="879"/>
      <c r="AU182" s="877"/>
      <c r="AV182" s="877"/>
      <c r="AW182" s="877"/>
      <c r="AX182" s="877"/>
      <c r="AY182" s="877"/>
      <c r="AZ182" s="886"/>
      <c r="BA182" s="877"/>
      <c r="BB182" s="879"/>
      <c r="BC182" s="877"/>
      <c r="BD182" s="877"/>
      <c r="BE182" s="877"/>
      <c r="BF182" s="886"/>
      <c r="BG182" s="877"/>
      <c r="BH182" s="879"/>
      <c r="BI182" s="877"/>
      <c r="BJ182" s="877"/>
      <c r="BK182" s="877"/>
      <c r="BL182" s="886"/>
      <c r="BM182" s="877"/>
      <c r="BN182" s="879"/>
      <c r="BO182" s="877"/>
      <c r="BP182" s="877"/>
      <c r="BQ182" s="877"/>
      <c r="BR182" s="886"/>
      <c r="BS182" s="877"/>
      <c r="BT182" s="879"/>
      <c r="BU182" s="886"/>
    </row>
    <row r="183" spans="1:73">
      <c r="A183" s="387"/>
      <c r="B183" s="93" t="s">
        <v>350</v>
      </c>
      <c r="C183" s="905">
        <f>'Input data meat and eggs'!D11*'Input data meat and eggs'!H422/SUM('Input data meat and eggs'!H422:H429)</f>
        <v>1.2039538514853818E-2</v>
      </c>
      <c r="D183" s="898"/>
      <c r="E183" s="513" t="s">
        <v>316</v>
      </c>
      <c r="F183" s="930">
        <f>SUMPRODUCT($CA$7:$CA$10,F184:F187)</f>
        <v>2.4684797416506075</v>
      </c>
      <c r="G183" s="872">
        <f>SUMPRODUCT($CA$7:$CA$10,G184:G187)</f>
        <v>4.6509067692194836</v>
      </c>
      <c r="H183" s="873">
        <f>SUMPRODUCT($CA$7:$CA$10,H184:H187)</f>
        <v>7.6789263253132169</v>
      </c>
      <c r="I183" s="884"/>
      <c r="J183" s="884"/>
      <c r="K183" s="884"/>
      <c r="L183" s="884"/>
      <c r="M183" s="884"/>
      <c r="N183" s="884"/>
      <c r="O183" s="884"/>
      <c r="P183" s="884"/>
      <c r="Q183" s="884"/>
      <c r="R183" s="884"/>
      <c r="S183" s="884"/>
      <c r="T183" s="885"/>
      <c r="V183" s="1240"/>
      <c r="W183" s="211"/>
      <c r="X183" s="211">
        <f>SUM(W168:W173)*'Common input data'!$G$52/'Input data meat and eggs'!$J422</f>
        <v>9.3937960892338914</v>
      </c>
      <c r="Y183" s="212">
        <f>X183+X183*'Common input data'!$B$145</f>
        <v>10.220450145086474</v>
      </c>
      <c r="Z183" s="1241">
        <f>Y183+Y183*'Common input data'!$B$179</f>
        <v>11.344699661045986</v>
      </c>
      <c r="AA183" s="189"/>
      <c r="AB183" s="1240"/>
      <c r="AC183" s="211"/>
      <c r="AD183" s="211">
        <f>SUM(AC168:AC173)*'Common input data'!$G$52/'Input data meat and eggs'!$J422</f>
        <v>53.685246320877305</v>
      </c>
      <c r="AE183" s="212">
        <f>AD183+AD183*'Common input data'!$B$145</f>
        <v>58.409547997114515</v>
      </c>
      <c r="AF183" s="1241">
        <f>AE183+AE183*'Common input data'!$B$179</f>
        <v>64.834598276797109</v>
      </c>
      <c r="AG183" s="189"/>
      <c r="AH183" s="883"/>
      <c r="AI183" s="884"/>
      <c r="AJ183" s="884">
        <f>SUM(AI168:AI173)*'Common input data'!$G$52/'Input data meat and eggs'!$J422</f>
        <v>0.32576232356200219</v>
      </c>
      <c r="AK183" s="1225">
        <f>AJ183+AJ183*'Common input data'!$B$145</f>
        <v>0.35442940803545842</v>
      </c>
      <c r="AL183" s="1227">
        <f>AK183+AK183*'Common input data'!$B$179</f>
        <v>0.39341664291935885</v>
      </c>
      <c r="AM183" s="877"/>
      <c r="AN183" s="883"/>
      <c r="AO183" s="884"/>
      <c r="AP183" s="884">
        <f>SUM(AO168:AO173)*'Common input data'!$G$52/'Input data meat and eggs'!$J422</f>
        <v>1.2710866573037405E-2</v>
      </c>
      <c r="AQ183" s="1225">
        <f>AP183+AP183*'Common input data'!$B$145</f>
        <v>1.3829422831464698E-2</v>
      </c>
      <c r="AR183" s="1227">
        <f>AQ183+AQ183*'Common input data'!$B$179</f>
        <v>1.5350659342925815E-2</v>
      </c>
      <c r="AS183" s="877"/>
      <c r="AT183" s="883"/>
      <c r="AU183" s="884"/>
      <c r="AV183" s="884"/>
      <c r="AW183" s="884"/>
      <c r="AX183" s="884">
        <f>SUM(AW168:AW173)*'Common input data'!$G$52/'Input data meat and eggs'!$J422</f>
        <v>2.8418467193598019E-2</v>
      </c>
      <c r="AY183" s="1225">
        <f>AX183+AX183*'Common input data'!$B$145</f>
        <v>3.0919292306634646E-2</v>
      </c>
      <c r="AZ183" s="1227">
        <f>AY183+AY183*'Common input data'!$B$179</f>
        <v>3.4320414460364455E-2</v>
      </c>
      <c r="BA183" s="877"/>
      <c r="BB183" s="883"/>
      <c r="BC183" s="884"/>
      <c r="BD183" s="884">
        <f>(SUM(BC168:BC173)*'Common input data'!$G$52/'Input data meat and eggs'!$J422)/$AS$3</f>
        <v>2.033170735914266E-11</v>
      </c>
      <c r="BE183" s="1225">
        <f>BD183+BD183*'Common input data'!$B$145</f>
        <v>2.2120897606747217E-11</v>
      </c>
      <c r="BF183" s="1227">
        <f>BE183+BE183*'Common input data'!$B$179</f>
        <v>2.4554196343489409E-11</v>
      </c>
      <c r="BG183" s="877"/>
      <c r="BH183" s="883"/>
      <c r="BI183" s="884"/>
      <c r="BJ183" s="884">
        <f>SUM(BI168:BI173)*'Common input data'!$G$52/'Input data meat and eggs'!$J422</f>
        <v>3.9664700454224258E-4</v>
      </c>
      <c r="BK183" s="1225">
        <f>BJ183+BJ183*'Common input data'!$B$145</f>
        <v>4.3155194094195994E-4</v>
      </c>
      <c r="BL183" s="1227">
        <f>BK183+BK183*'Common input data'!$B$179</f>
        <v>4.7902265444557554E-4</v>
      </c>
      <c r="BM183" s="877"/>
      <c r="BN183" s="883"/>
      <c r="BO183" s="884"/>
      <c r="BP183" s="884">
        <f>SUM(BO168:BO173)*'Common input data'!$G$52/'Input data meat and eggs'!$J422</f>
        <v>1.8338374016506814E-2</v>
      </c>
      <c r="BQ183" s="1225">
        <f>BP183+BP183*'Common input data'!$B$145</f>
        <v>1.9952150929959417E-2</v>
      </c>
      <c r="BR183" s="1227">
        <f>BQ183+BQ183*'Common input data'!$B$179</f>
        <v>2.2146887532254952E-2</v>
      </c>
      <c r="BS183" s="877"/>
      <c r="BT183" s="883">
        <f>('Common input data'!B213+'Common input data'!C213)+('Common input data'!B213+'Common input data'!C213)*'Common input data'!$B$145</f>
        <v>1.6322176000000002</v>
      </c>
      <c r="BU183" s="1227">
        <f>BT183+BT183*'Common input data'!$B$179</f>
        <v>1.8117615360000001</v>
      </c>
    </row>
    <row r="184" spans="1:73">
      <c r="A184" s="388"/>
      <c r="B184" s="901"/>
      <c r="C184" s="906"/>
      <c r="D184" s="899"/>
      <c r="E184" s="511" t="s">
        <v>317</v>
      </c>
      <c r="F184" s="928">
        <f>IF(AND($G$2="No",$G$3="No"),SUM(J184:M184),IF(AND($G$2="Yes", $G$3="No"), SUM(J184:M184)+O184, IF(AND($G$2="No", $G$3="Yes"),SUM(J184:M184)+N184, SUM(J184:M184)+O184+N184)))</f>
        <v>-0.62968720483139617</v>
      </c>
      <c r="G184" s="877">
        <f>IF(AND($G$2="No",$G$3="No"),SUM(I184:M184,P184),IF(AND($G$2="Yes", $G$3="No"), SUM(I184:M184,P184)+O184, IF(AND($G$2="No", $G$3="Yes"),SUM(I184:M184,P184)+N184, SUM(I184:M184,P184)+O184+N184)))</f>
        <v>1.2396183462130759</v>
      </c>
      <c r="H184" s="878">
        <f>SUM(R184:T184)/(1-'Common input data'!B$145)</f>
        <v>2.2966747028319037</v>
      </c>
      <c r="I184" s="877">
        <f>I179*'Common input data'!$G$52/'Input data meat and eggs'!$H$422</f>
        <v>1.083628464260133</v>
      </c>
      <c r="J184" s="877">
        <f>J179*'Common input data'!$G$52/'Input data meat and eggs'!$H$422</f>
        <v>0</v>
      </c>
      <c r="K184" s="877">
        <f>K179*'Common input data'!$G$52/'Input data meat and eggs'!$H$422</f>
        <v>0</v>
      </c>
      <c r="L184" s="877">
        <f>L179*'Common input data'!$G$52/'Input data meat and eggs'!$H$422</f>
        <v>0</v>
      </c>
      <c r="M184" s="877">
        <f>M179*'Common input data'!$G$52/'Input data meat and eggs'!$H$422</f>
        <v>0</v>
      </c>
      <c r="N184" s="877">
        <f>N179*'Common input data'!$G$52/'Input data meat and eggs'!$H$422</f>
        <v>-0.68534608700711441</v>
      </c>
      <c r="O184" s="877">
        <f>O179*'Common input data'!$G$52/'Input data meat and eggs'!$H$422</f>
        <v>5.5658882175718183E-2</v>
      </c>
      <c r="P184" s="877">
        <f>P179*'Common input data'!$G$52/'Input data meat and eggs'!$H$422</f>
        <v>0.78567708678433901</v>
      </c>
      <c r="Q184" s="877">
        <f>Q179*'Common input data'!$G$52/'Input data meat and eggs'!$H$422</f>
        <v>5.6255947429897479E-2</v>
      </c>
      <c r="R184" s="877">
        <f>R179*'Common input data'!$G$52/'Input data meat and eggs'!$H$422</f>
        <v>1.8645673289826958</v>
      </c>
      <c r="S184" s="877">
        <f>'Common input data'!B109</f>
        <v>0.1</v>
      </c>
      <c r="T184" s="886">
        <f>'Common input data'!B116+'Common input data'!C116</f>
        <v>0.13</v>
      </c>
      <c r="V184" s="1230"/>
      <c r="W184" s="183"/>
      <c r="X184" s="183"/>
      <c r="Y184" s="183"/>
      <c r="Z184" s="1231"/>
      <c r="AA184" s="183"/>
      <c r="AB184" s="1230"/>
      <c r="AC184" s="183"/>
      <c r="AD184" s="183"/>
      <c r="AE184" s="183"/>
      <c r="AF184" s="1231"/>
      <c r="AG184" s="189"/>
      <c r="AH184" s="879"/>
      <c r="AI184" s="877"/>
      <c r="AJ184" s="877"/>
      <c r="AK184" s="877"/>
      <c r="AL184" s="886"/>
      <c r="AM184" s="877"/>
      <c r="AN184" s="879"/>
      <c r="AO184" s="877"/>
      <c r="AP184" s="877"/>
      <c r="AQ184" s="877"/>
      <c r="AR184" s="886"/>
      <c r="AS184" s="877"/>
      <c r="AT184" s="879"/>
      <c r="AU184" s="877"/>
      <c r="AV184" s="877"/>
      <c r="AW184" s="877"/>
      <c r="AX184" s="877"/>
      <c r="AY184" s="877"/>
      <c r="AZ184" s="886"/>
      <c r="BA184" s="877"/>
      <c r="BB184" s="879"/>
      <c r="BC184" s="877"/>
      <c r="BD184" s="877"/>
      <c r="BE184" s="877"/>
      <c r="BF184" s="886"/>
      <c r="BG184" s="877"/>
      <c r="BH184" s="879"/>
      <c r="BI184" s="877"/>
      <c r="BJ184" s="877"/>
      <c r="BK184" s="877"/>
      <c r="BL184" s="886"/>
      <c r="BM184" s="877"/>
      <c r="BN184" s="879"/>
      <c r="BO184" s="877"/>
      <c r="BP184" s="877"/>
      <c r="BQ184" s="877"/>
      <c r="BR184" s="886"/>
      <c r="BS184" s="877"/>
      <c r="BT184" s="879"/>
      <c r="BU184" s="886"/>
    </row>
    <row r="185" spans="1:73">
      <c r="A185" s="388"/>
      <c r="B185" s="901"/>
      <c r="C185" s="906"/>
      <c r="D185" s="899"/>
      <c r="E185" s="511" t="s">
        <v>321</v>
      </c>
      <c r="F185" s="928">
        <f>SUM(J185:M185)</f>
        <v>0.2276275497292988</v>
      </c>
      <c r="G185" s="877">
        <f>SUM(I185:M185,P185)</f>
        <v>0.2276275497292988</v>
      </c>
      <c r="H185" s="878">
        <f>SUM(R185:T185)/(1-'Common input data'!B$145)</f>
        <v>0.35912462092846598</v>
      </c>
      <c r="I185" s="877">
        <v>0</v>
      </c>
      <c r="J185" s="877">
        <f>J180*'Common input data'!$G$52/'Input data meat and eggs'!$H$422</f>
        <v>0</v>
      </c>
      <c r="K185" s="877">
        <f>K180*'Common input data'!$G$52/'Input data meat and eggs'!$H$422</f>
        <v>1.8597416702628437E-2</v>
      </c>
      <c r="L185" s="877">
        <f>L180*'Common input data'!$G$52/'Input data meat and eggs'!$H$422</f>
        <v>0</v>
      </c>
      <c r="M185" s="877">
        <f>M180*'Common input data'!$G$52/'Input data meat and eggs'!$H$422</f>
        <v>0.20903013302667037</v>
      </c>
      <c r="N185" s="877">
        <f>N180*'Common input data'!$G$52/'Input data meat and eggs'!$H$422</f>
        <v>0</v>
      </c>
      <c r="O185" s="877">
        <f>O180*'Common input data'!$G$52/'Input data meat and eggs'!$H$422</f>
        <v>0</v>
      </c>
      <c r="P185" s="877">
        <f>P180*'Common input data'!$G$52/'Input data meat and eggs'!$H$422</f>
        <v>0</v>
      </c>
      <c r="Q185" s="877">
        <f>Q180*'Common input data'!$G$52/'Input data meat and eggs'!$H$422</f>
        <v>0</v>
      </c>
      <c r="R185" s="877">
        <f>R180*'Common input data'!$G$52/'Input data meat and eggs'!$H$422</f>
        <v>0.32752165428676094</v>
      </c>
      <c r="S185" s="877">
        <v>0</v>
      </c>
      <c r="T185" s="886">
        <v>0</v>
      </c>
      <c r="V185" s="1230"/>
      <c r="W185" s="183"/>
      <c r="X185" s="183"/>
      <c r="Y185" s="183"/>
      <c r="Z185" s="1231"/>
      <c r="AA185" s="183"/>
      <c r="AB185" s="1230"/>
      <c r="AC185" s="183"/>
      <c r="AD185" s="183"/>
      <c r="AE185" s="183"/>
      <c r="AF185" s="1231"/>
      <c r="AG185" s="189"/>
      <c r="AH185" s="879"/>
      <c r="AI185" s="877"/>
      <c r="AJ185" s="877"/>
      <c r="AK185" s="877"/>
      <c r="AL185" s="886"/>
      <c r="AM185" s="877"/>
      <c r="AN185" s="879"/>
      <c r="AO185" s="877"/>
      <c r="AP185" s="877"/>
      <c r="AQ185" s="877"/>
      <c r="AR185" s="886"/>
      <c r="AS185" s="877"/>
      <c r="AT185" s="879"/>
      <c r="AU185" s="877"/>
      <c r="AV185" s="877"/>
      <c r="AW185" s="877"/>
      <c r="AX185" s="877"/>
      <c r="AY185" s="877"/>
      <c r="AZ185" s="886"/>
      <c r="BA185" s="877"/>
      <c r="BB185" s="879"/>
      <c r="BC185" s="877"/>
      <c r="BD185" s="877"/>
      <c r="BE185" s="877"/>
      <c r="BF185" s="886"/>
      <c r="BG185" s="877"/>
      <c r="BH185" s="879"/>
      <c r="BI185" s="877"/>
      <c r="BJ185" s="877"/>
      <c r="BK185" s="877"/>
      <c r="BL185" s="886"/>
      <c r="BM185" s="877"/>
      <c r="BN185" s="879"/>
      <c r="BO185" s="877"/>
      <c r="BP185" s="877"/>
      <c r="BQ185" s="877"/>
      <c r="BR185" s="886"/>
      <c r="BS185" s="877"/>
      <c r="BT185" s="879"/>
      <c r="BU185" s="886"/>
    </row>
    <row r="186" spans="1:73">
      <c r="A186" s="388"/>
      <c r="B186" s="901"/>
      <c r="C186" s="906"/>
      <c r="D186" s="899"/>
      <c r="E186" s="511" t="s">
        <v>319</v>
      </c>
      <c r="F186" s="928">
        <f>SUM(J186:M186)</f>
        <v>0</v>
      </c>
      <c r="G186" s="877">
        <f>SUM(I186:M186,P186)</f>
        <v>9.1269130400508866E-4</v>
      </c>
      <c r="H186" s="878">
        <f>SUM(R186:T186)/(1-'Common input data'!B$145)</f>
        <v>1.4517596535837478E-3</v>
      </c>
      <c r="I186" s="877">
        <f>I181*'Common input data'!$G$52/'Input data meat and eggs'!$H$422</f>
        <v>9.1269130400508866E-4</v>
      </c>
      <c r="J186" s="877">
        <v>0</v>
      </c>
      <c r="K186" s="877">
        <v>0</v>
      </c>
      <c r="L186" s="877">
        <v>0</v>
      </c>
      <c r="M186" s="877">
        <v>0</v>
      </c>
      <c r="N186" s="877">
        <v>0</v>
      </c>
      <c r="O186" s="877">
        <v>0</v>
      </c>
      <c r="P186" s="877">
        <v>0</v>
      </c>
      <c r="Q186" s="877">
        <v>0</v>
      </c>
      <c r="R186" s="877">
        <f>R181*'Common input data'!$G$52/'Input data meat and eggs'!$H$422</f>
        <v>1.324004804068378E-3</v>
      </c>
      <c r="S186" s="877">
        <v>0</v>
      </c>
      <c r="T186" s="886">
        <v>0</v>
      </c>
      <c r="V186" s="1230"/>
      <c r="W186" s="183"/>
      <c r="X186" s="183"/>
      <c r="Y186" s="183"/>
      <c r="Z186" s="1231"/>
      <c r="AA186" s="183"/>
      <c r="AB186" s="1230"/>
      <c r="AC186" s="183"/>
      <c r="AD186" s="183"/>
      <c r="AE186" s="183"/>
      <c r="AF186" s="1231"/>
      <c r="AG186" s="189"/>
      <c r="AH186" s="879"/>
      <c r="AI186" s="877"/>
      <c r="AJ186" s="877"/>
      <c r="AK186" s="877"/>
      <c r="AL186" s="886"/>
      <c r="AM186" s="877"/>
      <c r="AN186" s="879"/>
      <c r="AO186" s="877"/>
      <c r="AP186" s="877"/>
      <c r="AQ186" s="877"/>
      <c r="AR186" s="886"/>
      <c r="AS186" s="877"/>
      <c r="AT186" s="879"/>
      <c r="AU186" s="877"/>
      <c r="AV186" s="877"/>
      <c r="AW186" s="877"/>
      <c r="AX186" s="877"/>
      <c r="AY186" s="877"/>
      <c r="AZ186" s="886"/>
      <c r="BA186" s="877"/>
      <c r="BB186" s="879"/>
      <c r="BC186" s="877"/>
      <c r="BD186" s="877"/>
      <c r="BE186" s="877"/>
      <c r="BF186" s="886"/>
      <c r="BG186" s="877"/>
      <c r="BH186" s="879"/>
      <c r="BI186" s="877"/>
      <c r="BJ186" s="877"/>
      <c r="BK186" s="877"/>
      <c r="BL186" s="886"/>
      <c r="BM186" s="877"/>
      <c r="BN186" s="879"/>
      <c r="BO186" s="877"/>
      <c r="BP186" s="877"/>
      <c r="BQ186" s="877"/>
      <c r="BR186" s="886"/>
      <c r="BS186" s="877"/>
      <c r="BT186" s="879"/>
      <c r="BU186" s="886"/>
    </row>
    <row r="187" spans="1:73">
      <c r="A187" s="388"/>
      <c r="B187" s="901"/>
      <c r="C187" s="906"/>
      <c r="D187" s="899"/>
      <c r="E187" s="512" t="s">
        <v>320</v>
      </c>
      <c r="F187" s="928">
        <f>SUM(J187:M187)</f>
        <v>8.7052251620356198E-3</v>
      </c>
      <c r="G187" s="877">
        <f>SUM(I187:M187,P187)</f>
        <v>1.0030683648711928E-2</v>
      </c>
      <c r="H187" s="878">
        <f>SUM(R187:T187)/(1-'Common input data'!B$145)</f>
        <v>1.5826363234959999E-2</v>
      </c>
      <c r="I187" s="877">
        <f>I182*'Common input data'!$G$52/'Input data meat and eggs'!$H$422</f>
        <v>1.3254584866763083E-3</v>
      </c>
      <c r="J187" s="877">
        <f>J182*'Common input data'!$G$52/'Input data meat and eggs'!$H$422</f>
        <v>3.3502248085036258E-3</v>
      </c>
      <c r="K187" s="877">
        <f>K182*'Common input data'!$G$52/'Input data meat and eggs'!$H$422</f>
        <v>4.8765125084839888E-3</v>
      </c>
      <c r="L187" s="877">
        <f>L182*'Common input data'!$G$52/'Input data meat and eggs'!$H$422</f>
        <v>4.7848784504800487E-4</v>
      </c>
      <c r="M187" s="877">
        <f>M182*'Common input data'!$G$52/'Input data meat and eggs'!$H$422</f>
        <v>0</v>
      </c>
      <c r="N187" s="877">
        <f>N182*'Common input data'!$G$52/'Input data meat and eggs'!$H$422</f>
        <v>0</v>
      </c>
      <c r="O187" s="877">
        <f>O182*'Common input data'!$G$52/'Input data meat and eggs'!$H$422</f>
        <v>0</v>
      </c>
      <c r="P187" s="877">
        <f>P182*'Common input data'!$G$52/'Input data meat and eggs'!$H$422</f>
        <v>0</v>
      </c>
      <c r="Q187" s="877">
        <f>Q182*'Common input data'!$G$52/'Input data meat and eggs'!$H$422</f>
        <v>6.9842413511356408E-7</v>
      </c>
      <c r="R187" s="877">
        <f>R182*'Common input data'!$G$52/'Input data meat and eggs'!$H$422</f>
        <v>1.4433643270283517E-2</v>
      </c>
      <c r="S187" s="877">
        <v>0</v>
      </c>
      <c r="T187" s="886">
        <v>0</v>
      </c>
      <c r="V187" s="1230"/>
      <c r="W187" s="183"/>
      <c r="X187" s="183"/>
      <c r="Y187" s="183"/>
      <c r="Z187" s="1231"/>
      <c r="AA187" s="183"/>
      <c r="AB187" s="1230"/>
      <c r="AC187" s="183"/>
      <c r="AD187" s="183"/>
      <c r="AE187" s="183"/>
      <c r="AF187" s="1231"/>
      <c r="AG187" s="189"/>
      <c r="AH187" s="879"/>
      <c r="AI187" s="877"/>
      <c r="AJ187" s="877"/>
      <c r="AK187" s="877"/>
      <c r="AL187" s="886"/>
      <c r="AM187" s="877"/>
      <c r="AN187" s="879"/>
      <c r="AO187" s="877"/>
      <c r="AP187" s="877"/>
      <c r="AQ187" s="877"/>
      <c r="AR187" s="886"/>
      <c r="AS187" s="877"/>
      <c r="AT187" s="879"/>
      <c r="AU187" s="877"/>
      <c r="AV187" s="877"/>
      <c r="AW187" s="877"/>
      <c r="AX187" s="877"/>
      <c r="AY187" s="877"/>
      <c r="AZ187" s="886"/>
      <c r="BA187" s="877"/>
      <c r="BB187" s="879"/>
      <c r="BC187" s="877"/>
      <c r="BD187" s="877"/>
      <c r="BE187" s="877"/>
      <c r="BF187" s="886"/>
      <c r="BG187" s="877"/>
      <c r="BH187" s="879"/>
      <c r="BI187" s="877"/>
      <c r="BJ187" s="877"/>
      <c r="BK187" s="877"/>
      <c r="BL187" s="886"/>
      <c r="BM187" s="877"/>
      <c r="BN187" s="879"/>
      <c r="BO187" s="877"/>
      <c r="BP187" s="877"/>
      <c r="BQ187" s="877"/>
      <c r="BR187" s="886"/>
      <c r="BS187" s="877"/>
      <c r="BT187" s="879"/>
      <c r="BU187" s="886"/>
    </row>
    <row r="188" spans="1:73">
      <c r="A188" s="389"/>
      <c r="B188" s="1328" t="s">
        <v>203</v>
      </c>
      <c r="C188" s="771">
        <f>'Input data meat and eggs'!D11*'Input data meat and eggs'!H430/SUM('Input data meat and eggs'!H422:H429)</f>
        <v>0.10770389635713061</v>
      </c>
      <c r="D188" s="50"/>
      <c r="E188" s="513" t="s">
        <v>316</v>
      </c>
      <c r="F188" s="930">
        <f>SUMPRODUCT($CA$7:$CA$10,F189:F192)</f>
        <v>5.4525834503722432</v>
      </c>
      <c r="G188" s="872">
        <f>SUMPRODUCT($CA$7:$CA$10,G189:G192)</f>
        <v>12.20487422544924</v>
      </c>
      <c r="H188" s="873">
        <f>SUMPRODUCT($CA$7:$CA$10,H189:H192)</f>
        <v>18.693977711504335</v>
      </c>
      <c r="I188" s="884"/>
      <c r="J188" s="884"/>
      <c r="K188" s="884"/>
      <c r="L188" s="884"/>
      <c r="M188" s="884"/>
      <c r="N188" s="884"/>
      <c r="O188" s="884"/>
      <c r="P188" s="884"/>
      <c r="Q188" s="884"/>
      <c r="R188" s="884"/>
      <c r="S188" s="884"/>
      <c r="T188" s="885"/>
      <c r="V188" s="94"/>
      <c r="W188" s="12"/>
      <c r="X188" s="211">
        <f>SUM(W189:W218)/'Input data meat and eggs'!$J430</f>
        <v>25.467263863593381</v>
      </c>
      <c r="Y188" s="212">
        <f>X188+X188*'Common input data'!$B$145</f>
        <v>27.708383083589599</v>
      </c>
      <c r="Z188" s="1241">
        <f>Y188+Y188*'Common input data'!$B$179</f>
        <v>30.756305222784455</v>
      </c>
      <c r="AA188" s="189"/>
      <c r="AB188" s="94"/>
      <c r="AC188" s="12"/>
      <c r="AD188" s="211">
        <f>SUM(AC188:AC218)/'Input data meat and eggs'!$J430</f>
        <v>91.170442895185943</v>
      </c>
      <c r="AE188" s="212">
        <f>AD188+AD188*'Common input data'!$B$145</f>
        <v>99.193441869962314</v>
      </c>
      <c r="AF188" s="1241">
        <f>AE188+AE188*'Common input data'!$B$179</f>
        <v>110.10472047565817</v>
      </c>
      <c r="AG188" s="189"/>
      <c r="AH188" s="883"/>
      <c r="AI188" s="884"/>
      <c r="AJ188" s="884">
        <f>SUM(AI188:AI218)/'Input data meat and eggs'!$J430</f>
        <v>0.81828617884553678</v>
      </c>
      <c r="AK188" s="1225">
        <f>AJ188+AJ188*'Common input data'!$B$145</f>
        <v>0.89029536258394404</v>
      </c>
      <c r="AL188" s="1227">
        <f>AK188+AK188*'Common input data'!$B$179</f>
        <v>0.9882278524681779</v>
      </c>
      <c r="AM188" s="877"/>
      <c r="AN188" s="883"/>
      <c r="AO188" s="884"/>
      <c r="AP188" s="884">
        <f>SUM(AO188:AO218)/'Input data meat and eggs'!$J430</f>
        <v>2.2327447357323983E-2</v>
      </c>
      <c r="AQ188" s="1225">
        <f>AP188+AP188*'Common input data'!$B$145</f>
        <v>2.4292262724768497E-2</v>
      </c>
      <c r="AR188" s="1227">
        <f>AQ188+AQ188*'Common input data'!$B$179</f>
        <v>2.6964411624493031E-2</v>
      </c>
      <c r="AS188" s="877"/>
      <c r="AT188" s="883"/>
      <c r="AU188" s="884"/>
      <c r="AV188" s="884"/>
      <c r="AW188" s="884"/>
      <c r="AX188" s="884">
        <f>SUM(AW188:AW218)/'Input data meat and eggs'!$J430</f>
        <v>9.4087183449067968E-2</v>
      </c>
      <c r="AY188" s="1225">
        <f>AX188+AX188*'Common input data'!$B$145</f>
        <v>0.10236685559258596</v>
      </c>
      <c r="AZ188" s="1227">
        <f>AY188+AY188*'Common input data'!$B$179</f>
        <v>0.11362720970777042</v>
      </c>
      <c r="BA188" s="877"/>
      <c r="BB188" s="883"/>
      <c r="BC188" s="884"/>
      <c r="BD188" s="884">
        <f>(SUM(BC188:BC218)/'Input data meat and eggs'!$J430)/$AS$3</f>
        <v>3.7326181040548162E-11</v>
      </c>
      <c r="BE188" s="1225">
        <f>BD188+BD188*'Common input data'!$B$145</f>
        <v>4.0610884972116404E-11</v>
      </c>
      <c r="BF188" s="1227">
        <f>BE188+BE188*'Common input data'!$B$179</f>
        <v>4.5078082319049209E-11</v>
      </c>
      <c r="BG188" s="877"/>
      <c r="BH188" s="883"/>
      <c r="BI188" s="884"/>
      <c r="BJ188" s="884">
        <f>SUM(BI188:BI218)/'Input data meat and eggs'!$J430</f>
        <v>9.4002427164335562E-4</v>
      </c>
      <c r="BK188" s="1225">
        <f>BJ188+BJ188*'Common input data'!$B$145</f>
        <v>1.022746407547971E-3</v>
      </c>
      <c r="BL188" s="1227">
        <f>BK188+BK188*'Common input data'!$B$179</f>
        <v>1.1352485123782478E-3</v>
      </c>
      <c r="BM188" s="877"/>
      <c r="BN188" s="883"/>
      <c r="BO188" s="884"/>
      <c r="BP188" s="884">
        <f>SUM(BO188:BO218)/'Input data meat and eggs'!$J430</f>
        <v>5.1397732122981113E-2</v>
      </c>
      <c r="BQ188" s="1225">
        <f>BP188+BP188*'Common input data'!$B$145</f>
        <v>5.5920732549803454E-2</v>
      </c>
      <c r="BR188" s="1227">
        <f>BQ188+BQ188*'Common input data'!$B$179</f>
        <v>6.2072013130281836E-2</v>
      </c>
      <c r="BS188" s="877"/>
      <c r="BT188" s="883">
        <f>('Common input data'!B213+'Common input data'!C213)+('Common input data'!B213+'Common input data'!C213)*'Common input data'!$B$145</f>
        <v>1.6322176000000002</v>
      </c>
      <c r="BU188" s="1227">
        <f>BT188+BT188*'Common input data'!$B$179</f>
        <v>1.8117615360000001</v>
      </c>
    </row>
    <row r="189" spans="1:73">
      <c r="A189" s="391"/>
      <c r="B189" s="901"/>
      <c r="C189" s="907"/>
      <c r="D189" s="900"/>
      <c r="E189" s="511" t="s">
        <v>317</v>
      </c>
      <c r="F189" s="928">
        <f>IF(AND($G$2="No",$G$3="No"),SUM(J189:M189),IF(AND($G$2="Yes", $G$3="No"), SUM(J189:M189)+O189, IF(AND($G$2="No", $G$3="Yes"),SUM(J189:M189)+N189, SUM(J189:M189)+O189+N189)))</f>
        <v>-1.688460022628941</v>
      </c>
      <c r="G189" s="877">
        <f>IF(AND($G$2="No",$G$3="No"),SUM(I189:M189,P189),IF(AND($G$2="Yes", $G$3="No"), SUM(I189:M189,P189)+O189, IF(AND($G$2="No", $G$3="Yes"),SUM(I189:M189,P189)+N189, SUM(I189:M189,P189)+O189+N189)))</f>
        <v>4.4390515882043058</v>
      </c>
      <c r="H189" s="878">
        <f>SUM(R189:T189)/(1-'Common input data'!B$145)</f>
        <v>6.4419541136800662</v>
      </c>
      <c r="I189" s="877">
        <f>SUM(I194,I199,I204,I209,I214,I219)/'Input data meat and eggs'!$H$430</f>
        <v>2.6584189875501947</v>
      </c>
      <c r="J189" s="877">
        <f>SUM(J194,J199,J204,J209,J214,J219)/'Input data meat and eggs'!$H$430</f>
        <v>0</v>
      </c>
      <c r="K189" s="877">
        <f>SUM(K194,K199,K204,K209,K214,K219)/'Input data meat and eggs'!$H$430</f>
        <v>0</v>
      </c>
      <c r="L189" s="877">
        <f>SUM(L194,L199,L204,L209,L214,L219)/'Input data meat and eggs'!$H$430</f>
        <v>0</v>
      </c>
      <c r="M189" s="877">
        <f>SUM(M194,M199,M204,M209,M214,M219)/'Input data meat and eggs'!$H$430</f>
        <v>0</v>
      </c>
      <c r="N189" s="877">
        <f>SUM(N194,N199,N204,N209,N214,N219)/'Input data meat and eggs'!$H$430</f>
        <v>-1.7691183962543402</v>
      </c>
      <c r="O189" s="877">
        <f>SUM(O194,O199,O204,O209,O214,O219)/'Input data meat and eggs'!$H$430</f>
        <v>8.0658373625399127E-2</v>
      </c>
      <c r="P189" s="877">
        <f>'Input data meat and eggs'!B95*'Common input data'!C80</f>
        <v>3.4690926232830526</v>
      </c>
      <c r="Q189" s="877">
        <f>'Input data meat and eggs'!B104*'Common input data'!C80+'Input data meat and eggs'!C104*3.6*'Common input data'!B66</f>
        <v>0.78034511843452981</v>
      </c>
      <c r="R189" s="877">
        <f>SUM(R194,R199,R204,R209,R214,R219)/'Input data meat and eggs'!$H$430+SUM(P189:Q189)</f>
        <v>5.6450621516762203</v>
      </c>
      <c r="S189" s="877">
        <f>'Common input data'!B109</f>
        <v>0.1</v>
      </c>
      <c r="T189" s="886">
        <f>'Common input data'!B116+'Common input data'!C116</f>
        <v>0.13</v>
      </c>
      <c r="V189" s="1230"/>
      <c r="W189" s="183"/>
      <c r="Z189" s="64"/>
      <c r="AB189" s="1230"/>
      <c r="AC189" s="183"/>
      <c r="AF189" s="64"/>
      <c r="AG189" s="55"/>
      <c r="AH189" s="879"/>
      <c r="AI189" s="877"/>
      <c r="AJ189" s="877"/>
      <c r="AK189" s="877"/>
      <c r="AL189" s="886"/>
      <c r="AM189" s="877"/>
      <c r="AN189" s="879"/>
      <c r="AO189" s="877"/>
      <c r="AP189" s="877"/>
      <c r="AQ189" s="877"/>
      <c r="AR189" s="886"/>
      <c r="AS189" s="877"/>
      <c r="AT189" s="879"/>
      <c r="AU189" s="877"/>
      <c r="AV189" s="877"/>
      <c r="AW189" s="877"/>
      <c r="AX189" s="877"/>
      <c r="AY189" s="877"/>
      <c r="AZ189" s="886"/>
      <c r="BA189" s="877"/>
      <c r="BB189" s="879"/>
      <c r="BC189" s="877"/>
      <c r="BD189" s="877"/>
      <c r="BE189" s="877"/>
      <c r="BF189" s="886"/>
      <c r="BG189" s="877"/>
      <c r="BH189" s="879"/>
      <c r="BI189" s="877"/>
      <c r="BJ189" s="877"/>
      <c r="BK189" s="877"/>
      <c r="BL189" s="886"/>
      <c r="BM189" s="877"/>
      <c r="BN189" s="879"/>
      <c r="BO189" s="877"/>
      <c r="BP189" s="877"/>
      <c r="BQ189" s="877"/>
      <c r="BR189" s="886"/>
      <c r="BS189" s="877"/>
      <c r="BT189" s="879"/>
      <c r="BU189" s="886"/>
    </row>
    <row r="190" spans="1:73">
      <c r="A190" s="391"/>
      <c r="B190" s="901"/>
      <c r="C190" s="907"/>
      <c r="D190" s="900"/>
      <c r="E190" s="511" t="s">
        <v>321</v>
      </c>
      <c r="F190" s="928">
        <f>SUM(J190:M190)</f>
        <v>0.47654406386089954</v>
      </c>
      <c r="G190" s="877">
        <f>SUM(I190:M190,P190)</f>
        <v>0.47654406386089954</v>
      </c>
      <c r="H190" s="878">
        <f>SUM(R190:T190)/(1-'Common input data'!B$145)</f>
        <v>0.75183652634876241</v>
      </c>
      <c r="I190" s="877">
        <v>0</v>
      </c>
      <c r="J190" s="877">
        <f>SUM(J195,J200,J205,J210,J215,J220)/'Input data meat and eggs'!$H$430</f>
        <v>0</v>
      </c>
      <c r="K190" s="877">
        <f>SUM(K195,K200,K205,K210,K215,K220)/'Input data meat and eggs'!$H$430</f>
        <v>3.2854756865402929E-2</v>
      </c>
      <c r="L190" s="877">
        <f>SUM(L195,L200,L205,L210,L215,L220)/'Input data meat and eggs'!$H$430</f>
        <v>0</v>
      </c>
      <c r="M190" s="877">
        <f>SUM(M195,M200,M205,M210,M215,M220)/'Input data meat and eggs'!$H$430</f>
        <v>0.44368930699549658</v>
      </c>
      <c r="N190" s="877">
        <f>SUM(N195,N200,N205,N210,N215,N220)/'Input data meat and eggs'!$H$430</f>
        <v>0</v>
      </c>
      <c r="O190" s="877">
        <f>SUM(O195,O200,O205,O210,O215,O220)/'Input data meat and eggs'!$H$430</f>
        <v>0</v>
      </c>
      <c r="P190" s="877">
        <v>0</v>
      </c>
      <c r="Q190" s="877">
        <v>0</v>
      </c>
      <c r="R190" s="877">
        <f>SUM(R195,R200,R205,R210,R215,R220)/'Input data meat and eggs'!$H$430</f>
        <v>0.68567491203007125</v>
      </c>
      <c r="S190" s="877">
        <v>0</v>
      </c>
      <c r="T190" s="886">
        <v>0</v>
      </c>
      <c r="V190" s="1230"/>
      <c r="W190" s="183"/>
      <c r="X190" s="183"/>
      <c r="Y190" s="183"/>
      <c r="Z190" s="1231"/>
      <c r="AA190" s="183"/>
      <c r="AB190" s="1230"/>
      <c r="AC190" s="183"/>
      <c r="AD190" s="183"/>
      <c r="AE190" s="183"/>
      <c r="AF190" s="1231"/>
      <c r="AG190" s="189"/>
      <c r="AH190" s="879"/>
      <c r="AI190" s="877"/>
      <c r="AJ190" s="877"/>
      <c r="AK190" s="877"/>
      <c r="AL190" s="886"/>
      <c r="AM190" s="877"/>
      <c r="AN190" s="879"/>
      <c r="AO190" s="877"/>
      <c r="AP190" s="877"/>
      <c r="AQ190" s="877"/>
      <c r="AR190" s="886"/>
      <c r="AS190" s="877"/>
      <c r="AT190" s="879"/>
      <c r="AU190" s="877"/>
      <c r="AV190" s="877"/>
      <c r="AW190" s="877"/>
      <c r="AX190" s="877"/>
      <c r="AY190" s="877"/>
      <c r="AZ190" s="886"/>
      <c r="BA190" s="877"/>
      <c r="BB190" s="879"/>
      <c r="BC190" s="877"/>
      <c r="BD190" s="877"/>
      <c r="BE190" s="877"/>
      <c r="BF190" s="886"/>
      <c r="BG190" s="877"/>
      <c r="BH190" s="879"/>
      <c r="BI190" s="877"/>
      <c r="BJ190" s="877"/>
      <c r="BK190" s="877"/>
      <c r="BL190" s="886"/>
      <c r="BM190" s="877"/>
      <c r="BN190" s="879"/>
      <c r="BO190" s="877"/>
      <c r="BP190" s="877"/>
      <c r="BQ190" s="877"/>
      <c r="BR190" s="886"/>
      <c r="BS190" s="877"/>
      <c r="BT190" s="879"/>
      <c r="BU190" s="886"/>
    </row>
    <row r="191" spans="1:73">
      <c r="A191" s="391"/>
      <c r="B191" s="901"/>
      <c r="C191" s="907"/>
      <c r="D191" s="900"/>
      <c r="E191" s="511" t="s">
        <v>319</v>
      </c>
      <c r="F191" s="928">
        <f>SUM(J191:M191)</f>
        <v>0</v>
      </c>
      <c r="G191" s="877">
        <f>SUM(I191:M191,P191)</f>
        <v>1.8425785866377539E-3</v>
      </c>
      <c r="H191" s="878">
        <f>SUM(R191:T191)/(1-'Common input data'!B$145)</f>
        <v>2.9070090032780418E-3</v>
      </c>
      <c r="I191" s="877">
        <f>SUM(I196,I201,I206,I211,I216,I221)/'Input data meat and eggs'!$H$430</f>
        <v>1.8425785866377539E-3</v>
      </c>
      <c r="J191" s="877">
        <f>SUM(J196,J201,J206,J211,J216,J221)/'Input data meat and eggs'!$H$430</f>
        <v>0</v>
      </c>
      <c r="K191" s="877">
        <f>SUM(K196,K201,K206,K211,K216,K221)/'Input data meat and eggs'!$H$430</f>
        <v>0</v>
      </c>
      <c r="L191" s="877">
        <f>SUM(L196,L201,L206,L211,L216,L221)/'Input data meat and eggs'!$H$430</f>
        <v>0</v>
      </c>
      <c r="M191" s="877">
        <f>SUM(M196,M201,M206,M211,M216,M221)/'Input data meat and eggs'!$H$430</f>
        <v>0</v>
      </c>
      <c r="N191" s="877">
        <f>SUM(N196,N201,N206,N211,N216,N221)/'Input data meat and eggs'!$H$430</f>
        <v>0</v>
      </c>
      <c r="O191" s="877">
        <f>SUM(O196,O201,O206,O211,O216,O221)/'Input data meat and eggs'!$H$430</f>
        <v>0</v>
      </c>
      <c r="P191" s="877">
        <v>0</v>
      </c>
      <c r="Q191" s="877">
        <f>'Input data meat and eggs'!C104*3.6*'Common input data'!B67</f>
        <v>1.0392452830188681E-4</v>
      </c>
      <c r="R191" s="877">
        <f>SUM(R196,R201,R206,R211,R216,R221)/'Input data meat and eggs'!$H$430</f>
        <v>2.651192210989574E-3</v>
      </c>
      <c r="S191" s="877">
        <v>0</v>
      </c>
      <c r="T191" s="886">
        <v>0</v>
      </c>
      <c r="V191" s="1230"/>
      <c r="W191" s="183"/>
      <c r="X191" s="183"/>
      <c r="Y191" s="183"/>
      <c r="Z191" s="1231"/>
      <c r="AA191" s="183"/>
      <c r="AB191" s="1230"/>
      <c r="AC191" s="183"/>
      <c r="AD191" s="183"/>
      <c r="AE191" s="183"/>
      <c r="AF191" s="1231"/>
      <c r="AG191" s="189"/>
      <c r="AH191" s="879"/>
      <c r="AI191" s="877"/>
      <c r="AJ191" s="877"/>
      <c r="AK191" s="877"/>
      <c r="AL191" s="886"/>
      <c r="AM191" s="877"/>
      <c r="AN191" s="879"/>
      <c r="AO191" s="877"/>
      <c r="AP191" s="877"/>
      <c r="AQ191" s="877"/>
      <c r="AR191" s="886"/>
      <c r="AS191" s="877"/>
      <c r="AT191" s="879"/>
      <c r="AU191" s="877"/>
      <c r="AV191" s="877"/>
      <c r="AW191" s="877"/>
      <c r="AX191" s="877"/>
      <c r="AY191" s="877"/>
      <c r="AZ191" s="886"/>
      <c r="BA191" s="877"/>
      <c r="BB191" s="879"/>
      <c r="BC191" s="877"/>
      <c r="BD191" s="877"/>
      <c r="BE191" s="877"/>
      <c r="BF191" s="886"/>
      <c r="BG191" s="877"/>
      <c r="BH191" s="879"/>
      <c r="BI191" s="877"/>
      <c r="BJ191" s="877"/>
      <c r="BK191" s="877"/>
      <c r="BL191" s="886"/>
      <c r="BM191" s="877"/>
      <c r="BN191" s="879"/>
      <c r="BO191" s="877"/>
      <c r="BP191" s="877"/>
      <c r="BQ191" s="877"/>
      <c r="BR191" s="886"/>
      <c r="BS191" s="877"/>
      <c r="BT191" s="879"/>
      <c r="BU191" s="886"/>
    </row>
    <row r="192" spans="1:73">
      <c r="A192" s="388"/>
      <c r="B192" s="1329"/>
      <c r="C192" s="906"/>
      <c r="D192" s="899"/>
      <c r="E192" s="512" t="s">
        <v>320</v>
      </c>
      <c r="F192" s="928">
        <f>SUM(J192:M192)</f>
        <v>2.1035563831995521E-2</v>
      </c>
      <c r="G192" s="877">
        <f>SUM(I192:M192,P192)</f>
        <v>2.3679851578289734E-2</v>
      </c>
      <c r="H192" s="878">
        <f>SUM(R192:T192)/(1-'Common input data'!B$145)</f>
        <v>3.735935185265956E-2</v>
      </c>
      <c r="I192" s="877">
        <f>SUM(I197,I202,I207,I212,I217,I222)/'Input data meat and eggs'!$H$430</f>
        <v>2.6442877462942104E-3</v>
      </c>
      <c r="J192" s="877">
        <f>SUM(J197,J202,J207,J212,J217,J222)/'Input data meat and eggs'!$H$430</f>
        <v>6.6836936030124517E-3</v>
      </c>
      <c r="K192" s="877">
        <f>SUM(K197,K202,K207,K212,K217,K222)/'Input data meat and eggs'!$H$430</f>
        <v>1.3317172117866337E-2</v>
      </c>
      <c r="L192" s="877">
        <f>SUM(L197,L202,L207,L212,L217,L222)/'Input data meat and eggs'!$H$430</f>
        <v>1.0346981111167336E-3</v>
      </c>
      <c r="M192" s="877">
        <f>SUM(M197,M202,M207,M212,M217,M222)/'Input data meat and eggs'!$H$430</f>
        <v>0</v>
      </c>
      <c r="N192" s="877">
        <f>SUM(N197,N202,N207,N212,N217,N222)/'Input data meat and eggs'!$H$430</f>
        <v>0</v>
      </c>
      <c r="O192" s="877">
        <f>SUM(O197,O202,O207,O212,O217,O222)/'Input data meat and eggs'!$H$430</f>
        <v>0</v>
      </c>
      <c r="P192" s="877">
        <v>0</v>
      </c>
      <c r="Q192" s="877">
        <f>'Input data meat and eggs'!C104*3.6*'Common input data'!B68</f>
        <v>9.6880754716981128E-6</v>
      </c>
      <c r="R192" s="877">
        <f>SUM(R197,R202,R207,R212,R217,R222)/'Input data meat and eggs'!$H$430</f>
        <v>3.4071728889625515E-2</v>
      </c>
      <c r="S192" s="877">
        <v>0</v>
      </c>
      <c r="T192" s="886">
        <v>0</v>
      </c>
      <c r="V192" s="1230"/>
      <c r="W192" s="183"/>
      <c r="X192" s="183"/>
      <c r="Y192" s="183"/>
      <c r="Z192" s="1231"/>
      <c r="AA192" s="183"/>
      <c r="AB192" s="1230"/>
      <c r="AC192" s="183"/>
      <c r="AD192" s="183"/>
      <c r="AE192" s="183"/>
      <c r="AF192" s="1231"/>
      <c r="AG192" s="189"/>
      <c r="AH192" s="879"/>
      <c r="AI192" s="877"/>
      <c r="AJ192" s="877"/>
      <c r="AK192" s="877"/>
      <c r="AL192" s="886"/>
      <c r="AM192" s="877"/>
      <c r="AN192" s="879"/>
      <c r="AO192" s="877"/>
      <c r="AP192" s="877"/>
      <c r="AQ192" s="877"/>
      <c r="AR192" s="886"/>
      <c r="AS192" s="877"/>
      <c r="AT192" s="879"/>
      <c r="AU192" s="877"/>
      <c r="AV192" s="877"/>
      <c r="AW192" s="877"/>
      <c r="AX192" s="877"/>
      <c r="AY192" s="877"/>
      <c r="AZ192" s="886"/>
      <c r="BA192" s="877"/>
      <c r="BB192" s="879"/>
      <c r="BC192" s="877"/>
      <c r="BD192" s="877"/>
      <c r="BE192" s="877"/>
      <c r="BF192" s="886"/>
      <c r="BG192" s="877"/>
      <c r="BH192" s="879"/>
      <c r="BI192" s="877"/>
      <c r="BJ192" s="877"/>
      <c r="BK192" s="877"/>
      <c r="BL192" s="886"/>
      <c r="BM192" s="877"/>
      <c r="BN192" s="879"/>
      <c r="BO192" s="877"/>
      <c r="BP192" s="877"/>
      <c r="BQ192" s="877"/>
      <c r="BR192" s="886"/>
      <c r="BS192" s="877"/>
      <c r="BT192" s="879"/>
      <c r="BU192" s="886"/>
    </row>
    <row r="193" spans="1:73">
      <c r="A193" s="389"/>
      <c r="B193" s="1330" t="s">
        <v>341</v>
      </c>
      <c r="C193" s="905"/>
      <c r="D193" s="898"/>
      <c r="E193" s="513" t="s">
        <v>316</v>
      </c>
      <c r="F193" s="930">
        <f>SUMPRODUCT($CA$7:$CA$10,F194:F197)</f>
        <v>764896202.46068716</v>
      </c>
      <c r="G193" s="872">
        <f>SUMPRODUCT($CA$7:$CA$10,G194:G197)</f>
        <v>1140152411.6808391</v>
      </c>
      <c r="H193" s="873"/>
      <c r="I193" s="884"/>
      <c r="J193" s="884"/>
      <c r="K193" s="884"/>
      <c r="L193" s="884"/>
      <c r="M193" s="884"/>
      <c r="N193" s="884"/>
      <c r="O193" s="884"/>
      <c r="P193" s="884"/>
      <c r="Q193" s="884"/>
      <c r="R193" s="884"/>
      <c r="S193" s="884"/>
      <c r="T193" s="885"/>
      <c r="V193" s="1240">
        <f>'Input data meat and eggs'!$S424*'Input data meat and eggs'!E$48+'Input data meat and eggs'!$U424*'Input data meat and eggs'!E$35+'Input data meat and eggs'!$V424*SUMPRODUCT('Input data meat and eggs'!$E$77:$E$86,'Input data meat and eggs'!E$37:E$46)</f>
        <v>2875.2889749987194</v>
      </c>
      <c r="W193" s="211">
        <f>V193*'Input data meat and eggs'!$C424</f>
        <v>3184414431.2883534</v>
      </c>
      <c r="X193" s="211"/>
      <c r="Y193" s="211"/>
      <c r="Z193" s="1242"/>
      <c r="AA193" s="189"/>
      <c r="AB193" s="1240">
        <f>'Input data meat and eggs'!$T424*'Input data meat and eggs'!F$47</f>
        <v>14477.890542129715</v>
      </c>
      <c r="AC193" s="211">
        <f>AB193*'Input data meat and eggs'!$C424</f>
        <v>16034424357.98703</v>
      </c>
      <c r="AD193" s="211"/>
      <c r="AE193" s="211"/>
      <c r="AF193" s="1242"/>
      <c r="AG193" s="189"/>
      <c r="AH193" s="883">
        <f>'Input data meat and eggs'!$S424*'Input data meat and eggs'!G$48+'Input data meat and eggs'!$T424*'Input data meat and eggs'!G$47+'Input data meat and eggs'!$U424*'Input data meat and eggs'!G$35+'Input data meat and eggs'!$V424*SUMPRODUCT('Input data meat and eggs'!$E$77:$E$86,'Input data meat and eggs'!G$37:G$46)</f>
        <v>110.9393190789895</v>
      </c>
      <c r="AI193" s="884">
        <f>AH193*'Input data meat and eggs'!$C424</f>
        <v>122866526.37152579</v>
      </c>
      <c r="AJ193" s="884"/>
      <c r="AK193" s="884"/>
      <c r="AL193" s="885"/>
      <c r="AM193" s="877"/>
      <c r="AN193" s="883">
        <f>'Input data meat and eggs'!$S424*'Input data meat and eggs'!H$48+'Input data meat and eggs'!$T424*'Input data meat and eggs'!H$47+'Input data meat and eggs'!$U424*'Input data meat and eggs'!H$35+'Input data meat and eggs'!$V424*SUMPRODUCT('Input data meat and eggs'!$E$77:$E$86,'Input data meat and eggs'!H$37:H$46)</f>
        <v>2.4500026393156391</v>
      </c>
      <c r="AO193" s="884">
        <f>AN193*'Input data meat and eggs'!$C424</f>
        <v>2713405.0974249467</v>
      </c>
      <c r="AP193" s="884"/>
      <c r="AQ193" s="884"/>
      <c r="AR193" s="885"/>
      <c r="AS193" s="877"/>
      <c r="AT193" s="883">
        <f>'Input data meat and eggs'!$S424*'Input data meat and eggs'!I$48+'Input data meat and eggs'!$T424*'Input data meat and eggs'!I$47+'Input data meat and eggs'!$U424*'Input data meat and eggs'!I$35+'Input data meat and eggs'!$V424*SUMPRODUCT('Input data meat and eggs'!$E$77:$E$86,'Input data meat and eggs'!I$37:I$46)</f>
        <v>0</v>
      </c>
      <c r="AU193" s="884">
        <f>'Input data meat and eggs'!G424/12*((1-'Input data meat and eggs'!$R424)*'Input data meat and eggs'!$B$61+'Input data meat and eggs'!$R424*'Input data meat and eggs'!$B$62)</f>
        <v>11.367925</v>
      </c>
      <c r="AV193" s="884">
        <f>SUM(AT193:AU193)</f>
        <v>11.367925</v>
      </c>
      <c r="AW193" s="884">
        <f>AV193*'Input data meat and eggs'!$C424</f>
        <v>12590103.025668846</v>
      </c>
      <c r="AX193" s="884"/>
      <c r="AY193" s="884"/>
      <c r="AZ193" s="885"/>
      <c r="BA193" s="877"/>
      <c r="BB193" s="883">
        <f>'Input data meat and eggs'!$S424*'Input data meat and eggs'!M$48+'Input data meat and eggs'!$T424*'Input data meat and eggs'!M$47+'Input data meat and eggs'!$U424*'Input data meat and eggs'!M$35+'Input data meat and eggs'!$V424*SUMPRODUCT('Input data meat and eggs'!$E$77:$E$86,'Input data meat and eggs'!M$37:M$46)</f>
        <v>5.3775293469879954E-7</v>
      </c>
      <c r="BC193" s="884">
        <f>BB193*'Input data meat and eggs'!$C424</f>
        <v>0.59556733970479736</v>
      </c>
      <c r="BD193" s="884"/>
      <c r="BE193" s="884"/>
      <c r="BF193" s="885"/>
      <c r="BG193" s="877"/>
      <c r="BH193" s="883">
        <f>'Input data meat and eggs'!$S424*'Input data meat and eggs'!U$48+'Input data meat and eggs'!$T424*'Input data meat and eggs'!U$47+'Input data meat and eggs'!$U424*'Input data meat and eggs'!U$35+'Input data meat and eggs'!$V424*SUMPRODUCT('Input data meat and eggs'!$E$77:$E$86,'Input data meat and eggs'!U$37:U$46)</f>
        <v>0.12320247086965851</v>
      </c>
      <c r="BI193" s="884">
        <f>BH193*'Input data meat and eggs'!$C424</f>
        <v>136448.10299733377</v>
      </c>
      <c r="BJ193" s="884"/>
      <c r="BK193" s="884"/>
      <c r="BL193" s="885"/>
      <c r="BM193" s="877"/>
      <c r="BN193" s="883">
        <f>'Input data meat and eggs'!$S424*'Input data meat and eggs'!W$48+'Input data meat and eggs'!$T424*'Input data meat and eggs'!W$47+'Input data meat and eggs'!$U424*'Input data meat and eggs'!W$35+'Input data meat and eggs'!$V424*SUMPRODUCT('Input data meat and eggs'!$E$77:$E$86,'Input data meat and eggs'!W$37:W$46)</f>
        <v>6.9306723128536696</v>
      </c>
      <c r="BO193" s="884">
        <f>BN193*'Input data meat and eggs'!$C424</f>
        <v>7675796.4585426357</v>
      </c>
      <c r="BP193" s="884"/>
      <c r="BQ193" s="884"/>
      <c r="BR193" s="885"/>
      <c r="BS193" s="877"/>
      <c r="BT193" s="879"/>
      <c r="BU193" s="886"/>
    </row>
    <row r="194" spans="1:73">
      <c r="A194" s="391"/>
      <c r="B194" s="901"/>
      <c r="C194" s="907"/>
      <c r="D194" s="900"/>
      <c r="E194" s="511" t="s">
        <v>317</v>
      </c>
      <c r="F194" s="928">
        <f>IF(AND($G$2="No",$G$3="No"),SUM(J194:M194),IF(AND($G$2="Yes", $G$3="No"), SUM(J194:M194)+O194, IF(AND($G$2="No", $G$3="Yes"),SUM(J194:M194)+N194, SUM(J194:M194)+O194+N194)))</f>
        <v>-335112522.21736091</v>
      </c>
      <c r="G194" s="877">
        <f>IF(AND($G$2="No",$G$3="No"),SUM(I194:M194,P194),IF(AND($G$2="Yes", $G$3="No"), SUM(I194:M194,P194)+O194, IF(AND($G$2="No", $G$3="Yes"),SUM(I194:M194,P194)+N194, SUM(I194:M194,P194)+O194+N194)))</f>
        <v>-28371679.98191601</v>
      </c>
      <c r="H194" s="878"/>
      <c r="I194" s="877">
        <f>('Input data meat and eggs'!S424*'Input data meat and eggs'!B48+'Input data meat and eggs'!T424*'Input data meat and eggs'!B47+'Input data meat and eggs'!U424*'Input data meat and eggs'!B35+'Input data meat and eggs'!V424*SUMPRODUCT('Input data meat and eggs'!B37:B46,'Input data meat and eggs'!E77:E86))*'Input data meat and eggs'!$C$424</f>
        <v>306740842.2354449</v>
      </c>
      <c r="J194" s="877">
        <v>0</v>
      </c>
      <c r="K194" s="877">
        <v>0</v>
      </c>
      <c r="L194" s="877">
        <v>0</v>
      </c>
      <c r="M194" s="877">
        <v>0</v>
      </c>
      <c r="N194" s="877">
        <f>(('Input data meat and eggs'!S424+'Input data meat and eggs'!T424)*'Common input data'!F19+
'Input data meat and eggs'!U424*'Common input data'!B19+'Input data meat and eggs'!V424*('Input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eggs'!$C$424</f>
        <v>-335112522.21736091</v>
      </c>
      <c r="O194" s="877">
        <f>('Input data meat and eggs'!V424*('Input data meat and eggs'!E79*'Common input data'!AR27*'Common input data'!G44/'Common input data'!F44+'Input data meat and eggs'!E83*'Common input data'!AS27*'Common input data'!J46/'Common input data'!I46))*'Input data meat and eggs'!$C$424</f>
        <v>0</v>
      </c>
      <c r="P194" s="877">
        <v>0</v>
      </c>
      <c r="Q194" s="877">
        <v>0</v>
      </c>
      <c r="R194" s="877">
        <f>SUM(G194+Q194)/'Input data meat and eggs'!$B$29</f>
        <v>-40822561.125059009</v>
      </c>
      <c r="S194" s="877"/>
      <c r="T194" s="886"/>
      <c r="V194" s="18"/>
      <c r="Z194" s="64"/>
      <c r="AB194" s="18"/>
      <c r="AF194" s="64"/>
      <c r="AG194" s="55"/>
      <c r="AH194" s="879"/>
      <c r="AI194" s="877"/>
      <c r="AJ194" s="877"/>
      <c r="AK194" s="877"/>
      <c r="AL194" s="886"/>
      <c r="AM194" s="877"/>
      <c r="AN194" s="879"/>
      <c r="AO194" s="877"/>
      <c r="AP194" s="877"/>
      <c r="AQ194" s="877"/>
      <c r="AR194" s="886"/>
      <c r="AS194" s="877"/>
      <c r="AT194" s="879"/>
      <c r="AU194" s="877"/>
      <c r="AV194" s="877"/>
      <c r="AW194" s="877"/>
      <c r="AX194" s="877"/>
      <c r="AY194" s="877"/>
      <c r="AZ194" s="886"/>
      <c r="BA194" s="877"/>
      <c r="BB194" s="879"/>
      <c r="BC194" s="877"/>
      <c r="BD194" s="877"/>
      <c r="BE194" s="877"/>
      <c r="BF194" s="886"/>
      <c r="BG194" s="877"/>
      <c r="BH194" s="879"/>
      <c r="BI194" s="877"/>
      <c r="BJ194" s="877"/>
      <c r="BK194" s="877"/>
      <c r="BL194" s="886"/>
      <c r="BM194" s="877"/>
      <c r="BN194" s="879"/>
      <c r="BO194" s="877"/>
      <c r="BP194" s="877"/>
      <c r="BQ194" s="877"/>
      <c r="BR194" s="886"/>
      <c r="BS194" s="877"/>
      <c r="BT194" s="879"/>
      <c r="BU194" s="886"/>
    </row>
    <row r="195" spans="1:73">
      <c r="A195" s="391"/>
      <c r="B195" s="901"/>
      <c r="C195" s="908"/>
      <c r="D195" s="901"/>
      <c r="E195" s="511" t="s">
        <v>321</v>
      </c>
      <c r="F195" s="928">
        <f>SUM(J195:M195)</f>
        <v>89238813.714577913</v>
      </c>
      <c r="G195" s="877">
        <f>SUM(I195:M195,P195)</f>
        <v>89238813.714577913</v>
      </c>
      <c r="H195" s="878"/>
      <c r="I195" s="877">
        <v>0</v>
      </c>
      <c r="J195" s="877">
        <v>0</v>
      </c>
      <c r="K195" s="877">
        <f>'Input data meat and eggs'!N424*'Input data meat and eggs'!G424/12*'Input data meat and eggs'!C424</f>
        <v>7225402.3614215925</v>
      </c>
      <c r="L195" s="877">
        <v>0</v>
      </c>
      <c r="M195" s="877">
        <f>('Input data meat and eggs'!L424*'Input data meat and eggs'!G424/12)*'Input data meat and eggs'!$C$424</f>
        <v>82013411.353156313</v>
      </c>
      <c r="N195" s="877">
        <v>0</v>
      </c>
      <c r="O195" s="877">
        <v>0</v>
      </c>
      <c r="P195" s="877">
        <v>0</v>
      </c>
      <c r="Q195" s="877">
        <v>0</v>
      </c>
      <c r="R195" s="877">
        <f>SUM(G195+Q195)/'Input data meat and eggs'!$B$29</f>
        <v>128401170.81234233</v>
      </c>
      <c r="S195" s="877"/>
      <c r="T195" s="886"/>
      <c r="V195" s="1230"/>
      <c r="W195" s="183"/>
      <c r="X195" s="183"/>
      <c r="Y195" s="183"/>
      <c r="Z195" s="1231"/>
      <c r="AA195" s="183"/>
      <c r="AB195" s="1230"/>
      <c r="AC195" s="183"/>
      <c r="AD195" s="183"/>
      <c r="AE195" s="183"/>
      <c r="AF195" s="1231"/>
      <c r="AG195" s="189"/>
      <c r="AH195" s="879"/>
      <c r="AI195" s="877"/>
      <c r="AJ195" s="877"/>
      <c r="AK195" s="877"/>
      <c r="AL195" s="886"/>
      <c r="AM195" s="877"/>
      <c r="AN195" s="879"/>
      <c r="AO195" s="877"/>
      <c r="AP195" s="877"/>
      <c r="AQ195" s="877"/>
      <c r="AR195" s="886"/>
      <c r="AS195" s="877"/>
      <c r="AT195" s="879"/>
      <c r="AU195" s="877"/>
      <c r="AV195" s="877"/>
      <c r="AW195" s="877"/>
      <c r="AX195" s="877"/>
      <c r="AY195" s="877"/>
      <c r="AZ195" s="886"/>
      <c r="BA195" s="877"/>
      <c r="BB195" s="879"/>
      <c r="BC195" s="877"/>
      <c r="BD195" s="877"/>
      <c r="BE195" s="877"/>
      <c r="BF195" s="886"/>
      <c r="BG195" s="877"/>
      <c r="BH195" s="879"/>
      <c r="BI195" s="877"/>
      <c r="BJ195" s="877"/>
      <c r="BK195" s="877"/>
      <c r="BL195" s="886"/>
      <c r="BM195" s="877"/>
      <c r="BN195" s="879"/>
      <c r="BO195" s="877"/>
      <c r="BP195" s="877"/>
      <c r="BQ195" s="877"/>
      <c r="BR195" s="886"/>
      <c r="BS195" s="877"/>
      <c r="BT195" s="879"/>
      <c r="BU195" s="886"/>
    </row>
    <row r="196" spans="1:73">
      <c r="A196" s="391"/>
      <c r="B196" s="901"/>
      <c r="C196" s="908"/>
      <c r="D196" s="901"/>
      <c r="E196" s="511" t="s">
        <v>319</v>
      </c>
      <c r="F196" s="928">
        <f>SUM(J196:M196)</f>
        <v>0</v>
      </c>
      <c r="G196" s="877">
        <f>SUM(I196:M196,P196)</f>
        <v>157684.81687299139</v>
      </c>
      <c r="H196" s="878"/>
      <c r="I196" s="877">
        <f>('Input data meat and eggs'!S424*'Input data meat and eggs'!C48+'Input data meat and eggs'!T424*'Input data meat and eggs'!C47+'Input data meat and eggs'!U424*'Input data meat and eggs'!C35+'Input data meat and eggs'!V424*SUMPRODUCT('Input data meat and eggs'!C37:C46,'Input data meat and eggs'!E77:E86))*'Input data meat and eggs'!$C$424</f>
        <v>157684.81687299139</v>
      </c>
      <c r="J196" s="877">
        <v>0</v>
      </c>
      <c r="K196" s="877">
        <v>0</v>
      </c>
      <c r="L196" s="877">
        <v>0</v>
      </c>
      <c r="M196" s="877">
        <v>0</v>
      </c>
      <c r="N196" s="877">
        <v>0</v>
      </c>
      <c r="O196" s="877">
        <v>0</v>
      </c>
      <c r="P196" s="877">
        <v>0</v>
      </c>
      <c r="Q196" s="877">
        <v>0</v>
      </c>
      <c r="R196" s="877">
        <f>SUM(G196+Q196)/'Input data meat and eggs'!$B$29</f>
        <v>226884.62859423223</v>
      </c>
      <c r="S196" s="877"/>
      <c r="T196" s="886"/>
      <c r="V196" s="1230"/>
      <c r="W196" s="183"/>
      <c r="X196" s="183"/>
      <c r="Y196" s="183"/>
      <c r="Z196" s="1231"/>
      <c r="AA196" s="183"/>
      <c r="AB196" s="1230"/>
      <c r="AC196" s="183"/>
      <c r="AD196" s="183"/>
      <c r="AE196" s="183"/>
      <c r="AF196" s="1231"/>
      <c r="AG196" s="189"/>
      <c r="AH196" s="879"/>
      <c r="AI196" s="877"/>
      <c r="AJ196" s="877"/>
      <c r="AK196" s="877"/>
      <c r="AL196" s="886"/>
      <c r="AM196" s="877"/>
      <c r="AN196" s="879"/>
      <c r="AO196" s="877"/>
      <c r="AP196" s="877"/>
      <c r="AQ196" s="877"/>
      <c r="AR196" s="886"/>
      <c r="AS196" s="877"/>
      <c r="AT196" s="879"/>
      <c r="AU196" s="877"/>
      <c r="AV196" s="877"/>
      <c r="AW196" s="877"/>
      <c r="AX196" s="877"/>
      <c r="AY196" s="877"/>
      <c r="AZ196" s="886"/>
      <c r="BA196" s="877"/>
      <c r="BB196" s="879"/>
      <c r="BC196" s="877"/>
      <c r="BD196" s="877"/>
      <c r="BE196" s="877"/>
      <c r="BF196" s="886"/>
      <c r="BG196" s="877"/>
      <c r="BH196" s="879"/>
      <c r="BI196" s="877"/>
      <c r="BJ196" s="877"/>
      <c r="BK196" s="877"/>
      <c r="BL196" s="886"/>
      <c r="BM196" s="877"/>
      <c r="BN196" s="879"/>
      <c r="BO196" s="877"/>
      <c r="BP196" s="877"/>
      <c r="BQ196" s="877"/>
      <c r="BR196" s="886"/>
      <c r="BS196" s="877"/>
      <c r="BT196" s="879"/>
      <c r="BU196" s="886"/>
    </row>
    <row r="197" spans="1:73">
      <c r="A197" s="391"/>
      <c r="B197" s="901"/>
      <c r="C197" s="906"/>
      <c r="D197" s="899"/>
      <c r="E197" s="512" t="s">
        <v>320</v>
      </c>
      <c r="F197" s="928">
        <f>SUM(J197:M197)</f>
        <v>2920971.2455773903</v>
      </c>
      <c r="G197" s="877">
        <f>SUM(I197:M197,P197)</f>
        <v>3211847.8479181794</v>
      </c>
      <c r="H197" s="878"/>
      <c r="I197" s="877">
        <f>(('Input data meat and eggs'!S424*'Input data meat and eggs'!D48+'Input data meat and eggs'!T424*'Input data meat and eggs'!D47+'Input data meat and eggs'!U424*'Input data meat and eggs'!D35+'Input data meat and eggs'!V424*SUMPRODUCT('Input data meat and eggs'!D37:D46,'Input data meat and eggs'!E77:E86))*'Input data meat and eggs'!B70)*'Input data meat and eggs'!$C$424</f>
        <v>290876.60234078876</v>
      </c>
      <c r="J197" s="877">
        <f>(('Input data meat and eggs'!S424*'Input data meat and eggs'!D48+'Input data meat and eggs'!T424*'Input data meat and eggs'!D47+'Input data meat and eggs'!U424*'Input data meat and eggs'!D35+'Input data meat and eggs'!V424*SUMPRODUCT('Input data meat and eggs'!D37:D46,'Input data meat and eggs'!E77:E86))*'Input data meat and eggs'!C70)*'Input data meat and eggs'!$C$424</f>
        <v>735218.80856411834</v>
      </c>
      <c r="K197" s="877">
        <f>('Input data meat and eggs'!K424*'Input data meat and eggs'!G424/12*('Input data meat and eggs'!$O$424*'Input data meat and eggs'!$B$457+'Input data meat and eggs'!$P$424*'Input data meat and eggs'!$C$457+'Input data meat and eggs'!$Q$424*'Input data meat and eggs'!$D$457+'Input data meat and eggs'!$R$424*'Input data meat and eggs'!$E$457)*44/28)*'Input data meat and eggs'!$C$424</f>
        <v>1988861.773180062</v>
      </c>
      <c r="L197" s="877">
        <f>('Input data meat and eggs'!$B$458*44/28*'Input data meat and eggs'!K424*'Input data meat and eggs'!G424/12*('Input data meat and eggs'!O424*'Input data meat and eggs'!B470+'Input data meat and eggs'!P424*'Input data meat and eggs'!C470+'Input data meat and eggs'!Q424*'Input data meat and eggs'!D470))*'Input data meat and eggs'!$C$424</f>
        <v>196890.66383321024</v>
      </c>
      <c r="M197" s="877">
        <v>0</v>
      </c>
      <c r="N197" s="877">
        <v>0</v>
      </c>
      <c r="O197" s="877">
        <v>0</v>
      </c>
      <c r="P197" s="877">
        <v>0</v>
      </c>
      <c r="Q197" s="877">
        <v>0</v>
      </c>
      <c r="R197" s="877">
        <f>SUM(G197+Q197)/'Input data meat and eggs'!$B$29</f>
        <v>4621363.8099542148</v>
      </c>
      <c r="S197" s="877"/>
      <c r="T197" s="886"/>
      <c r="V197" s="1230"/>
      <c r="W197" s="183"/>
      <c r="X197" s="183"/>
      <c r="Y197" s="183"/>
      <c r="Z197" s="1231"/>
      <c r="AA197" s="183"/>
      <c r="AB197" s="1230"/>
      <c r="AC197" s="183"/>
      <c r="AD197" s="183"/>
      <c r="AE197" s="183"/>
      <c r="AF197" s="1231"/>
      <c r="AG197" s="189"/>
      <c r="AH197" s="879"/>
      <c r="AI197" s="877"/>
      <c r="AJ197" s="877"/>
      <c r="AK197" s="877"/>
      <c r="AL197" s="886"/>
      <c r="AM197" s="877"/>
      <c r="AN197" s="879"/>
      <c r="AO197" s="877"/>
      <c r="AP197" s="877"/>
      <c r="AQ197" s="877"/>
      <c r="AR197" s="886"/>
      <c r="AS197" s="877"/>
      <c r="AT197" s="879"/>
      <c r="AU197" s="877"/>
      <c r="AV197" s="877"/>
      <c r="AW197" s="877"/>
      <c r="AX197" s="877"/>
      <c r="AY197" s="877"/>
      <c r="AZ197" s="886"/>
      <c r="BA197" s="877"/>
      <c r="BB197" s="879"/>
      <c r="BC197" s="877"/>
      <c r="BD197" s="877"/>
      <c r="BE197" s="877"/>
      <c r="BF197" s="886"/>
      <c r="BG197" s="877"/>
      <c r="BH197" s="879"/>
      <c r="BI197" s="877"/>
      <c r="BJ197" s="877"/>
      <c r="BK197" s="877"/>
      <c r="BL197" s="886"/>
      <c r="BM197" s="877"/>
      <c r="BN197" s="879"/>
      <c r="BO197" s="877"/>
      <c r="BP197" s="877"/>
      <c r="BQ197" s="877"/>
      <c r="BR197" s="886"/>
      <c r="BS197" s="877"/>
      <c r="BT197" s="879"/>
      <c r="BU197" s="886"/>
    </row>
    <row r="198" spans="1:73">
      <c r="A198" s="389"/>
      <c r="B198" s="1330" t="s">
        <v>342</v>
      </c>
      <c r="C198" s="905"/>
      <c r="D198" s="898"/>
      <c r="E198" s="513" t="s">
        <v>316</v>
      </c>
      <c r="F198" s="930">
        <f>SUMPRODUCT($CA$7:$CA$10,F199:F202)</f>
        <v>286353901.8673569</v>
      </c>
      <c r="G198" s="872">
        <f>SUMPRODUCT($CA$7:$CA$10,G199:G202)</f>
        <v>413943673.70522022</v>
      </c>
      <c r="H198" s="873"/>
      <c r="I198" s="884"/>
      <c r="J198" s="884"/>
      <c r="K198" s="884"/>
      <c r="L198" s="884"/>
      <c r="M198" s="884"/>
      <c r="N198" s="884"/>
      <c r="O198" s="884"/>
      <c r="P198" s="884"/>
      <c r="Q198" s="884"/>
      <c r="R198" s="884"/>
      <c r="S198" s="884"/>
      <c r="T198" s="885"/>
      <c r="V198" s="1240">
        <f>'Input data meat and eggs'!$S425*'Input data meat and eggs'!E$48+'Input data meat and eggs'!$U425*'Input data meat and eggs'!E$35+'Input data meat and eggs'!$V425*SUMPRODUCT('Input data meat and eggs'!$E$77:$E$86,'Input data meat and eggs'!E$37:E$46)</f>
        <v>5520.4107274756989</v>
      </c>
      <c r="W198" s="211">
        <f>V198*'Input data meat and eggs'!$C425</f>
        <v>1009098432.2000799</v>
      </c>
      <c r="X198" s="211"/>
      <c r="Y198" s="211"/>
      <c r="Z198" s="1242"/>
      <c r="AA198" s="189"/>
      <c r="AB198" s="1240">
        <f>'Input data meat and eggs'!$T425*'Input data meat and eggs'!F$47</f>
        <v>12335.753676202359</v>
      </c>
      <c r="AC198" s="211">
        <f>AB198*'Input data meat and eggs'!$C425</f>
        <v>2254902815.9638815</v>
      </c>
      <c r="AD198" s="211"/>
      <c r="AE198" s="211"/>
      <c r="AF198" s="1242"/>
      <c r="AG198" s="189"/>
      <c r="AH198" s="883">
        <f>'Input data meat and eggs'!$S425*'Input data meat and eggs'!G$48+'Input data meat and eggs'!$T425*'Input data meat and eggs'!G$47+'Input data meat and eggs'!$U425*'Input data meat and eggs'!G$35+'Input data meat and eggs'!$V425*SUMPRODUCT('Input data meat and eggs'!$E$77:$E$86,'Input data meat and eggs'!G$37:G$46)</f>
        <v>147.37736713941513</v>
      </c>
      <c r="AI198" s="884">
        <f>AH198*'Input data meat and eggs'!$C425</f>
        <v>26939711.094678514</v>
      </c>
      <c r="AJ198" s="884"/>
      <c r="AK198" s="884"/>
      <c r="AL198" s="885"/>
      <c r="AM198" s="877"/>
      <c r="AN198" s="883">
        <f>'Input data meat and eggs'!$S425*'Input data meat and eggs'!H$48+'Input data meat and eggs'!$T425*'Input data meat and eggs'!H$47+'Input data meat and eggs'!$U425*'Input data meat and eggs'!H$35+'Input data meat and eggs'!$V425*SUMPRODUCT('Input data meat and eggs'!$E$77:$E$86,'Input data meat and eggs'!H$37:H$46)</f>
        <v>4.7150877622935594</v>
      </c>
      <c r="AO198" s="884">
        <f>AN198*'Input data meat and eggs'!$C425</f>
        <v>861890.15700139466</v>
      </c>
      <c r="AP198" s="884"/>
      <c r="AQ198" s="884"/>
      <c r="AR198" s="885"/>
      <c r="AS198" s="877"/>
      <c r="AT198" s="883">
        <f>'Input data meat and eggs'!$S425*'Input data meat and eggs'!I$48+'Input data meat and eggs'!$T425*'Input data meat and eggs'!I$47+'Input data meat and eggs'!$U425*'Input data meat and eggs'!I$35+'Input data meat and eggs'!$V425*SUMPRODUCT('Input data meat and eggs'!$E$77:$E$86,'Input data meat and eggs'!I$37:I$46)</f>
        <v>2.2310399104922012</v>
      </c>
      <c r="AU198" s="884">
        <f>'Input data meat and eggs'!G425/12*((1-'Input data meat and eggs'!$R425)*'Input data meat and eggs'!$B$61+'Input data meat and eggs'!$R425*'Input data meat and eggs'!$B$62)</f>
        <v>22.870899999999999</v>
      </c>
      <c r="AV198" s="884">
        <f>SUM(AT198:AU198)</f>
        <v>25.101939910492199</v>
      </c>
      <c r="AW198" s="884">
        <f>AV198*'Input data meat and eggs'!$C425</f>
        <v>4588486.1578843091</v>
      </c>
      <c r="AX198" s="884"/>
      <c r="AY198" s="884"/>
      <c r="AZ198" s="885"/>
      <c r="BA198" s="877"/>
      <c r="BB198" s="883">
        <f>'Input data meat and eggs'!$S425*'Input data meat and eggs'!M$48+'Input data meat and eggs'!$T425*'Input data meat and eggs'!M$47+'Input data meat and eggs'!$U425*'Input data meat and eggs'!M$35+'Input data meat and eggs'!$V425*SUMPRODUCT('Input data meat and eggs'!$E$77:$E$86,'Input data meat and eggs'!M$37:M$46)</f>
        <v>5.9350471422251393E-7</v>
      </c>
      <c r="BC198" s="884">
        <f>BB198*'Input data meat and eggs'!$C425</f>
        <v>0.10848915165758953</v>
      </c>
      <c r="BD198" s="884"/>
      <c r="BE198" s="884"/>
      <c r="BF198" s="885"/>
      <c r="BG198" s="877"/>
      <c r="BH198" s="883">
        <f>'Input data meat and eggs'!$S425*'Input data meat and eggs'!U$48+'Input data meat and eggs'!$T425*'Input data meat and eggs'!U$47+'Input data meat and eggs'!$U425*'Input data meat and eggs'!U$35+'Input data meat and eggs'!$V425*SUMPRODUCT('Input data meat and eggs'!$E$77:$E$86,'Input data meat and eggs'!U$37:U$46)</f>
        <v>0.17074943463778511</v>
      </c>
      <c r="BI198" s="884">
        <f>BH198*'Input data meat and eggs'!$C425</f>
        <v>31211.986806428697</v>
      </c>
      <c r="BJ198" s="884"/>
      <c r="BK198" s="884"/>
      <c r="BL198" s="885"/>
      <c r="BM198" s="877"/>
      <c r="BN198" s="883">
        <f>'Input data meat and eggs'!$S425*'Input data meat and eggs'!W$48+'Input data meat and eggs'!$T425*'Input data meat and eggs'!W$47+'Input data meat and eggs'!$U425*'Input data meat and eggs'!W$35+'Input data meat and eggs'!$V425*SUMPRODUCT('Input data meat and eggs'!$E$77:$E$86,'Input data meat and eggs'!W$37:W$46)</f>
        <v>9.4236484845885613</v>
      </c>
      <c r="BO198" s="884">
        <f>BN198*'Input data meat and eggs'!$C425</f>
        <v>1722587.2096932367</v>
      </c>
      <c r="BP198" s="884"/>
      <c r="BQ198" s="884"/>
      <c r="BR198" s="885"/>
      <c r="BS198" s="877"/>
      <c r="BT198" s="879"/>
      <c r="BU198" s="886"/>
    </row>
    <row r="199" spans="1:73">
      <c r="A199" s="391"/>
      <c r="B199" s="901"/>
      <c r="C199" s="907"/>
      <c r="D199" s="900"/>
      <c r="E199" s="511" t="s">
        <v>317</v>
      </c>
      <c r="F199" s="928">
        <f>IF(AND($G$2="No",$G$3="No"),SUM(J199:M199),IF(AND($G$2="Yes", $G$3="No"), SUM(J199:M199)+O199, IF(AND($G$2="No", $G$3="Yes"),SUM(J199:M199)+N199, SUM(J199:M199)+O199+N199)))</f>
        <v>-32683944.573393956</v>
      </c>
      <c r="G199" s="877">
        <f>IF(AND($G$2="No",$G$3="No"),SUM(I199:M199,P199),IF(AND($G$2="Yes", $G$3="No"), SUM(I199:M199,P199)+O199, IF(AND($G$2="No", $G$3="Yes"),SUM(I199:M199,P199)+N199, SUM(I199:M199,P199)+O199+N199)))</f>
        <v>69641172.978686124</v>
      </c>
      <c r="H199" s="878"/>
      <c r="I199" s="877">
        <f>('Input data meat and eggs'!S425*'Input data meat and eggs'!B48+'Input data meat and eggs'!T425*'Input data meat and eggs'!B47+'Input data meat and eggs'!U425*'Input data meat and eggs'!B35+'Input data meat and eggs'!V425*SUMPRODUCT('Input data meat and eggs'!B37:B46,'Input data meat and eggs'!E77:E86))*'Input data meat and eggs'!$C$425</f>
        <v>102325117.55208007</v>
      </c>
      <c r="J199" s="877">
        <v>0</v>
      </c>
      <c r="K199" s="877">
        <v>0</v>
      </c>
      <c r="L199" s="877">
        <v>0</v>
      </c>
      <c r="M199" s="877">
        <v>0</v>
      </c>
      <c r="N199" s="877">
        <f>(('Input data meat and eggs'!S425+'Input data meat and eggs'!T425)*'Common input data'!F19+
'Input data meat and eggs'!U425*'Common input data'!B19+'Input data meat and eggs'!V425*('Input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eggs'!$C$425</f>
        <v>-37542550.633217968</v>
      </c>
      <c r="O199" s="877">
        <f>('Input data meat and eggs'!V425*('Input data meat and eggs'!E79*'Common input data'!AR27*'Common input data'!G44/'Common input data'!F44+'Input data meat and eggs'!E83*'Common input data'!AS27*'Common input data'!J46/'Common input data'!I46))*'Input data meat and eggs'!$C$425</f>
        <v>4858606.0598240141</v>
      </c>
      <c r="P199" s="877">
        <v>0</v>
      </c>
      <c r="Q199" s="877">
        <v>0</v>
      </c>
      <c r="R199" s="877">
        <f>SUM(G199+Q199)/'Input data meat and eggs'!$B$29</f>
        <v>100203126.5880376</v>
      </c>
      <c r="S199" s="877"/>
      <c r="T199" s="886"/>
      <c r="V199" s="1230"/>
      <c r="W199" s="183"/>
      <c r="X199" s="183"/>
      <c r="Y199" s="183"/>
      <c r="Z199" s="1231"/>
      <c r="AA199" s="183"/>
      <c r="AB199" s="1230"/>
      <c r="AC199" s="183"/>
      <c r="AD199" s="183"/>
      <c r="AE199" s="183"/>
      <c r="AF199" s="1231"/>
      <c r="AG199" s="189"/>
      <c r="AH199" s="879"/>
      <c r="AI199" s="877"/>
      <c r="AJ199" s="877"/>
      <c r="AK199" s="877"/>
      <c r="AL199" s="886"/>
      <c r="AM199" s="877"/>
      <c r="AN199" s="879"/>
      <c r="AO199" s="877"/>
      <c r="AP199" s="877"/>
      <c r="AQ199" s="877"/>
      <c r="AR199" s="886"/>
      <c r="AS199" s="877"/>
      <c r="AT199" s="879"/>
      <c r="AU199" s="877"/>
      <c r="AV199" s="877"/>
      <c r="AW199" s="877"/>
      <c r="AX199" s="877"/>
      <c r="AY199" s="877"/>
      <c r="AZ199" s="886"/>
      <c r="BA199" s="877"/>
      <c r="BB199" s="879"/>
      <c r="BC199" s="877"/>
      <c r="BD199" s="877"/>
      <c r="BE199" s="877"/>
      <c r="BF199" s="886"/>
      <c r="BG199" s="877"/>
      <c r="BH199" s="879"/>
      <c r="BI199" s="877"/>
      <c r="BJ199" s="877"/>
      <c r="BK199" s="877"/>
      <c r="BL199" s="886"/>
      <c r="BM199" s="877"/>
      <c r="BN199" s="879"/>
      <c r="BO199" s="877"/>
      <c r="BP199" s="877"/>
      <c r="BQ199" s="877"/>
      <c r="BR199" s="886"/>
      <c r="BS199" s="877"/>
      <c r="BT199" s="879"/>
      <c r="BU199" s="886"/>
    </row>
    <row r="200" spans="1:73">
      <c r="A200" s="391"/>
      <c r="B200" s="901"/>
      <c r="C200" s="908"/>
      <c r="D200" s="901"/>
      <c r="E200" s="511" t="s">
        <v>321</v>
      </c>
      <c r="F200" s="928">
        <f>SUM(J200:M200)</f>
        <v>21244328.652321197</v>
      </c>
      <c r="G200" s="877">
        <f>SUM(I200:M200,P200)</f>
        <v>21244328.652321197</v>
      </c>
      <c r="H200" s="878"/>
      <c r="I200" s="877">
        <v>0</v>
      </c>
      <c r="J200" s="877">
        <v>0</v>
      </c>
      <c r="K200" s="877">
        <f>'Input data meat and eggs'!N425*'Input data meat and eggs'!G425/12*'Input data meat and eggs'!C425</f>
        <v>1619555.6002371861</v>
      </c>
      <c r="L200" s="877">
        <v>0</v>
      </c>
      <c r="M200" s="877">
        <f>('Input data meat and eggs'!L425*'Input data meat and eggs'!G425/12)*'Input data meat and eggs'!$C$425</f>
        <v>19624773.05208401</v>
      </c>
      <c r="N200" s="877">
        <v>0</v>
      </c>
      <c r="O200" s="877">
        <v>0</v>
      </c>
      <c r="P200" s="877">
        <v>0</v>
      </c>
      <c r="Q200" s="877">
        <v>0</v>
      </c>
      <c r="R200" s="877">
        <f>SUM(G200+Q200)/'Input data meat and eggs'!$B$29</f>
        <v>30567379.355857838</v>
      </c>
      <c r="S200" s="877"/>
      <c r="T200" s="886"/>
      <c r="V200" s="1230"/>
      <c r="W200" s="183"/>
      <c r="X200" s="183"/>
      <c r="Y200" s="183"/>
      <c r="Z200" s="1231"/>
      <c r="AA200" s="183"/>
      <c r="AB200" s="1230"/>
      <c r="AC200" s="183"/>
      <c r="AD200" s="183"/>
      <c r="AE200" s="183"/>
      <c r="AF200" s="1231"/>
      <c r="AG200" s="189"/>
      <c r="AH200" s="879"/>
      <c r="AI200" s="877"/>
      <c r="AJ200" s="877"/>
      <c r="AK200" s="877"/>
      <c r="AL200" s="886"/>
      <c r="AM200" s="877"/>
      <c r="AN200" s="879"/>
      <c r="AO200" s="877"/>
      <c r="AP200" s="877"/>
      <c r="AQ200" s="877"/>
      <c r="AR200" s="886"/>
      <c r="AS200" s="877"/>
      <c r="AT200" s="879"/>
      <c r="AU200" s="877"/>
      <c r="AV200" s="877"/>
      <c r="AW200" s="877"/>
      <c r="AX200" s="877"/>
      <c r="AY200" s="877"/>
      <c r="AZ200" s="886"/>
      <c r="BA200" s="877"/>
      <c r="BB200" s="879"/>
      <c r="BC200" s="877"/>
      <c r="BD200" s="877"/>
      <c r="BE200" s="877"/>
      <c r="BF200" s="886"/>
      <c r="BG200" s="877"/>
      <c r="BH200" s="879"/>
      <c r="BI200" s="877"/>
      <c r="BJ200" s="877"/>
      <c r="BK200" s="877"/>
      <c r="BL200" s="886"/>
      <c r="BM200" s="877"/>
      <c r="BN200" s="879"/>
      <c r="BO200" s="877"/>
      <c r="BP200" s="877"/>
      <c r="BQ200" s="877"/>
      <c r="BR200" s="886"/>
      <c r="BS200" s="877"/>
      <c r="BT200" s="879"/>
      <c r="BU200" s="886"/>
    </row>
    <row r="201" spans="1:73">
      <c r="A201" s="391"/>
      <c r="B201" s="901"/>
      <c r="C201" s="908"/>
      <c r="D201" s="901"/>
      <c r="E201" s="511" t="s">
        <v>319</v>
      </c>
      <c r="F201" s="928">
        <f>SUM(J201:M201)</f>
        <v>0</v>
      </c>
      <c r="G201" s="877">
        <f>SUM(I201:M201,P201)</f>
        <v>79979.358987020547</v>
      </c>
      <c r="H201" s="878"/>
      <c r="I201" s="877">
        <f>('Input data meat and eggs'!S425*'Input data meat and eggs'!C48+'Input data meat and eggs'!T425*'Input data meat and eggs'!C47+'Input data meat and eggs'!U425*'Input data meat and eggs'!C35+'Input data meat and eggs'!V425*SUMPRODUCT('Input data meat and eggs'!C37:C46,'Input data meat and eggs'!E77:E86))*'Input data meat and eggs'!$C$425</f>
        <v>79979.358987020547</v>
      </c>
      <c r="J201" s="877">
        <v>0</v>
      </c>
      <c r="K201" s="877">
        <v>0</v>
      </c>
      <c r="L201" s="877">
        <v>0</v>
      </c>
      <c r="M201" s="877">
        <v>0</v>
      </c>
      <c r="N201" s="877">
        <v>0</v>
      </c>
      <c r="O201" s="877">
        <v>0</v>
      </c>
      <c r="P201" s="877">
        <v>0</v>
      </c>
      <c r="Q201" s="877">
        <v>0</v>
      </c>
      <c r="R201" s="877">
        <f>SUM(G201+Q201)/'Input data meat and eggs'!$B$29</f>
        <v>115078.21436981375</v>
      </c>
      <c r="S201" s="877"/>
      <c r="T201" s="886"/>
      <c r="V201" s="1230"/>
      <c r="W201" s="183"/>
      <c r="X201" s="183"/>
      <c r="Y201" s="183"/>
      <c r="Z201" s="1231"/>
      <c r="AA201" s="183"/>
      <c r="AB201" s="1230"/>
      <c r="AC201" s="183"/>
      <c r="AD201" s="183"/>
      <c r="AE201" s="183"/>
      <c r="AF201" s="1231"/>
      <c r="AG201" s="189"/>
      <c r="AH201" s="879"/>
      <c r="AI201" s="877"/>
      <c r="AJ201" s="877"/>
      <c r="AK201" s="877"/>
      <c r="AL201" s="886"/>
      <c r="AM201" s="877"/>
      <c r="AN201" s="879"/>
      <c r="AO201" s="877"/>
      <c r="AP201" s="877"/>
      <c r="AQ201" s="877"/>
      <c r="AR201" s="886"/>
      <c r="AS201" s="877"/>
      <c r="AT201" s="879"/>
      <c r="AU201" s="877"/>
      <c r="AV201" s="877"/>
      <c r="AW201" s="877"/>
      <c r="AX201" s="877"/>
      <c r="AY201" s="877"/>
      <c r="AZ201" s="886"/>
      <c r="BA201" s="877"/>
      <c r="BB201" s="879"/>
      <c r="BC201" s="877"/>
      <c r="BD201" s="877"/>
      <c r="BE201" s="877"/>
      <c r="BF201" s="886"/>
      <c r="BG201" s="877"/>
      <c r="BH201" s="879"/>
      <c r="BI201" s="877"/>
      <c r="BJ201" s="877"/>
      <c r="BK201" s="877"/>
      <c r="BL201" s="886"/>
      <c r="BM201" s="877"/>
      <c r="BN201" s="879"/>
      <c r="BO201" s="877"/>
      <c r="BP201" s="877"/>
      <c r="BQ201" s="877"/>
      <c r="BR201" s="886"/>
      <c r="BS201" s="877"/>
      <c r="BT201" s="879"/>
      <c r="BU201" s="886"/>
    </row>
    <row r="202" spans="1:73">
      <c r="A202" s="391"/>
      <c r="B202" s="901"/>
      <c r="C202" s="906"/>
      <c r="D202" s="899"/>
      <c r="E202" s="512" t="s">
        <v>320</v>
      </c>
      <c r="F202" s="928">
        <f>SUM(J202:M202)</f>
        <v>940727.47542850312</v>
      </c>
      <c r="G202" s="877">
        <f>SUM(I202:M202,P202)</f>
        <v>1047546.1505295514</v>
      </c>
      <c r="H202" s="878"/>
      <c r="I202" s="877">
        <f>(('Input data meat and eggs'!S425*'Input data meat and eggs'!D48+'Input data meat and eggs'!T425*'Input data meat and eggs'!D47+'Input data meat and eggs'!U425*'Input data meat and eggs'!D35+'Input data meat and eggs'!V425*SUMPRODUCT('Input data meat and eggs'!D37:D46,'Input data meat and eggs'!E77:E86))*'Input data meat and eggs'!B70)*'Input data meat and eggs'!$C$425</f>
        <v>106818.67510104836</v>
      </c>
      <c r="J202" s="877">
        <f>(('Input data meat and eggs'!S425*'Input data meat and eggs'!D48+'Input data meat and eggs'!T425*'Input data meat and eggs'!D47+'Input data meat and eggs'!U425*'Input data meat and eggs'!D35+'Input data meat and eggs'!V425*SUMPRODUCT('Input data meat and eggs'!D37:D46,'Input data meat and eggs'!E77:E86))*'Input data meat and eggs'!C70)*'Input data meat and eggs'!$C$425</f>
        <v>269994.55579510413</v>
      </c>
      <c r="K202" s="877">
        <f>('Input data meat and eggs'!K425*'Input data meat and eggs'!G425/12*('Input data meat and eggs'!$O$425*'Input data meat and eggs'!$B$457+'Input data meat and eggs'!$P$425*'Input data meat and eggs'!$C$457+'Input data meat and eggs'!$Q$425*'Input data meat and eggs'!$D$457+'Input data meat and eggs'!$R$425*'Input data meat and eggs'!$E$457)*44/28)*'Input data meat and eggs'!$C$425</f>
        <v>606288.29018695361</v>
      </c>
      <c r="L202" s="877">
        <f>('Input data meat and eggs'!$B$458*44/28*'Input data meat and eggs'!K425*'Input data meat and eggs'!G425/12*('Input data meat and eggs'!O425*'Input data meat and eggs'!B470+'Input data meat and eggs'!P425*'Input data meat and eggs'!C470+'Input data meat and eggs'!Q425*'Input data meat and eggs'!D470))*'Input data meat and eggs'!$C$425</f>
        <v>64444.629446445433</v>
      </c>
      <c r="M202" s="877">
        <v>0</v>
      </c>
      <c r="N202" s="877">
        <v>0</v>
      </c>
      <c r="O202" s="877">
        <v>0</v>
      </c>
      <c r="P202" s="877">
        <v>0</v>
      </c>
      <c r="Q202" s="877">
        <v>0</v>
      </c>
      <c r="R202" s="877">
        <f>SUM(G202+Q202)/'Input data meat and eggs'!$B$29</f>
        <v>1507260.6482439591</v>
      </c>
      <c r="S202" s="877"/>
      <c r="T202" s="886"/>
      <c r="V202" s="1230"/>
      <c r="W202" s="183"/>
      <c r="X202" s="183"/>
      <c r="Y202" s="183"/>
      <c r="Z202" s="1231"/>
      <c r="AA202" s="183"/>
      <c r="AB202" s="1230"/>
      <c r="AC202" s="183"/>
      <c r="AD202" s="183"/>
      <c r="AE202" s="183"/>
      <c r="AF202" s="1231"/>
      <c r="AG202" s="189"/>
      <c r="AH202" s="879"/>
      <c r="AI202" s="877"/>
      <c r="AJ202" s="877"/>
      <c r="AK202" s="877"/>
      <c r="AL202" s="886"/>
      <c r="AM202" s="877"/>
      <c r="AN202" s="879"/>
      <c r="AO202" s="877"/>
      <c r="AP202" s="877"/>
      <c r="AQ202" s="877"/>
      <c r="AR202" s="886"/>
      <c r="AS202" s="877"/>
      <c r="AT202" s="879"/>
      <c r="AU202" s="877"/>
      <c r="AV202" s="877"/>
      <c r="AW202" s="877"/>
      <c r="AX202" s="877"/>
      <c r="AY202" s="877"/>
      <c r="AZ202" s="886"/>
      <c r="BA202" s="877"/>
      <c r="BB202" s="879"/>
      <c r="BC202" s="877"/>
      <c r="BD202" s="877"/>
      <c r="BE202" s="877"/>
      <c r="BF202" s="886"/>
      <c r="BG202" s="877"/>
      <c r="BH202" s="879"/>
      <c r="BI202" s="877"/>
      <c r="BJ202" s="877"/>
      <c r="BK202" s="877"/>
      <c r="BL202" s="886"/>
      <c r="BM202" s="877"/>
      <c r="BN202" s="879"/>
      <c r="BO202" s="877"/>
      <c r="BP202" s="877"/>
      <c r="BQ202" s="877"/>
      <c r="BR202" s="886"/>
      <c r="BS202" s="877"/>
      <c r="BT202" s="879"/>
      <c r="BU202" s="886"/>
    </row>
    <row r="203" spans="1:73">
      <c r="A203" s="389"/>
      <c r="B203" s="1330" t="s">
        <v>343</v>
      </c>
      <c r="C203" s="909"/>
      <c r="D203" s="900"/>
      <c r="E203" s="513" t="s">
        <v>316</v>
      </c>
      <c r="F203" s="930">
        <f>SUMPRODUCT($CA$7:$CA$10,F204:F207)</f>
        <v>710412617.4217906</v>
      </c>
      <c r="G203" s="872">
        <f>SUMPRODUCT($CA$7:$CA$10,G204:G207)</f>
        <v>1082403331.7463274</v>
      </c>
      <c r="H203" s="873"/>
      <c r="I203" s="884"/>
      <c r="J203" s="884"/>
      <c r="K203" s="884"/>
      <c r="L203" s="884"/>
      <c r="M203" s="884"/>
      <c r="N203" s="884"/>
      <c r="O203" s="884"/>
      <c r="P203" s="884"/>
      <c r="Q203" s="884"/>
      <c r="R203" s="884"/>
      <c r="S203" s="884"/>
      <c r="T203" s="885"/>
      <c r="V203" s="1240">
        <f>'Input data meat and eggs'!$S426*'Input data meat and eggs'!E$48+'Input data meat and eggs'!$U426*'Input data meat and eggs'!E$35+'Input data meat and eggs'!$V426*SUMPRODUCT('Input data meat and eggs'!$E$77:$E$86,'Input data meat and eggs'!E$37:E$46)</f>
        <v>5520.4107274756989</v>
      </c>
      <c r="W203" s="211">
        <f>V203*'Input data meat and eggs'!$D426</f>
        <v>2830888702.6924481</v>
      </c>
      <c r="X203" s="211"/>
      <c r="Y203" s="211"/>
      <c r="Z203" s="1242"/>
      <c r="AA203" s="189"/>
      <c r="AB203" s="1240">
        <f>'Input data meat and eggs'!$T426*'Input data meat and eggs'!F$47</f>
        <v>12335.753676202359</v>
      </c>
      <c r="AC203" s="211">
        <f>AB203*'Input data meat and eggs'!$D426</f>
        <v>6325823828.1712742</v>
      </c>
      <c r="AD203" s="211"/>
      <c r="AE203" s="211"/>
      <c r="AF203" s="1242"/>
      <c r="AG203" s="189"/>
      <c r="AH203" s="883">
        <f>'Input data meat and eggs'!$S426*'Input data meat and eggs'!G$48+'Input data meat and eggs'!$T426*'Input data meat and eggs'!G$47+'Input data meat and eggs'!$U426*'Input data meat and eggs'!G$35+'Input data meat and eggs'!$V426*SUMPRODUCT('Input data meat and eggs'!$E$77:$E$86,'Input data meat and eggs'!G$37:G$46)</f>
        <v>147.37736713941513</v>
      </c>
      <c r="AI203" s="884">
        <f>AH203*'Input data meat and eggs'!$D426</f>
        <v>75575703.378560632</v>
      </c>
      <c r="AJ203" s="884"/>
      <c r="AK203" s="884"/>
      <c r="AL203" s="885"/>
      <c r="AM203" s="877"/>
      <c r="AN203" s="883">
        <f>'Input data meat and eggs'!$S426*'Input data meat and eggs'!H$48+'Input data meat and eggs'!$T426*'Input data meat and eggs'!H$47+'Input data meat and eggs'!$U426*'Input data meat and eggs'!H$35+'Input data meat and eggs'!$V426*SUMPRODUCT('Input data meat and eggs'!$E$77:$E$86,'Input data meat and eggs'!H$37:H$46)</f>
        <v>4.7150877622935594</v>
      </c>
      <c r="AO203" s="884">
        <f>AN203*'Input data meat and eggs'!$D426</f>
        <v>2417915.8648551865</v>
      </c>
      <c r="AP203" s="884"/>
      <c r="AQ203" s="884"/>
      <c r="AR203" s="885"/>
      <c r="AS203" s="877"/>
      <c r="AT203" s="883">
        <f>'Input data meat and eggs'!$S426*'Input data meat and eggs'!I$48+'Input data meat and eggs'!$T426*'Input data meat and eggs'!I$47+'Input data meat and eggs'!$U426*'Input data meat and eggs'!I$35+'Input data meat and eggs'!$V426*SUMPRODUCT('Input data meat and eggs'!$E$77:$E$86,'Input data meat and eggs'!I$37:I$46)</f>
        <v>2.2310399104922012</v>
      </c>
      <c r="AU203" s="884">
        <f>'Input data meat and eggs'!G426/12*((1-'Input data meat and eggs'!$R426)*'Input data meat and eggs'!$B$61+'Input data meat and eggs'!$R426*'Input data meat and eggs'!$B$62)</f>
        <v>19.059083333333334</v>
      </c>
      <c r="AV203" s="884">
        <f>SUM(AT203:AU203)</f>
        <v>21.290123243825533</v>
      </c>
      <c r="AW203" s="884">
        <f>AV203*'Input data meat and eggs'!$D426</f>
        <v>10917660.359926708</v>
      </c>
      <c r="AX203" s="884"/>
      <c r="AY203" s="884"/>
      <c r="AZ203" s="885"/>
      <c r="BA203" s="877"/>
      <c r="BB203" s="883">
        <f>'Input data meat and eggs'!$S426*'Input data meat and eggs'!M$48+'Input data meat and eggs'!$T426*'Input data meat and eggs'!M$47+'Input data meat and eggs'!$U426*'Input data meat and eggs'!M$35+'Input data meat and eggs'!$V426*SUMPRODUCT('Input data meat and eggs'!$E$77:$E$86,'Input data meat and eggs'!M$37:M$46)</f>
        <v>5.9350471422251393E-7</v>
      </c>
      <c r="BC203" s="884">
        <f>BB203*'Input data meat and eggs'!$D426</f>
        <v>0.30435159147216201</v>
      </c>
      <c r="BD203" s="884"/>
      <c r="BE203" s="884"/>
      <c r="BF203" s="885"/>
      <c r="BG203" s="877"/>
      <c r="BH203" s="883">
        <f>'Input data meat and eggs'!$S426*'Input data meat and eggs'!U$48+'Input data meat and eggs'!$T426*'Input data meat and eggs'!U$47+'Input data meat and eggs'!$U426*'Input data meat and eggs'!U$35+'Input data meat and eggs'!$V426*SUMPRODUCT('Input data meat and eggs'!$E$77:$E$86,'Input data meat and eggs'!U$37:U$46)</f>
        <v>0.17074943463778511</v>
      </c>
      <c r="BI203" s="884">
        <f>BH203*'Input data meat and eggs'!$D426</f>
        <v>87560.993079994762</v>
      </c>
      <c r="BJ203" s="884"/>
      <c r="BK203" s="884"/>
      <c r="BL203" s="885"/>
      <c r="BM203" s="877"/>
      <c r="BN203" s="883">
        <f>'Input data meat and eggs'!$S426*'Input data meat and eggs'!W$48+'Input data meat and eggs'!$T426*'Input data meat and eggs'!W$47+'Input data meat and eggs'!$U426*'Input data meat and eggs'!W$35+'Input data meat and eggs'!$V426*SUMPRODUCT('Input data meat and eggs'!$E$77:$E$86,'Input data meat and eggs'!W$37:W$46)</f>
        <v>9.4236484845885613</v>
      </c>
      <c r="BO203" s="884">
        <f>BN203*'Input data meat and eggs'!$D426</f>
        <v>4832484.6374909524</v>
      </c>
      <c r="BP203" s="884"/>
      <c r="BQ203" s="884"/>
      <c r="BR203" s="885"/>
      <c r="BS203" s="877"/>
      <c r="BT203" s="879"/>
      <c r="BU203" s="886"/>
    </row>
    <row r="204" spans="1:73">
      <c r="A204" s="391"/>
      <c r="B204" s="901"/>
      <c r="C204" s="907"/>
      <c r="D204" s="900"/>
      <c r="E204" s="511" t="s">
        <v>317</v>
      </c>
      <c r="F204" s="928">
        <f>IF(AND($G$2="No",$G$3="No"),SUM(J204:M204),IF(AND($G$2="Yes", $G$3="No"), SUM(J204:M204)+O204, IF(AND($G$2="No", $G$3="Yes"),SUM(J204:M204)+N204, SUM(J204:M204)+O204+N204)))</f>
        <v>-95290740.893012196</v>
      </c>
      <c r="G204" s="877">
        <f>IF(AND($G$2="No",$G$3="No"),SUM(I204:M204,P204),IF(AND($G$2="Yes", $G$3="No"), SUM(I204:M204,P204)+O204, IF(AND($G$2="No", $G$3="Yes"),SUM(I204:M204,P204)+N204, SUM(I204:M204,P204)+O204+N204)))</f>
        <v>203040332.38385555</v>
      </c>
      <c r="H204" s="878"/>
      <c r="I204" s="877">
        <f>('Input data meat and eggs'!S426*'Input data meat and eggs'!B48+'Input data meat and eggs'!T426*'Input data meat and eggs'!B47+'Input data meat and eggs'!U426*'Input data meat and eggs'!B35+'Input data meat and eggs'!V426*SUMPRODUCT('Input data meat and eggs'!B37:B46,'Input data meat and eggs'!E77:E86))*'Input data meat and eggs'!$E$426</f>
        <v>298331073.27686775</v>
      </c>
      <c r="J204" s="877">
        <v>0</v>
      </c>
      <c r="K204" s="877">
        <v>0</v>
      </c>
      <c r="L204" s="877">
        <v>0</v>
      </c>
      <c r="M204" s="877">
        <v>0</v>
      </c>
      <c r="N204" s="877">
        <f>(('Input data meat and eggs'!S426+'Input data meat and eggs'!T426)*'Common input data'!F19+
'Input data meat and eggs'!U426*'Common input data'!B19+'Input data meat and eggs'!V426*('Input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eggs'!$E$426</f>
        <v>-109456110.99111208</v>
      </c>
      <c r="O204" s="877">
        <f>('Input data meat and eggs'!V426*('Input data meat and eggs'!E79*'Common input data'!AR27*'Common input data'!G44/'Common input data'!F44+'Input data meat and eggs'!E83*'Common input data'!AS27*'Common input data'!J46/'Common input data'!I46))*'Input data meat and eggs'!$E$426</f>
        <v>14165370.098099895</v>
      </c>
      <c r="P204" s="877">
        <v>0</v>
      </c>
      <c r="Q204" s="877">
        <v>0</v>
      </c>
      <c r="R204" s="877">
        <f>SUM(G204+Q204)/'Input data meat and eggs'!$B$29</f>
        <v>292144363.1422382</v>
      </c>
      <c r="S204" s="877"/>
      <c r="T204" s="886"/>
      <c r="V204" s="1230"/>
      <c r="W204" s="183"/>
      <c r="X204" s="183"/>
      <c r="Y204" s="183"/>
      <c r="Z204" s="1231"/>
      <c r="AA204" s="183"/>
      <c r="AB204" s="1230"/>
      <c r="AC204" s="183"/>
      <c r="AD204" s="183"/>
      <c r="AE204" s="183"/>
      <c r="AF204" s="1231"/>
      <c r="AG204" s="189"/>
      <c r="AH204" s="879"/>
      <c r="AI204" s="877"/>
      <c r="AJ204" s="877"/>
      <c r="AK204" s="877"/>
      <c r="AL204" s="886"/>
      <c r="AM204" s="877"/>
      <c r="AN204" s="879"/>
      <c r="AO204" s="877"/>
      <c r="AP204" s="877"/>
      <c r="AQ204" s="877"/>
      <c r="AR204" s="886"/>
      <c r="AS204" s="877"/>
      <c r="AT204" s="879"/>
      <c r="AU204" s="877"/>
      <c r="AV204" s="877"/>
      <c r="AW204" s="877"/>
      <c r="AX204" s="877"/>
      <c r="AY204" s="877"/>
      <c r="AZ204" s="886"/>
      <c r="BA204" s="877"/>
      <c r="BB204" s="879"/>
      <c r="BC204" s="877"/>
      <c r="BD204" s="877"/>
      <c r="BE204" s="877"/>
      <c r="BF204" s="886"/>
      <c r="BG204" s="877"/>
      <c r="BH204" s="879"/>
      <c r="BI204" s="877"/>
      <c r="BJ204" s="877"/>
      <c r="BK204" s="877"/>
      <c r="BL204" s="886"/>
      <c r="BM204" s="877"/>
      <c r="BN204" s="879"/>
      <c r="BO204" s="877"/>
      <c r="BP204" s="877"/>
      <c r="BQ204" s="877"/>
      <c r="BR204" s="886"/>
      <c r="BS204" s="877"/>
      <c r="BT204" s="879"/>
      <c r="BU204" s="886"/>
    </row>
    <row r="205" spans="1:73">
      <c r="A205" s="391"/>
      <c r="B205" s="901"/>
      <c r="C205" s="907"/>
      <c r="D205" s="900"/>
      <c r="E205" s="511" t="s">
        <v>321</v>
      </c>
      <c r="F205" s="928">
        <f>SUM(J205:M205)</f>
        <v>51615246.249026991</v>
      </c>
      <c r="G205" s="877">
        <f>SUM(I205:M205,P205)</f>
        <v>51615246.249026991</v>
      </c>
      <c r="H205" s="878"/>
      <c r="I205" s="877">
        <v>0</v>
      </c>
      <c r="J205" s="877">
        <v>0</v>
      </c>
      <c r="K205" s="877">
        <f>'Input data meat and eggs'!N426*'Input data meat and eggs'!G426/12*'Input data meat and eggs'!E426</f>
        <v>3934874.2192942621</v>
      </c>
      <c r="L205" s="877">
        <v>0</v>
      </c>
      <c r="M205" s="877">
        <f>('Input data meat and eggs'!L426*'Input data meat and eggs'!G426/12)*'Input data meat and eggs'!$E$426</f>
        <v>47680372.029732727</v>
      </c>
      <c r="N205" s="877">
        <v>0</v>
      </c>
      <c r="O205" s="877">
        <v>0</v>
      </c>
      <c r="P205" s="877">
        <v>0</v>
      </c>
      <c r="Q205" s="877">
        <v>0</v>
      </c>
      <c r="R205" s="877">
        <f>SUM(G205+Q205)/'Input data meat and eggs'!$B$29</f>
        <v>74266541.36550647</v>
      </c>
      <c r="S205" s="877"/>
      <c r="T205" s="886"/>
      <c r="V205" s="1230"/>
      <c r="W205" s="183"/>
      <c r="X205" s="183"/>
      <c r="Y205" s="183"/>
      <c r="Z205" s="1231"/>
      <c r="AA205" s="183"/>
      <c r="AB205" s="1230"/>
      <c r="AC205" s="183"/>
      <c r="AD205" s="183"/>
      <c r="AE205" s="183"/>
      <c r="AF205" s="1231"/>
      <c r="AG205" s="189"/>
      <c r="AH205" s="879"/>
      <c r="AI205" s="877"/>
      <c r="AJ205" s="877"/>
      <c r="AK205" s="877"/>
      <c r="AL205" s="886"/>
      <c r="AM205" s="877"/>
      <c r="AN205" s="879"/>
      <c r="AO205" s="877"/>
      <c r="AP205" s="877"/>
      <c r="AQ205" s="877"/>
      <c r="AR205" s="886"/>
      <c r="AS205" s="877"/>
      <c r="AT205" s="879"/>
      <c r="AU205" s="877"/>
      <c r="AV205" s="877"/>
      <c r="AW205" s="877"/>
      <c r="AX205" s="877"/>
      <c r="AY205" s="877"/>
      <c r="AZ205" s="886"/>
      <c r="BA205" s="877"/>
      <c r="BB205" s="879"/>
      <c r="BC205" s="877"/>
      <c r="BD205" s="877"/>
      <c r="BE205" s="877"/>
      <c r="BF205" s="886"/>
      <c r="BG205" s="877"/>
      <c r="BH205" s="879"/>
      <c r="BI205" s="877"/>
      <c r="BJ205" s="877"/>
      <c r="BK205" s="877"/>
      <c r="BL205" s="886"/>
      <c r="BM205" s="877"/>
      <c r="BN205" s="879"/>
      <c r="BO205" s="877"/>
      <c r="BP205" s="877"/>
      <c r="BQ205" s="877"/>
      <c r="BR205" s="886"/>
      <c r="BS205" s="877"/>
      <c r="BT205" s="879"/>
      <c r="BU205" s="886"/>
    </row>
    <row r="206" spans="1:73">
      <c r="A206" s="391"/>
      <c r="B206" s="901"/>
      <c r="C206" s="907"/>
      <c r="D206" s="900"/>
      <c r="E206" s="511" t="s">
        <v>319</v>
      </c>
      <c r="F206" s="928">
        <f>SUM(J206:M206)</f>
        <v>0</v>
      </c>
      <c r="G206" s="877">
        <f>SUM(I206:M206,P206)</f>
        <v>233181.53526136561</v>
      </c>
      <c r="H206" s="878"/>
      <c r="I206" s="877">
        <f>('Input data meat and eggs'!S426*'Input data meat and eggs'!C48+'Input data meat and eggs'!T426*'Input data meat and eggs'!C47+'Input data meat and eggs'!U426*'Input data meat and eggs'!C35+'Input data meat and eggs'!V426*SUMPRODUCT('Input data meat and eggs'!C37:C46,'Input data meat and eggs'!E77:E86))*'Input data meat and eggs'!$E$426</f>
        <v>233181.53526136561</v>
      </c>
      <c r="J206" s="877">
        <v>0</v>
      </c>
      <c r="K206" s="877">
        <v>0</v>
      </c>
      <c r="L206" s="877">
        <v>0</v>
      </c>
      <c r="M206" s="877">
        <v>0</v>
      </c>
      <c r="N206" s="877">
        <v>0</v>
      </c>
      <c r="O206" s="877">
        <v>0</v>
      </c>
      <c r="P206" s="877">
        <v>0</v>
      </c>
      <c r="Q206" s="877">
        <v>0</v>
      </c>
      <c r="R206" s="877">
        <f>SUM(G206+Q206)/'Input data meat and eggs'!$B$29</f>
        <v>335513.00037606567</v>
      </c>
      <c r="S206" s="877"/>
      <c r="T206" s="886"/>
      <c r="V206" s="1230"/>
      <c r="W206" s="183"/>
      <c r="X206" s="183"/>
      <c r="Y206" s="183"/>
      <c r="Z206" s="1231"/>
      <c r="AA206" s="183"/>
      <c r="AB206" s="1230"/>
      <c r="AC206" s="183"/>
      <c r="AD206" s="183"/>
      <c r="AE206" s="183"/>
      <c r="AF206" s="1231"/>
      <c r="AG206" s="189"/>
      <c r="AH206" s="879"/>
      <c r="AI206" s="877"/>
      <c r="AJ206" s="877"/>
      <c r="AK206" s="877"/>
      <c r="AL206" s="886"/>
      <c r="AM206" s="877"/>
      <c r="AN206" s="879"/>
      <c r="AO206" s="877"/>
      <c r="AP206" s="877"/>
      <c r="AQ206" s="877"/>
      <c r="AR206" s="886"/>
      <c r="AS206" s="877"/>
      <c r="AT206" s="879"/>
      <c r="AU206" s="877"/>
      <c r="AV206" s="877"/>
      <c r="AW206" s="877"/>
      <c r="AX206" s="877"/>
      <c r="AY206" s="877"/>
      <c r="AZ206" s="886"/>
      <c r="BA206" s="877"/>
      <c r="BB206" s="879"/>
      <c r="BC206" s="877"/>
      <c r="BD206" s="877"/>
      <c r="BE206" s="877"/>
      <c r="BF206" s="886"/>
      <c r="BG206" s="877"/>
      <c r="BH206" s="879"/>
      <c r="BI206" s="877"/>
      <c r="BJ206" s="877"/>
      <c r="BK206" s="877"/>
      <c r="BL206" s="886"/>
      <c r="BM206" s="877"/>
      <c r="BN206" s="879"/>
      <c r="BO206" s="877"/>
      <c r="BP206" s="877"/>
      <c r="BQ206" s="877"/>
      <c r="BR206" s="886"/>
      <c r="BS206" s="877"/>
      <c r="BT206" s="879"/>
      <c r="BU206" s="886"/>
    </row>
    <row r="207" spans="1:73">
      <c r="A207" s="391"/>
      <c r="B207" s="901"/>
      <c r="C207" s="907"/>
      <c r="D207" s="900"/>
      <c r="E207" s="512" t="s">
        <v>320</v>
      </c>
      <c r="F207" s="928">
        <f>SUM(J207:M207)</f>
        <v>2416788.4160702834</v>
      </c>
      <c r="G207" s="877">
        <f>SUM(I207:M207,P207)</f>
        <v>2728220.5526880538</v>
      </c>
      <c r="H207" s="878"/>
      <c r="I207" s="877">
        <f>(('Input data meat and eggs'!S426*'Input data meat and eggs'!D48+'Input data meat and eggs'!T426*'Input data meat and eggs'!D47+'Input data meat and eggs'!U426*'Input data meat and eggs'!D35+'Input data meat and eggs'!V426*SUMPRODUCT('Input data meat and eggs'!D37:D46,'Input data meat and eggs'!E77:E86))*'Input data meat and eggs'!B70)*'Input data meat and eggs'!$E$426</f>
        <v>311432.13661777013</v>
      </c>
      <c r="J207" s="877">
        <f>(('Input data meat and eggs'!S426*'Input data meat and eggs'!D48+'Input data meat and eggs'!T426*'Input data meat and eggs'!D47+'Input data meat and eggs'!U426*'Input data meat and eggs'!D35+'Input data meat and eggs'!V426*SUMPRODUCT('Input data meat and eggs'!D37:D46,'Input data meat and eggs'!E77:E86))*'Input data meat and eggs'!C70)*'Input data meat and eggs'!$E$426</f>
        <v>787174.91400162282</v>
      </c>
      <c r="K207" s="877">
        <f>('Input data meat and eggs'!K426*'Input data meat and eggs'!G426/12*('Input data meat and eggs'!$O$426*'Input data meat and eggs'!$B$457+'Input data meat and eggs'!$P$426*'Input data meat and eggs'!$C$457+'Input data meat and eggs'!$Q$426*'Input data meat and eggs'!$D$457+'Input data meat and eggs'!$R$426*'Input data meat and eggs'!$E$457)*44/28)*'Input data meat and eggs'!$E$426</f>
        <v>1473038.7534501799</v>
      </c>
      <c r="L207" s="877">
        <f>('Input data meat and eggs'!$B$458*44/28*'Input data meat and eggs'!K426*'Input data meat and eggs'!G426/12*('Input data meat and eggs'!O426*'Input data meat and eggs'!B470+'Input data meat and eggs'!P426*'Input data meat and eggs'!C470+'Input data meat and eggs'!Q426*'Input data meat and eggs'!D470))*'Input data meat and eggs'!$E$426</f>
        <v>156574.74861848066</v>
      </c>
      <c r="M207" s="877">
        <v>0</v>
      </c>
      <c r="N207" s="877">
        <v>0</v>
      </c>
      <c r="O207" s="877">
        <v>0</v>
      </c>
      <c r="P207" s="877">
        <v>0</v>
      </c>
      <c r="Q207" s="877">
        <v>0</v>
      </c>
      <c r="R207" s="877">
        <f>SUM(G207+Q207)/'Input data meat and eggs'!$B$29</f>
        <v>3925497.198112308</v>
      </c>
      <c r="S207" s="877"/>
      <c r="T207" s="886"/>
      <c r="V207" s="1230"/>
      <c r="W207" s="183"/>
      <c r="X207" s="183"/>
      <c r="Y207" s="183"/>
      <c r="Z207" s="1231"/>
      <c r="AA207" s="183"/>
      <c r="AB207" s="1230"/>
      <c r="AC207" s="183"/>
      <c r="AD207" s="183"/>
      <c r="AE207" s="183"/>
      <c r="AF207" s="1231"/>
      <c r="AG207" s="189"/>
      <c r="AH207" s="879"/>
      <c r="AI207" s="877"/>
      <c r="AJ207" s="877"/>
      <c r="AK207" s="877"/>
      <c r="AL207" s="886"/>
      <c r="AM207" s="877"/>
      <c r="AN207" s="879"/>
      <c r="AO207" s="877"/>
      <c r="AP207" s="877"/>
      <c r="AQ207" s="877"/>
      <c r="AR207" s="886"/>
      <c r="AS207" s="877"/>
      <c r="AT207" s="879"/>
      <c r="AU207" s="877"/>
      <c r="AV207" s="877"/>
      <c r="AW207" s="877"/>
      <c r="AX207" s="877"/>
      <c r="AY207" s="877"/>
      <c r="AZ207" s="886"/>
      <c r="BA207" s="877"/>
      <c r="BB207" s="879"/>
      <c r="BC207" s="877"/>
      <c r="BD207" s="877"/>
      <c r="BE207" s="877"/>
      <c r="BF207" s="886"/>
      <c r="BG207" s="877"/>
      <c r="BH207" s="879"/>
      <c r="BI207" s="877"/>
      <c r="BJ207" s="877"/>
      <c r="BK207" s="877"/>
      <c r="BL207" s="886"/>
      <c r="BM207" s="877"/>
      <c r="BN207" s="879"/>
      <c r="BO207" s="877"/>
      <c r="BP207" s="877"/>
      <c r="BQ207" s="877"/>
      <c r="BR207" s="886"/>
      <c r="BS207" s="877"/>
      <c r="BT207" s="879"/>
      <c r="BU207" s="886"/>
    </row>
    <row r="208" spans="1:73">
      <c r="A208" s="389"/>
      <c r="B208" s="1330" t="s">
        <v>345</v>
      </c>
      <c r="C208" s="909"/>
      <c r="D208" s="900"/>
      <c r="E208" s="513" t="s">
        <v>316</v>
      </c>
      <c r="F208" s="930">
        <f>SUMPRODUCT($CA$7:$CA$10,F209:F212)</f>
        <v>362033619.83204699</v>
      </c>
      <c r="G208" s="872">
        <f>SUMPRODUCT($CA$7:$CA$10,G209:G212)</f>
        <v>567687531.99436975</v>
      </c>
      <c r="H208" s="873"/>
      <c r="I208" s="884"/>
      <c r="J208" s="884"/>
      <c r="K208" s="884"/>
      <c r="L208" s="884"/>
      <c r="M208" s="884"/>
      <c r="N208" s="884"/>
      <c r="O208" s="884"/>
      <c r="P208" s="884"/>
      <c r="Q208" s="884"/>
      <c r="R208" s="884"/>
      <c r="S208" s="884"/>
      <c r="T208" s="885"/>
      <c r="V208" s="1240">
        <f>'Input data meat and eggs'!$S427*'Input data meat and eggs'!E$48+'Input data meat and eggs'!$U427*'Input data meat and eggs'!E$35+'Input data meat and eggs'!$V427*SUMPRODUCT('Input data meat and eggs'!$E$77:$E$86,'Input data meat and eggs'!E$37:E$46)</f>
        <v>7353.7846356867931</v>
      </c>
      <c r="W208" s="211">
        <f>V208*'Input data meat and eggs'!$D427</f>
        <v>1613376226.3618684</v>
      </c>
      <c r="X208" s="211"/>
      <c r="Y208" s="211"/>
      <c r="Z208" s="1242"/>
      <c r="AA208" s="189"/>
      <c r="AB208" s="1240">
        <f>'Input data meat and eggs'!$T427*'Input data meat and eggs'!F$47</f>
        <v>17210.961715899099</v>
      </c>
      <c r="AC208" s="211">
        <f>AB208*'Input data meat and eggs'!$D427</f>
        <v>3775981734.6979671</v>
      </c>
      <c r="AD208" s="211"/>
      <c r="AE208" s="211"/>
      <c r="AF208" s="1242"/>
      <c r="AG208" s="189"/>
      <c r="AH208" s="883">
        <f>'Input data meat and eggs'!$S427*'Input data meat and eggs'!G$48+'Input data meat and eggs'!$T427*'Input data meat and eggs'!G$47+'Input data meat and eggs'!$U427*'Input data meat and eggs'!G$35+'Input data meat and eggs'!$V427*SUMPRODUCT('Input data meat and eggs'!$E$77:$E$86,'Input data meat and eggs'!G$37:G$46)</f>
        <v>200.85506744157755</v>
      </c>
      <c r="AI208" s="884">
        <f>AH208*'Input data meat and eggs'!$D427</f>
        <v>44066396.666277461</v>
      </c>
      <c r="AJ208" s="884"/>
      <c r="AK208" s="884"/>
      <c r="AL208" s="885"/>
      <c r="AM208" s="877"/>
      <c r="AN208" s="883">
        <f>'Input data meat and eggs'!$S427*'Input data meat and eggs'!H$48+'Input data meat and eggs'!$T427*'Input data meat and eggs'!H$47+'Input data meat and eggs'!$U427*'Input data meat and eggs'!H$35+'Input data meat and eggs'!$V427*SUMPRODUCT('Input data meat and eggs'!$E$77:$E$86,'Input data meat and eggs'!H$37:H$46)</f>
        <v>6.1088699182312984</v>
      </c>
      <c r="AO208" s="884">
        <f>AN208*'Input data meat and eggs'!$D427</f>
        <v>1340249.4068404376</v>
      </c>
      <c r="AP208" s="884"/>
      <c r="AQ208" s="884"/>
      <c r="AR208" s="885"/>
      <c r="AS208" s="877"/>
      <c r="AT208" s="883">
        <f>'Input data meat and eggs'!$S427*'Input data meat and eggs'!I$48+'Input data meat and eggs'!$T427*'Input data meat and eggs'!I$47+'Input data meat and eggs'!$U427*'Input data meat and eggs'!I$35+'Input data meat and eggs'!$V427*SUMPRODUCT('Input data meat and eggs'!$E$77:$E$86,'Input data meat and eggs'!I$37:I$46)</f>
        <v>2.1707785529004395</v>
      </c>
      <c r="AU208" s="884">
        <f>'Input data meat and eggs'!G427/12*((1-'Input data meat and eggs'!$R427)*'Input data meat and eggs'!$B$61+'Input data meat and eggs'!$R427*'Input data meat and eggs'!$B$62)</f>
        <v>23.465119999999999</v>
      </c>
      <c r="AV208" s="884">
        <f>SUM(AT208:AU208)</f>
        <v>25.635898552900439</v>
      </c>
      <c r="AW208" s="884">
        <f>AV208*'Input data meat and eggs'!$D427</f>
        <v>5624362.3271150393</v>
      </c>
      <c r="AX208" s="884"/>
      <c r="AY208" s="884"/>
      <c r="AZ208" s="885"/>
      <c r="BA208" s="877"/>
      <c r="BB208" s="883">
        <f>'Input data meat and eggs'!$S427*'Input data meat and eggs'!M$48+'Input data meat and eggs'!$T427*'Input data meat and eggs'!M$47+'Input data meat and eggs'!$U427*'Input data meat and eggs'!M$35+'Input data meat and eggs'!$V427*SUMPRODUCT('Input data meat and eggs'!$E$77:$E$86,'Input data meat and eggs'!M$37:M$46)</f>
        <v>8.0001143404542748E-7</v>
      </c>
      <c r="BC208" s="884">
        <f>BB208*'Input data meat and eggs'!$D427</f>
        <v>0.17551770856096252</v>
      </c>
      <c r="BD208" s="884"/>
      <c r="BE208" s="884"/>
      <c r="BF208" s="885"/>
      <c r="BG208" s="877"/>
      <c r="BH208" s="883">
        <f>'Input data meat and eggs'!$S427*'Input data meat and eggs'!U$48+'Input data meat and eggs'!$T427*'Input data meat and eggs'!U$47+'Input data meat and eggs'!$U427*'Input data meat and eggs'!U$35+'Input data meat and eggs'!$V427*SUMPRODUCT('Input data meat and eggs'!$E$77:$E$86,'Input data meat and eggs'!U$37:U$46)</f>
        <v>0.22182153603487492</v>
      </c>
      <c r="BI208" s="884">
        <f>BH208*'Input data meat and eggs'!$D427</f>
        <v>48666.314076835348</v>
      </c>
      <c r="BJ208" s="884"/>
      <c r="BK208" s="884"/>
      <c r="BL208" s="885"/>
      <c r="BM208" s="877"/>
      <c r="BN208" s="883">
        <f>'Input data meat and eggs'!$S427*'Input data meat and eggs'!W$48+'Input data meat and eggs'!$T427*'Input data meat and eggs'!W$47+'Input data meat and eggs'!$U427*'Input data meat and eggs'!W$35+'Input data meat and eggs'!$V427*SUMPRODUCT('Input data meat and eggs'!$E$77:$E$86,'Input data meat and eggs'!W$37:W$46)</f>
        <v>12.894112631645529</v>
      </c>
      <c r="BO208" s="884">
        <f>BN208*'Input data meat and eggs'!$D427</f>
        <v>2828890.9467072389</v>
      </c>
      <c r="BP208" s="884"/>
      <c r="BQ208" s="884"/>
      <c r="BR208" s="885"/>
      <c r="BS208" s="877"/>
      <c r="BT208" s="879"/>
      <c r="BU208" s="886"/>
    </row>
    <row r="209" spans="1:73">
      <c r="A209" s="392"/>
      <c r="B209" s="901"/>
      <c r="C209" s="907"/>
      <c r="D209" s="900"/>
      <c r="E209" s="511" t="s">
        <v>317</v>
      </c>
      <c r="F209" s="928">
        <f>IF(AND($G$2="No",$G$3="No"),SUM(J209:M209),IF(AND($G$2="Yes", $G$3="No"), SUM(J209:M209)+O209, IF(AND($G$2="No", $G$3="Yes"),SUM(J209:M209)+N209, SUM(J209:M209)+O209+N209)))</f>
        <v>-62815013.681638509</v>
      </c>
      <c r="G209" s="877">
        <f>IF(AND($G$2="No",$G$3="No"),SUM(I209:M209,P209),IF(AND($G$2="Yes", $G$3="No"), SUM(I209:M209,P209)+O209, IF(AND($G$2="No", $G$3="Yes"),SUM(I209:M209,P209)+N209, SUM(I209:M209,P209)+O209+N209)))</f>
        <v>101668419.01873972</v>
      </c>
      <c r="H209" s="878"/>
      <c r="I209" s="877">
        <f>('Input data meat and eggs'!S427*'Input data meat and eggs'!B48+'Input data meat and eggs'!T427*'Input data meat and eggs'!B47+'Input data meat and eggs'!U427*'Input data meat and eggs'!B35+'Input data meat and eggs'!V427*SUMPRODUCT('Input data meat and eggs'!B37:B46,'Input data meat and eggs'!E77:E86))*'Input data meat and eggs'!$E$427</f>
        <v>164483432.70037821</v>
      </c>
      <c r="J209" s="877">
        <v>0</v>
      </c>
      <c r="K209" s="877">
        <v>0</v>
      </c>
      <c r="L209" s="877">
        <v>0</v>
      </c>
      <c r="M209" s="877">
        <v>0</v>
      </c>
      <c r="N209" s="877">
        <f>(('Input data meat and eggs'!S427+'Input data meat and eggs'!T427)*'Common input data'!F19+
'Input data meat and eggs'!U427*'Common input data'!B19+'Input data meat and eggs'!V427*('Input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eggs'!$E$427</f>
        <v>-68697166.330774918</v>
      </c>
      <c r="O209" s="877">
        <f>('Input data meat and eggs'!V427*('Input data meat and eggs'!E79*'Common input data'!AR27*'Common input data'!G44/'Common input data'!F44+'Input data meat and eggs'!E83*'Common input data'!AS27*'Common input data'!J46/'Common input data'!I46))*'Input data meat and eggs'!$E$427</f>
        <v>5882152.649136411</v>
      </c>
      <c r="P209" s="877">
        <v>0</v>
      </c>
      <c r="Q209" s="877">
        <v>0</v>
      </c>
      <c r="R209" s="877">
        <f>SUM(G209+Q209)/'Input data meat and eggs'!$B$29</f>
        <v>146285494.9909924</v>
      </c>
      <c r="S209" s="877"/>
      <c r="T209" s="886"/>
      <c r="V209" s="1230"/>
      <c r="W209" s="183"/>
      <c r="X209" s="183"/>
      <c r="Y209" s="183"/>
      <c r="Z209" s="1231"/>
      <c r="AA209" s="183"/>
      <c r="AB209" s="1230"/>
      <c r="AC209" s="183"/>
      <c r="AD209" s="183"/>
      <c r="AE209" s="183"/>
      <c r="AF209" s="1231"/>
      <c r="AG209" s="189"/>
      <c r="AH209" s="879"/>
      <c r="AI209" s="877"/>
      <c r="AJ209" s="877"/>
      <c r="AK209" s="877"/>
      <c r="AL209" s="886"/>
      <c r="AM209" s="877"/>
      <c r="AN209" s="879"/>
      <c r="AO209" s="877"/>
      <c r="AP209" s="877"/>
      <c r="AQ209" s="877"/>
      <c r="AR209" s="886"/>
      <c r="AS209" s="877"/>
      <c r="AT209" s="879"/>
      <c r="AU209" s="877"/>
      <c r="AV209" s="877"/>
      <c r="AW209" s="877"/>
      <c r="AX209" s="877"/>
      <c r="AY209" s="877"/>
      <c r="AZ209" s="886"/>
      <c r="BA209" s="877"/>
      <c r="BB209" s="879"/>
      <c r="BC209" s="877"/>
      <c r="BD209" s="877"/>
      <c r="BE209" s="877"/>
      <c r="BF209" s="886"/>
      <c r="BG209" s="877"/>
      <c r="BH209" s="879"/>
      <c r="BI209" s="877"/>
      <c r="BJ209" s="877"/>
      <c r="BK209" s="877"/>
      <c r="BL209" s="886"/>
      <c r="BM209" s="877"/>
      <c r="BN209" s="879"/>
      <c r="BO209" s="877"/>
      <c r="BP209" s="877"/>
      <c r="BQ209" s="877"/>
      <c r="BR209" s="886"/>
      <c r="BS209" s="877"/>
      <c r="BT209" s="879"/>
      <c r="BU209" s="886"/>
    </row>
    <row r="210" spans="1:73">
      <c r="A210" s="392"/>
      <c r="B210" s="901"/>
      <c r="C210" s="907"/>
      <c r="D210" s="900"/>
      <c r="E210" s="511" t="s">
        <v>321</v>
      </c>
      <c r="F210" s="928">
        <f>SUM(J210:M210)</f>
        <v>28394399.192697696</v>
      </c>
      <c r="G210" s="877">
        <f>SUM(I210:M210,P210)</f>
        <v>28394399.192697696</v>
      </c>
      <c r="H210" s="878"/>
      <c r="I210" s="877">
        <v>0</v>
      </c>
      <c r="J210" s="877">
        <v>0</v>
      </c>
      <c r="K210" s="877">
        <f>'Input data meat and eggs'!N427*'Input data meat and eggs'!G427/12*'Input data meat and eggs'!E427</f>
        <v>2494416.9142719363</v>
      </c>
      <c r="L210" s="877">
        <v>0</v>
      </c>
      <c r="M210" s="877">
        <f>('Input data meat and eggs'!L427*'Input data meat and eggs'!G427/12)*'Input data meat and eggs'!$E$427</f>
        <v>25899982.278425761</v>
      </c>
      <c r="N210" s="877">
        <v>0</v>
      </c>
      <c r="O210" s="877">
        <v>0</v>
      </c>
      <c r="P210" s="877">
        <v>0</v>
      </c>
      <c r="Q210" s="877">
        <v>0</v>
      </c>
      <c r="R210" s="877">
        <f>SUM(G210+Q210)/'Input data meat and eggs'!$B$29</f>
        <v>40855250.636975102</v>
      </c>
      <c r="S210" s="877"/>
      <c r="T210" s="886"/>
      <c r="V210" s="1230"/>
      <c r="W210" s="183"/>
      <c r="X210" s="183"/>
      <c r="Y210" s="183"/>
      <c r="Z210" s="1231"/>
      <c r="AA210" s="183"/>
      <c r="AB210" s="1230"/>
      <c r="AC210" s="183"/>
      <c r="AD210" s="183"/>
      <c r="AE210" s="183"/>
      <c r="AF210" s="1231"/>
      <c r="AG210" s="189"/>
      <c r="AH210" s="879"/>
      <c r="AI210" s="877"/>
      <c r="AJ210" s="877"/>
      <c r="AK210" s="877"/>
      <c r="AL210" s="886"/>
      <c r="AM210" s="877"/>
      <c r="AN210" s="879"/>
      <c r="AO210" s="877"/>
      <c r="AP210" s="877"/>
      <c r="AQ210" s="877"/>
      <c r="AR210" s="886"/>
      <c r="AS210" s="877"/>
      <c r="AT210" s="879"/>
      <c r="AU210" s="877"/>
      <c r="AV210" s="877"/>
      <c r="AW210" s="877"/>
      <c r="AX210" s="877"/>
      <c r="AY210" s="877"/>
      <c r="AZ210" s="886"/>
      <c r="BA210" s="877"/>
      <c r="BB210" s="879"/>
      <c r="BC210" s="877"/>
      <c r="BD210" s="877"/>
      <c r="BE210" s="877"/>
      <c r="BF210" s="886"/>
      <c r="BG210" s="877"/>
      <c r="BH210" s="879"/>
      <c r="BI210" s="877"/>
      <c r="BJ210" s="877"/>
      <c r="BK210" s="877"/>
      <c r="BL210" s="886"/>
      <c r="BM210" s="877"/>
      <c r="BN210" s="879"/>
      <c r="BO210" s="877"/>
      <c r="BP210" s="877"/>
      <c r="BQ210" s="877"/>
      <c r="BR210" s="886"/>
      <c r="BS210" s="877"/>
      <c r="BT210" s="879"/>
      <c r="BU210" s="886"/>
    </row>
    <row r="211" spans="1:73">
      <c r="A211" s="392"/>
      <c r="B211" s="901"/>
      <c r="C211" s="907"/>
      <c r="D211" s="900"/>
      <c r="E211" s="511" t="s">
        <v>319</v>
      </c>
      <c r="F211" s="928">
        <f>SUM(J211:M211)</f>
        <v>0</v>
      </c>
      <c r="G211" s="877">
        <f>SUM(I211:M211,P211)</f>
        <v>112671.53857307855</v>
      </c>
      <c r="H211" s="878"/>
      <c r="I211" s="877">
        <f>('Input data meat and eggs'!S427*'Input data meat and eggs'!C48+'Input data meat and eggs'!T427*'Input data meat and eggs'!C47+'Input data meat and eggs'!U427*'Input data meat and eggs'!C35+'Input data meat and eggs'!V427*SUMPRODUCT('Input data meat and eggs'!C37:C46,'Input data meat and eggs'!E77:E86))*'Input data meat and eggs'!$E$427</f>
        <v>112671.53857307855</v>
      </c>
      <c r="J211" s="877">
        <v>0</v>
      </c>
      <c r="K211" s="877">
        <v>0</v>
      </c>
      <c r="L211" s="877">
        <v>0</v>
      </c>
      <c r="M211" s="877">
        <v>0</v>
      </c>
      <c r="N211" s="877">
        <v>0</v>
      </c>
      <c r="O211" s="877">
        <v>0</v>
      </c>
      <c r="P211" s="877">
        <v>0</v>
      </c>
      <c r="Q211" s="877">
        <v>0</v>
      </c>
      <c r="R211" s="877">
        <f>SUM(G211+Q211)/'Input data meat and eggs'!$B$29</f>
        <v>162117.32168788282</v>
      </c>
      <c r="S211" s="877"/>
      <c r="T211" s="886"/>
      <c r="V211" s="1230"/>
      <c r="W211" s="183"/>
      <c r="X211" s="183"/>
      <c r="Y211" s="183"/>
      <c r="Z211" s="1231"/>
      <c r="AA211" s="183"/>
      <c r="AB211" s="1230"/>
      <c r="AC211" s="183"/>
      <c r="AD211" s="183"/>
      <c r="AE211" s="183"/>
      <c r="AF211" s="1231"/>
      <c r="AG211" s="189"/>
      <c r="AH211" s="879"/>
      <c r="AI211" s="877"/>
      <c r="AJ211" s="877"/>
      <c r="AK211" s="877"/>
      <c r="AL211" s="886"/>
      <c r="AM211" s="877"/>
      <c r="AN211" s="879"/>
      <c r="AO211" s="877"/>
      <c r="AP211" s="877"/>
      <c r="AQ211" s="877"/>
      <c r="AR211" s="886"/>
      <c r="AS211" s="877"/>
      <c r="AT211" s="879"/>
      <c r="AU211" s="877"/>
      <c r="AV211" s="877"/>
      <c r="AW211" s="877"/>
      <c r="AX211" s="877"/>
      <c r="AY211" s="877"/>
      <c r="AZ211" s="886"/>
      <c r="BA211" s="877"/>
      <c r="BB211" s="879"/>
      <c r="BC211" s="877"/>
      <c r="BD211" s="877"/>
      <c r="BE211" s="877"/>
      <c r="BF211" s="886"/>
      <c r="BG211" s="877"/>
      <c r="BH211" s="879"/>
      <c r="BI211" s="877"/>
      <c r="BJ211" s="877"/>
      <c r="BK211" s="877"/>
      <c r="BL211" s="886"/>
      <c r="BM211" s="877"/>
      <c r="BN211" s="879"/>
      <c r="BO211" s="877"/>
      <c r="BP211" s="877"/>
      <c r="BQ211" s="877"/>
      <c r="BR211" s="886"/>
      <c r="BS211" s="877"/>
      <c r="BT211" s="879"/>
      <c r="BU211" s="886"/>
    </row>
    <row r="212" spans="1:73">
      <c r="A212" s="392"/>
      <c r="B212" s="901"/>
      <c r="C212" s="907"/>
      <c r="D212" s="900"/>
      <c r="E212" s="512" t="s">
        <v>320</v>
      </c>
      <c r="F212" s="928">
        <f>SUM(J212:M212)</f>
        <v>1250622.1343691261</v>
      </c>
      <c r="G212" s="877">
        <f>SUM(I212:M212,P212)</f>
        <v>1425046.6975908042</v>
      </c>
      <c r="H212" s="878"/>
      <c r="I212" s="877">
        <f>(('Input data meat and eggs'!S427*'Input data meat and eggs'!D48+'Input data meat and eggs'!T427*'Input data meat and eggs'!D47+'Input data meat and eggs'!U427*'Input data meat and eggs'!D35+'Input data meat and eggs'!V427*SUMPRODUCT('Input data meat and eggs'!D37:D46,'Input data meat and eggs'!E77:E86))*'Input data meat and eggs'!B70)*'Input data meat and eggs'!$E$427</f>
        <v>174424.56322167808</v>
      </c>
      <c r="J212" s="877">
        <f>(('Input data meat and eggs'!S427*'Input data meat and eggs'!D48+'Input data meat and eggs'!T427*'Input data meat and eggs'!D47+'Input data meat and eggs'!U427*'Input data meat and eggs'!D35+'Input data meat and eggs'!V427*SUMPRODUCT('Input data meat and eggs'!D37:D46,'Input data meat and eggs'!E77:E86))*'Input data meat and eggs'!C70)*'Input data meat and eggs'!$E$427</f>
        <v>440874.99140241486</v>
      </c>
      <c r="K212" s="877">
        <f>('Input data meat and eggs'!K427*'Input data meat and eggs'!G427/12*('Input data meat and eggs'!$O$427*'Input data meat and eggs'!$B$457+'Input data meat and eggs'!$P$427*'Input data meat and eggs'!$C$457+'Input data meat and eggs'!$Q$427*'Input data meat and eggs'!$D$457+'Input data meat and eggs'!$R$427*'Input data meat and eggs'!$E$457)*44/28)*'Input data meat and eggs'!$E$427</f>
        <v>722439.55427933612</v>
      </c>
      <c r="L212" s="877">
        <f>('Input data meat and eggs'!$B$458*44/28*'Input data meat and eggs'!K427*'Input data meat and eggs'!G427/12*('Input data meat and eggs'!O427*'Input data meat and eggs'!B470+'Input data meat and eggs'!P427*'Input data meat and eggs'!C470+'Input data meat and eggs'!Q427*'Input data meat and eggs'!D470))*'Input data meat and eggs'!$E$427</f>
        <v>87307.588687375115</v>
      </c>
      <c r="M212" s="877">
        <v>0</v>
      </c>
      <c r="N212" s="877">
        <v>0</v>
      </c>
      <c r="O212" s="877">
        <v>0</v>
      </c>
      <c r="P212" s="877">
        <v>0</v>
      </c>
      <c r="Q212" s="877">
        <v>0</v>
      </c>
      <c r="R212" s="877">
        <f>SUM(G212+Q212)/'Input data meat and eggs'!$B$29</f>
        <v>2050426.9030083516</v>
      </c>
      <c r="S212" s="877"/>
      <c r="T212" s="886"/>
      <c r="V212" s="1230"/>
      <c r="W212" s="183"/>
      <c r="X212" s="183"/>
      <c r="Y212" s="183"/>
      <c r="Z212" s="1231"/>
      <c r="AA212" s="183"/>
      <c r="AB212" s="1230"/>
      <c r="AC212" s="183"/>
      <c r="AD212" s="183"/>
      <c r="AE212" s="183"/>
      <c r="AF212" s="1231"/>
      <c r="AG212" s="189"/>
      <c r="AH212" s="879"/>
      <c r="AI212" s="877"/>
      <c r="AJ212" s="877"/>
      <c r="AK212" s="877"/>
      <c r="AL212" s="886"/>
      <c r="AM212" s="877"/>
      <c r="AN212" s="879"/>
      <c r="AO212" s="877"/>
      <c r="AP212" s="877"/>
      <c r="AQ212" s="877"/>
      <c r="AR212" s="886"/>
      <c r="AS212" s="877"/>
      <c r="AT212" s="879"/>
      <c r="AU212" s="877"/>
      <c r="AV212" s="877"/>
      <c r="AW212" s="877"/>
      <c r="AX212" s="877"/>
      <c r="AY212" s="877"/>
      <c r="AZ212" s="886"/>
      <c r="BA212" s="877"/>
      <c r="BB212" s="879"/>
      <c r="BC212" s="877"/>
      <c r="BD212" s="877"/>
      <c r="BE212" s="877"/>
      <c r="BF212" s="886"/>
      <c r="BG212" s="877"/>
      <c r="BH212" s="879"/>
      <c r="BI212" s="877"/>
      <c r="BJ212" s="877"/>
      <c r="BK212" s="877"/>
      <c r="BL212" s="886"/>
      <c r="BM212" s="877"/>
      <c r="BN212" s="879"/>
      <c r="BO212" s="877"/>
      <c r="BP212" s="877"/>
      <c r="BQ212" s="877"/>
      <c r="BR212" s="886"/>
      <c r="BS212" s="877"/>
      <c r="BT212" s="879"/>
      <c r="BU212" s="886"/>
    </row>
    <row r="213" spans="1:73">
      <c r="A213" s="393"/>
      <c r="B213" s="1330" t="s">
        <v>356</v>
      </c>
      <c r="C213" s="909"/>
      <c r="D213" s="900"/>
      <c r="E213" s="513" t="s">
        <v>316</v>
      </c>
      <c r="F213" s="930">
        <f>SUMPRODUCT($CA$7:$CA$10,F214:F217)</f>
        <v>691660654.5322268</v>
      </c>
      <c r="G213" s="872">
        <f>SUMPRODUCT($CA$7:$CA$10,G214:G217)</f>
        <v>1306213907.7128978</v>
      </c>
      <c r="H213" s="873"/>
      <c r="I213" s="884"/>
      <c r="J213" s="884"/>
      <c r="K213" s="884"/>
      <c r="L213" s="884"/>
      <c r="M213" s="884"/>
      <c r="N213" s="884"/>
      <c r="O213" s="884"/>
      <c r="P213" s="884"/>
      <c r="Q213" s="884"/>
      <c r="R213" s="884"/>
      <c r="S213" s="884"/>
      <c r="T213" s="885"/>
      <c r="V213" s="1240">
        <f>'Input data meat and eggs'!$S428*'Input data meat and eggs'!E$48+'Input data meat and eggs'!$U428*'Input data meat and eggs'!E$35+'Input data meat and eggs'!$V428*SUMPRODUCT('Input data meat and eggs'!$E$77:$E$86,'Input data meat and eggs'!E$37:E$46)</f>
        <v>7271.8333104667554</v>
      </c>
      <c r="W213" s="211">
        <f>V213*'Input data meat and eggs'!$D428</f>
        <v>4508493021.4895258</v>
      </c>
      <c r="X213" s="211"/>
      <c r="Y213" s="211"/>
      <c r="Z213" s="1242"/>
      <c r="AA213" s="189"/>
      <c r="AB213" s="1240">
        <f>'Input data meat and eggs'!$T428*'Input data meat and eggs'!F$47</f>
        <v>30211.516488423742</v>
      </c>
      <c r="AC213" s="211">
        <f>AB213*'Input data meat and eggs'!$D428</f>
        <v>18730958953.723789</v>
      </c>
      <c r="AD213" s="211"/>
      <c r="AE213" s="211"/>
      <c r="AF213" s="1242"/>
      <c r="AG213" s="189"/>
      <c r="AH213" s="883">
        <f>'Input data meat and eggs'!$S428*'Input data meat and eggs'!G$48+'Input data meat and eggs'!$T428*'Input data meat and eggs'!G$47+'Input data meat and eggs'!$U428*'Input data meat and eggs'!G$35+'Input data meat and eggs'!$V428*SUMPRODUCT('Input data meat and eggs'!$E$77:$E$86,'Input data meat and eggs'!G$37:G$46)</f>
        <v>247.01371744987114</v>
      </c>
      <c r="AI213" s="884">
        <f>AH213*'Input data meat and eggs'!$D428</f>
        <v>153147022.73661542</v>
      </c>
      <c r="AJ213" s="884"/>
      <c r="AK213" s="884"/>
      <c r="AL213" s="885"/>
      <c r="AM213" s="877"/>
      <c r="AN213" s="883">
        <f>'Input data meat and eggs'!$S428*'Input data meat and eggs'!H$48+'Input data meat and eggs'!$T428*'Input data meat and eggs'!H$47+'Input data meat and eggs'!$U428*'Input data meat and eggs'!H$35+'Input data meat and eggs'!$V428*SUMPRODUCT('Input data meat and eggs'!$E$77:$E$86,'Input data meat and eggs'!H$37:H$46)</f>
        <v>6.7672707075148466</v>
      </c>
      <c r="AO213" s="884">
        <f>AN213*'Input data meat and eggs'!$D428</f>
        <v>4195667.2350349594</v>
      </c>
      <c r="AP213" s="884"/>
      <c r="AQ213" s="884"/>
      <c r="AR213" s="885"/>
      <c r="AS213" s="877"/>
      <c r="AT213" s="883">
        <f>'Input data meat and eggs'!$S428*'Input data meat and eggs'!I$48+'Input data meat and eggs'!$T428*'Input data meat and eggs'!I$47+'Input data meat and eggs'!$U428*'Input data meat and eggs'!I$35+'Input data meat and eggs'!$V428*SUMPRODUCT('Input data meat and eggs'!$E$77:$E$86,'Input data meat and eggs'!I$37:I$46)</f>
        <v>2.1591291850161647</v>
      </c>
      <c r="AU213" s="884">
        <f>'Input data meat and eggs'!G428/12*((1-'Input data meat and eggs'!$R428)*'Input data meat and eggs'!$B$61+'Input data meat and eggs'!$R428*'Input data meat and eggs'!$B$62)</f>
        <v>21.735385000000001</v>
      </c>
      <c r="AV213" s="884">
        <f>SUM(AT213:AU213)</f>
        <v>23.894514185016167</v>
      </c>
      <c r="AW213" s="884">
        <f>AV213*'Input data meat and eggs'!$D428</f>
        <v>14814455.427624913</v>
      </c>
      <c r="AX213" s="884"/>
      <c r="AY213" s="884"/>
      <c r="AZ213" s="885"/>
      <c r="BA213" s="877"/>
      <c r="BB213" s="883">
        <f>'Input data meat and eggs'!$S428*'Input data meat and eggs'!M$48+'Input data meat and eggs'!$T428*'Input data meat and eggs'!M$47+'Input data meat and eggs'!$U428*'Input data meat and eggs'!M$35+'Input data meat and eggs'!$V428*SUMPRODUCT('Input data meat and eggs'!$E$77:$E$86,'Input data meat and eggs'!M$37:M$46)</f>
        <v>1.2009067084341325E-6</v>
      </c>
      <c r="BC213" s="884">
        <f>BB213*'Input data meat and eggs'!$D428</f>
        <v>0.74455495378891157</v>
      </c>
      <c r="BD213" s="884"/>
      <c r="BE213" s="884"/>
      <c r="BF213" s="885"/>
      <c r="BG213" s="877"/>
      <c r="BH213" s="883">
        <f>'Input data meat and eggs'!$S428*'Input data meat and eggs'!U$48+'Input data meat and eggs'!$T428*'Input data meat and eggs'!U$47+'Input data meat and eggs'!$U428*'Input data meat and eggs'!U$35+'Input data meat and eggs'!$V428*SUMPRODUCT('Input data meat and eggs'!$E$77:$E$86,'Input data meat and eggs'!U$37:U$46)</f>
        <v>0.29274667375392949</v>
      </c>
      <c r="BI213" s="884">
        <f>BH213*'Input data meat and eggs'!$D428</f>
        <v>181501.18124739375</v>
      </c>
      <c r="BJ213" s="884"/>
      <c r="BK213" s="884"/>
      <c r="BL213" s="885"/>
      <c r="BM213" s="877"/>
      <c r="BN213" s="883">
        <f>'Input data meat and eggs'!$S428*'Input data meat and eggs'!W$48+'Input data meat and eggs'!$T428*'Input data meat and eggs'!W$47+'Input data meat and eggs'!$U428*'Input data meat and eggs'!W$35+'Input data meat and eggs'!$V428*SUMPRODUCT('Input data meat and eggs'!$E$77:$E$86,'Input data meat and eggs'!W$37:W$46)</f>
        <v>15.293154322555086</v>
      </c>
      <c r="BO213" s="884">
        <f>BN213*'Input data meat and eggs'!$D428</f>
        <v>9481663.9210582189</v>
      </c>
      <c r="BP213" s="884"/>
      <c r="BQ213" s="884"/>
      <c r="BR213" s="885"/>
      <c r="BS213" s="877"/>
      <c r="BT213" s="879"/>
      <c r="BU213" s="886"/>
    </row>
    <row r="214" spans="1:73">
      <c r="A214" s="392"/>
      <c r="B214" s="901"/>
      <c r="C214" s="907"/>
      <c r="D214" s="900"/>
      <c r="E214" s="511" t="s">
        <v>317</v>
      </c>
      <c r="F214" s="928">
        <f>IF(AND($G$2="No",$G$3="No"),SUM(J214:M214),IF(AND($G$2="Yes", $G$3="No"), SUM(J214:M214)+O214, IF(AND($G$2="No", $G$3="Yes"),SUM(J214:M214)+N214, SUM(J214:M214)+O214+N214)))</f>
        <v>-346836951.69332731</v>
      </c>
      <c r="G214" s="877">
        <f>IF(AND($G$2="No",$G$3="No"),SUM(I214:M214,P214),IF(AND($G$2="Yes", $G$3="No"), SUM(I214:M214,P214)+O214, IF(AND($G$2="No", $G$3="Yes"),SUM(I214:M214,P214)+N214, SUM(I214:M214,P214)+O214+N214)))</f>
        <v>153783094.29465121</v>
      </c>
      <c r="H214" s="878"/>
      <c r="I214" s="877">
        <f>('Input data meat and eggs'!S428*'Input data meat and eggs'!B48+'Input data meat and eggs'!T428*'Input data meat and eggs'!B47+'Input data meat and eggs'!U428*'Input data meat and eggs'!B35+'Input data meat and eggs'!V428*SUMPRODUCT('Input data meat and eggs'!B37:B46,'Input data meat and eggs'!E77:E86))*'Input data meat and eggs'!$E$428</f>
        <v>500620045.98797852</v>
      </c>
      <c r="J214" s="877">
        <v>0</v>
      </c>
      <c r="K214" s="877">
        <v>0</v>
      </c>
      <c r="L214" s="877">
        <v>0</v>
      </c>
      <c r="M214" s="877">
        <v>0</v>
      </c>
      <c r="N214" s="877">
        <f>(('Input data meat and eggs'!S428+'Input data meat and eggs'!T428)*'Common input data'!F19+
'Input data meat and eggs'!U428*'Common input data'!B19+'Input data meat and eggs'!V428*('Input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eggs'!$E$428</f>
        <v>-363459554.63392133</v>
      </c>
      <c r="O214" s="877">
        <f>('Input data meat and eggs'!V428*('Input data meat and eggs'!E79*'Common input data'!AR27*'Common input data'!G44/'Common input data'!F44+'Input data meat and eggs'!E83*'Common input data'!AS27*'Common input data'!J46/'Common input data'!I46))*'Input data meat and eggs'!$E$428</f>
        <v>16622602.940593999</v>
      </c>
      <c r="P214" s="877">
        <v>0</v>
      </c>
      <c r="Q214" s="877">
        <v>0</v>
      </c>
      <c r="R214" s="877">
        <f>SUM(G214+Q214)/'Input data meat and eggs'!$B$29</f>
        <v>221270639.27287945</v>
      </c>
      <c r="S214" s="877"/>
      <c r="T214" s="886"/>
      <c r="V214" s="1230"/>
      <c r="W214" s="183"/>
      <c r="X214" s="183"/>
      <c r="Y214" s="183"/>
      <c r="Z214" s="1231"/>
      <c r="AA214" s="183"/>
      <c r="AB214" s="1230"/>
      <c r="AC214" s="183"/>
      <c r="AD214" s="183"/>
      <c r="AE214" s="183"/>
      <c r="AF214" s="1231"/>
      <c r="AG214" s="189"/>
      <c r="AH214" s="879"/>
      <c r="AI214" s="877"/>
      <c r="AJ214" s="877"/>
      <c r="AK214" s="877"/>
      <c r="AL214" s="886"/>
      <c r="AM214" s="877"/>
      <c r="AN214" s="879"/>
      <c r="AO214" s="877"/>
      <c r="AP214" s="877"/>
      <c r="AQ214" s="877"/>
      <c r="AR214" s="886"/>
      <c r="AS214" s="877"/>
      <c r="AT214" s="879"/>
      <c r="AU214" s="877"/>
      <c r="AV214" s="877"/>
      <c r="AW214" s="877"/>
      <c r="AX214" s="877"/>
      <c r="AY214" s="877"/>
      <c r="AZ214" s="886"/>
      <c r="BA214" s="877"/>
      <c r="BB214" s="879"/>
      <c r="BC214" s="877"/>
      <c r="BD214" s="877"/>
      <c r="BE214" s="877"/>
      <c r="BF214" s="886"/>
      <c r="BG214" s="877"/>
      <c r="BH214" s="879"/>
      <c r="BI214" s="877"/>
      <c r="BJ214" s="877"/>
      <c r="BK214" s="877"/>
      <c r="BL214" s="886"/>
      <c r="BM214" s="877"/>
      <c r="BN214" s="879"/>
      <c r="BO214" s="877"/>
      <c r="BP214" s="877"/>
      <c r="BQ214" s="877"/>
      <c r="BR214" s="886"/>
      <c r="BS214" s="877"/>
      <c r="BT214" s="879"/>
      <c r="BU214" s="886"/>
    </row>
    <row r="215" spans="1:73">
      <c r="A215" s="392"/>
      <c r="B215" s="901"/>
      <c r="C215" s="907"/>
      <c r="D215" s="900"/>
      <c r="E215" s="511" t="s">
        <v>321</v>
      </c>
      <c r="F215" s="928">
        <f>SUM(J215:M215)</f>
        <v>55606890.679891691</v>
      </c>
      <c r="G215" s="877">
        <f>SUM(I215:M215,P215)</f>
        <v>55606890.679891691</v>
      </c>
      <c r="H215" s="878"/>
      <c r="I215" s="877">
        <v>0</v>
      </c>
      <c r="J215" s="877">
        <v>0</v>
      </c>
      <c r="K215" s="877">
        <f>'Input data meat and eggs'!N428*'Input data meat and eggs'!G428/12*'Input data meat and eggs'!E428</f>
        <v>1680865.835184094</v>
      </c>
      <c r="L215" s="877">
        <v>0</v>
      </c>
      <c r="M215" s="877">
        <f>('Input data meat and eggs'!L428*'Input data meat and eggs'!G428/12)*'Input data meat and eggs'!$E$428</f>
        <v>53926024.844707593</v>
      </c>
      <c r="N215" s="877">
        <v>0</v>
      </c>
      <c r="O215" s="877">
        <v>0</v>
      </c>
      <c r="P215" s="877">
        <v>0</v>
      </c>
      <c r="Q215" s="877">
        <v>0</v>
      </c>
      <c r="R215" s="877">
        <f>SUM(G215+Q215)/'Input data meat and eggs'!$B$29</f>
        <v>80009914.647326186</v>
      </c>
      <c r="S215" s="877"/>
      <c r="T215" s="886"/>
      <c r="V215" s="1230"/>
      <c r="W215" s="183"/>
      <c r="X215" s="183"/>
      <c r="Y215" s="183"/>
      <c r="Z215" s="1231"/>
      <c r="AA215" s="183"/>
      <c r="AB215" s="1230"/>
      <c r="AC215" s="183"/>
      <c r="AD215" s="183"/>
      <c r="AE215" s="183"/>
      <c r="AF215" s="1231"/>
      <c r="AG215" s="189"/>
      <c r="AH215" s="879"/>
      <c r="AI215" s="877"/>
      <c r="AJ215" s="877"/>
      <c r="AK215" s="877"/>
      <c r="AL215" s="886"/>
      <c r="AM215" s="877"/>
      <c r="AN215" s="879"/>
      <c r="AO215" s="877"/>
      <c r="AP215" s="877"/>
      <c r="AQ215" s="877"/>
      <c r="AR215" s="886"/>
      <c r="AS215" s="877"/>
      <c r="AT215" s="879"/>
      <c r="AU215" s="877"/>
      <c r="AV215" s="877"/>
      <c r="AW215" s="877"/>
      <c r="AX215" s="877"/>
      <c r="AY215" s="877"/>
      <c r="AZ215" s="886"/>
      <c r="BA215" s="877"/>
      <c r="BB215" s="879"/>
      <c r="BC215" s="877"/>
      <c r="BD215" s="877"/>
      <c r="BE215" s="877"/>
      <c r="BF215" s="886"/>
      <c r="BG215" s="877"/>
      <c r="BH215" s="879"/>
      <c r="BI215" s="877"/>
      <c r="BJ215" s="877"/>
      <c r="BK215" s="877"/>
      <c r="BL215" s="886"/>
      <c r="BM215" s="877"/>
      <c r="BN215" s="879"/>
      <c r="BO215" s="877"/>
      <c r="BP215" s="877"/>
      <c r="BQ215" s="877"/>
      <c r="BR215" s="886"/>
      <c r="BS215" s="877"/>
      <c r="BT215" s="879"/>
      <c r="BU215" s="886"/>
    </row>
    <row r="216" spans="1:73">
      <c r="A216" s="392"/>
      <c r="B216" s="901"/>
      <c r="C216" s="907"/>
      <c r="D216" s="900"/>
      <c r="E216" s="511" t="s">
        <v>319</v>
      </c>
      <c r="F216" s="928">
        <f>SUM(J216:M216)</f>
        <v>0</v>
      </c>
      <c r="G216" s="877">
        <f>SUM(I216:M216,P216)</f>
        <v>366914.31023862958</v>
      </c>
      <c r="H216" s="878"/>
      <c r="I216" s="877">
        <f>('Input data meat and eggs'!S428*'Input data meat and eggs'!C48+'Input data meat and eggs'!T428*'Input data meat and eggs'!C47+'Input data meat and eggs'!U428*'Input data meat and eggs'!C35+'Input data meat and eggs'!V428*SUMPRODUCT('Input data meat and eggs'!C37:C46,'Input data meat and eggs'!E77:E86))*'Input data meat and eggs'!$E$428</f>
        <v>366914.31023862958</v>
      </c>
      <c r="J216" s="877">
        <v>0</v>
      </c>
      <c r="K216" s="877">
        <v>0</v>
      </c>
      <c r="L216" s="877">
        <v>0</v>
      </c>
      <c r="M216" s="877">
        <v>0</v>
      </c>
      <c r="N216" s="877">
        <v>0</v>
      </c>
      <c r="O216" s="877">
        <v>0</v>
      </c>
      <c r="P216" s="877">
        <v>0</v>
      </c>
      <c r="Q216" s="877">
        <v>0</v>
      </c>
      <c r="R216" s="877">
        <f>SUM(G216+Q216)/'Input data meat and eggs'!$B$29</f>
        <v>527934.2593361577</v>
      </c>
      <c r="S216" s="877"/>
      <c r="T216" s="886"/>
      <c r="V216" s="1230"/>
      <c r="W216" s="183"/>
      <c r="X216" s="183"/>
      <c r="Y216" s="183"/>
      <c r="Z216" s="1231"/>
      <c r="AA216" s="183"/>
      <c r="AB216" s="1230"/>
      <c r="AC216" s="183"/>
      <c r="AD216" s="183"/>
      <c r="AE216" s="183"/>
      <c r="AF216" s="1231"/>
      <c r="AG216" s="189"/>
      <c r="AH216" s="879"/>
      <c r="AI216" s="877"/>
      <c r="AJ216" s="877"/>
      <c r="AK216" s="877"/>
      <c r="AL216" s="886"/>
      <c r="AM216" s="877"/>
      <c r="AN216" s="879"/>
      <c r="AO216" s="877"/>
      <c r="AP216" s="877"/>
      <c r="AQ216" s="877"/>
      <c r="AR216" s="886"/>
      <c r="AS216" s="877"/>
      <c r="AT216" s="879"/>
      <c r="AU216" s="877"/>
      <c r="AV216" s="877"/>
      <c r="AW216" s="877"/>
      <c r="AX216" s="877"/>
      <c r="AY216" s="877"/>
      <c r="AZ216" s="886"/>
      <c r="BA216" s="877"/>
      <c r="BB216" s="879"/>
      <c r="BC216" s="877"/>
      <c r="BD216" s="877"/>
      <c r="BE216" s="877"/>
      <c r="BF216" s="886"/>
      <c r="BG216" s="877"/>
      <c r="BH216" s="879"/>
      <c r="BI216" s="877"/>
      <c r="BJ216" s="877"/>
      <c r="BK216" s="877"/>
      <c r="BL216" s="886"/>
      <c r="BM216" s="877"/>
      <c r="BN216" s="879"/>
      <c r="BO216" s="877"/>
      <c r="BP216" s="877"/>
      <c r="BQ216" s="877"/>
      <c r="BR216" s="886"/>
      <c r="BS216" s="877"/>
      <c r="BT216" s="879"/>
      <c r="BU216" s="886"/>
    </row>
    <row r="217" spans="1:73">
      <c r="A217" s="392"/>
      <c r="B217" s="901"/>
      <c r="C217" s="907"/>
      <c r="D217" s="900"/>
      <c r="E217" s="512" t="s">
        <v>320</v>
      </c>
      <c r="F217" s="928">
        <f>SUM(J217:M217)</f>
        <v>3335387.2104294556</v>
      </c>
      <c r="G217" s="877">
        <f>SUM(I217:M217,P217)</f>
        <v>3816969.6565005751</v>
      </c>
      <c r="H217" s="878"/>
      <c r="I217" s="877">
        <f>(('Input data meat and eggs'!S428*'Input data meat and eggs'!D48+'Input data meat and eggs'!T428*'Input data meat and eggs'!D47+'Input data meat and eggs'!U428*'Input data meat and eggs'!D35+'Input data meat and eggs'!V428*SUMPRODUCT('Input data meat and eggs'!D37:D46,'Input data meat and eggs'!E77:E86))*'Input data meat and eggs'!B70)*'Input data meat and eggs'!$E$428</f>
        <v>481582.44607111922</v>
      </c>
      <c r="J217" s="877">
        <f>(('Input data meat and eggs'!S428*'Input data meat and eggs'!D48+'Input data meat and eggs'!T428*'Input data meat and eggs'!D47+'Input data meat and eggs'!U428*'Input data meat and eggs'!D35+'Input data meat and eggs'!V428*SUMPRODUCT('Input data meat and eggs'!D37:D46,'Input data meat and eggs'!E77:E86))*'Input data meat and eggs'!C70)*'Input data meat and eggs'!$E$428</f>
        <v>1217246.3146794396</v>
      </c>
      <c r="K217" s="877">
        <f>('Input data meat and eggs'!K428*'Input data meat and eggs'!G428/12*('Input data meat and eggs'!$O$428*'Input data meat and eggs'!$B$457+'Input data meat and eggs'!$P$428*'Input data meat and eggs'!$C$457+'Input data meat and eggs'!$Q$428*'Input data meat and eggs'!$D$457+'Input data meat and eggs'!$R$428*'Input data meat and eggs'!$E$457)*44/28)*'Input data meat and eggs'!$E$428</f>
        <v>2089337.4963229017</v>
      </c>
      <c r="L217" s="877">
        <f>('Input data meat and eggs'!$B$458*44/28*'Input data meat and eggs'!K428*'Input data meat and eggs'!G428/12*('Input data meat and eggs'!O428*'Input data meat and eggs'!B470+'Input data meat and eggs'!P428*'Input data meat and eggs'!C470+'Input data meat and eggs'!Q428*'Input data meat and eggs'!D470))*'Input data meat and eggs'!$E$428</f>
        <v>28803.399427114688</v>
      </c>
      <c r="M217" s="877">
        <v>0</v>
      </c>
      <c r="N217" s="877">
        <v>0</v>
      </c>
      <c r="O217" s="877">
        <v>0</v>
      </c>
      <c r="P217" s="877">
        <v>0</v>
      </c>
      <c r="Q217" s="877">
        <v>0</v>
      </c>
      <c r="R217" s="877">
        <f>SUM(G217+Q217)/'Input data meat and eggs'!$B$29</f>
        <v>5492042.6712238491</v>
      </c>
      <c r="S217" s="877"/>
      <c r="T217" s="886"/>
      <c r="V217" s="1230"/>
      <c r="W217" s="183"/>
      <c r="X217" s="183"/>
      <c r="Y217" s="183"/>
      <c r="Z217" s="1231"/>
      <c r="AA217" s="183"/>
      <c r="AB217" s="1230"/>
      <c r="AC217" s="183"/>
      <c r="AD217" s="183"/>
      <c r="AE217" s="183"/>
      <c r="AF217" s="1231"/>
      <c r="AG217" s="189"/>
      <c r="AH217" s="879"/>
      <c r="AI217" s="877"/>
      <c r="AJ217" s="877"/>
      <c r="AK217" s="877"/>
      <c r="AL217" s="886"/>
      <c r="AM217" s="877"/>
      <c r="AN217" s="879"/>
      <c r="AO217" s="877"/>
      <c r="AP217" s="877"/>
      <c r="AQ217" s="877"/>
      <c r="AR217" s="886"/>
      <c r="AS217" s="877"/>
      <c r="AT217" s="879"/>
      <c r="AU217" s="877"/>
      <c r="AV217" s="877"/>
      <c r="AW217" s="877"/>
      <c r="AX217" s="877"/>
      <c r="AY217" s="877"/>
      <c r="AZ217" s="886"/>
      <c r="BA217" s="877"/>
      <c r="BB217" s="879"/>
      <c r="BC217" s="877"/>
      <c r="BD217" s="877"/>
      <c r="BE217" s="877"/>
      <c r="BF217" s="886"/>
      <c r="BG217" s="877"/>
      <c r="BH217" s="879"/>
      <c r="BI217" s="877"/>
      <c r="BJ217" s="877"/>
      <c r="BK217" s="877"/>
      <c r="BL217" s="886"/>
      <c r="BM217" s="877"/>
      <c r="BN217" s="879"/>
      <c r="BO217" s="877"/>
      <c r="BP217" s="877"/>
      <c r="BQ217" s="877"/>
      <c r="BR217" s="886"/>
      <c r="BS217" s="877"/>
      <c r="BT217" s="879"/>
      <c r="BU217" s="886"/>
    </row>
    <row r="218" spans="1:73">
      <c r="A218" s="393"/>
      <c r="B218" s="1330" t="s">
        <v>347</v>
      </c>
      <c r="C218" s="909"/>
      <c r="D218" s="900"/>
      <c r="E218" s="513" t="s">
        <v>316</v>
      </c>
      <c r="F218" s="930">
        <f>SUMPRODUCT($CA$7:$CA$10,F219:F222)</f>
        <v>3284234.5019475645</v>
      </c>
      <c r="G218" s="872">
        <f>SUMPRODUCT($CA$7:$CA$10,G219:G222)</f>
        <v>5446434.5652690511</v>
      </c>
      <c r="H218" s="873"/>
      <c r="I218" s="884"/>
      <c r="J218" s="884"/>
      <c r="K218" s="884"/>
      <c r="L218" s="884"/>
      <c r="M218" s="884"/>
      <c r="N218" s="884"/>
      <c r="O218" s="884"/>
      <c r="P218" s="884"/>
      <c r="Q218" s="884"/>
      <c r="R218" s="884"/>
      <c r="S218" s="884"/>
      <c r="T218" s="885"/>
      <c r="V218" s="1240">
        <f>'Input data meat and eggs'!$S429*'Input data meat and eggs'!E$48+'Input data meat and eggs'!$U429*'Input data meat and eggs'!E$35+'Input data meat and eggs'!$V429*SUMPRODUCT('Input data meat and eggs'!$E$77:$E$86,'Input data meat and eggs'!E$37:E$46)</f>
        <v>2279.9951244970398</v>
      </c>
      <c r="W218" s="211">
        <f>V218*'Input data meat and eggs'!$D429</f>
        <v>18695960.020875726</v>
      </c>
      <c r="X218" s="211"/>
      <c r="Y218" s="211"/>
      <c r="Z218" s="1242"/>
      <c r="AA218" s="189"/>
      <c r="AB218" s="1240">
        <f>'Input data meat and eggs'!$T429*'Input data meat and eggs'!F$47</f>
        <v>886.4014617630437</v>
      </c>
      <c r="AC218" s="211">
        <f>AB218*'Input data meat and eggs'!$D429</f>
        <v>7268491.9864569586</v>
      </c>
      <c r="AD218" s="211"/>
      <c r="AE218" s="211"/>
      <c r="AF218" s="1242"/>
      <c r="AG218" s="189"/>
      <c r="AH218" s="883">
        <f>'Input data meat and eggs'!$S429*'Input data meat and eggs'!G$48+'Input data meat and eggs'!$T429*'Input data meat and eggs'!G$47+'Input data meat and eggs'!$U429*'Input data meat and eggs'!G$35+'Input data meat and eggs'!$V429*SUMPRODUCT('Input data meat and eggs'!$E$77:$E$86,'Input data meat and eggs'!G$37:G$46)</f>
        <v>49.622810978949467</v>
      </c>
      <c r="AI218" s="884">
        <f>AH218*'Input data meat and eggs'!$D429</f>
        <v>406907.05002738565</v>
      </c>
      <c r="AJ218" s="884"/>
      <c r="AK218" s="884"/>
      <c r="AL218" s="885"/>
      <c r="AM218" s="877"/>
      <c r="AN218" s="883">
        <f>'Input data meat and eggs'!$S429*'Input data meat and eggs'!H$48+'Input data meat and eggs'!$T429*'Input data meat and eggs'!H$47+'Input data meat and eggs'!$U429*'Input data meat and eggs'!H$35+'Input data meat and eggs'!$V429*SUMPRODUCT('Input data meat and eggs'!$E$77:$E$86,'Input data meat and eggs'!H$37:H$46)</f>
        <v>1.5551470879344413</v>
      </c>
      <c r="AO218" s="884">
        <f>AN218*'Input data meat and eggs'!$D429</f>
        <v>12752.20612106242</v>
      </c>
      <c r="AP218" s="884"/>
      <c r="AQ218" s="884"/>
      <c r="AR218" s="885"/>
      <c r="AS218" s="877"/>
      <c r="AT218" s="883">
        <f>'Input data meat and eggs'!$S429*'Input data meat and eggs'!I$48+'Input data meat and eggs'!$T429*'Input data meat and eggs'!I$47+'Input data meat and eggs'!$U429*'Input data meat and eggs'!I$35+'Input data meat and eggs'!$V429*SUMPRODUCT('Input data meat and eggs'!$E$77:$E$86,'Input data meat and eggs'!I$37:I$46)</f>
        <v>1.6342533731434603</v>
      </c>
      <c r="AU218" s="884">
        <f>'Input data meat and eggs'!G429/12*((1-'Input data meat and eggs'!$R429)*'Input data meat and eggs'!$B$61+'Input data meat and eggs'!$R429*'Input data meat and eggs'!$B$62)</f>
        <v>10.812516666666665</v>
      </c>
      <c r="AV218" s="884">
        <f>SUM(AT218:AU218)</f>
        <v>12.446770039810126</v>
      </c>
      <c r="AW218" s="884">
        <f>AV218*'Input data meat and eggs'!$D429</f>
        <v>102063.51432644304</v>
      </c>
      <c r="AX218" s="884"/>
      <c r="AY218" s="884"/>
      <c r="AZ218" s="885"/>
      <c r="BA218" s="877"/>
      <c r="BB218" s="883">
        <f>'Input data meat and eggs'!$S429*'Input data meat and eggs'!M$48+'Input data meat and eggs'!$T429*'Input data meat and eggs'!M$47+'Input data meat and eggs'!$U429*'Input data meat and eggs'!M$35+'Input data meat and eggs'!$V429*SUMPRODUCT('Input data meat and eggs'!$E$77:$E$86,'Input data meat and eggs'!M$37:M$46)</f>
        <v>1.2768820081578266E-7</v>
      </c>
      <c r="BC218" s="884">
        <f>BB218*'Input data meat and eggs'!$D429</f>
        <v>1.0470432466894177E-3</v>
      </c>
      <c r="BD218" s="884"/>
      <c r="BE218" s="884"/>
      <c r="BF218" s="885"/>
      <c r="BG218" s="877"/>
      <c r="BH218" s="883">
        <f>'Input data meat and eggs'!$S429*'Input data meat and eggs'!U$48+'Input data meat and eggs'!$T429*'Input data meat and eggs'!U$47+'Input data meat and eggs'!$U429*'Input data meat and eggs'!U$35+'Input data meat and eggs'!$V429*SUMPRODUCT('Input data meat and eggs'!$E$77:$E$86,'Input data meat and eggs'!U$37:U$46)</f>
        <v>6.6413836809778234E-2</v>
      </c>
      <c r="BI218" s="884">
        <f>BH218*'Input data meat and eggs'!$D429</f>
        <v>544.59346184018148</v>
      </c>
      <c r="BJ218" s="884"/>
      <c r="BK218" s="884"/>
      <c r="BL218" s="885"/>
      <c r="BM218" s="877"/>
      <c r="BN218" s="883">
        <f>'Input data meat and eggs'!$S429*'Input data meat and eggs'!W$48+'Input data meat and eggs'!$T429*'Input data meat and eggs'!W$47+'Input data meat and eggs'!$U429*'Input data meat and eggs'!W$35+'Input data meat and eggs'!$V429*SUMPRODUCT('Input data meat and eggs'!$E$77:$E$86,'Input data meat and eggs'!W$37:W$46)</f>
        <v>3.4094864471578692</v>
      </c>
      <c r="BO218" s="884">
        <f>BN218*'Input data meat and eggs'!$D429</f>
        <v>27957.788866694529</v>
      </c>
      <c r="BP218" s="884"/>
      <c r="BQ218" s="884"/>
      <c r="BR218" s="885"/>
      <c r="BS218" s="877"/>
      <c r="BT218" s="879"/>
      <c r="BU218" s="886"/>
    </row>
    <row r="219" spans="1:73">
      <c r="A219" s="392"/>
      <c r="B219" s="901"/>
      <c r="C219" s="907"/>
      <c r="D219" s="900"/>
      <c r="E219" s="511" t="s">
        <v>317</v>
      </c>
      <c r="F219" s="928">
        <f>IF(AND($G$2="No",$G$3="No"),SUM(J219:M219),IF(AND($G$2="Yes", $G$3="No"), SUM(J219:M219)+O219, IF(AND($G$2="No", $G$3="Yes"),SUM(J219:M219)+N219, SUM(J219:M219)+O219+N219)))</f>
        <v>-88006.817615369684</v>
      </c>
      <c r="G219" s="877">
        <f>IF(AND($G$2="No",$G$3="No"),SUM(I219:M219,P219),IF(AND($G$2="Yes", $G$3="No"), SUM(I219:M219,P219)+O219, IF(AND($G$2="No", $G$3="Yes"),SUM(I219:M219,P219)+N219, SUM(I219:M219,P219)+O219+N219)))</f>
        <v>1646178.5712299794</v>
      </c>
      <c r="H219" s="878"/>
      <c r="I219" s="877">
        <f>('Input data meat and eggs'!S429*'Input data meat and eggs'!B48+'Input data meat and eggs'!T429*'Input data meat and eggs'!B47+'Input data meat and eggs'!U429*'Input data meat and eggs'!B35+'Input data meat and eggs'!V429*SUMPRODUCT('Input data meat and eggs'!B37:B46,'Input data meat and eggs'!E77:E86))*'Input data meat and eggs'!$E$429</f>
        <v>1734185.388845349</v>
      </c>
      <c r="J219" s="877">
        <v>0</v>
      </c>
      <c r="K219" s="877">
        <v>0</v>
      </c>
      <c r="L219" s="877">
        <v>0</v>
      </c>
      <c r="M219" s="877">
        <v>0</v>
      </c>
      <c r="N219" s="877">
        <f>(('Input data meat and eggs'!S429+'Input data meat and eggs'!T429)*'Common input data'!F19+
'Input data meat and eggs'!U429*'Common input data'!B19+'Input data meat and eggs'!V429*('Input data meat and eggs'!E77*'Common input data'!B19*'Common input data'!G42/'Common input data'!F42+'Input data meat and eggs'!E79*'Common input data'!F19*'Common input data'!J46/'Common input data'!I46+'Common input data'!D19*('Input data meat and eggs'!E80+'Input data meat and eggs'!E81*'Common input data'!G40/'Common input data'!F40)+'Common input data'!C19*('Input data meat and eggs'!E83*'Common input data'!G44/'Common input data'!F44+'Input data meat and eggs'!E84)+'Input data meat and eggs'!E85*'Common input data'!E19*'Common input data'!G43/'Common input data'!F43))*'Input data meat and eggs'!$E$429</f>
        <v>-254559.4363954424</v>
      </c>
      <c r="O219" s="877">
        <f>('Input data meat and eggs'!V429*('Input data meat and eggs'!E79*'Common input data'!AR27*'Common input data'!G44/'Common input data'!F44+'Input data meat and eggs'!E83*'Common input data'!AS27*'Common input data'!J46/'Common input data'!I46))*'Input data meat and eggs'!$E$429</f>
        <v>166552.61878007272</v>
      </c>
      <c r="P219" s="877">
        <v>0</v>
      </c>
      <c r="Q219" s="877">
        <v>0</v>
      </c>
      <c r="R219" s="877">
        <f>SUM(G219+Q219)/'Input data meat and eggs'!$B$29</f>
        <v>2368602.2607625606</v>
      </c>
      <c r="S219" s="877"/>
      <c r="T219" s="886"/>
      <c r="V219" s="1230"/>
      <c r="W219" s="183"/>
      <c r="X219" s="183"/>
      <c r="Y219" s="183"/>
      <c r="Z219" s="1231"/>
      <c r="AA219" s="183"/>
      <c r="AB219" s="1230"/>
      <c r="AC219" s="183"/>
      <c r="AD219" s="183"/>
      <c r="AE219" s="183"/>
      <c r="AF219" s="1231"/>
      <c r="AG219" s="189"/>
      <c r="AH219" s="879"/>
      <c r="AI219" s="877"/>
      <c r="AJ219" s="877"/>
      <c r="AK219" s="877"/>
      <c r="AL219" s="886"/>
      <c r="AM219" s="877"/>
      <c r="AN219" s="879"/>
      <c r="AO219" s="877"/>
      <c r="AP219" s="877"/>
      <c r="AQ219" s="877"/>
      <c r="AR219" s="886"/>
      <c r="AS219" s="877"/>
      <c r="AT219" s="879"/>
      <c r="AU219" s="877"/>
      <c r="AV219" s="877"/>
      <c r="AW219" s="877"/>
      <c r="AX219" s="877"/>
      <c r="AY219" s="877"/>
      <c r="AZ219" s="886"/>
      <c r="BA219" s="877"/>
      <c r="BB219" s="879"/>
      <c r="BC219" s="877"/>
      <c r="BD219" s="877"/>
      <c r="BE219" s="877"/>
      <c r="BF219" s="886"/>
      <c r="BG219" s="877"/>
      <c r="BH219" s="879"/>
      <c r="BI219" s="877"/>
      <c r="BJ219" s="877"/>
      <c r="BK219" s="877"/>
      <c r="BL219" s="886"/>
      <c r="BM219" s="877"/>
      <c r="BN219" s="879"/>
      <c r="BO219" s="877"/>
      <c r="BP219" s="877"/>
      <c r="BQ219" s="877"/>
      <c r="BR219" s="886"/>
      <c r="BS219" s="877"/>
      <c r="BT219" s="879"/>
      <c r="BU219" s="886"/>
    </row>
    <row r="220" spans="1:73">
      <c r="A220" s="392"/>
      <c r="B220" s="901"/>
      <c r="C220" s="907"/>
      <c r="D220" s="900"/>
      <c r="E220" s="511" t="s">
        <v>321</v>
      </c>
      <c r="F220" s="928">
        <f>SUM(J220:M220)</f>
        <v>243501.55249110473</v>
      </c>
      <c r="G220" s="877">
        <f>SUM(I220:M220,P220)</f>
        <v>243501.55249110473</v>
      </c>
      <c r="H220" s="878"/>
      <c r="I220" s="877">
        <v>0</v>
      </c>
      <c r="J220" s="877">
        <v>0</v>
      </c>
      <c r="K220" s="877">
        <f>'Input data meat and eggs'!N429*'Input data meat and eggs'!G429/12*'Input data meat and eggs'!E429</f>
        <v>28719.093510091792</v>
      </c>
      <c r="L220" s="877">
        <v>0</v>
      </c>
      <c r="M220" s="877">
        <f>('Input data meat and eggs'!L429*'Input data meat and eggs'!G429/12)*'Input data meat and eggs'!$E$429</f>
        <v>214782.45898101293</v>
      </c>
      <c r="N220" s="877">
        <v>0</v>
      </c>
      <c r="O220" s="877">
        <v>0</v>
      </c>
      <c r="P220" s="877">
        <v>0</v>
      </c>
      <c r="Q220" s="877">
        <v>0</v>
      </c>
      <c r="R220" s="877">
        <f>SUM(G220+Q220)/'Input data meat and eggs'!$B$29</f>
        <v>350361.94603036653</v>
      </c>
      <c r="S220" s="877"/>
      <c r="T220" s="886"/>
      <c r="V220" s="1230"/>
      <c r="W220" s="183"/>
      <c r="X220" s="183"/>
      <c r="Y220" s="183"/>
      <c r="Z220" s="1231"/>
      <c r="AA220" s="183"/>
      <c r="AB220" s="1230"/>
      <c r="AC220" s="183"/>
      <c r="AD220" s="183"/>
      <c r="AE220" s="183"/>
      <c r="AF220" s="1231"/>
      <c r="AG220" s="189"/>
      <c r="AH220" s="879"/>
      <c r="AI220" s="877"/>
      <c r="AJ220" s="877"/>
      <c r="AK220" s="877"/>
      <c r="AL220" s="886"/>
      <c r="AM220" s="877"/>
      <c r="AN220" s="879"/>
      <c r="AO220" s="877"/>
      <c r="AP220" s="877"/>
      <c r="AQ220" s="877"/>
      <c r="AR220" s="886"/>
      <c r="AS220" s="877"/>
      <c r="AT220" s="879"/>
      <c r="AU220" s="877"/>
      <c r="AV220" s="877"/>
      <c r="AW220" s="877"/>
      <c r="AX220" s="877"/>
      <c r="AY220" s="877"/>
      <c r="AZ220" s="886"/>
      <c r="BA220" s="877"/>
      <c r="BB220" s="879"/>
      <c r="BC220" s="877"/>
      <c r="BD220" s="877"/>
      <c r="BE220" s="877"/>
      <c r="BF220" s="886"/>
      <c r="BG220" s="877"/>
      <c r="BH220" s="879"/>
      <c r="BI220" s="877"/>
      <c r="BJ220" s="877"/>
      <c r="BK220" s="877"/>
      <c r="BL220" s="886"/>
      <c r="BM220" s="877"/>
      <c r="BN220" s="879"/>
      <c r="BO220" s="877"/>
      <c r="BP220" s="877"/>
      <c r="BQ220" s="877"/>
      <c r="BR220" s="886"/>
      <c r="BS220" s="877"/>
      <c r="BT220" s="879"/>
      <c r="BU220" s="886"/>
    </row>
    <row r="221" spans="1:73">
      <c r="A221" s="392"/>
      <c r="B221" s="901"/>
      <c r="C221" s="907"/>
      <c r="D221" s="900"/>
      <c r="E221" s="511" t="s">
        <v>319</v>
      </c>
      <c r="F221" s="928">
        <f>SUM(J221:M221)</f>
        <v>0</v>
      </c>
      <c r="G221" s="877">
        <f>SUM(I221:M221,P221)</f>
        <v>2065.1826143158619</v>
      </c>
      <c r="H221" s="878"/>
      <c r="I221" s="877">
        <f>('Input data meat and eggs'!S429*'Input data meat and eggs'!C48+'Input data meat and eggs'!T429*'Input data meat and eggs'!C47+'Input data meat and eggs'!U429*'Input data meat and eggs'!C35+'Input data meat and eggs'!V429*SUMPRODUCT('Input data meat and eggs'!C37:C46,'Input data meat and eggs'!E77:E86))*'Input data meat and eggs'!$E$429</f>
        <v>2065.1826143158619</v>
      </c>
      <c r="J221" s="877">
        <v>0</v>
      </c>
      <c r="K221" s="877">
        <v>0</v>
      </c>
      <c r="L221" s="877">
        <v>0</v>
      </c>
      <c r="M221" s="877">
        <v>0</v>
      </c>
      <c r="N221" s="877">
        <v>0</v>
      </c>
      <c r="O221" s="877">
        <v>0</v>
      </c>
      <c r="P221" s="877">
        <v>0</v>
      </c>
      <c r="Q221" s="877">
        <v>0</v>
      </c>
      <c r="R221" s="877">
        <f>SUM(G221+Q221)/'Input data meat and eggs'!$B$29</f>
        <v>2971.485775994046</v>
      </c>
      <c r="S221" s="877"/>
      <c r="T221" s="886"/>
      <c r="V221" s="1230"/>
      <c r="W221" s="183"/>
      <c r="X221" s="183"/>
      <c r="Y221" s="183"/>
      <c r="Z221" s="1231"/>
      <c r="AA221" s="183"/>
      <c r="AB221" s="1230"/>
      <c r="AC221" s="183"/>
      <c r="AD221" s="183"/>
      <c r="AE221" s="183"/>
      <c r="AF221" s="1231"/>
      <c r="AG221" s="189"/>
      <c r="AH221" s="879"/>
      <c r="AI221" s="877"/>
      <c r="AJ221" s="877"/>
      <c r="AK221" s="877"/>
      <c r="AL221" s="886"/>
      <c r="AM221" s="877"/>
      <c r="AN221" s="879"/>
      <c r="AO221" s="877"/>
      <c r="AP221" s="877"/>
      <c r="AQ221" s="877"/>
      <c r="AR221" s="886"/>
      <c r="AS221" s="877"/>
      <c r="AT221" s="879"/>
      <c r="AU221" s="877"/>
      <c r="AV221" s="877"/>
      <c r="AW221" s="877"/>
      <c r="AX221" s="877"/>
      <c r="AY221" s="877"/>
      <c r="AZ221" s="886"/>
      <c r="BA221" s="877"/>
      <c r="BB221" s="879"/>
      <c r="BC221" s="877"/>
      <c r="BD221" s="877"/>
      <c r="BE221" s="877"/>
      <c r="BF221" s="886"/>
      <c r="BG221" s="877"/>
      <c r="BH221" s="879"/>
      <c r="BI221" s="877"/>
      <c r="BJ221" s="877"/>
      <c r="BK221" s="877"/>
      <c r="BL221" s="886"/>
      <c r="BM221" s="877"/>
      <c r="BN221" s="879"/>
      <c r="BO221" s="877"/>
      <c r="BP221" s="877"/>
      <c r="BQ221" s="877"/>
      <c r="BR221" s="886"/>
      <c r="BS221" s="877"/>
      <c r="BT221" s="879"/>
      <c r="BU221" s="886"/>
    </row>
    <row r="222" spans="1:73">
      <c r="A222" s="391"/>
      <c r="B222" s="901"/>
      <c r="C222" s="907"/>
      <c r="D222" s="900"/>
      <c r="E222" s="512" t="s">
        <v>320</v>
      </c>
      <c r="F222" s="928">
        <f>SUM(J222:M222)</f>
        <v>9561.3048191190646</v>
      </c>
      <c r="G222" s="877">
        <f>SUM(I222:M222,P222)</f>
        <v>11356.619480873796</v>
      </c>
      <c r="H222" s="878"/>
      <c r="I222" s="877">
        <f>(('Input data meat and eggs'!S429*'Input data meat and eggs'!D48+'Input data meat and eggs'!T429*'Input data meat and eggs'!D47+'Input data meat and eggs'!U429*'Input data meat and eggs'!D35+'Input data meat and eggs'!V429*SUMPRODUCT('Input data meat and eggs'!D37:D46,'Input data meat and eggs'!E77:E86))*'Input data meat and eggs'!B70)*'Input data meat and eggs'!$E$429</f>
        <v>1795.3146617547309</v>
      </c>
      <c r="J222" s="877">
        <f>(('Input data meat and eggs'!S429*'Input data meat and eggs'!D48+'Input data meat and eggs'!T429*'Input data meat and eggs'!D47+'Input data meat and eggs'!U429*'Input data meat and eggs'!D35+'Input data meat and eggs'!V429*SUMPRODUCT('Input data meat and eggs'!D37:D46,'Input data meat and eggs'!E77:E86))*'Input data meat and eggs'!C70)*'Input data meat and eggs'!$E$429</f>
        <v>4537.8318365619662</v>
      </c>
      <c r="K222" s="877">
        <f>('Input data meat and eggs'!K429*'Input data meat and eggs'!G429/12*('Input data meat and eggs'!$O$429*'Input data meat and eggs'!$B$457+'Input data meat and eggs'!$P$429*'Input data meat and eggs'!$C$457+'Input data meat and eggs'!$Q$429*'Input data meat and eggs'!$D$457+'Input data meat and eggs'!$R$429*'Input data meat and eggs'!$E$457)*44/28)*'Input data meat and eggs'!$E$429</f>
        <v>4170.9364044552467</v>
      </c>
      <c r="L222" s="877">
        <f>('Input data meat and eggs'!$B$458*44/28*'Input data meat and eggs'!K429*'Input data meat and eggs'!G429/12*('Input data meat and eggs'!O429*'Input data meat and eggs'!B470+'Input data meat and eggs'!P429*'Input data meat and eggs'!C470+'Input data meat and eggs'!Q429*'Input data meat and eggs'!D470))*'Input data meat and eggs'!$E$429</f>
        <v>852.53657810185086</v>
      </c>
      <c r="M222" s="877">
        <v>0</v>
      </c>
      <c r="N222" s="877">
        <v>0</v>
      </c>
      <c r="O222" s="877">
        <v>0</v>
      </c>
      <c r="P222" s="877">
        <v>0</v>
      </c>
      <c r="Q222" s="877">
        <v>0</v>
      </c>
      <c r="R222" s="877">
        <f>SUM(G222+Q222)/'Input data meat and eggs'!$B$29</f>
        <v>16340.4596847105</v>
      </c>
      <c r="S222" s="877"/>
      <c r="T222" s="886"/>
      <c r="V222" s="1232"/>
      <c r="W222" s="189"/>
      <c r="X222" s="189"/>
      <c r="Y222" s="189"/>
      <c r="Z222" s="199"/>
      <c r="AA222" s="189"/>
      <c r="AB222" s="1232"/>
      <c r="AC222" s="189"/>
      <c r="AD222" s="189"/>
      <c r="AE222" s="189"/>
      <c r="AF222" s="199"/>
      <c r="AG222" s="189"/>
      <c r="AH222" s="879"/>
      <c r="AI222" s="877"/>
      <c r="AJ222" s="877"/>
      <c r="AK222" s="877"/>
      <c r="AL222" s="886"/>
      <c r="AM222" s="877"/>
      <c r="AN222" s="879"/>
      <c r="AO222" s="877"/>
      <c r="AP222" s="877"/>
      <c r="AQ222" s="877"/>
      <c r="AR222" s="886"/>
      <c r="AS222" s="877"/>
      <c r="AT222" s="879"/>
      <c r="AU222" s="877"/>
      <c r="AV222" s="877"/>
      <c r="AW222" s="877"/>
      <c r="AX222" s="877"/>
      <c r="AY222" s="877"/>
      <c r="AZ222" s="886"/>
      <c r="BA222" s="877"/>
      <c r="BB222" s="879"/>
      <c r="BC222" s="877"/>
      <c r="BD222" s="877"/>
      <c r="BE222" s="877"/>
      <c r="BF222" s="886"/>
      <c r="BG222" s="877"/>
      <c r="BH222" s="879"/>
      <c r="BI222" s="877"/>
      <c r="BJ222" s="877"/>
      <c r="BK222" s="877"/>
      <c r="BL222" s="886"/>
      <c r="BM222" s="877"/>
      <c r="BN222" s="879"/>
      <c r="BO222" s="877"/>
      <c r="BP222" s="877"/>
      <c r="BQ222" s="877"/>
      <c r="BR222" s="886"/>
      <c r="BS222" s="877"/>
      <c r="BT222" s="879"/>
      <c r="BU222" s="886"/>
    </row>
    <row r="223" spans="1:73">
      <c r="A223" s="108" t="s">
        <v>204</v>
      </c>
      <c r="B223" s="1330" t="s">
        <v>202</v>
      </c>
      <c r="C223" s="909"/>
      <c r="D223" s="900"/>
      <c r="E223" s="513" t="s">
        <v>316</v>
      </c>
      <c r="F223" s="930">
        <f>SUMPRODUCT($CA$7:$CA$10,F224:F227)</f>
        <v>2089.6259704337836</v>
      </c>
      <c r="G223" s="872">
        <f>SUMPRODUCT($CA$7:$CA$10,G224:G227)</f>
        <v>4333.7963782992092</v>
      </c>
      <c r="H223" s="873"/>
      <c r="I223" s="884"/>
      <c r="J223" s="884"/>
      <c r="K223" s="884"/>
      <c r="L223" s="884"/>
      <c r="M223" s="884"/>
      <c r="N223" s="884"/>
      <c r="O223" s="884"/>
      <c r="P223" s="884"/>
      <c r="Q223" s="884"/>
      <c r="R223" s="884"/>
      <c r="S223" s="884"/>
      <c r="T223" s="885"/>
      <c r="V223" s="1240">
        <f>'Input data meat and eggs'!$S433*'Input data meat and eggs'!E$48+'Input data meat and eggs'!$U433*'Input data meat and eggs'!E$35+'Input data meat and eggs'!$V433*SUMPRODUCT('Input data meat and eggs'!$F$77:$F$86,'Input data meat and eggs'!E$37:E$46)</f>
        <v>15486.345450372124</v>
      </c>
      <c r="W223" s="211">
        <f>V223*'Input data meat and eggs'!$C433</f>
        <v>79256724284.394913</v>
      </c>
      <c r="X223" s="211"/>
      <c r="Y223" s="211"/>
      <c r="Z223" s="1242"/>
      <c r="AA223" s="189"/>
      <c r="AB223" s="1240">
        <f>'Input data meat and eggs'!$T433*'Input data meat and eggs'!F$47</f>
        <v>5170.6751936177552</v>
      </c>
      <c r="AC223" s="211">
        <f>AB223*'Input data meat and eggs'!$C433</f>
        <v>26462717075.375282</v>
      </c>
      <c r="AD223" s="211"/>
      <c r="AE223" s="211"/>
      <c r="AF223" s="1242"/>
      <c r="AG223" s="189"/>
      <c r="AH223" s="883">
        <f>'Input data meat and eggs'!$S433*'Input data meat and eggs'!G$48+'Input data meat and eggs'!$T433*'Input data meat and eggs'!G$47+'Input data meat and eggs'!$U433*'Input data meat and eggs'!G$35+'Input data meat and eggs'!$V433*SUMPRODUCT('Input data meat and eggs'!$F$77:$F$86,'Input data meat and eggs'!G$37:G$46)</f>
        <v>324.65899937323047</v>
      </c>
      <c r="AI223" s="884">
        <f>AH223*'Input data meat and eggs'!$C433</f>
        <v>1661554618.0492418</v>
      </c>
      <c r="AJ223" s="884"/>
      <c r="AK223" s="884"/>
      <c r="AL223" s="885"/>
      <c r="AM223" s="877"/>
      <c r="AN223" s="883">
        <f>'Input data meat and eggs'!$S433*'Input data meat and eggs'!H$48+'Input data meat and eggs'!$T433*'Input data meat and eggs'!H$47+'Input data meat and eggs'!$U433*'Input data meat and eggs'!H$35+'Input data meat and eggs'!$V433*SUMPRODUCT('Input data meat and eggs'!$F$77:$F$86,'Input data meat and eggs'!H$37:H$46)</f>
        <v>11.584276651767352</v>
      </c>
      <c r="AO223" s="884">
        <f>AN223*'Input data meat and eggs'!$C433</f>
        <v>59286538.813533731</v>
      </c>
      <c r="AP223" s="884"/>
      <c r="AQ223" s="884"/>
      <c r="AR223" s="885"/>
      <c r="AS223" s="877"/>
      <c r="AT223" s="883">
        <f>'Input data meat and eggs'!$S433*'Input data meat and eggs'!I$48+'Input data meat and eggs'!$T433*'Input data meat and eggs'!I$47+'Input data meat and eggs'!$U433*'Input data meat and eggs'!I$35+'Input data meat and eggs'!$V433*SUMPRODUCT('Input data meat and eggs'!$F$77:$F$86,'Input data meat and eggs'!I$37:I$46)</f>
        <v>14.819542767342179</v>
      </c>
      <c r="AU223" s="884">
        <f>'Input data meat and eggs'!G433/12*((1-'Input data meat and eggs'!$R433)*'Input data meat and eggs'!$B$61+'Input data meat and eggs'!$R433*'Input data meat and eggs'!$B$62)</f>
        <v>14.670848651348649</v>
      </c>
      <c r="AV223" s="884">
        <f>SUM(AT223:AU223)</f>
        <v>29.490391418690827</v>
      </c>
      <c r="AW223" s="884">
        <f>AV223*'Input data meat and eggs'!$C433</f>
        <v>150927268.74783108</v>
      </c>
      <c r="AX223" s="884"/>
      <c r="AY223" s="884"/>
      <c r="AZ223" s="885"/>
      <c r="BA223" s="877"/>
      <c r="BB223" s="883">
        <f>'Input data meat and eggs'!$S433*'Input data meat and eggs'!O$48+'Input data meat and eggs'!$T433*'Input data meat and eggs'!O$47+'Input data meat and eggs'!$U433*'Input data meat and eggs'!O$35+'Input data meat and eggs'!$V433*SUMPRODUCT('Input data meat and eggs'!$F$77:$F$86,'Input data meat and eggs'!O$37:O$46)</f>
        <v>9.5555791839456894E-7</v>
      </c>
      <c r="BC223" s="884">
        <f>BB223*'Input data meat and eggs'!$C433</f>
        <v>4.8903978487803172</v>
      </c>
      <c r="BD223" s="884"/>
      <c r="BE223" s="884"/>
      <c r="BF223" s="885"/>
      <c r="BG223" s="877"/>
      <c r="BH223" s="883">
        <f>'Input data meat and eggs'!$S433*'Input data meat and eggs'!U$48+'Input data meat and eggs'!$T433*'Input data meat and eggs'!U$47+'Input data meat and eggs'!$U433*'Input data meat and eggs'!U$35+'Input data meat and eggs'!$V433*SUMPRODUCT('Input data meat and eggs'!$F$77:$F$86,'Input data meat and eggs'!U$37:U$46)</f>
        <v>0.46943604159305458</v>
      </c>
      <c r="BI223" s="884">
        <f>BH223*'Input data meat and eggs'!$C433</f>
        <v>2402501.1605823659</v>
      </c>
      <c r="BJ223" s="884"/>
      <c r="BK223" s="884"/>
      <c r="BL223" s="885"/>
      <c r="BM223" s="877"/>
      <c r="BN223" s="883">
        <f>'Input data meat and eggs'!$S433*'Input data meat and eggs'!W$48+'Input data meat and eggs'!$T433*'Input data meat and eggs'!W$47+'Input data meat and eggs'!$U433*'Input data meat and eggs'!W$35+'Input data meat and eggs'!$V433*SUMPRODUCT('Input data meat and eggs'!$F$77:$F$86,'Input data meat and eggs'!W$37:W$46)</f>
        <v>21.932584819909998</v>
      </c>
      <c r="BO223" s="884">
        <f>BN223*'Input data meat and eggs'!$C433</f>
        <v>112247581.81239861</v>
      </c>
      <c r="BP223" s="884"/>
      <c r="BQ223" s="884"/>
      <c r="BR223" s="885"/>
      <c r="BS223" s="877"/>
      <c r="BT223" s="879"/>
      <c r="BU223" s="886"/>
    </row>
    <row r="224" spans="1:73">
      <c r="A224" s="97"/>
      <c r="B224" s="901"/>
      <c r="C224" s="907"/>
      <c r="D224" s="900"/>
      <c r="E224" s="511" t="s">
        <v>317</v>
      </c>
      <c r="F224" s="928">
        <f>IF(AND($G$2="No",$G$3="No"),SUM(J224:M224),IF(AND($G$2="Yes", $G$3="No"), SUM(J224:M224)+O224, IF(AND($G$2="No", $G$3="Yes"),SUM(J224:M224)+N224, SUM(J224:M224)+O224+N224)))</f>
        <v>68.3117282790312</v>
      </c>
      <c r="G224" s="877">
        <f>IF(AND($G$2="No",$G$3="No"),SUM(I224:M224,P224),IF(AND($G$2="Yes", $G$3="No"), SUM(I224:M224,P224)+O224, IF(AND($G$2="No", $G$3="Yes"),SUM(I224:M224,P224)+N224, SUM(I224:M224,P224)+O224+N224)))</f>
        <v>1955.7722230778681</v>
      </c>
      <c r="H224" s="878"/>
      <c r="I224" s="877">
        <f>'Input data meat and eggs'!S433*'Input data meat and eggs'!B48+'Input data meat and eggs'!T433*'Input data meat and eggs'!B47+'Input data meat and eggs'!U433*'Input data meat and eggs'!B35+'Input data meat and eggs'!V433*SUMPRODUCT('Input data meat and eggs'!B37:B46,'Input data meat and eggs'!F77:F86)</f>
        <v>1467.7674311097803</v>
      </c>
      <c r="J224" s="877">
        <v>0</v>
      </c>
      <c r="K224" s="877">
        <v>0</v>
      </c>
      <c r="L224" s="877">
        <v>0</v>
      </c>
      <c r="M224" s="877">
        <v>0</v>
      </c>
      <c r="N224" s="877">
        <f>('Input data meat and eggs'!S433+'Input data meat and eggs'!T433)*'Common input data'!F19+
'Input data meat and eggs'!U433*'Common input data'!B19+'Input data meat and eggs'!V433*('Input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f>
        <v>-111.55924091175018</v>
      </c>
      <c r="O224" s="877">
        <f>'Input data meat and eggs'!V433*('Input data meat and eggs'!F79*'Common input data'!AR27*'Common input data'!G44/'Common input data'!F44+'Input data meat and eggs'!F83*'Common input data'!AS27*'Common input data'!J46/'Common input data'!I46)</f>
        <v>179.87096919078138</v>
      </c>
      <c r="P224" s="877">
        <f>'Input data meat and eggs'!B94*'Common input data'!C80</f>
        <v>419.69306368905677</v>
      </c>
      <c r="Q224" s="877">
        <f>('Input data meat and eggs'!B104*'Common input data'!C80+'Input data meat and eggs'!C104*3.6*'Common input data'!B66)*'Input data meat and eggs'!$F$433</f>
        <v>234.19354965753607</v>
      </c>
      <c r="R224" s="877"/>
      <c r="S224" s="877"/>
      <c r="T224" s="886"/>
      <c r="V224" s="1232"/>
      <c r="W224" s="189"/>
      <c r="X224" s="189"/>
      <c r="Y224" s="189"/>
      <c r="Z224" s="199"/>
      <c r="AA224" s="189"/>
      <c r="AB224" s="1232"/>
      <c r="AC224" s="189"/>
      <c r="AD224" s="189"/>
      <c r="AE224" s="189"/>
      <c r="AF224" s="199"/>
      <c r="AG224" s="189"/>
      <c r="AH224" s="879"/>
      <c r="AI224" s="877"/>
      <c r="AJ224" s="877"/>
      <c r="AK224" s="877"/>
      <c r="AL224" s="886"/>
      <c r="AM224" s="877"/>
      <c r="AN224" s="879"/>
      <c r="AO224" s="877"/>
      <c r="AP224" s="877"/>
      <c r="AQ224" s="877"/>
      <c r="AR224" s="886"/>
      <c r="AS224" s="877"/>
      <c r="AT224" s="879"/>
      <c r="AU224" s="877"/>
      <c r="AV224" s="877"/>
      <c r="AW224" s="877"/>
      <c r="AX224" s="877"/>
      <c r="AY224" s="877"/>
      <c r="AZ224" s="886"/>
      <c r="BA224" s="877"/>
      <c r="BB224" s="879"/>
      <c r="BC224" s="877"/>
      <c r="BD224" s="877"/>
      <c r="BE224" s="877"/>
      <c r="BF224" s="886"/>
      <c r="BG224" s="877"/>
      <c r="BH224" s="879"/>
      <c r="BI224" s="877"/>
      <c r="BJ224" s="877"/>
      <c r="BK224" s="877"/>
      <c r="BL224" s="886"/>
      <c r="BM224" s="877"/>
      <c r="BN224" s="879"/>
      <c r="BO224" s="877"/>
      <c r="BP224" s="877"/>
      <c r="BQ224" s="877"/>
      <c r="BR224" s="886"/>
      <c r="BS224" s="877"/>
      <c r="BT224" s="879"/>
      <c r="BU224" s="886"/>
    </row>
    <row r="225" spans="1:73">
      <c r="A225" s="392"/>
      <c r="B225" s="901"/>
      <c r="C225" s="908"/>
      <c r="D225" s="901"/>
      <c r="E225" s="511" t="s">
        <v>321</v>
      </c>
      <c r="F225" s="928">
        <f>SUM(J225:M225)</f>
        <v>142.32066292593407</v>
      </c>
      <c r="G225" s="877">
        <f>SUM(I225:M225,P225)</f>
        <v>142.32066292593407</v>
      </c>
      <c r="H225" s="878"/>
      <c r="I225" s="877">
        <v>0</v>
      </c>
      <c r="J225" s="877">
        <v>0</v>
      </c>
      <c r="K225" s="877">
        <f>'Input data meat and eggs'!M433*'Input data meat and eggs'!G433/12*'Input data meat and eggs'!$C$462*'Input data meat and eggs'!$C$464*'Input data meat and eggs'!$C$465*
('Input data meat and eggs'!$O$433*'Input data meat and eggs'!$B$455
+'Input data meat and eggs'!$P$433*'Input data meat and eggs'!$C$455+
'Input data meat and eggs'!$Q$433*'Input data meat and eggs'!$D$455+
'Input data meat and eggs'!$R$433*'Input data meat and eggs'!$E$455)</f>
        <v>6.520662925934066</v>
      </c>
      <c r="L225" s="877">
        <v>0</v>
      </c>
      <c r="M225" s="877">
        <f>'Input data meat and eggs'!L433*'Input data meat and eggs'!G433/12</f>
        <v>135.80000000000001</v>
      </c>
      <c r="N225" s="877">
        <v>0</v>
      </c>
      <c r="O225" s="877">
        <v>0</v>
      </c>
      <c r="P225" s="877">
        <v>0</v>
      </c>
      <c r="Q225" s="877">
        <v>0</v>
      </c>
      <c r="R225" s="877"/>
      <c r="S225" s="877"/>
      <c r="T225" s="886"/>
      <c r="V225" s="1230"/>
      <c r="W225" s="183"/>
      <c r="X225" s="183"/>
      <c r="Y225" s="183"/>
      <c r="Z225" s="1231"/>
      <c r="AA225" s="183"/>
      <c r="AB225" s="1230"/>
      <c r="AC225" s="183"/>
      <c r="AD225" s="183"/>
      <c r="AE225" s="183"/>
      <c r="AF225" s="1231"/>
      <c r="AG225" s="189"/>
      <c r="AH225" s="879"/>
      <c r="AI225" s="877"/>
      <c r="AJ225" s="877"/>
      <c r="AK225" s="877"/>
      <c r="AL225" s="886"/>
      <c r="AM225" s="877"/>
      <c r="AN225" s="879"/>
      <c r="AO225" s="877"/>
      <c r="AP225" s="877"/>
      <c r="AQ225" s="877"/>
      <c r="AR225" s="886"/>
      <c r="AS225" s="877"/>
      <c r="AT225" s="879"/>
      <c r="AU225" s="877"/>
      <c r="AV225" s="877"/>
      <c r="AW225" s="877"/>
      <c r="AX225" s="877"/>
      <c r="AY225" s="877"/>
      <c r="AZ225" s="886"/>
      <c r="BA225" s="877"/>
      <c r="BB225" s="879"/>
      <c r="BC225" s="877"/>
      <c r="BD225" s="877"/>
      <c r="BE225" s="877"/>
      <c r="BF225" s="886"/>
      <c r="BG225" s="877"/>
      <c r="BH225" s="879"/>
      <c r="BI225" s="877"/>
      <c r="BJ225" s="877"/>
      <c r="BK225" s="877"/>
      <c r="BL225" s="886"/>
      <c r="BM225" s="877"/>
      <c r="BN225" s="879"/>
      <c r="BO225" s="877"/>
      <c r="BP225" s="877"/>
      <c r="BQ225" s="877"/>
      <c r="BR225" s="886"/>
      <c r="BS225" s="877"/>
      <c r="BT225" s="879"/>
      <c r="BU225" s="886"/>
    </row>
    <row r="226" spans="1:73">
      <c r="A226" s="392"/>
      <c r="B226" s="901"/>
      <c r="C226" s="908"/>
      <c r="D226" s="901"/>
      <c r="E226" s="511" t="s">
        <v>319</v>
      </c>
      <c r="F226" s="928">
        <f>SUM(J226:M226)</f>
        <v>0</v>
      </c>
      <c r="G226" s="877">
        <f>SUM(I226:M226,P226)</f>
        <v>1.7712764905085949</v>
      </c>
      <c r="H226" s="878"/>
      <c r="I226" s="877">
        <f>'Input data meat and eggs'!S433*'Input data meat and eggs'!C48+'Input data meat and eggs'!T433*'Input data meat and eggs'!C47+'Input data meat and eggs'!U433*'Input data meat and eggs'!C35+'Input data meat and eggs'!V433*SUMPRODUCT('Input data meat and eggs'!C37:C46,'Input data meat and eggs'!F77:F86)</f>
        <v>1.7712764905085949</v>
      </c>
      <c r="J226" s="877">
        <v>0</v>
      </c>
      <c r="K226" s="877">
        <v>0</v>
      </c>
      <c r="L226" s="877">
        <v>0</v>
      </c>
      <c r="M226" s="877">
        <v>0</v>
      </c>
      <c r="N226" s="877">
        <v>0</v>
      </c>
      <c r="O226" s="877">
        <v>0</v>
      </c>
      <c r="P226" s="877">
        <v>0</v>
      </c>
      <c r="Q226" s="877">
        <f>('Input data meat and eggs'!C104*3.6*'Common input data'!B67)*'Input data meat and eggs'!$F$413</f>
        <v>3.0346481886792457E-2</v>
      </c>
      <c r="R226" s="877"/>
      <c r="S226" s="877"/>
      <c r="T226" s="886"/>
      <c r="V226" s="1230"/>
      <c r="W226" s="183"/>
      <c r="X226" s="183"/>
      <c r="Y226" s="183"/>
      <c r="Z226" s="1231"/>
      <c r="AA226" s="183"/>
      <c r="AB226" s="1230"/>
      <c r="AC226" s="183"/>
      <c r="AD226" s="183"/>
      <c r="AE226" s="183"/>
      <c r="AF226" s="1231"/>
      <c r="AG226" s="189"/>
      <c r="AH226" s="879"/>
      <c r="AI226" s="877"/>
      <c r="AJ226" s="877"/>
      <c r="AK226" s="877"/>
      <c r="AL226" s="886"/>
      <c r="AM226" s="877"/>
      <c r="AN226" s="879"/>
      <c r="AO226" s="877"/>
      <c r="AP226" s="877"/>
      <c r="AQ226" s="877"/>
      <c r="AR226" s="886"/>
      <c r="AS226" s="877"/>
      <c r="AT226" s="879"/>
      <c r="AU226" s="877"/>
      <c r="AV226" s="877"/>
      <c r="AW226" s="877"/>
      <c r="AX226" s="877"/>
      <c r="AY226" s="877"/>
      <c r="AZ226" s="886"/>
      <c r="BA226" s="877"/>
      <c r="BB226" s="879"/>
      <c r="BC226" s="877"/>
      <c r="BD226" s="877"/>
      <c r="BE226" s="877"/>
      <c r="BF226" s="886"/>
      <c r="BG226" s="877"/>
      <c r="BH226" s="879"/>
      <c r="BI226" s="877"/>
      <c r="BJ226" s="877"/>
      <c r="BK226" s="877"/>
      <c r="BL226" s="886"/>
      <c r="BM226" s="877"/>
      <c r="BN226" s="879"/>
      <c r="BO226" s="877"/>
      <c r="BP226" s="877"/>
      <c r="BQ226" s="877"/>
      <c r="BR226" s="886"/>
      <c r="BS226" s="877"/>
      <c r="BT226" s="879"/>
      <c r="BU226" s="886"/>
    </row>
    <row r="227" spans="1:73">
      <c r="A227" s="392"/>
      <c r="B227" s="901"/>
      <c r="C227" s="906"/>
      <c r="D227" s="899"/>
      <c r="E227" s="512" t="s">
        <v>320</v>
      </c>
      <c r="F227" s="928">
        <f>SUM(J227:M227)</f>
        <v>5.8043224309135724</v>
      </c>
      <c r="G227" s="877">
        <f>SUM(I227:M227,P227)</f>
        <v>7.2995366522062701</v>
      </c>
      <c r="H227" s="878"/>
      <c r="I227" s="877">
        <f>('Input data meat and eggs'!S433*'Input data meat and eggs'!D48+'Input data meat and eggs'!T433*'Input data meat and eggs'!D47+'Input data meat and eggs'!U433*'Input data meat and eggs'!D35+'Input data meat and eggs'!V433*SUMPRODUCT('Input data meat and eggs'!D37:D46,'Input data meat and eggs'!F77:F86))*'Input data meat and eggs'!B70</f>
        <v>1.4952142212926971</v>
      </c>
      <c r="J227" s="877">
        <f>('Input data meat and eggs'!S433*'Input data meat and eggs'!D48+'Input data meat and eggs'!T433*'Input data meat and eggs'!D47+'Input data meat and eggs'!U433*'Input data meat and eggs'!D35+'Input data meat and eggs'!V433*SUMPRODUCT('Input data meat and eggs'!D37:D46,'Input data meat and eggs'!F77:F86))*'Input data meat and eggs'!C70</f>
        <v>3.7792988830328818</v>
      </c>
      <c r="K227" s="877">
        <f>'Input data meat and eggs'!K433*'Input data meat and eggs'!G433/12*('Input data meat and eggs'!$O$433*'Input data meat and eggs'!$B$457+'Input data meat and eggs'!$P$433*'Input data meat and eggs'!$C$457+'Input data meat and eggs'!$Q$433*'Input data meat and eggs'!$D$457+'Input data meat and eggs'!$R$433*'Input data meat and eggs'!$E$457)*44/28</f>
        <v>1.341287284144427</v>
      </c>
      <c r="L227" s="877">
        <f>'Input data meat and eggs'!$B$458*44/28*'Input data meat and eggs'!K433*'Input data meat and eggs'!G433/12*('Input data meat and eggs'!O433*'Input data meat and eggs'!B470+'Input data meat and eggs'!P433*'Input data meat and eggs'!C470+'Input data meat and eggs'!Q433*'Input data meat and eggs'!D470)</f>
        <v>0.68373626373626384</v>
      </c>
      <c r="M227" s="877">
        <v>0</v>
      </c>
      <c r="N227" s="877">
        <v>0</v>
      </c>
      <c r="O227" s="877">
        <v>0</v>
      </c>
      <c r="P227" s="877">
        <v>0</v>
      </c>
      <c r="Q227" s="877">
        <f>('Input data meat and eggs'!C104*3.6*'Common input data'!B68)*'Input data meat and eggs'!$F$413</f>
        <v>2.8289664781132075E-3</v>
      </c>
      <c r="R227" s="877"/>
      <c r="S227" s="877"/>
      <c r="T227" s="886"/>
      <c r="V227" s="1230"/>
      <c r="W227" s="183"/>
      <c r="X227" s="183"/>
      <c r="Y227" s="183"/>
      <c r="Z227" s="1231"/>
      <c r="AA227" s="183"/>
      <c r="AB227" s="1230"/>
      <c r="AC227" s="183"/>
      <c r="AD227" s="183"/>
      <c r="AE227" s="183"/>
      <c r="AF227" s="1231"/>
      <c r="AG227" s="189"/>
      <c r="AH227" s="879"/>
      <c r="AI227" s="877"/>
      <c r="AJ227" s="877"/>
      <c r="AK227" s="877"/>
      <c r="AL227" s="886"/>
      <c r="AM227" s="877"/>
      <c r="AN227" s="879"/>
      <c r="AO227" s="877"/>
      <c r="AP227" s="877"/>
      <c r="AQ227" s="877"/>
      <c r="AR227" s="886"/>
      <c r="AS227" s="877"/>
      <c r="AT227" s="879"/>
      <c r="AU227" s="877"/>
      <c r="AV227" s="877"/>
      <c r="AW227" s="877"/>
      <c r="AX227" s="877"/>
      <c r="AY227" s="877"/>
      <c r="AZ227" s="886"/>
      <c r="BA227" s="877"/>
      <c r="BB227" s="879"/>
      <c r="BC227" s="877"/>
      <c r="BD227" s="877"/>
      <c r="BE227" s="877"/>
      <c r="BF227" s="886"/>
      <c r="BG227" s="877"/>
      <c r="BH227" s="879"/>
      <c r="BI227" s="877"/>
      <c r="BJ227" s="877"/>
      <c r="BK227" s="877"/>
      <c r="BL227" s="886"/>
      <c r="BM227" s="877"/>
      <c r="BN227" s="879"/>
      <c r="BO227" s="877"/>
      <c r="BP227" s="877"/>
      <c r="BQ227" s="877"/>
      <c r="BR227" s="886"/>
      <c r="BS227" s="877"/>
      <c r="BT227" s="879"/>
      <c r="BU227" s="886"/>
    </row>
    <row r="228" spans="1:73">
      <c r="A228" s="393"/>
      <c r="B228" s="1330" t="s">
        <v>348</v>
      </c>
      <c r="C228" s="905"/>
      <c r="D228" s="898"/>
      <c r="E228" s="513" t="s">
        <v>316</v>
      </c>
      <c r="F228" s="930">
        <f>SUMPRODUCT($CA$7:$CA$10,F229:F232)</f>
        <v>387.28397466891181</v>
      </c>
      <c r="G228" s="872">
        <f>SUMPRODUCT($CA$7:$CA$10,G229:G232)</f>
        <v>2132.5675839879664</v>
      </c>
      <c r="H228" s="873"/>
      <c r="I228" s="884"/>
      <c r="J228" s="884"/>
      <c r="K228" s="884"/>
      <c r="L228" s="884"/>
      <c r="M228" s="884"/>
      <c r="N228" s="884"/>
      <c r="O228" s="884"/>
      <c r="P228" s="884"/>
      <c r="Q228" s="884"/>
      <c r="R228" s="884"/>
      <c r="S228" s="884"/>
      <c r="T228" s="885"/>
      <c r="V228" s="1240">
        <f>'Input data meat and eggs'!$S434*'Input data meat and eggs'!E$48+'Input data meat and eggs'!$U434*'Input data meat and eggs'!E$35+'Input data meat and eggs'!$V434*SUMPRODUCT('Input data meat and eggs'!$F$77:$F$86,'Input data meat and eggs'!E$37:E$46)</f>
        <v>9029.7456119319577</v>
      </c>
      <c r="W228" s="211">
        <f>V228*'Input data meat and eggs'!$C434</f>
        <v>27581121863.892258</v>
      </c>
      <c r="X228" s="211"/>
      <c r="Y228" s="211"/>
      <c r="Z228" s="1242"/>
      <c r="AA228" s="189"/>
      <c r="AB228" s="1240">
        <f>'Input data meat and eggs'!$T434*'Input data meat and eggs'!F$47</f>
        <v>9972.0164448342421</v>
      </c>
      <c r="AC228" s="211">
        <f>AB228*'Input data meat and eggs'!$C434</f>
        <v>30459263484.706837</v>
      </c>
      <c r="AD228" s="211"/>
      <c r="AE228" s="211"/>
      <c r="AF228" s="1242"/>
      <c r="AG228" s="189"/>
      <c r="AH228" s="883">
        <f>'Input data meat and eggs'!$S434*'Input data meat and eggs'!G$48+'Input data meat and eggs'!$T434*'Input data meat and eggs'!G$47+'Input data meat and eggs'!$U434*'Input data meat and eggs'!G$35+'Input data meat and eggs'!$V434*SUMPRODUCT('Input data meat and eggs'!$F$77:$F$86,'Input data meat and eggs'!G$37:G$46)</f>
        <v>244.12147740215488</v>
      </c>
      <c r="AI228" s="884">
        <f>AH228*'Input data meat and eggs'!$C434</f>
        <v>745662669.49149024</v>
      </c>
      <c r="AJ228" s="884"/>
      <c r="AK228" s="884"/>
      <c r="AL228" s="885"/>
      <c r="AM228" s="877"/>
      <c r="AN228" s="883">
        <f>'Input data meat and eggs'!$S434*'Input data meat and eggs'!H$48+'Input data meat and eggs'!$T434*'Input data meat and eggs'!H$47+'Input data meat and eggs'!$U434*'Input data meat and eggs'!H$35+'Input data meat and eggs'!$V434*SUMPRODUCT('Input data meat and eggs'!$F$77:$F$86,'Input data meat and eggs'!H$37:H$46)</f>
        <v>4.202027450342495</v>
      </c>
      <c r="AO228" s="884">
        <f>AN228*'Input data meat and eggs'!$C434</f>
        <v>12834982.973404074</v>
      </c>
      <c r="AP228" s="884"/>
      <c r="AQ228" s="884"/>
      <c r="AR228" s="885"/>
      <c r="AS228" s="877"/>
      <c r="AT228" s="883">
        <f>'Input data meat and eggs'!$S434*'Input data meat and eggs'!I$48+'Input data meat and eggs'!$T434*'Input data meat and eggs'!I$47+'Input data meat and eggs'!$U434*'Input data meat and eggs'!I$35+'Input data meat and eggs'!$V434*SUMPRODUCT('Input data meat and eggs'!$F$77:$F$86,'Input data meat and eggs'!I$37:I$46)</f>
        <v>0.47362949542220278</v>
      </c>
      <c r="AU228" s="884">
        <f>'Input data meat and eggs'!G434/12*((1-'Input data meat and eggs'!$R434)*'Input data meat and eggs'!$B$61+'Input data meat and eggs'!$R434*'Input data meat and eggs'!$B$62)</f>
        <v>14.670848651348649</v>
      </c>
      <c r="AV228" s="884">
        <f>SUM(AT228:AU228)</f>
        <v>15.144478146770853</v>
      </c>
      <c r="AW228" s="884">
        <f>AV228*'Input data meat and eggs'!$C434</f>
        <v>46258412.504908957</v>
      </c>
      <c r="AX228" s="884"/>
      <c r="AY228" s="884"/>
      <c r="AZ228" s="885"/>
      <c r="BA228" s="877"/>
      <c r="BB228" s="883">
        <f>'Input data meat and eggs'!$S434*'Input data meat and eggs'!O$48+'Input data meat and eggs'!$T434*'Input data meat and eggs'!O$47+'Input data meat and eggs'!$U434*'Input data meat and eggs'!O$35+'Input data meat and eggs'!$V434*SUMPRODUCT('Input data meat and eggs'!$F$77:$F$86,'Input data meat and eggs'!O$37:O$46)</f>
        <v>6.5750869089417195E-7</v>
      </c>
      <c r="BC228" s="884">
        <f>BB228*'Input data meat and eggs'!$C434</f>
        <v>2.0083431039471322</v>
      </c>
      <c r="BD228" s="884"/>
      <c r="BE228" s="884"/>
      <c r="BF228" s="885"/>
      <c r="BG228" s="877"/>
      <c r="BH228" s="883">
        <f>'Input data meat and eggs'!$S434*'Input data meat and eggs'!U$48+'Input data meat and eggs'!$T434*'Input data meat and eggs'!U$47+'Input data meat and eggs'!$U434*'Input data meat and eggs'!U$35+'Input data meat and eggs'!$V434*SUMPRODUCT('Input data meat and eggs'!$F$77:$F$86,'Input data meat and eggs'!U$37:U$46)</f>
        <v>0.244416834173667</v>
      </c>
      <c r="BI228" s="884">
        <f>BH228*'Input data meat and eggs'!$C434</f>
        <v>746564.82902715169</v>
      </c>
      <c r="BJ228" s="884"/>
      <c r="BK228" s="884"/>
      <c r="BL228" s="885"/>
      <c r="BM228" s="877"/>
      <c r="BN228" s="883">
        <f>'Input data meat and eggs'!$S434*'Input data meat and eggs'!W$48+'Input data meat and eggs'!$T434*'Input data meat and eggs'!W$47+'Input data meat and eggs'!$U434*'Input data meat and eggs'!W$35+'Input data meat and eggs'!$V434*SUMPRODUCT('Input data meat and eggs'!$F$77:$F$86,'Input data meat and eggs'!W$37:W$46)</f>
        <v>17.169113189476398</v>
      </c>
      <c r="BO228" s="884">
        <f>BN228*'Input data meat and eggs'!$C434</f>
        <v>52442607.303152092</v>
      </c>
      <c r="BP228" s="884"/>
      <c r="BQ228" s="884"/>
      <c r="BR228" s="885"/>
      <c r="BS228" s="877"/>
      <c r="BT228" s="879"/>
      <c r="BU228" s="886"/>
    </row>
    <row r="229" spans="1:73">
      <c r="A229" s="392"/>
      <c r="B229" s="901"/>
      <c r="C229" s="907"/>
      <c r="D229" s="900"/>
      <c r="E229" s="511" t="s">
        <v>317</v>
      </c>
      <c r="F229" s="928">
        <f>IF(AND($G$2="No",$G$3="No"),SUM(J229:M229),IF(AND($G$2="Yes", $G$3="No"), SUM(J229:M229)+O229, IF(AND($G$2="No", $G$3="Yes"),SUM(J229:M229)+N229, SUM(J229:M229)+O229+N229)))</f>
        <v>-413.58127985432384</v>
      </c>
      <c r="G229" s="877">
        <f>IF(AND($G$2="No",$G$3="No"),SUM(I229:M229,P229),IF(AND($G$2="Yes", $G$3="No"), SUM(I229:M229,P229)+O229, IF(AND($G$2="No", $G$3="Yes"),SUM(I229:M229,P229)+N229, SUM(I229:M229,P229)+O229+N229)))</f>
        <v>1180.4576362234468</v>
      </c>
      <c r="H229" s="878"/>
      <c r="I229" s="877">
        <f>'Input data meat and eggs'!S434*'Input data meat and eggs'!B48+'Input data meat and eggs'!T434*'Input data meat and eggs'!B47+'Input data meat and eggs'!U434*'Input data meat and eggs'!B35+'Input data meat and eggs'!V434*SUMPRODUCT('Input data meat and eggs'!B37:B46,'Input data meat and eggs'!F77:F86)</f>
        <v>560.77943170260323</v>
      </c>
      <c r="J229" s="877">
        <v>0</v>
      </c>
      <c r="K229" s="877">
        <v>0</v>
      </c>
      <c r="L229" s="877">
        <v>0</v>
      </c>
      <c r="M229" s="877">
        <v>0</v>
      </c>
      <c r="N229" s="877">
        <f>('Input data meat and eggs'!S434+'Input data meat and eggs'!T434)*'Common input data'!F19+
'Input data meat and eggs'!U434*'Common input data'!B19+'Input data meat and eggs'!V434*('Input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f>
        <v>-419.23167679225412</v>
      </c>
      <c r="O229" s="877">
        <f>'Input data meat and eggs'!V434*('Input data meat and eggs'!F79*'Common input data'!AR27*'Common input data'!G44/'Common input data'!F44+'Input data meat and eggs'!F83*'Common input data'!AS27*'Common input data'!J46/'Common input data'!I46)</f>
        <v>5.6503969379303056</v>
      </c>
      <c r="P229" s="877">
        <f>('Input data meat and eggs'!B95*'Common input data'!C80)*'Input data meat and eggs'!F434</f>
        <v>1033.2594843751674</v>
      </c>
      <c r="Q229" s="877">
        <v>0</v>
      </c>
      <c r="R229" s="877"/>
      <c r="S229" s="877"/>
      <c r="T229" s="886"/>
      <c r="V229" s="1232"/>
      <c r="W229" s="189"/>
      <c r="X229" s="189"/>
      <c r="Y229" s="189"/>
      <c r="Z229" s="199"/>
      <c r="AA229" s="189"/>
      <c r="AB229" s="1232"/>
      <c r="AC229" s="189"/>
      <c r="AD229" s="189"/>
      <c r="AE229" s="189"/>
      <c r="AF229" s="199"/>
      <c r="AG229" s="189"/>
      <c r="AH229" s="879"/>
      <c r="AI229" s="877"/>
      <c r="AJ229" s="877"/>
      <c r="AK229" s="877"/>
      <c r="AL229" s="886"/>
      <c r="AM229" s="877"/>
      <c r="AN229" s="879"/>
      <c r="AO229" s="877"/>
      <c r="AP229" s="877"/>
      <c r="AQ229" s="877"/>
      <c r="AR229" s="886"/>
      <c r="AS229" s="877"/>
      <c r="AT229" s="879"/>
      <c r="AU229" s="877"/>
      <c r="AV229" s="877"/>
      <c r="AW229" s="877"/>
      <c r="AX229" s="877"/>
      <c r="AY229" s="877"/>
      <c r="AZ229" s="886"/>
      <c r="BA229" s="877"/>
      <c r="BB229" s="879"/>
      <c r="BC229" s="877"/>
      <c r="BD229" s="877"/>
      <c r="BE229" s="877"/>
      <c r="BF229" s="886"/>
      <c r="BG229" s="877"/>
      <c r="BH229" s="879"/>
      <c r="BI229" s="877"/>
      <c r="BJ229" s="877"/>
      <c r="BK229" s="877"/>
      <c r="BL229" s="886"/>
      <c r="BM229" s="877"/>
      <c r="BN229" s="879"/>
      <c r="BO229" s="877"/>
      <c r="BP229" s="877"/>
      <c r="BQ229" s="877"/>
      <c r="BR229" s="886"/>
      <c r="BS229" s="877"/>
      <c r="BT229" s="879"/>
      <c r="BU229" s="886"/>
    </row>
    <row r="230" spans="1:73">
      <c r="A230" s="392"/>
      <c r="B230" s="901"/>
      <c r="C230" s="906"/>
      <c r="D230" s="899"/>
      <c r="E230" s="511" t="s">
        <v>321</v>
      </c>
      <c r="F230" s="928">
        <f>SUM(J230:M230)</f>
        <v>51.93169194003746</v>
      </c>
      <c r="G230" s="877">
        <f>SUM(I230:M230,P230)</f>
        <v>51.93169194003746</v>
      </c>
      <c r="H230" s="878"/>
      <c r="I230" s="877">
        <v>0</v>
      </c>
      <c r="J230" s="877">
        <v>0</v>
      </c>
      <c r="K230" s="877">
        <f>'Input data meat and eggs'!M434*'Input data meat and eggs'!G434/12*'Input data meat and eggs'!$C$462*'Input data meat and eggs'!$C$464*'Input data meat and eggs'!$C$465*
('Input data meat and eggs'!$O$434*'Input data meat and eggs'!$B$455
+'Input data meat and eggs'!$P$434*'Input data meat and eggs'!$C$455+
'Input data meat and eggs'!$Q$434*'Input data meat and eggs'!$D$455+
'Input data meat and eggs'!$R$434*'Input data meat and eggs'!$E$455)</f>
        <v>2.4516919400374628</v>
      </c>
      <c r="L230" s="877">
        <v>0</v>
      </c>
      <c r="M230" s="877">
        <f>'Input data meat and eggs'!L434*'Input data meat and eggs'!G434/12</f>
        <v>49.48</v>
      </c>
      <c r="N230" s="877">
        <v>0</v>
      </c>
      <c r="O230" s="877">
        <v>0</v>
      </c>
      <c r="P230" s="877">
        <v>0</v>
      </c>
      <c r="Q230" s="877">
        <v>0</v>
      </c>
      <c r="R230" s="877"/>
      <c r="S230" s="877"/>
      <c r="T230" s="886"/>
      <c r="V230" s="1230"/>
      <c r="W230" s="183"/>
      <c r="X230" s="183"/>
      <c r="Y230" s="183"/>
      <c r="Z230" s="1231"/>
      <c r="AA230" s="183"/>
      <c r="AB230" s="1230"/>
      <c r="AC230" s="183"/>
      <c r="AD230" s="183"/>
      <c r="AE230" s="183"/>
      <c r="AF230" s="1231"/>
      <c r="AG230" s="189"/>
      <c r="AH230" s="879"/>
      <c r="AI230" s="877"/>
      <c r="AJ230" s="877"/>
      <c r="AK230" s="877"/>
      <c r="AL230" s="886"/>
      <c r="AM230" s="877"/>
      <c r="AN230" s="879"/>
      <c r="AO230" s="877"/>
      <c r="AP230" s="877"/>
      <c r="AQ230" s="877"/>
      <c r="AR230" s="886"/>
      <c r="AS230" s="877"/>
      <c r="AT230" s="879"/>
      <c r="AU230" s="877"/>
      <c r="AV230" s="877"/>
      <c r="AW230" s="877"/>
      <c r="AX230" s="877"/>
      <c r="AY230" s="877"/>
      <c r="AZ230" s="886"/>
      <c r="BA230" s="877"/>
      <c r="BB230" s="879"/>
      <c r="BC230" s="877"/>
      <c r="BD230" s="877"/>
      <c r="BE230" s="877"/>
      <c r="BF230" s="886"/>
      <c r="BG230" s="877"/>
      <c r="BH230" s="879"/>
      <c r="BI230" s="877"/>
      <c r="BJ230" s="877"/>
      <c r="BK230" s="877"/>
      <c r="BL230" s="886"/>
      <c r="BM230" s="877"/>
      <c r="BN230" s="879"/>
      <c r="BO230" s="877"/>
      <c r="BP230" s="877"/>
      <c r="BQ230" s="877"/>
      <c r="BR230" s="886"/>
      <c r="BS230" s="877"/>
      <c r="BT230" s="879"/>
      <c r="BU230" s="886"/>
    </row>
    <row r="231" spans="1:73">
      <c r="A231" s="392"/>
      <c r="B231" s="901"/>
      <c r="C231" s="906"/>
      <c r="D231" s="899"/>
      <c r="E231" s="511" t="s">
        <v>319</v>
      </c>
      <c r="F231" s="928">
        <f>SUM(J231:M231)</f>
        <v>0</v>
      </c>
      <c r="G231" s="877">
        <f>SUM(I231:M231,P231)</f>
        <v>0.29770863842514217</v>
      </c>
      <c r="H231" s="878"/>
      <c r="I231" s="877">
        <f>'Input data meat and eggs'!S434*'Input data meat and eggs'!C48+'Input data meat and eggs'!T434*'Input data meat and eggs'!C47+'Input data meat and eggs'!U434*'Input data meat and eggs'!C35+'Input data meat and eggs'!V434*SUMPRODUCT('Input data meat and eggs'!C37:C46,'Input data meat and eggs'!F77:F86)</f>
        <v>0.29770863842514217</v>
      </c>
      <c r="J231" s="877">
        <v>0</v>
      </c>
      <c r="K231" s="877">
        <v>0</v>
      </c>
      <c r="L231" s="877">
        <v>0</v>
      </c>
      <c r="M231" s="877">
        <v>0</v>
      </c>
      <c r="N231" s="877">
        <v>0</v>
      </c>
      <c r="O231" s="877">
        <v>0</v>
      </c>
      <c r="P231" s="877">
        <v>0</v>
      </c>
      <c r="Q231" s="877">
        <v>0</v>
      </c>
      <c r="R231" s="877"/>
      <c r="S231" s="877"/>
      <c r="T231" s="886"/>
      <c r="V231" s="1230"/>
      <c r="W231" s="183"/>
      <c r="X231" s="183"/>
      <c r="Y231" s="183"/>
      <c r="Z231" s="1231"/>
      <c r="AA231" s="183"/>
      <c r="AB231" s="1230"/>
      <c r="AC231" s="183"/>
      <c r="AD231" s="183"/>
      <c r="AE231" s="183"/>
      <c r="AF231" s="1231"/>
      <c r="AG231" s="189"/>
      <c r="AH231" s="879"/>
      <c r="AI231" s="877"/>
      <c r="AJ231" s="877"/>
      <c r="AK231" s="877"/>
      <c r="AL231" s="886"/>
      <c r="AM231" s="877"/>
      <c r="AN231" s="879"/>
      <c r="AO231" s="877"/>
      <c r="AP231" s="877"/>
      <c r="AQ231" s="877"/>
      <c r="AR231" s="886"/>
      <c r="AS231" s="877"/>
      <c r="AT231" s="879"/>
      <c r="AU231" s="877"/>
      <c r="AV231" s="877"/>
      <c r="AW231" s="877"/>
      <c r="AX231" s="877"/>
      <c r="AY231" s="877"/>
      <c r="AZ231" s="886"/>
      <c r="BA231" s="877"/>
      <c r="BB231" s="879"/>
      <c r="BC231" s="877"/>
      <c r="BD231" s="877"/>
      <c r="BE231" s="877"/>
      <c r="BF231" s="886"/>
      <c r="BG231" s="877"/>
      <c r="BH231" s="879"/>
      <c r="BI231" s="877"/>
      <c r="BJ231" s="877"/>
      <c r="BK231" s="877"/>
      <c r="BL231" s="886"/>
      <c r="BM231" s="877"/>
      <c r="BN231" s="879"/>
      <c r="BO231" s="877"/>
      <c r="BP231" s="877"/>
      <c r="BQ231" s="877"/>
      <c r="BR231" s="886"/>
      <c r="BS231" s="877"/>
      <c r="BT231" s="879"/>
      <c r="BU231" s="886"/>
    </row>
    <row r="232" spans="1:73">
      <c r="A232" s="392"/>
      <c r="B232" s="901"/>
      <c r="C232" s="906"/>
      <c r="D232" s="899"/>
      <c r="E232" s="512" t="s">
        <v>320</v>
      </c>
      <c r="F232" s="928">
        <f>SUM(J232:M232)</f>
        <v>2.3896407828543329</v>
      </c>
      <c r="G232" s="877">
        <f>SUM(I232:M232,P232)</f>
        <v>3.0327543564195079</v>
      </c>
      <c r="H232" s="878"/>
      <c r="I232" s="877">
        <f>('Input data meat and eggs'!S434*'Input data meat and eggs'!D48+'Input data meat and eggs'!T434*'Input data meat and eggs'!D47+'Input data meat and eggs'!U434*'Input data meat and eggs'!D35+'Input data meat and eggs'!V434*SUMPRODUCT('Input data meat and eggs'!D37:D46,'Input data meat and eggs'!F77:F86))*'Input data meat and eggs'!B70</f>
        <v>0.64311357356517507</v>
      </c>
      <c r="J232" s="877">
        <f>('Input data meat and eggs'!S434*'Input data meat and eggs'!D48+'Input data meat and eggs'!T434*'Input data meat and eggs'!D47+'Input data meat and eggs'!U434*'Input data meat and eggs'!D35+'Input data meat and eggs'!V434*SUMPRODUCT('Input data meat and eggs'!D37:D46,'Input data meat and eggs'!F77:F86))*'Input data meat and eggs'!C70</f>
        <v>1.6255318974540187</v>
      </c>
      <c r="K232" s="877">
        <f>'Input data meat and eggs'!K434*'Input data meat and eggs'!G434/12*('Input data meat and eggs'!$O$434*'Input data meat and eggs'!$B$457+'Input data meat and eggs'!$P$434*'Input data meat and eggs'!$C$457+'Input data meat and eggs'!$Q$434*'Input data meat and eggs'!$D$457+'Input data meat and eggs'!$R$434*'Input data meat and eggs'!$E$457)*44/28</f>
        <v>0.50611240188383044</v>
      </c>
      <c r="L232" s="877">
        <f>'Input data meat and eggs'!$B$458*44/28*'Input data meat and eggs'!K434*'Input data meat and eggs'!G434/12*('Input data meat and eggs'!O434*'Input data meat and eggs'!B470+'Input data meat and eggs'!P434*'Input data meat and eggs'!C470+'Input data meat and eggs'!Q434*'Input data meat and eggs'!D470)</f>
        <v>0.25799648351648358</v>
      </c>
      <c r="M232" s="877">
        <v>0</v>
      </c>
      <c r="N232" s="877">
        <v>0</v>
      </c>
      <c r="O232" s="877">
        <v>0</v>
      </c>
      <c r="P232" s="877">
        <v>0</v>
      </c>
      <c r="Q232" s="877">
        <v>0</v>
      </c>
      <c r="R232" s="877"/>
      <c r="S232" s="877"/>
      <c r="T232" s="886"/>
      <c r="V232" s="1230"/>
      <c r="W232" s="183"/>
      <c r="X232" s="183"/>
      <c r="Y232" s="183"/>
      <c r="Z232" s="1231"/>
      <c r="AA232" s="183"/>
      <c r="AB232" s="1230"/>
      <c r="AC232" s="183"/>
      <c r="AD232" s="183"/>
      <c r="AE232" s="183"/>
      <c r="AF232" s="1231"/>
      <c r="AG232" s="189"/>
      <c r="AH232" s="879"/>
      <c r="AI232" s="877"/>
      <c r="AJ232" s="877"/>
      <c r="AK232" s="877"/>
      <c r="AL232" s="886"/>
      <c r="AM232" s="877"/>
      <c r="AN232" s="879"/>
      <c r="AO232" s="877"/>
      <c r="AP232" s="877"/>
      <c r="AQ232" s="877"/>
      <c r="AR232" s="886"/>
      <c r="AS232" s="877"/>
      <c r="AT232" s="879"/>
      <c r="AU232" s="877"/>
      <c r="AV232" s="877"/>
      <c r="AW232" s="877"/>
      <c r="AX232" s="877"/>
      <c r="AY232" s="877"/>
      <c r="AZ232" s="886"/>
      <c r="BA232" s="877"/>
      <c r="BB232" s="879"/>
      <c r="BC232" s="877"/>
      <c r="BD232" s="877"/>
      <c r="BE232" s="877"/>
      <c r="BF232" s="886"/>
      <c r="BG232" s="877"/>
      <c r="BH232" s="879"/>
      <c r="BI232" s="877"/>
      <c r="BJ232" s="877"/>
      <c r="BK232" s="877"/>
      <c r="BL232" s="886"/>
      <c r="BM232" s="877"/>
      <c r="BN232" s="879"/>
      <c r="BO232" s="877"/>
      <c r="BP232" s="877"/>
      <c r="BQ232" s="877"/>
      <c r="BR232" s="886"/>
      <c r="BS232" s="877"/>
      <c r="BT232" s="879"/>
      <c r="BU232" s="886"/>
    </row>
    <row r="233" spans="1:73">
      <c r="A233" s="393"/>
      <c r="B233" s="1330" t="s">
        <v>357</v>
      </c>
      <c r="C233" s="910"/>
      <c r="D233" s="899"/>
      <c r="E233" s="513" t="s">
        <v>316</v>
      </c>
      <c r="F233" s="930">
        <f>SUMPRODUCT($CA$7:$CA$10,F234:F237)</f>
        <v>11877331766.237131</v>
      </c>
      <c r="G233" s="872">
        <f>SUMPRODUCT($CA$7:$CA$10,G234:G237)</f>
        <v>28693572470.583069</v>
      </c>
      <c r="H233" s="873"/>
      <c r="I233" s="884"/>
      <c r="J233" s="884"/>
      <c r="K233" s="884"/>
      <c r="L233" s="884"/>
      <c r="M233" s="884"/>
      <c r="N233" s="884"/>
      <c r="O233" s="884"/>
      <c r="P233" s="884"/>
      <c r="Q233" s="884"/>
      <c r="R233" s="884"/>
      <c r="S233" s="884"/>
      <c r="T233" s="885"/>
      <c r="V233" s="1239"/>
      <c r="W233" s="358"/>
      <c r="X233" s="358"/>
      <c r="Y233" s="358"/>
      <c r="Z233" s="433"/>
      <c r="AA233" s="183"/>
      <c r="AB233" s="1239"/>
      <c r="AC233" s="358"/>
      <c r="AD233" s="358"/>
      <c r="AE233" s="358"/>
      <c r="AF233" s="433"/>
      <c r="AG233" s="189"/>
      <c r="AH233" s="883"/>
      <c r="AI233" s="884"/>
      <c r="AJ233" s="884"/>
      <c r="AK233" s="884"/>
      <c r="AL233" s="885"/>
      <c r="AM233" s="877"/>
      <c r="AN233" s="883"/>
      <c r="AO233" s="884"/>
      <c r="AP233" s="884"/>
      <c r="AQ233" s="884"/>
      <c r="AR233" s="885"/>
      <c r="AS233" s="877"/>
      <c r="AT233" s="883"/>
      <c r="AU233" s="884"/>
      <c r="AV233" s="884"/>
      <c r="AW233" s="884"/>
      <c r="AX233" s="884"/>
      <c r="AY233" s="884"/>
      <c r="AZ233" s="885"/>
      <c r="BA233" s="877"/>
      <c r="BB233" s="883"/>
      <c r="BC233" s="884"/>
      <c r="BD233" s="884"/>
      <c r="BE233" s="884"/>
      <c r="BF233" s="885"/>
      <c r="BG233" s="877"/>
      <c r="BH233" s="883"/>
      <c r="BI233" s="884"/>
      <c r="BJ233" s="884"/>
      <c r="BK233" s="884"/>
      <c r="BL233" s="885"/>
      <c r="BM233" s="877"/>
      <c r="BN233" s="883"/>
      <c r="BO233" s="884"/>
      <c r="BP233" s="884"/>
      <c r="BQ233" s="884"/>
      <c r="BR233" s="885"/>
      <c r="BS233" s="877"/>
      <c r="BT233" s="879"/>
      <c r="BU233" s="886"/>
    </row>
    <row r="234" spans="1:73">
      <c r="A234" s="392"/>
      <c r="B234" s="901"/>
      <c r="C234" s="906"/>
      <c r="D234" s="899"/>
      <c r="E234" s="511" t="s">
        <v>317</v>
      </c>
      <c r="F234" s="928">
        <f>IF(AND($G$2="No",$G$3="No"),SUM(J234:M234),IF(AND($G$2="Yes", $G$3="No"), SUM(J234:M234)+O234, IF(AND($G$2="No", $G$3="Yes"),SUM(J234:M234)+N234, SUM(J234:M234)+O234+N234)))</f>
        <v>-913664329.90179372</v>
      </c>
      <c r="G234" s="877">
        <f>IF(AND($G$2="No",$G$3="No"),SUM(I234:M234,P234),IF(AND($G$2="Yes", $G$3="No"), SUM(I234:M234,P234)+O234, IF(AND($G$2="No", $G$3="Yes"),SUM(I234:M234,P234)+N234, SUM(I234:M234,P234)+O234+N234)))</f>
        <v>13615017169.302259</v>
      </c>
      <c r="H234" s="878"/>
      <c r="I234" s="877">
        <f>I224*'Input data meat and eggs'!$C$433+I229*'Input data meat and eggs'!$C$434</f>
        <v>9224693139.5787296</v>
      </c>
      <c r="J234" s="877">
        <f>J224*'Input data meat and eggs'!$C$433+J229*'Input data meat and eggs'!$C$434</f>
        <v>0</v>
      </c>
      <c r="K234" s="877">
        <f>K224*'Input data meat and eggs'!$C$433+K229*'Input data meat and eggs'!$C$434</f>
        <v>0</v>
      </c>
      <c r="L234" s="877">
        <f>L224*'Input data meat and eggs'!$C$433+L229*'Input data meat and eggs'!$C$434</f>
        <v>0</v>
      </c>
      <c r="M234" s="877">
        <f>M224*'Input data meat and eggs'!$C$433+M229*'Input data meat and eggs'!$C$434</f>
        <v>0</v>
      </c>
      <c r="N234" s="877">
        <f>N224*'Input data meat and eggs'!$C$433+N229*'Input data meat and eggs'!$C$434</f>
        <v>-1851475160.4237936</v>
      </c>
      <c r="O234" s="877">
        <f>O224*'Input data meat and eggs'!$C$433+O229*'Input data meat and eggs'!$C$434</f>
        <v>937810830.52199984</v>
      </c>
      <c r="P234" s="877">
        <f>P224*'Input data meat and eggs'!$C$433+P229*'Input data meat and eggs'!$C$434</f>
        <v>5303988359.6253242</v>
      </c>
      <c r="Q234" s="877">
        <f>Q224*'Input data meat and eggs'!$E$433+Q229*'Input data meat and eggs'!$E$434</f>
        <v>294990195.14863241</v>
      </c>
      <c r="R234" s="877">
        <f>(G234+Q234)/'Input data meat and eggs'!$B$29</f>
        <v>20014399085.540852</v>
      </c>
      <c r="S234" s="877"/>
      <c r="T234" s="886"/>
      <c r="V234" s="1230"/>
      <c r="W234" s="183"/>
      <c r="X234" s="183"/>
      <c r="Y234" s="183"/>
      <c r="Z234" s="1231"/>
      <c r="AA234" s="183"/>
      <c r="AB234" s="1230"/>
      <c r="AC234" s="183"/>
      <c r="AD234" s="183"/>
      <c r="AE234" s="183"/>
      <c r="AF234" s="1231"/>
      <c r="AG234" s="189"/>
      <c r="AH234" s="879"/>
      <c r="AI234" s="877"/>
      <c r="AJ234" s="877"/>
      <c r="AK234" s="877"/>
      <c r="AL234" s="886"/>
      <c r="AM234" s="877"/>
      <c r="AN234" s="879"/>
      <c r="AO234" s="877"/>
      <c r="AP234" s="877"/>
      <c r="AQ234" s="877"/>
      <c r="AR234" s="886"/>
      <c r="AS234" s="877"/>
      <c r="AT234" s="879"/>
      <c r="AU234" s="877"/>
      <c r="AV234" s="877"/>
      <c r="AW234" s="877"/>
      <c r="AX234" s="877"/>
      <c r="AY234" s="877"/>
      <c r="AZ234" s="886"/>
      <c r="BA234" s="877"/>
      <c r="BB234" s="879"/>
      <c r="BC234" s="877"/>
      <c r="BD234" s="877"/>
      <c r="BE234" s="877"/>
      <c r="BF234" s="886"/>
      <c r="BG234" s="877"/>
      <c r="BH234" s="879"/>
      <c r="BI234" s="877"/>
      <c r="BJ234" s="877"/>
      <c r="BK234" s="877"/>
      <c r="BL234" s="886"/>
      <c r="BM234" s="877"/>
      <c r="BN234" s="879"/>
      <c r="BO234" s="877"/>
      <c r="BP234" s="877"/>
      <c r="BQ234" s="877"/>
      <c r="BR234" s="886"/>
      <c r="BS234" s="877"/>
      <c r="BT234" s="879"/>
      <c r="BU234" s="886"/>
    </row>
    <row r="235" spans="1:73">
      <c r="A235" s="392"/>
      <c r="B235" s="901"/>
      <c r="C235" s="906"/>
      <c r="D235" s="899"/>
      <c r="E235" s="511" t="s">
        <v>321</v>
      </c>
      <c r="F235" s="928">
        <f>SUM(J235:M235)</f>
        <v>886999167.80595648</v>
      </c>
      <c r="G235" s="877">
        <f>SUM(I235:M235,P235)</f>
        <v>886999167.80595648</v>
      </c>
      <c r="H235" s="878"/>
      <c r="I235" s="877">
        <v>0</v>
      </c>
      <c r="J235" s="877">
        <f>J225*'Input data meat and eggs'!$C$433+J230*'Input data meat and eggs'!$C$434</f>
        <v>0</v>
      </c>
      <c r="K235" s="877">
        <f>K225*'Input data meat and eggs'!$C$433+K230*'Input data meat and eggs'!$C$434</f>
        <v>40860374.72012797</v>
      </c>
      <c r="L235" s="877">
        <f>L225*'Input data meat and eggs'!$C$433+L230*'Input data meat and eggs'!$C$434</f>
        <v>0</v>
      </c>
      <c r="M235" s="877">
        <f>M225*'Input data meat and eggs'!$C$433+M230*'Input data meat and eggs'!$C$434</f>
        <v>846138793.08582854</v>
      </c>
      <c r="N235" s="877">
        <f>N225*'Input data meat and eggs'!$C$433+N230*'Input data meat and eggs'!$C$434</f>
        <v>0</v>
      </c>
      <c r="O235" s="877">
        <f>O225*'Input data meat and eggs'!$C$433+O230*'Input data meat and eggs'!$C$434</f>
        <v>0</v>
      </c>
      <c r="P235" s="877">
        <f>P225*'Input data meat and eggs'!$C$433+P230*'Input data meat and eggs'!$C$434</f>
        <v>0</v>
      </c>
      <c r="Q235" s="877">
        <v>0</v>
      </c>
      <c r="R235" s="877">
        <f>(G235+Q235)/'Input data meat and eggs'!$B$29</f>
        <v>1276257795.404254</v>
      </c>
      <c r="S235" s="877"/>
      <c r="T235" s="886"/>
      <c r="V235" s="1232"/>
      <c r="W235" s="189"/>
      <c r="X235" s="189"/>
      <c r="Y235" s="189"/>
      <c r="Z235" s="199"/>
      <c r="AA235" s="189"/>
      <c r="AB235" s="1232"/>
      <c r="AC235" s="189"/>
      <c r="AD235" s="189"/>
      <c r="AE235" s="189"/>
      <c r="AF235" s="199"/>
      <c r="AG235" s="189"/>
      <c r="AH235" s="879"/>
      <c r="AI235" s="877"/>
      <c r="AJ235" s="877"/>
      <c r="AK235" s="877"/>
      <c r="AL235" s="886"/>
      <c r="AM235" s="877"/>
      <c r="AN235" s="879"/>
      <c r="AO235" s="877"/>
      <c r="AP235" s="877"/>
      <c r="AQ235" s="877"/>
      <c r="AR235" s="886"/>
      <c r="AS235" s="877"/>
      <c r="AT235" s="879"/>
      <c r="AU235" s="877"/>
      <c r="AV235" s="877"/>
      <c r="AW235" s="877"/>
      <c r="AX235" s="877"/>
      <c r="AY235" s="877"/>
      <c r="AZ235" s="886"/>
      <c r="BA235" s="877"/>
      <c r="BB235" s="879"/>
      <c r="BC235" s="877"/>
      <c r="BD235" s="877"/>
      <c r="BE235" s="877"/>
      <c r="BF235" s="886"/>
      <c r="BG235" s="877"/>
      <c r="BH235" s="879"/>
      <c r="BI235" s="877"/>
      <c r="BJ235" s="877"/>
      <c r="BK235" s="877"/>
      <c r="BL235" s="886"/>
      <c r="BM235" s="877"/>
      <c r="BN235" s="879"/>
      <c r="BO235" s="877"/>
      <c r="BP235" s="877"/>
      <c r="BQ235" s="877"/>
      <c r="BR235" s="886"/>
      <c r="BS235" s="877"/>
      <c r="BT235" s="879"/>
      <c r="BU235" s="886"/>
    </row>
    <row r="236" spans="1:73">
      <c r="A236" s="392"/>
      <c r="B236" s="901"/>
      <c r="C236" s="906"/>
      <c r="D236" s="899"/>
      <c r="E236" s="511" t="s">
        <v>319</v>
      </c>
      <c r="F236" s="928">
        <f>SUM(J236:M236)</f>
        <v>0</v>
      </c>
      <c r="G236" s="877">
        <f>SUM(I236:M236,P236)</f>
        <v>9974462.7719119899</v>
      </c>
      <c r="H236" s="878"/>
      <c r="I236" s="877">
        <f>I226*'Input data meat and eggs'!$C$433+I231*'Input data meat and eggs'!$C$434</f>
        <v>9974462.7719119899</v>
      </c>
      <c r="J236" s="877">
        <v>0</v>
      </c>
      <c r="K236" s="877">
        <v>0</v>
      </c>
      <c r="L236" s="877">
        <v>0</v>
      </c>
      <c r="M236" s="877">
        <v>0</v>
      </c>
      <c r="N236" s="877">
        <v>0</v>
      </c>
      <c r="O236" s="877">
        <v>0</v>
      </c>
      <c r="P236" s="877">
        <v>0</v>
      </c>
      <c r="Q236" s="877">
        <f>Q226*'Input data meat and eggs'!$E$433+Q230*'Input data meat and eggs'!$E$434</f>
        <v>38224.428584603782</v>
      </c>
      <c r="R236" s="877">
        <f>(G236+Q236)/'Input data meat and eggs'!$B$29</f>
        <v>14406744.173376394</v>
      </c>
      <c r="S236" s="877"/>
      <c r="T236" s="886"/>
      <c r="V236" s="1230"/>
      <c r="W236" s="183"/>
      <c r="X236" s="183"/>
      <c r="Y236" s="183"/>
      <c r="Z236" s="1231"/>
      <c r="AA236" s="183"/>
      <c r="AB236" s="1230"/>
      <c r="AC236" s="183"/>
      <c r="AD236" s="183"/>
      <c r="AE236" s="183"/>
      <c r="AF236" s="1231"/>
      <c r="AG236" s="189"/>
      <c r="AH236" s="879"/>
      <c r="AI236" s="877"/>
      <c r="AJ236" s="877"/>
      <c r="AK236" s="877"/>
      <c r="AL236" s="886"/>
      <c r="AM236" s="877"/>
      <c r="AN236" s="879"/>
      <c r="AO236" s="877"/>
      <c r="AP236" s="877"/>
      <c r="AQ236" s="877"/>
      <c r="AR236" s="886"/>
      <c r="AS236" s="877"/>
      <c r="AT236" s="879"/>
      <c r="AU236" s="877"/>
      <c r="AV236" s="877"/>
      <c r="AW236" s="877"/>
      <c r="AX236" s="877"/>
      <c r="AY236" s="877"/>
      <c r="AZ236" s="886"/>
      <c r="BA236" s="877"/>
      <c r="BB236" s="879"/>
      <c r="BC236" s="877"/>
      <c r="BD236" s="877"/>
      <c r="BE236" s="877"/>
      <c r="BF236" s="886"/>
      <c r="BG236" s="877"/>
      <c r="BH236" s="879"/>
      <c r="BI236" s="877"/>
      <c r="BJ236" s="877"/>
      <c r="BK236" s="877"/>
      <c r="BL236" s="886"/>
      <c r="BM236" s="877"/>
      <c r="BN236" s="879"/>
      <c r="BO236" s="877"/>
      <c r="BP236" s="877"/>
      <c r="BQ236" s="877"/>
      <c r="BR236" s="886"/>
      <c r="BS236" s="877"/>
      <c r="BT236" s="879"/>
      <c r="BU236" s="886"/>
    </row>
    <row r="237" spans="1:73">
      <c r="A237" s="392"/>
      <c r="B237" s="901"/>
      <c r="C237" s="906"/>
      <c r="D237" s="899"/>
      <c r="E237" s="512" t="s">
        <v>320</v>
      </c>
      <c r="F237" s="928">
        <f>SUM(J237:M237)</f>
        <v>37004721.062021159</v>
      </c>
      <c r="G237" s="877">
        <f>SUM(I237:M237,P237)</f>
        <v>46621370.118303999</v>
      </c>
      <c r="H237" s="878"/>
      <c r="I237" s="877">
        <f>I227*'Input data meat and eggs'!$C$433+I232*'Input data meat and eggs'!$C$434</f>
        <v>9616649.0562828407</v>
      </c>
      <c r="J237" s="877">
        <f>J227*'Input data meat and eggs'!$C$433+J232*'Input data meat and eggs'!$C$434</f>
        <v>24307012.680435412</v>
      </c>
      <c r="K237" s="877">
        <f>K227*'Input data meat and eggs'!$C$433+K232*'Input data meat and eggs'!$C$434</f>
        <v>8410408.2680022791</v>
      </c>
      <c r="L237" s="877">
        <f>L227*'Input data meat and eggs'!$C$433+L232*'Input data meat and eggs'!$C$434</f>
        <v>4287300.113583466</v>
      </c>
      <c r="M237" s="877">
        <f>M227*'Input data meat and eggs'!$C$433+M232*'Input data meat and eggs'!$C$434</f>
        <v>0</v>
      </c>
      <c r="N237" s="877">
        <f>N227*'Input data meat and eggs'!$C$433+N232*'Input data meat and eggs'!$C$434</f>
        <v>0</v>
      </c>
      <c r="O237" s="877">
        <f>O227*'Input data meat and eggs'!$C$433+O232*'Input data meat and eggs'!$C$434</f>
        <v>0</v>
      </c>
      <c r="P237" s="877">
        <f>P227*'Input data meat and eggs'!$C$433+P232*'Input data meat and eggs'!$C$434</f>
        <v>0</v>
      </c>
      <c r="Q237" s="877">
        <f>Q227*'Input data meat and eggs'!$E$433+Q232*'Input data meat and eggs'!$E$434</f>
        <v>3563.366175831396</v>
      </c>
      <c r="R237" s="877">
        <f>(G237+Q237)/'Input data meat and eggs'!$B$29</f>
        <v>67086235.229467385</v>
      </c>
      <c r="S237" s="877"/>
      <c r="T237" s="886"/>
      <c r="V237" s="1232"/>
      <c r="W237" s="189"/>
      <c r="X237" s="189"/>
      <c r="Y237" s="189"/>
      <c r="Z237" s="199"/>
      <c r="AA237" s="189"/>
      <c r="AB237" s="1232"/>
      <c r="AC237" s="189"/>
      <c r="AD237" s="189"/>
      <c r="AE237" s="189"/>
      <c r="AF237" s="199"/>
      <c r="AG237" s="189"/>
      <c r="AH237" s="879"/>
      <c r="AI237" s="877"/>
      <c r="AJ237" s="877"/>
      <c r="AK237" s="877"/>
      <c r="AL237" s="886"/>
      <c r="AM237" s="877"/>
      <c r="AN237" s="879"/>
      <c r="AO237" s="877"/>
      <c r="AP237" s="877"/>
      <c r="AQ237" s="877"/>
      <c r="AR237" s="886"/>
      <c r="AS237" s="877"/>
      <c r="AT237" s="879"/>
      <c r="AU237" s="877"/>
      <c r="AV237" s="877"/>
      <c r="AW237" s="877"/>
      <c r="AX237" s="877"/>
      <c r="AY237" s="877"/>
      <c r="AZ237" s="886"/>
      <c r="BA237" s="877"/>
      <c r="BB237" s="879"/>
      <c r="BC237" s="877"/>
      <c r="BD237" s="877"/>
      <c r="BE237" s="877"/>
      <c r="BF237" s="886"/>
      <c r="BG237" s="877"/>
      <c r="BH237" s="879"/>
      <c r="BI237" s="877"/>
      <c r="BJ237" s="877"/>
      <c r="BK237" s="877"/>
      <c r="BL237" s="886"/>
      <c r="BM237" s="877"/>
      <c r="BN237" s="879"/>
      <c r="BO237" s="877"/>
      <c r="BP237" s="877"/>
      <c r="BQ237" s="877"/>
      <c r="BR237" s="886"/>
      <c r="BS237" s="877"/>
      <c r="BT237" s="879"/>
      <c r="BU237" s="886"/>
    </row>
    <row r="238" spans="1:73">
      <c r="A238" s="394"/>
      <c r="B238" s="1330" t="s">
        <v>358</v>
      </c>
      <c r="C238" s="905">
        <v>4.7430552938419038E-2</v>
      </c>
      <c r="D238" s="898"/>
      <c r="E238" s="513" t="s">
        <v>316</v>
      </c>
      <c r="F238" s="930">
        <f>SUMPRODUCT($CA$7:$CA$10,F239:F242)</f>
        <v>2.2650602034831229</v>
      </c>
      <c r="G238" s="872">
        <f>SUMPRODUCT($CA$7:$CA$10,G239:G242)</f>
        <v>5.4719923950955707</v>
      </c>
      <c r="H238" s="873">
        <f>SUMPRODUCT($CA$7:$CA$10,H239:H242)</f>
        <v>8.974332542303685</v>
      </c>
      <c r="I238" s="884"/>
      <c r="J238" s="884"/>
      <c r="K238" s="884"/>
      <c r="L238" s="884"/>
      <c r="M238" s="884"/>
      <c r="N238" s="884"/>
      <c r="O238" s="884"/>
      <c r="P238" s="884"/>
      <c r="Q238" s="884"/>
      <c r="R238" s="884"/>
      <c r="S238" s="884"/>
      <c r="T238" s="885"/>
      <c r="V238" s="1240"/>
      <c r="W238" s="211"/>
      <c r="X238" s="211">
        <f>SUM(W223:W240)*'Common input data'!$G$52/'Input data meat and eggs'!$J433</f>
        <v>20.37445432182318</v>
      </c>
      <c r="Y238" s="212">
        <f>X238+X238*'Common input data'!$B$145</f>
        <v>22.167406302143622</v>
      </c>
      <c r="Z238" s="1241">
        <f>Y238+Y238*'Common input data'!$B$179</f>
        <v>24.605820995379421</v>
      </c>
      <c r="AA238" s="189"/>
      <c r="AB238" s="1240"/>
      <c r="AC238" s="211"/>
      <c r="AD238" s="211">
        <f>SUM(AC223:AC240)*'Common input data'!$G$52/'Input data meat and eggs'!$J433</f>
        <v>10.855275865627263</v>
      </c>
      <c r="AE238" s="212">
        <f>AD238+AD238*'Common input data'!$B$145</f>
        <v>11.810540141802463</v>
      </c>
      <c r="AF238" s="1241">
        <f>AE238+AE238*'Common input data'!$B$179</f>
        <v>13.109699557400734</v>
      </c>
      <c r="AG238" s="189"/>
      <c r="AH238" s="883"/>
      <c r="AI238" s="884"/>
      <c r="AJ238" s="884">
        <f>SUM(AI223:AI240)*'Common input data'!$G$52/'Input data meat and eggs'!$J433</f>
        <v>0.45906708564330262</v>
      </c>
      <c r="AK238" s="1225">
        <f>AJ238+AJ238*'Common input data'!$B$145</f>
        <v>0.49946498917991328</v>
      </c>
      <c r="AL238" s="1227">
        <f>AK238+AK238*'Common input data'!$B$179</f>
        <v>0.55440613798970373</v>
      </c>
      <c r="AM238" s="877"/>
      <c r="AN238" s="883"/>
      <c r="AO238" s="884"/>
      <c r="AP238" s="884">
        <f>SUM(AO223:AO240)*'Common input data'!$G$52/'Input data meat and eggs'!$J433</f>
        <v>1.3753896247859707E-2</v>
      </c>
      <c r="AQ238" s="1225">
        <f>AP238+AP238*'Common input data'!$B$145</f>
        <v>1.4964239117671361E-2</v>
      </c>
      <c r="AR238" s="1227">
        <f>AQ238+AQ238*'Common input data'!$B$179</f>
        <v>1.6610305420615212E-2</v>
      </c>
      <c r="AS238" s="877"/>
      <c r="AT238" s="883"/>
      <c r="AU238" s="884"/>
      <c r="AV238" s="884"/>
      <c r="AW238" s="884"/>
      <c r="AX238" s="884">
        <f>SUM(AW223:AW240)*'Common input data'!$G$52/'Input data meat and eggs'!$J433</f>
        <v>3.7604189905001625E-2</v>
      </c>
      <c r="AY238" s="1225">
        <f>AX238+AX238*'Common input data'!$B$145</f>
        <v>4.0913358616641769E-2</v>
      </c>
      <c r="AZ238" s="1227">
        <f>AY238+AY238*'Common input data'!$B$179</f>
        <v>4.5413828064472361E-2</v>
      </c>
      <c r="BA238" s="877"/>
      <c r="BB238" s="883"/>
      <c r="BC238" s="884"/>
      <c r="BD238" s="884">
        <f>(SUM(BC223:BC240)*'Common input data'!$G$52/'Input data meat and eggs'!$J433)/$AS$3</f>
        <v>1.3156207045240006E-11</v>
      </c>
      <c r="BE238" s="1225">
        <f>BD238+BD238*'Common input data'!$B$145</f>
        <v>1.4313953265221128E-11</v>
      </c>
      <c r="BF238" s="1227">
        <f>BE238+BE238*'Common input data'!$B$179</f>
        <v>1.5888488124395452E-11</v>
      </c>
      <c r="BG238" s="877"/>
      <c r="BH238" s="883"/>
      <c r="BI238" s="884"/>
      <c r="BJ238" s="884">
        <f>SUM(BI223:BI240)*'Common input data'!$G$52/'Input data meat and eggs'!$J433</f>
        <v>6.005409456930975E-4</v>
      </c>
      <c r="BK238" s="1225">
        <f>BJ238+BJ238*'Common input data'!$B$145</f>
        <v>6.5338854891409015E-4</v>
      </c>
      <c r="BL238" s="1227">
        <f>BK238+BK238*'Common input data'!$B$179</f>
        <v>7.2526128929464005E-4</v>
      </c>
      <c r="BM238" s="877"/>
      <c r="BN238" s="883"/>
      <c r="BO238" s="884"/>
      <c r="BP238" s="884">
        <f>SUM(BO223:BO240)*'Common input data'!$G$52/'Input data meat and eggs'!$J433</f>
        <v>3.1407154452832479E-2</v>
      </c>
      <c r="BQ238" s="1225">
        <f>BP238+BP238*'Common input data'!$B$145</f>
        <v>3.4170984044681739E-2</v>
      </c>
      <c r="BR238" s="1227">
        <f>BQ238+BQ238*'Common input data'!$B$179</f>
        <v>3.7929792289596732E-2</v>
      </c>
      <c r="BS238" s="877"/>
      <c r="BT238" s="883">
        <f>('Common input data'!$B$205+'Common input data'!$C$205)+('Common input data'!$B$205+'Common input data'!$C$205)*'Common input data'!$B$145</f>
        <v>0.87203200000000003</v>
      </c>
      <c r="BU238" s="1227">
        <f>BT238+BT238*'Common input data'!$B$179</f>
        <v>0.96795552000000007</v>
      </c>
    </row>
    <row r="239" spans="1:73">
      <c r="A239" s="392"/>
      <c r="B239" s="901"/>
      <c r="C239" s="906"/>
      <c r="D239" s="899"/>
      <c r="E239" s="511" t="s">
        <v>317</v>
      </c>
      <c r="F239" s="928">
        <f>IF(AND($G$2="No",$G$3="No"),SUM(J239:M239),IF(AND($G$2="Yes", $G$3="No"), SUM(J239:M239)+O239, IF(AND($G$2="No", $G$3="Yes"),SUM(J239:M239)+N239, SUM(J239:M239)+O239+N239)))</f>
        <v>-0.17423986748315526</v>
      </c>
      <c r="G239" s="877">
        <f>IF(AND($G$2="No",$G$3="No"),SUM(I239:M239,P239),IF(AND($G$2="Yes", $G$3="No"), SUM(I239:M239,P239)+O239, IF(AND($G$2="No", $G$3="Yes"),SUM(I239:M239,P239)+N239, SUM(I239:M239,P239)+O239+N239)))</f>
        <v>2.5964445691067923</v>
      </c>
      <c r="H239" s="878">
        <f>SUM(R239:T239)/(1-'Common input data'!B$145)</f>
        <v>4.4373193811319736</v>
      </c>
      <c r="I239" s="877">
        <f>I234*'Common input data'!$G$52/'Input data meat and eggs'!$H$433</f>
        <v>1.759190172594056</v>
      </c>
      <c r="J239" s="877">
        <f>J234*'Common input data'!$G$52/'Input data meat and eggs'!$H$433</f>
        <v>0</v>
      </c>
      <c r="K239" s="877">
        <f>K234*'Common input data'!$G$52/'Input data meat and eggs'!$H$433</f>
        <v>0</v>
      </c>
      <c r="L239" s="877">
        <f>L234*'Common input data'!$G$52/'Input data meat and eggs'!$H$433</f>
        <v>0</v>
      </c>
      <c r="M239" s="877">
        <f>M234*'Common input data'!$G$52/'Input data meat and eggs'!$H$433</f>
        <v>0</v>
      </c>
      <c r="N239" s="877">
        <f>N234*'Common input data'!$G$52/'Input data meat and eggs'!$H$433</f>
        <v>-0.35308458045557112</v>
      </c>
      <c r="O239" s="877">
        <f>O234*'Common input data'!$G$52/'Input data meat and eggs'!$H$433</f>
        <v>0.17884471297241586</v>
      </c>
      <c r="P239" s="877">
        <f>P234*'Common input data'!$G$52/'Input data meat and eggs'!$H$433</f>
        <v>1.0114942639958917</v>
      </c>
      <c r="Q239" s="877">
        <f>Q234*'Common input data'!$G$52/'Input data meat and eggs'!$H$433</f>
        <v>5.6255947429897472E-2</v>
      </c>
      <c r="R239" s="877">
        <f>R234*'Common input data'!$G$52/'Input data meat and eggs'!$H$433</f>
        <v>3.8168352755923589</v>
      </c>
      <c r="S239" s="877">
        <f>'Common input data'!B109</f>
        <v>0.1</v>
      </c>
      <c r="T239" s="886">
        <f>'Common input data'!B116+'Common input data'!C116</f>
        <v>0.13</v>
      </c>
      <c r="V239" s="1230"/>
      <c r="W239" s="183"/>
      <c r="X239" s="183"/>
      <c r="Y239" s="183"/>
      <c r="Z239" s="1231"/>
      <c r="AA239" s="183"/>
      <c r="AB239" s="1230"/>
      <c r="AC239" s="183"/>
      <c r="AD239" s="183"/>
      <c r="AE239" s="183"/>
      <c r="AF239" s="1231"/>
      <c r="AG239" s="189"/>
      <c r="AH239" s="879"/>
      <c r="AI239" s="877"/>
      <c r="AJ239" s="877"/>
      <c r="AK239" s="877"/>
      <c r="AL239" s="886"/>
      <c r="AM239" s="877"/>
      <c r="AN239" s="879"/>
      <c r="AO239" s="877"/>
      <c r="AP239" s="877"/>
      <c r="AQ239" s="877"/>
      <c r="AR239" s="886"/>
      <c r="AS239" s="877"/>
      <c r="AT239" s="879"/>
      <c r="AU239" s="877"/>
      <c r="AV239" s="877"/>
      <c r="AW239" s="877"/>
      <c r="AX239" s="877"/>
      <c r="AY239" s="877"/>
      <c r="AZ239" s="886"/>
      <c r="BA239" s="877"/>
      <c r="BB239" s="879"/>
      <c r="BC239" s="877"/>
      <c r="BD239" s="877"/>
      <c r="BE239" s="877"/>
      <c r="BF239" s="886"/>
      <c r="BG239" s="877"/>
      <c r="BH239" s="879"/>
      <c r="BI239" s="877"/>
      <c r="BJ239" s="877"/>
      <c r="BK239" s="877"/>
      <c r="BL239" s="886"/>
      <c r="BM239" s="877"/>
      <c r="BN239" s="879"/>
      <c r="BO239" s="877"/>
      <c r="BP239" s="877"/>
      <c r="BQ239" s="877"/>
      <c r="BR239" s="886"/>
      <c r="BS239" s="877"/>
      <c r="BT239" s="879"/>
      <c r="BU239" s="886"/>
    </row>
    <row r="240" spans="1:73">
      <c r="A240" s="392"/>
      <c r="B240" s="901"/>
      <c r="C240" s="906"/>
      <c r="D240" s="899"/>
      <c r="E240" s="511" t="s">
        <v>321</v>
      </c>
      <c r="F240" s="928">
        <f>SUM(J240:M240)</f>
        <v>0.16915470200395244</v>
      </c>
      <c r="G240" s="877">
        <f>SUM(I240:M240,P240)</f>
        <v>0.16915470200395244</v>
      </c>
      <c r="H240" s="878">
        <f>SUM(R240:T240)/(1-'Common input data'!B$145)</f>
        <v>0.2668728732865589</v>
      </c>
      <c r="I240" s="877">
        <v>0</v>
      </c>
      <c r="J240" s="877">
        <f>J235*'Common input data'!$G$52/'Input data meat and eggs'!$H$433</f>
        <v>0</v>
      </c>
      <c r="K240" s="877">
        <f>K235*'Common input data'!$G$52/'Input data meat and eggs'!$H$433</f>
        <v>7.7922559123134545E-3</v>
      </c>
      <c r="L240" s="877">
        <f>L235*'Common input data'!$G$52/'Input data meat and eggs'!$H$433</f>
        <v>0</v>
      </c>
      <c r="M240" s="877">
        <f>M235*'Common input data'!$G$52/'Input data meat and eggs'!$H$433</f>
        <v>0.16136244609163899</v>
      </c>
      <c r="N240" s="877">
        <f>N235*'Common input data'!$G$52/'Input data meat and eggs'!$H$433</f>
        <v>0</v>
      </c>
      <c r="O240" s="877">
        <f>O235*'Common input data'!$G$52/'Input data meat and eggs'!$H$433</f>
        <v>0</v>
      </c>
      <c r="P240" s="877">
        <f>P235*'Common input data'!$G$52/'Input data meat and eggs'!$H$433</f>
        <v>0</v>
      </c>
      <c r="Q240" s="877">
        <v>0</v>
      </c>
      <c r="R240" s="877">
        <f>R235*'Common input data'!$G$52/'Input data meat and eggs'!$H$433</f>
        <v>0.24338806043734168</v>
      </c>
      <c r="S240" s="877">
        <v>0</v>
      </c>
      <c r="T240" s="886">
        <v>0</v>
      </c>
      <c r="V240" s="1232"/>
      <c r="W240" s="189"/>
      <c r="X240" s="189"/>
      <c r="Y240" s="189"/>
      <c r="Z240" s="199"/>
      <c r="AA240" s="189"/>
      <c r="AB240" s="1232"/>
      <c r="AC240" s="189"/>
      <c r="AD240" s="189"/>
      <c r="AE240" s="189"/>
      <c r="AF240" s="199"/>
      <c r="AG240" s="189"/>
      <c r="AH240" s="879"/>
      <c r="AI240" s="877"/>
      <c r="AJ240" s="877"/>
      <c r="AK240" s="877"/>
      <c r="AL240" s="886"/>
      <c r="AM240" s="877"/>
      <c r="AN240" s="879"/>
      <c r="AO240" s="877"/>
      <c r="AP240" s="877"/>
      <c r="AQ240" s="877"/>
      <c r="AR240" s="886"/>
      <c r="AS240" s="877"/>
      <c r="AT240" s="879"/>
      <c r="AU240" s="877"/>
      <c r="AV240" s="877"/>
      <c r="AW240" s="877"/>
      <c r="AX240" s="877"/>
      <c r="AY240" s="877"/>
      <c r="AZ240" s="886"/>
      <c r="BA240" s="877"/>
      <c r="BB240" s="879"/>
      <c r="BC240" s="877"/>
      <c r="BD240" s="877"/>
      <c r="BE240" s="877"/>
      <c r="BF240" s="886"/>
      <c r="BG240" s="877"/>
      <c r="BH240" s="879"/>
      <c r="BI240" s="877"/>
      <c r="BJ240" s="877"/>
      <c r="BK240" s="877"/>
      <c r="BL240" s="886"/>
      <c r="BM240" s="877"/>
      <c r="BN240" s="879"/>
      <c r="BO240" s="877"/>
      <c r="BP240" s="877"/>
      <c r="BQ240" s="877"/>
      <c r="BR240" s="886"/>
      <c r="BS240" s="877"/>
      <c r="BT240" s="879"/>
      <c r="BU240" s="886"/>
    </row>
    <row r="241" spans="1:73">
      <c r="A241" s="392"/>
      <c r="B241" s="901"/>
      <c r="C241" s="906"/>
      <c r="D241" s="899"/>
      <c r="E241" s="511" t="s">
        <v>319</v>
      </c>
      <c r="F241" s="928">
        <f>SUM(J241:M241)</f>
        <v>0</v>
      </c>
      <c r="G241" s="877">
        <f>SUM(I241:M241,P241)</f>
        <v>1.9021745894144905E-3</v>
      </c>
      <c r="H241" s="878">
        <f>SUM(R241:T241)/(1-'Common input data'!B$145)</f>
        <v>3.0125333816554832E-3</v>
      </c>
      <c r="I241" s="877">
        <f>I236*'Common input data'!$G$52/'Input data meat and eggs'!$H$433</f>
        <v>1.9021745894144905E-3</v>
      </c>
      <c r="J241" s="877">
        <v>0</v>
      </c>
      <c r="K241" s="877">
        <v>0</v>
      </c>
      <c r="L241" s="877">
        <v>0</v>
      </c>
      <c r="M241" s="877">
        <v>0</v>
      </c>
      <c r="N241" s="877">
        <v>0</v>
      </c>
      <c r="O241" s="877">
        <v>0</v>
      </c>
      <c r="P241" s="877">
        <v>0</v>
      </c>
      <c r="Q241" s="877">
        <f>Q236*'Common input data'!$G$52/'Input data meat and eggs'!$H$433</f>
        <v>7.2895692140203991E-6</v>
      </c>
      <c r="R241" s="877">
        <f>R236*'Common input data'!$G$52/'Input data meat and eggs'!$H$433</f>
        <v>2.7474304440698004E-3</v>
      </c>
      <c r="S241" s="877">
        <v>0</v>
      </c>
      <c r="T241" s="886">
        <v>0</v>
      </c>
      <c r="V241" s="1230"/>
      <c r="W241" s="183"/>
      <c r="X241" s="183"/>
      <c r="Y241" s="183"/>
      <c r="Z241" s="1231"/>
      <c r="AA241" s="183"/>
      <c r="AB241" s="1230"/>
      <c r="AC241" s="183"/>
      <c r="AD241" s="183"/>
      <c r="AE241" s="183"/>
      <c r="AF241" s="1231"/>
      <c r="AG241" s="189"/>
      <c r="AH241" s="879"/>
      <c r="AI241" s="877"/>
      <c r="AJ241" s="877"/>
      <c r="AK241" s="877"/>
      <c r="AL241" s="886"/>
      <c r="AM241" s="877"/>
      <c r="AN241" s="879"/>
      <c r="AO241" s="877"/>
      <c r="AP241" s="877"/>
      <c r="AQ241" s="877"/>
      <c r="AR241" s="886"/>
      <c r="AS241" s="877"/>
      <c r="AT241" s="879"/>
      <c r="AU241" s="877"/>
      <c r="AV241" s="877"/>
      <c r="AW241" s="877"/>
      <c r="AX241" s="877"/>
      <c r="AY241" s="877"/>
      <c r="AZ241" s="886"/>
      <c r="BA241" s="877"/>
      <c r="BB241" s="879"/>
      <c r="BC241" s="877"/>
      <c r="BD241" s="877"/>
      <c r="BE241" s="877"/>
      <c r="BF241" s="886"/>
      <c r="BG241" s="877"/>
      <c r="BH241" s="879"/>
      <c r="BI241" s="877"/>
      <c r="BJ241" s="877"/>
      <c r="BK241" s="877"/>
      <c r="BL241" s="886"/>
      <c r="BM241" s="877"/>
      <c r="BN241" s="879"/>
      <c r="BO241" s="877"/>
      <c r="BP241" s="877"/>
      <c r="BQ241" s="877"/>
      <c r="BR241" s="886"/>
      <c r="BS241" s="877"/>
      <c r="BT241" s="879"/>
      <c r="BU241" s="886"/>
    </row>
    <row r="242" spans="1:73">
      <c r="A242" s="392"/>
      <c r="B242" s="901"/>
      <c r="C242" s="906"/>
      <c r="D242" s="899"/>
      <c r="E242" s="512" t="s">
        <v>320</v>
      </c>
      <c r="F242" s="928">
        <f>SUM(J242:M242)</f>
        <v>7.056965543123182E-3</v>
      </c>
      <c r="G242" s="877">
        <f>SUM(I242:M242,P242)</f>
        <v>8.8909034592272677E-3</v>
      </c>
      <c r="H242" s="878">
        <f>SUM(R242:T242)/(1-'Common input data'!B$145)</f>
        <v>1.4028119097987572E-2</v>
      </c>
      <c r="I242" s="877">
        <f>I237*'Common input data'!$G$52/'Input data meat and eggs'!$H$433</f>
        <v>1.8339379161040859E-3</v>
      </c>
      <c r="J242" s="877">
        <f>J237*'Common input data'!$G$52/'Input data meat and eggs'!$H$433</f>
        <v>4.6354558558783518E-3</v>
      </c>
      <c r="K242" s="877">
        <f>K237*'Common input data'!$G$52/'Input data meat and eggs'!$H$433</f>
        <v>1.6039024115710671E-3</v>
      </c>
      <c r="L242" s="877">
        <f>L237*'Common input data'!$G$52/'Input data meat and eggs'!$H$433</f>
        <v>8.1760727567376261E-4</v>
      </c>
      <c r="M242" s="877">
        <f>M237*'Common input data'!$G$52/'Input data meat and eggs'!$H$433</f>
        <v>0</v>
      </c>
      <c r="N242" s="877">
        <f>N237*'Common input data'!$G$52/'Input data meat and eggs'!$H$433</f>
        <v>0</v>
      </c>
      <c r="O242" s="877">
        <f>O237*'Common input data'!$G$52/'Input data meat and eggs'!$H$433</f>
        <v>0</v>
      </c>
      <c r="P242" s="877">
        <f>P237*'Common input data'!$G$52/'Input data meat and eggs'!$H$433</f>
        <v>0</v>
      </c>
      <c r="Q242" s="877">
        <f>Q237*'Common input data'!$G$52/'Input data meat and eggs'!$H$433</f>
        <v>6.7954984117367931E-7</v>
      </c>
      <c r="R242" s="877">
        <f>R237*'Common input data'!$G$52/'Input data meat and eggs'!$H$433</f>
        <v>1.2793644617364664E-2</v>
      </c>
      <c r="S242" s="877">
        <v>0</v>
      </c>
      <c r="T242" s="886">
        <v>0</v>
      </c>
      <c r="V242" s="1230"/>
      <c r="W242" s="183"/>
      <c r="X242" s="183"/>
      <c r="Y242" s="183"/>
      <c r="Z242" s="1231"/>
      <c r="AA242" s="183"/>
      <c r="AB242" s="1230"/>
      <c r="AC242" s="183"/>
      <c r="AD242" s="183"/>
      <c r="AE242" s="183"/>
      <c r="AF242" s="1231"/>
      <c r="AG242" s="189"/>
      <c r="AH242" s="879"/>
      <c r="AI242" s="877"/>
      <c r="AJ242" s="877"/>
      <c r="AK242" s="877"/>
      <c r="AL242" s="886"/>
      <c r="AM242" s="877"/>
      <c r="AN242" s="879"/>
      <c r="AO242" s="877"/>
      <c r="AP242" s="877"/>
      <c r="AQ242" s="877"/>
      <c r="AR242" s="886"/>
      <c r="AS242" s="877"/>
      <c r="AT242" s="879"/>
      <c r="AU242" s="877"/>
      <c r="AV242" s="877"/>
      <c r="AW242" s="877"/>
      <c r="AX242" s="877"/>
      <c r="AY242" s="877"/>
      <c r="AZ242" s="886"/>
      <c r="BA242" s="877"/>
      <c r="BB242" s="879"/>
      <c r="BC242" s="877"/>
      <c r="BD242" s="877"/>
      <c r="BE242" s="877"/>
      <c r="BF242" s="886"/>
      <c r="BG242" s="877"/>
      <c r="BH242" s="879"/>
      <c r="BI242" s="877"/>
      <c r="BJ242" s="877"/>
      <c r="BK242" s="877"/>
      <c r="BL242" s="886"/>
      <c r="BM242" s="877"/>
      <c r="BN242" s="879"/>
      <c r="BO242" s="877"/>
      <c r="BP242" s="877"/>
      <c r="BQ242" s="877"/>
      <c r="BR242" s="886"/>
      <c r="BS242" s="877"/>
      <c r="BT242" s="879"/>
      <c r="BU242" s="886"/>
    </row>
    <row r="243" spans="1:73">
      <c r="A243" s="389"/>
      <c r="B243" s="1330" t="s">
        <v>205</v>
      </c>
      <c r="C243" s="910">
        <v>1.8085782243082504E-2</v>
      </c>
      <c r="D243" s="899"/>
      <c r="E243" s="513" t="s">
        <v>316</v>
      </c>
      <c r="F243" s="930">
        <f>SUMPRODUCT($CA$7:$CA$10,F244:F247)</f>
        <v>3.4379065036101824</v>
      </c>
      <c r="G243" s="872">
        <f>SUMPRODUCT($CA$7:$CA$10,G244:G247)</f>
        <v>9.3914372128096559</v>
      </c>
      <c r="H243" s="873">
        <f>SUMPRODUCT($CA$7:$CA$10,H244:H247)</f>
        <v>16.30439558581363</v>
      </c>
      <c r="I243" s="872"/>
      <c r="J243" s="872"/>
      <c r="K243" s="872"/>
      <c r="L243" s="872"/>
      <c r="M243" s="872"/>
      <c r="N243" s="872"/>
      <c r="O243" s="872"/>
      <c r="P243" s="872"/>
      <c r="Q243" s="872"/>
      <c r="R243" s="872"/>
      <c r="S243" s="884"/>
      <c r="T243" s="885"/>
      <c r="V243" s="1240">
        <f>'Input data meat and eggs'!$S435*'Input data meat and eggs'!E$48+'Input data meat and eggs'!$U435*'Input data meat and eggs'!E$35+'Input data meat and eggs'!$V435*SUMPRODUCT('Input data meat and eggs'!$E$77:$E$86,'Input data meat and eggs'!E$37:E$46)</f>
        <v>9026.9731678772132</v>
      </c>
      <c r="W243" s="211">
        <f>V243*'Input data meat and eggs'!$D435</f>
        <v>4580286185.3808975</v>
      </c>
      <c r="X243" s="1243">
        <f>W243/'Input data meat and eggs'!$J435</f>
        <v>30.307397609995267</v>
      </c>
      <c r="Y243" s="212">
        <f>X243+X243*'Common input data'!$B$145</f>
        <v>32.974448599674851</v>
      </c>
      <c r="Z243" s="1241">
        <f>Y243+Y243*'Common input data'!$B$179</f>
        <v>36.601637945639084</v>
      </c>
      <c r="AA243" s="189"/>
      <c r="AB243" s="1240">
        <f>'Input data meat and eggs'!$T435*'Input data meat and eggs'!F$47</f>
        <v>9972.0164448342421</v>
      </c>
      <c r="AC243" s="211">
        <f>AB243*'Input data meat and eggs'!$D435</f>
        <v>5059801144.1088943</v>
      </c>
      <c r="AD243" s="1243">
        <f>AC243/'Input data meat and eggs'!$J435</f>
        <v>33.480310813649439</v>
      </c>
      <c r="AE243" s="212">
        <f>AD243+AD243*'Common input data'!$B$145</f>
        <v>36.426578165250589</v>
      </c>
      <c r="AF243" s="1241">
        <f>AE243+AE243*'Common input data'!$B$179</f>
        <v>40.433501763428154</v>
      </c>
      <c r="AG243" s="189"/>
      <c r="AH243" s="883">
        <f>'Input data meat and eggs'!$S435*'Input data meat and eggs'!G$48+'Input data meat and eggs'!$T435*'Input data meat and eggs'!G$47+'Input data meat and eggs'!$U435*'Input data meat and eggs'!G$35+'Input data meat and eggs'!$V435*SUMPRODUCT('Input data meat and eggs'!$E$77:$E$86,'Input data meat and eggs'!G$37:G$46)</f>
        <v>244.05780476422837</v>
      </c>
      <c r="AI243" s="884">
        <f>AH243*'Input data meat and eggs'!$D435</f>
        <v>123834930.13736947</v>
      </c>
      <c r="AJ243" s="884">
        <f>AI243/'Input data meat and eggs'!$J435</f>
        <v>0.81940610559624505</v>
      </c>
      <c r="AK243" s="1225">
        <f>AJ243+AJ243*'Common input data'!$B$145</f>
        <v>0.89151384288871471</v>
      </c>
      <c r="AL243" s="1227">
        <f>AK243+AK243*'Common input data'!$B$179</f>
        <v>0.98958036560647333</v>
      </c>
      <c r="AM243" s="877"/>
      <c r="AN243" s="883">
        <f>'Input data meat and eggs'!$S435*'Input data meat and eggs'!H$48+'Input data meat and eggs'!$T435*'Input data meat and eggs'!H$47+'Input data meat and eggs'!$U435*'Input data meat and eggs'!H$35+'Input data meat and eggs'!$V435*SUMPRODUCT('Input data meat and eggs'!$E$77:$E$86,'Input data meat and eggs'!H$37:H$46)</f>
        <v>4.1914557335004075</v>
      </c>
      <c r="AO243" s="884">
        <f>AN243*'Input data meat and eggs'!$D435</f>
        <v>2126744.6391781066</v>
      </c>
      <c r="AP243" s="884">
        <f>AO243/'Input data meat and eggs'!$J435</f>
        <v>1.4072503940959883E-2</v>
      </c>
      <c r="AQ243" s="1225">
        <f>AP243+AP243*'Common input data'!$B$145</f>
        <v>1.5310884287764354E-2</v>
      </c>
      <c r="AR243" s="1227">
        <f>AQ243+AQ243*'Common input data'!$B$179</f>
        <v>1.6995081559418434E-2</v>
      </c>
      <c r="AS243" s="877"/>
      <c r="AT243" s="883">
        <f>'Input data meat and eggs'!$S435*'Input data meat and eggs'!I$48+'Input data meat and eggs'!$T435*'Input data meat and eggs'!I$47+'Input data meat and eggs'!$U435*'Input data meat and eggs'!I$35+'Input data meat and eggs'!$V435*SUMPRODUCT('Input data meat and eggs'!$E$77:$E$86,'Input data meat and eggs'!I$37:I$46)</f>
        <v>0.40032876960188568</v>
      </c>
      <c r="AU243" s="884">
        <f>'Input data meat and eggs'!G435/12*((1-'Input data meat and eggs'!$R435)*'Input data meat and eggs'!$B$61+'Input data meat and eggs'!$R435*'Input data meat and eggs'!$B$62)</f>
        <v>35.454550907425897</v>
      </c>
      <c r="AV243" s="884">
        <f>SUM(AT243:AU243)</f>
        <v>35.854879677027782</v>
      </c>
      <c r="AW243" s="884">
        <f>AV243*'Input data meat and eggs'!$D435</f>
        <v>18192765.948123895</v>
      </c>
      <c r="AX243" s="884">
        <f>AW243/'Input data meat and eggs'!$J435</f>
        <v>0.1203801179444251</v>
      </c>
      <c r="AY243" s="1225">
        <f>AX243+AX243*'Common input data'!$B$145</f>
        <v>0.13097356832353452</v>
      </c>
      <c r="AZ243" s="1227">
        <f>AY243+AY243*'Common input data'!$B$179</f>
        <v>0.14538066083912332</v>
      </c>
      <c r="BA243" s="877"/>
      <c r="BB243" s="883">
        <f>'Input data meat and eggs'!$S435*'Input data meat and eggs'!O$48+'Input data meat and eggs'!$T435*'Input data meat and eggs'!O$47+'Input data meat and eggs'!$U435*'Input data meat and eggs'!O$35+'Input data meat and eggs'!$V435*SUMPRODUCT('Input data meat and eggs'!$E$77:$E$86,'Input data meat and eggs'!O$37:O$46)</f>
        <v>6.5669493092354853E-7</v>
      </c>
      <c r="BC243" s="884">
        <f>BB243*'Input data meat and eggs'!$D435</f>
        <v>0.33320700795060854</v>
      </c>
      <c r="BD243" s="884">
        <f>(BC243/'Input data meat and eggs'!$J435)/$AS$3</f>
        <v>2.2048048675709863E-11</v>
      </c>
      <c r="BE243" s="1225">
        <f>BD243+BD243*'Common input data'!$B$145</f>
        <v>2.3988276959172333E-11</v>
      </c>
      <c r="BF243" s="1227">
        <f>BE243+BE243*'Common input data'!$B$179</f>
        <v>2.6626987424681288E-11</v>
      </c>
      <c r="BG243" s="877"/>
      <c r="BH243" s="883">
        <f>'Input data meat and eggs'!$S435*'Input data meat and eggs'!U$48+'Input data meat and eggs'!$T435*'Input data meat and eggs'!U$47+'Input data meat and eggs'!$U435*'Input data meat and eggs'!U$35+'Input data meat and eggs'!$V435*SUMPRODUCT('Input data meat and eggs'!$E$77:$E$86,'Input data meat and eggs'!U$37:U$46)</f>
        <v>0.24381197262551513</v>
      </c>
      <c r="BI243" s="884">
        <f>BH243*'Input data meat and eggs'!$D435</f>
        <v>123710.19491018637</v>
      </c>
      <c r="BJ243" s="884">
        <f>BI243/'Input data meat and eggs'!$J435</f>
        <v>8.1858074229508777E-4</v>
      </c>
      <c r="BK243" s="1225">
        <f>BJ243+BJ243*'Common input data'!$B$145</f>
        <v>8.9061584761705552E-4</v>
      </c>
      <c r="BL243" s="1227">
        <f>BK243+BK243*'Common input data'!$B$179</f>
        <v>9.8858359085493173E-4</v>
      </c>
      <c r="BM243" s="877"/>
      <c r="BN243" s="883">
        <f>'Input data meat and eggs'!$S435*'Input data meat and eggs'!W$48+'Input data meat and eggs'!$T435*'Input data meat and eggs'!W$47+'Input data meat and eggs'!$U435*'Input data meat and eggs'!W$35+'Input data meat and eggs'!$V435*SUMPRODUCT('Input data meat and eggs'!$E$77:$E$86,'Input data meat and eggs'!W$37:W$46)</f>
        <v>17.169860836464888</v>
      </c>
      <c r="BO243" s="884">
        <f>BN243*'Input data meat and eggs'!$D435</f>
        <v>8711987.3884222843</v>
      </c>
      <c r="BP243" s="884">
        <f>BO243/'Input data meat and eggs'!$J435</f>
        <v>5.764654326555383E-2</v>
      </c>
      <c r="BQ243" s="1225">
        <f>BP243+BP243*'Common input data'!$B$145</f>
        <v>6.2719439072922573E-2</v>
      </c>
      <c r="BR243" s="1227">
        <f>BQ243+BQ243*'Common input data'!$B$179</f>
        <v>6.9618577370944054E-2</v>
      </c>
      <c r="BS243" s="877"/>
      <c r="BT243" s="883">
        <f>('Common input data'!$B$205+'Common input data'!$C$205)+('Common input data'!$B$205+'Common input data'!$C$205)*'Common input data'!$B$145</f>
        <v>0.87203200000000003</v>
      </c>
      <c r="BU243" s="1227">
        <f>BT243+BT243*'Common input data'!$B$179</f>
        <v>0.96795552000000007</v>
      </c>
    </row>
    <row r="244" spans="1:73">
      <c r="A244" s="392"/>
      <c r="B244" s="901"/>
      <c r="C244" s="906"/>
      <c r="D244" s="899"/>
      <c r="E244" s="511" t="s">
        <v>317</v>
      </c>
      <c r="F244" s="928">
        <f>IF(AND($G$2="No",$G$3="No"),SUM(J244:M244),IF(AND($G$2="Yes", $G$3="No"), SUM(J244:M244)+O244, IF(AND($G$2="No", $G$3="Yes"),SUM(J244:M244)+N244, SUM(J244:M244)+O244+N244)))</f>
        <v>-1.4430930740908763</v>
      </c>
      <c r="G244" s="877">
        <f>IF(AND($G$2="No",$G$3="No"),SUM(I244:M244,P244),IF(AND($G$2="Yes", $G$3="No"), SUM(I244:M244,P244)+O244, IF(AND($G$2="No", $G$3="Yes"),SUM(I244:M244,P244)+N244, SUM(I244:M244,P244)+O244+N244)))</f>
        <v>3.9827054094469974</v>
      </c>
      <c r="H244" s="878">
        <f>SUM(R244:T244)/(1-'Common input data'!B$145)</f>
        <v>7.7667874035742885</v>
      </c>
      <c r="I244" s="877">
        <f>('Input data meat and eggs'!S435*'Input data meat and eggs'!B48+'Input data meat and eggs'!T435*'Input data meat and eggs'!B47+'Input data meat and eggs'!U435*'Input data meat and eggs'!B35+'Input data meat and eggs'!V435*SUMPRODUCT('Input data meat and eggs'!B37:B46,'Input data meat and eggs'!F77:F86))*'Input data meat and eggs'!$E$435/'Input data meat and eggs'!$H$435</f>
        <v>1.9567058602548206</v>
      </c>
      <c r="J244" s="877">
        <v>0</v>
      </c>
      <c r="K244" s="877">
        <v>0</v>
      </c>
      <c r="L244" s="877">
        <v>0</v>
      </c>
      <c r="M244" s="877">
        <v>0</v>
      </c>
      <c r="N244" s="877">
        <f>(('Input data meat and eggs'!S435+'Input data meat and eggs'!T435)*'Common input data'!F19+
'Input data meat and eggs'!U435*'Common input data'!B19+'Input data meat and eggs'!V435*('Input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eggs'!$E$435/'Input data meat and eggs'!$H$435</f>
        <v>-1.4628087843615722</v>
      </c>
      <c r="O244" s="877">
        <f>('Input data meat and eggs'!V435*('Input data meat and eggs'!F79*'Common input data'!AR27*'Common input data'!G44/'Common input data'!F44+'Input data meat and eggs'!F83*'Common input data'!AS27*'Common input data'!J46/'Common input data'!I46))*'Input data meat and eggs'!$E$435/'Input data meat and eggs'!$H$435</f>
        <v>1.9715710270696071E-2</v>
      </c>
      <c r="P244" s="877">
        <f>'Input data meat and eggs'!B95*'Common input data'!C80</f>
        <v>3.4690926232830526</v>
      </c>
      <c r="Q244" s="877">
        <f>'Input data meat and eggs'!B104*'Common input data'!C80+'Input data meat and eggs'!C104*3.6*'Common input data'!B66</f>
        <v>0.78034511843452981</v>
      </c>
      <c r="R244" s="877">
        <f>(G244+Q244)/'Input data meat and eggs'!$B$29</f>
        <v>6.8533101120597513</v>
      </c>
      <c r="S244" s="877">
        <f>'Common input data'!B109</f>
        <v>0.1</v>
      </c>
      <c r="T244" s="886">
        <f>'Common input data'!B116+'Common input data'!C116</f>
        <v>0.13</v>
      </c>
      <c r="V244" s="1230"/>
      <c r="W244" s="183"/>
      <c r="X244" s="183"/>
      <c r="Y244" s="183"/>
      <c r="Z244" s="1231"/>
      <c r="AA244" s="183"/>
      <c r="AB244" s="1230"/>
      <c r="AC244" s="183"/>
      <c r="AD244" s="183"/>
      <c r="AE244" s="183"/>
      <c r="AF244" s="1231"/>
      <c r="AG244" s="183"/>
      <c r="AH244" s="879"/>
      <c r="AI244" s="877"/>
      <c r="AJ244" s="877"/>
      <c r="AK244" s="877"/>
      <c r="AL244" s="886"/>
      <c r="AM244" s="877"/>
      <c r="AN244" s="879"/>
      <c r="AO244" s="877"/>
      <c r="AP244" s="877"/>
      <c r="AQ244" s="877"/>
      <c r="AR244" s="886"/>
      <c r="AS244" s="877"/>
      <c r="AT244" s="879"/>
      <c r="AU244" s="877"/>
      <c r="AV244" s="877"/>
      <c r="AW244" s="877"/>
      <c r="AX244" s="877"/>
      <c r="AY244" s="877"/>
      <c r="AZ244" s="886"/>
      <c r="BA244" s="877"/>
      <c r="BB244" s="879"/>
      <c r="BC244" s="877"/>
      <c r="BD244" s="877"/>
      <c r="BE244" s="877"/>
      <c r="BF244" s="886"/>
      <c r="BG244" s="877"/>
      <c r="BH244" s="879"/>
      <c r="BI244" s="877"/>
      <c r="BJ244" s="877"/>
      <c r="BK244" s="877"/>
      <c r="BL244" s="886"/>
      <c r="BM244" s="877"/>
      <c r="BN244" s="879"/>
      <c r="BO244" s="877"/>
      <c r="BP244" s="877"/>
      <c r="BQ244" s="877"/>
      <c r="BR244" s="886"/>
      <c r="BS244" s="877"/>
      <c r="BT244" s="879"/>
      <c r="BU244" s="886"/>
    </row>
    <row r="245" spans="1:73">
      <c r="A245" s="392"/>
      <c r="B245" s="901"/>
      <c r="C245" s="906"/>
      <c r="D245" s="899"/>
      <c r="E245" s="511" t="s">
        <v>321</v>
      </c>
      <c r="F245" s="928">
        <f>SUM(J245:M245)</f>
        <v>0.43790781277134827</v>
      </c>
      <c r="G245" s="877">
        <f>SUM(I245:M245,P245)</f>
        <v>0.43790781277134827</v>
      </c>
      <c r="H245" s="878">
        <f>SUM(R245:T245)/(1-'Common input data'!B$145)</f>
        <v>0.69088068403910818</v>
      </c>
      <c r="I245" s="877">
        <v>0</v>
      </c>
      <c r="J245" s="877">
        <v>0</v>
      </c>
      <c r="K245" s="877">
        <f>('Input data meat and eggs'!M435*'Input data meat and eggs'!G435/12*'Input data meat and eggs'!$C$462*'Input data meat and eggs'!$C$464*'Input data meat and eggs'!$C$465*
('Input data meat and eggs'!$O$435*'Input data meat and eggs'!$B$455
+'Input data meat and eggs'!$P$435*'Input data meat and eggs'!$C$455+
'Input data meat and eggs'!$Q$435*'Input data meat and eggs'!$D$455+
'Input data meat and eggs'!$R$435*'Input data meat and eggs'!$E$455))*'Input data meat and eggs'!$E$435/'Input data meat and eggs'!$H$435</f>
        <v>2.0673600549941461E-2</v>
      </c>
      <c r="L245" s="877">
        <v>0</v>
      </c>
      <c r="M245" s="877">
        <f>('Input data meat and eggs'!L435*'Input data meat and eggs'!G435/12)*'Input data meat and eggs'!$E$435/'Input data meat and eggs'!$H$435</f>
        <v>0.41723421222140683</v>
      </c>
      <c r="N245" s="877">
        <v>0</v>
      </c>
      <c r="O245" s="877">
        <v>0</v>
      </c>
      <c r="P245" s="877">
        <v>0</v>
      </c>
      <c r="Q245" s="877">
        <v>0</v>
      </c>
      <c r="R245" s="877">
        <f>(G245+Q245)/'Input data meat and eggs'!$B$29</f>
        <v>0.63008318384366657</v>
      </c>
      <c r="S245" s="877">
        <v>0</v>
      </c>
      <c r="T245" s="886">
        <v>0</v>
      </c>
      <c r="V245" s="1230"/>
      <c r="W245" s="183"/>
      <c r="X245" s="183"/>
      <c r="Y245" s="183"/>
      <c r="Z245" s="1231"/>
      <c r="AA245" s="183"/>
      <c r="AB245" s="1230"/>
      <c r="AC245" s="183"/>
      <c r="AD245" s="183"/>
      <c r="AE245" s="183"/>
      <c r="AF245" s="1231"/>
      <c r="AG245" s="183"/>
      <c r="AH245" s="879"/>
      <c r="AI245" s="877"/>
      <c r="AJ245" s="877"/>
      <c r="AK245" s="877"/>
      <c r="AL245" s="886"/>
      <c r="AM245" s="877"/>
      <c r="AN245" s="879"/>
      <c r="AO245" s="877"/>
      <c r="AP245" s="877"/>
      <c r="AQ245" s="877"/>
      <c r="AR245" s="886"/>
      <c r="AS245" s="877"/>
      <c r="AT245" s="879"/>
      <c r="AU245" s="877"/>
      <c r="AV245" s="877"/>
      <c r="AW245" s="877"/>
      <c r="AX245" s="877"/>
      <c r="AY245" s="877"/>
      <c r="AZ245" s="886"/>
      <c r="BA245" s="877"/>
      <c r="BB245" s="879"/>
      <c r="BC245" s="877"/>
      <c r="BD245" s="877"/>
      <c r="BE245" s="877"/>
      <c r="BF245" s="886"/>
      <c r="BG245" s="877"/>
      <c r="BH245" s="879"/>
      <c r="BI245" s="877"/>
      <c r="BJ245" s="877"/>
      <c r="BK245" s="877"/>
      <c r="BL245" s="886"/>
      <c r="BM245" s="877"/>
      <c r="BN245" s="879"/>
      <c r="BO245" s="877"/>
      <c r="BP245" s="877"/>
      <c r="BQ245" s="877"/>
      <c r="BR245" s="886"/>
      <c r="BS245" s="877"/>
      <c r="BT245" s="879"/>
      <c r="BU245" s="886"/>
    </row>
    <row r="246" spans="1:73">
      <c r="A246" s="392"/>
      <c r="B246" s="901"/>
      <c r="C246" s="906"/>
      <c r="D246" s="899"/>
      <c r="E246" s="511" t="s">
        <v>319</v>
      </c>
      <c r="F246" s="928">
        <f>SUM(J246:M246)</f>
        <v>0</v>
      </c>
      <c r="G246" s="877">
        <f>SUM(I246:M246,P246)</f>
        <v>1.0387831730673922E-3</v>
      </c>
      <c r="H246" s="878">
        <f>SUM(R246:T246)/(1-'Common input data'!B$145)</f>
        <v>1.8028330515102852E-3</v>
      </c>
      <c r="I246" s="877">
        <f>('Input data meat and eggs'!S435*'Input data meat and eggs'!C48+'Input data meat and eggs'!T435*'Input data meat and eggs'!C47+'Input data meat and eggs'!U435*'Input data meat and eggs'!C35+'Input data meat and eggs'!V435*SUMPRODUCT('Input data meat and eggs'!C37:C46,'Input data meat and eggs'!F77:F86))*'Input data meat and eggs'!$E$435/'Input data meat and eggs'!$H$435</f>
        <v>1.0387831730673922E-3</v>
      </c>
      <c r="J246" s="877">
        <v>0</v>
      </c>
      <c r="K246" s="877">
        <v>0</v>
      </c>
      <c r="L246" s="877">
        <v>0</v>
      </c>
      <c r="M246" s="877">
        <v>0</v>
      </c>
      <c r="N246" s="877">
        <v>0</v>
      </c>
      <c r="O246" s="877">
        <v>0</v>
      </c>
      <c r="P246" s="877">
        <v>0</v>
      </c>
      <c r="Q246" s="877">
        <f>'Input data meat and eggs'!C104*3.6*'Common input data'!B67</f>
        <v>1.0392452830188681E-4</v>
      </c>
      <c r="R246" s="877">
        <f>(G246+Q246)/'Input data meat and eggs'!$B$29</f>
        <v>1.6441837429773799E-3</v>
      </c>
      <c r="S246" s="877">
        <v>0</v>
      </c>
      <c r="T246" s="886">
        <v>0</v>
      </c>
      <c r="V246" s="1230"/>
      <c r="W246" s="183"/>
      <c r="X246" s="183"/>
      <c r="Y246" s="183"/>
      <c r="Z246" s="1231"/>
      <c r="AA246" s="183"/>
      <c r="AB246" s="1230"/>
      <c r="AC246" s="183"/>
      <c r="AD246" s="183"/>
      <c r="AE246" s="183"/>
      <c r="AF246" s="1231"/>
      <c r="AG246" s="183"/>
      <c r="AH246" s="879"/>
      <c r="AI246" s="877"/>
      <c r="AJ246" s="877"/>
      <c r="AK246" s="877"/>
      <c r="AL246" s="886"/>
      <c r="AM246" s="877"/>
      <c r="AN246" s="879"/>
      <c r="AO246" s="877"/>
      <c r="AP246" s="877"/>
      <c r="AQ246" s="877"/>
      <c r="AR246" s="886"/>
      <c r="AS246" s="877"/>
      <c r="AT246" s="879"/>
      <c r="AU246" s="877"/>
      <c r="AV246" s="877"/>
      <c r="AW246" s="877"/>
      <c r="AX246" s="877"/>
      <c r="AY246" s="877"/>
      <c r="AZ246" s="886"/>
      <c r="BA246" s="877"/>
      <c r="BB246" s="879"/>
      <c r="BC246" s="877"/>
      <c r="BD246" s="877"/>
      <c r="BE246" s="877"/>
      <c r="BF246" s="886"/>
      <c r="BG246" s="877"/>
      <c r="BH246" s="879"/>
      <c r="BI246" s="877"/>
      <c r="BJ246" s="877"/>
      <c r="BK246" s="877"/>
      <c r="BL246" s="886"/>
      <c r="BM246" s="877"/>
      <c r="BN246" s="879"/>
      <c r="BO246" s="877"/>
      <c r="BP246" s="877"/>
      <c r="BQ246" s="877"/>
      <c r="BR246" s="886"/>
      <c r="BS246" s="877"/>
      <c r="BT246" s="879"/>
      <c r="BU246" s="886"/>
    </row>
    <row r="247" spans="1:73">
      <c r="A247" s="392"/>
      <c r="B247" s="901"/>
      <c r="C247" s="906"/>
      <c r="D247" s="899"/>
      <c r="E247" s="512" t="s">
        <v>320</v>
      </c>
      <c r="F247" s="928">
        <f>SUM(J247:M247)</f>
        <v>1.2115162479294943E-2</v>
      </c>
      <c r="G247" s="877">
        <f>SUM(I247:M247,P247)</f>
        <v>1.43591536584717E-2</v>
      </c>
      <c r="H247" s="878">
        <f>SUM(R247:T247)/(1-'Common input data'!B$145)</f>
        <v>2.2669509235679983E-2</v>
      </c>
      <c r="I247" s="877">
        <f>(('Input data meat and eggs'!S435*'Input data meat and eggs'!D48+'Input data meat and eggs'!T435*'Input data meat and eggs'!D47+'Input data meat and eggs'!U435*'Input data meat and eggs'!D35+'Input data meat and eggs'!V435*SUMPRODUCT('Input data meat and eggs'!D37:D46,'Input data meat and eggs'!F77:F86))*'Input data meat and eggs'!B70)*'Input data meat and eggs'!$E$435/'Input data meat and eggs'!$H$435</f>
        <v>2.2439911791767597E-3</v>
      </c>
      <c r="J247" s="877">
        <f>(('Input data meat and eggs'!S435*'Input data meat and eggs'!D48+'Input data meat and eggs'!T435*'Input data meat and eggs'!D47+'Input data meat and eggs'!U435*'Input data meat and eggs'!D35+'Input data meat and eggs'!V435*SUMPRODUCT('Input data meat and eggs'!D37:D46,'Input data meat and eggs'!F77:F86))*'Input data meat and eggs'!C70)*'Input data meat and eggs'!$E$435/'Input data meat and eggs'!$H$435</f>
        <v>5.6719052268418835E-3</v>
      </c>
      <c r="K247" s="877">
        <f>('Input data meat and eggs'!K435*'Input data meat and eggs'!G435/12*('Input data meat and eggs'!$O$435*'Input data meat and eggs'!$B$457+'Input data meat and eggs'!$P$435*'Input data meat and eggs'!$C$457+'Input data meat and eggs'!$Q$435*'Input data meat and eggs'!$D$457+'Input data meat and eggs'!$R$435*'Input data meat and eggs'!$E$457)*44/28)*'Input data meat and eggs'!$E$435/'Input data meat and eggs'!$H$435</f>
        <v>4.2677326050017004E-3</v>
      </c>
      <c r="L247" s="877">
        <f>('Input data meat and eggs'!$B$458*44/28*'Input data meat and eggs'!K435*'Input data meat and eggs'!G435/12*('Input data meat and eggs'!O435*'Input data meat and eggs'!B470+'Input data meat and eggs'!P435*'Input data meat and eggs'!C470+'Input data meat and eggs'!Q435*'Input data meat and eggs'!D470))*'Input data meat and eggs'!$E$435/'Input data meat and eggs'!$H$435</f>
        <v>2.1755246474513584E-3</v>
      </c>
      <c r="M247" s="877">
        <v>0</v>
      </c>
      <c r="N247" s="877">
        <v>0</v>
      </c>
      <c r="O247" s="877">
        <v>0</v>
      </c>
      <c r="P247" s="877">
        <v>0</v>
      </c>
      <c r="Q247" s="877">
        <f>'Input data meat and eggs'!C104*3.6*'Common input data'!B68</f>
        <v>9.6880754716981128E-6</v>
      </c>
      <c r="R247" s="877">
        <f>(G247+Q247)/'Input data meat and eggs'!$B$29</f>
        <v>2.0674592422940143E-2</v>
      </c>
      <c r="S247" s="877">
        <v>0</v>
      </c>
      <c r="T247" s="886">
        <v>0</v>
      </c>
      <c r="V247" s="1230"/>
      <c r="W247" s="183"/>
      <c r="X247" s="183"/>
      <c r="Y247" s="183"/>
      <c r="Z247" s="1231"/>
      <c r="AA247" s="183"/>
      <c r="AB247" s="1230"/>
      <c r="AC247" s="183"/>
      <c r="AD247" s="183"/>
      <c r="AE247" s="183"/>
      <c r="AF247" s="1231"/>
      <c r="AG247" s="183"/>
      <c r="AH247" s="879"/>
      <c r="AI247" s="877"/>
      <c r="AJ247" s="877"/>
      <c r="AK247" s="877"/>
      <c r="AL247" s="886"/>
      <c r="AM247" s="877"/>
      <c r="AN247" s="879"/>
      <c r="AO247" s="877"/>
      <c r="AP247" s="877"/>
      <c r="AQ247" s="877"/>
      <c r="AR247" s="886"/>
      <c r="AS247" s="877"/>
      <c r="AT247" s="879"/>
      <c r="AU247" s="877"/>
      <c r="AV247" s="877"/>
      <c r="AW247" s="877"/>
      <c r="AX247" s="877"/>
      <c r="AY247" s="877"/>
      <c r="AZ247" s="886"/>
      <c r="BA247" s="877"/>
      <c r="BB247" s="879"/>
      <c r="BC247" s="877"/>
      <c r="BD247" s="877"/>
      <c r="BE247" s="877"/>
      <c r="BF247" s="886"/>
      <c r="BG247" s="877"/>
      <c r="BH247" s="879"/>
      <c r="BI247" s="877"/>
      <c r="BJ247" s="877"/>
      <c r="BK247" s="877"/>
      <c r="BL247" s="886"/>
      <c r="BM247" s="877"/>
      <c r="BN247" s="879"/>
      <c r="BO247" s="877"/>
      <c r="BP247" s="877"/>
      <c r="BQ247" s="877"/>
      <c r="BR247" s="886"/>
      <c r="BS247" s="877"/>
      <c r="BT247" s="879"/>
      <c r="BU247" s="886"/>
    </row>
    <row r="248" spans="1:73">
      <c r="A248" s="393"/>
      <c r="B248" s="1330" t="s">
        <v>206</v>
      </c>
      <c r="C248" s="910">
        <v>6.793938459758643E-2</v>
      </c>
      <c r="D248" s="899"/>
      <c r="E248" s="513" t="s">
        <v>316</v>
      </c>
      <c r="F248" s="930">
        <f>SUMPRODUCT($CA$7:$CA$10,F249:F252)</f>
        <v>3.429721548692179</v>
      </c>
      <c r="G248" s="872">
        <f>SUMPRODUCT($CA$7:$CA$10,G249:G252)</f>
        <v>9.5988700248365362</v>
      </c>
      <c r="H248" s="873">
        <f>SUMPRODUCT($CA$7:$CA$10,H249:H252)</f>
        <v>16.631659267542268</v>
      </c>
      <c r="I248" s="884"/>
      <c r="J248" s="884"/>
      <c r="K248" s="884"/>
      <c r="L248" s="884"/>
      <c r="M248" s="884"/>
      <c r="N248" s="884"/>
      <c r="O248" s="884"/>
      <c r="P248" s="884"/>
      <c r="Q248" s="884"/>
      <c r="R248" s="884"/>
      <c r="S248" s="884"/>
      <c r="T248" s="885"/>
      <c r="V248" s="1240">
        <f>'Input data meat and eggs'!$S436*'Input data meat and eggs'!E$48+'Input data meat and eggs'!$U436*'Input data meat and eggs'!E$35+'Input data meat and eggs'!$V436*SUMPRODUCT('Input data meat and eggs'!$E$77:$E$86,'Input data meat and eggs'!E$37:E$46)</f>
        <v>10267.341239553602</v>
      </c>
      <c r="W248" s="211">
        <f>V248*'Input data meat and eggs'!$D436</f>
        <v>14154556632.848595</v>
      </c>
      <c r="X248" s="1243">
        <f>W248/'Input data meat and eggs'!$J436</f>
        <v>26.510032825584272</v>
      </c>
      <c r="Y248" s="212">
        <f>X248+X248*'Common input data'!$B$145</f>
        <v>28.842915714235691</v>
      </c>
      <c r="Z248" s="1241">
        <f>Y248+Y248*'Common input data'!$B$179</f>
        <v>32.015636442801615</v>
      </c>
      <c r="AA248" s="189"/>
      <c r="AB248" s="1240">
        <f>'Input data meat and eggs'!$T436*'Input data meat and eggs'!F$47</f>
        <v>0</v>
      </c>
      <c r="AC248" s="211">
        <f>AB248*'Input data meat and eggs'!$D436</f>
        <v>0</v>
      </c>
      <c r="AD248" s="1243">
        <f>AC248/'Input data meat and eggs'!$J436</f>
        <v>0</v>
      </c>
      <c r="AE248" s="212">
        <f>AD248+AD248*'Common input data'!$B$145</f>
        <v>0</v>
      </c>
      <c r="AF248" s="1241">
        <f>AE248+AE248*'Common input data'!$B$179</f>
        <v>0</v>
      </c>
      <c r="AG248" s="991"/>
      <c r="AH248" s="883">
        <f>'Input data meat and eggs'!$S436*'Input data meat and eggs'!G$48+'Input data meat and eggs'!$T436*'Input data meat and eggs'!G$47+'Input data meat and eggs'!$U436*'Input data meat and eggs'!G$35+'Input data meat and eggs'!$V436*SUMPRODUCT('Input data meat and eggs'!$E$77:$E$86,'Input data meat and eggs'!G$37:G$46)</f>
        <v>206.02947592171199</v>
      </c>
      <c r="AI248" s="884">
        <f>AH248*'Input data meat and eggs'!$D436</f>
        <v>284032235.50567216</v>
      </c>
      <c r="AJ248" s="884">
        <f>AI248/'Input data meat and eggs'!$J436</f>
        <v>0.53196324562404207</v>
      </c>
      <c r="AK248" s="1225">
        <f>AJ248+AJ248*'Common input data'!$B$145</f>
        <v>0.57877601123895783</v>
      </c>
      <c r="AL248" s="1227">
        <f>AK248+AK248*'Common input data'!$B$179</f>
        <v>0.64244137247524313</v>
      </c>
      <c r="AM248" s="877"/>
      <c r="AN248" s="883">
        <f>'Input data meat and eggs'!$S436*'Input data meat and eggs'!H$48+'Input data meat and eggs'!$T436*'Input data meat and eggs'!H$47+'Input data meat and eggs'!$U436*'Input data meat and eggs'!H$35+'Input data meat and eggs'!$V436*SUMPRODUCT('Input data meat and eggs'!$E$77:$E$86,'Input data meat and eggs'!H$37:H$46)</f>
        <v>6.1325401233176606</v>
      </c>
      <c r="AO248" s="884">
        <f>AN248*'Input data meat and eggs'!$D436</f>
        <v>8454319.8140057269</v>
      </c>
      <c r="AP248" s="884">
        <f>AO248/'Input data meat and eggs'!$J436</f>
        <v>1.5834073902897972E-2</v>
      </c>
      <c r="AQ248" s="1225">
        <f>AP248+AP248*'Common input data'!$B$145</f>
        <v>1.7227472406352994E-2</v>
      </c>
      <c r="AR248" s="1227">
        <f>AQ248+AQ248*'Common input data'!$B$179</f>
        <v>1.9122494371051822E-2</v>
      </c>
      <c r="AS248" s="877"/>
      <c r="AT248" s="883">
        <f>'Input data meat and eggs'!$S436*'Input data meat and eggs'!I$48+'Input data meat and eggs'!$T436*'Input data meat and eggs'!I$47+'Input data meat and eggs'!$U436*'Input data meat and eggs'!I$35+'Input data meat and eggs'!$V436*SUMPRODUCT('Input data meat and eggs'!$E$77:$E$86,'Input data meat and eggs'!I$37:I$46)</f>
        <v>1.4103642845696169</v>
      </c>
      <c r="AU248" s="884">
        <f>'Input data meat and eggs'!G436/12*((1-'Input data meat and eggs'!$R436)*'Input data meat and eggs'!$B$61+'Input data meat and eggs'!$R436*'Input data meat and eggs'!$B$62)</f>
        <v>25.896991942856936</v>
      </c>
      <c r="AV248" s="884">
        <f>SUM(AT248:AU248)</f>
        <v>27.307356227426553</v>
      </c>
      <c r="AW248" s="884">
        <f>AV248*'Input data meat and eggs'!$D436</f>
        <v>37645921.295130245</v>
      </c>
      <c r="AX248" s="884">
        <f>AW248/'Input data meat and eggs'!$J436</f>
        <v>7.0506949470053371E-2</v>
      </c>
      <c r="AY248" s="1225">
        <f>AX248+AX248*'Common input data'!$B$145</f>
        <v>7.6711561023418071E-2</v>
      </c>
      <c r="AZ248" s="1227">
        <f>AY248+AY248*'Common input data'!$B$179</f>
        <v>8.5149832735994052E-2</v>
      </c>
      <c r="BA248" s="877"/>
      <c r="BB248" s="883">
        <f>'Input data meat and eggs'!$S436*'Input data meat and eggs'!O$48+'Input data meat and eggs'!$T436*'Input data meat and eggs'!O$47+'Input data meat and eggs'!$U436*'Input data meat and eggs'!O$35+'Input data meat and eggs'!$V436*SUMPRODUCT('Input data meat and eggs'!$E$77:$E$86,'Input data meat and eggs'!O$37:O$46)</f>
        <v>3.7509624130944177E-7</v>
      </c>
      <c r="BC248" s="884">
        <f>BB248*'Input data meat and eggs'!$D436</f>
        <v>0.51710767826919646</v>
      </c>
      <c r="BD248" s="884">
        <f>(BC248/'Input data meat and eggs'!$J436)/$AS$3</f>
        <v>9.6848964477379276E-12</v>
      </c>
      <c r="BE248" s="1225">
        <f>BD248+BD248*'Common input data'!$B$145</f>
        <v>1.0537167335138866E-11</v>
      </c>
      <c r="BF248" s="1227">
        <f>BE248+BE248*'Common input data'!$B$179</f>
        <v>1.1696255742004142E-11</v>
      </c>
      <c r="BG248" s="877"/>
      <c r="BH248" s="883">
        <f>'Input data meat and eggs'!$S436*'Input data meat and eggs'!U$48+'Input data meat and eggs'!$T436*'Input data meat and eggs'!U$47+'Input data meat and eggs'!$U436*'Input data meat and eggs'!U$35+'Input data meat and eggs'!$V436*SUMPRODUCT('Input data meat and eggs'!$E$77:$E$86,'Input data meat and eggs'!U$37:U$46)</f>
        <v>0.17517894274948703</v>
      </c>
      <c r="BI248" s="884">
        <f>BH248*'Input data meat and eggs'!$D436</f>
        <v>241501.69047444282</v>
      </c>
      <c r="BJ248" s="884">
        <f>BI248/'Input data meat and eggs'!$J436</f>
        <v>4.5230789688275312E-4</v>
      </c>
      <c r="BK248" s="1225">
        <f>BJ248+BJ248*'Common input data'!$B$145</f>
        <v>4.9211099180843543E-4</v>
      </c>
      <c r="BL248" s="1227">
        <f>BK248+BK248*'Common input data'!$B$179</f>
        <v>5.462432009073633E-4</v>
      </c>
      <c r="BM248" s="877"/>
      <c r="BN248" s="883">
        <f>'Input data meat and eggs'!$S436*'Input data meat and eggs'!W$48+'Input data meat and eggs'!$T436*'Input data meat and eggs'!W$47+'Input data meat and eggs'!$U436*'Input data meat and eggs'!W$35+'Input data meat and eggs'!$V436*SUMPRODUCT('Input data meat and eggs'!$E$77:$E$86,'Input data meat and eggs'!W$37:W$46)</f>
        <v>14.663972242710472</v>
      </c>
      <c r="BO248" s="884">
        <f>BN248*'Input data meat and eggs'!$D436</f>
        <v>20215752.133800656</v>
      </c>
      <c r="BP248" s="884">
        <f>BO248/'Input data meat and eggs'!$J436</f>
        <v>3.7862030338500052E-2</v>
      </c>
      <c r="BQ248" s="1225">
        <f>BP248+BP248*'Common input data'!$B$145</f>
        <v>4.1193889008288062E-2</v>
      </c>
      <c r="BR248" s="1227">
        <f>BQ248+BQ248*'Common input data'!$B$179</f>
        <v>4.5725216799199747E-2</v>
      </c>
      <c r="BS248" s="877"/>
      <c r="BT248" s="883">
        <f>('Common input data'!$B$205+'Common input data'!$C$205)+('Common input data'!$B$205+'Common input data'!$C$205)*'Common input data'!$B$145</f>
        <v>0.87203200000000003</v>
      </c>
      <c r="BU248" s="1227">
        <f>BT248+BT248*'Common input data'!$B$179</f>
        <v>0.96795552000000007</v>
      </c>
    </row>
    <row r="249" spans="1:73">
      <c r="A249" s="392"/>
      <c r="B249" s="901"/>
      <c r="C249" s="906"/>
      <c r="D249" s="899"/>
      <c r="E249" s="511" t="s">
        <v>317</v>
      </c>
      <c r="F249" s="928">
        <f>IF(AND($G$2="No",$G$3="No"),SUM(J249:M249),IF(AND($G$2="Yes", $G$3="No"), SUM(J249:M249)+O249, IF(AND($G$2="No", $G$3="Yes"),SUM(J249:M249)+N249, SUM(J249:M249)+O249+N249)))</f>
        <v>-3.6911367732619035E-2</v>
      </c>
      <c r="G249" s="877">
        <f>IF(AND($G$2="No",$G$3="No"),SUM(I249:M249,P249),IF(AND($G$2="Yes", $G$3="No"), SUM(I249:M249,P249)+O249, IF(AND($G$2="No", $G$3="Yes"),SUM(I249:M249,P249)+N249, SUM(I249:M249,P249)+O249+N249)))</f>
        <v>5.5174481761368606</v>
      </c>
      <c r="H249" s="878">
        <f>SUM(R249:T249)/(1-'Common input data'!B$145)</f>
        <v>10.188128383458588</v>
      </c>
      <c r="I249" s="877">
        <f>('Input data meat and eggs'!S436*'Input data meat and eggs'!B48+'Input data meat and eggs'!T436*'Input data meat and eggs'!B47+'Input data meat and eggs'!U436*'Input data meat and eggs'!B35+'Input data meat and eggs'!V436*SUMPRODUCT('Input data meat and eggs'!B37:B46,'Input data meat and eggs'!F77:F86))*'Input data meat and eggs'!$E$436/'Input data meat and eggs'!$H$436</f>
        <v>2.0852669205864274</v>
      </c>
      <c r="J249" s="877">
        <v>0</v>
      </c>
      <c r="K249" s="877">
        <v>0</v>
      </c>
      <c r="L249" s="877">
        <v>0</v>
      </c>
      <c r="M249" s="877">
        <v>0</v>
      </c>
      <c r="N249" s="877">
        <f>(('Input data meat and eggs'!S436+'Input data meat and eggs'!T436)*'Common input data'!F19+
'Input data meat and eggs'!U436*'Common input data'!B19+'Input data meat and eggs'!V436*('Input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eggs'!$E$436/'Input data meat and eggs'!$H$436</f>
        <v>-8.9978576594963264E-2</v>
      </c>
      <c r="O249" s="877">
        <f>('Input data meat and eggs'!V436*('Input data meat and eggs'!F79*'Common input data'!AR27*'Common input data'!G44/'Common input data'!F44+'Input data meat and eggs'!F83*'Common input data'!AS27*'Common input data'!J46/'Common input data'!I46))*'Input data meat and eggs'!$E$436/'Input data meat and eggs'!$H$436</f>
        <v>5.3067208862344228E-2</v>
      </c>
      <c r="P249" s="877">
        <f>'Input data meat and eggs'!B95*'Common input data'!C80</f>
        <v>3.4690926232830526</v>
      </c>
      <c r="Q249" s="877">
        <f>'Input data meat and eggs'!B104*'Common input data'!C80+'Input data meat and eggs'!C104*3.6*'Common input data'!B66</f>
        <v>0.78034511843452981</v>
      </c>
      <c r="R249" s="877">
        <f>(G249+Q249)/'Input data meat and eggs'!$B$29</f>
        <v>9.0615730857142314</v>
      </c>
      <c r="S249" s="877">
        <f>'Common input data'!B109</f>
        <v>0.1</v>
      </c>
      <c r="T249" s="886">
        <f>'Common input data'!B116+'Common input data'!C116</f>
        <v>0.13</v>
      </c>
      <c r="V249" s="1230"/>
      <c r="W249" s="183"/>
      <c r="X249" s="183"/>
      <c r="Y249" s="183"/>
      <c r="Z249" s="1231"/>
      <c r="AA249" s="183"/>
      <c r="AB249" s="1230"/>
      <c r="AC249" s="183"/>
      <c r="AD249" s="183"/>
      <c r="AE249" s="183"/>
      <c r="AF249" s="1231"/>
      <c r="AG249" s="183"/>
      <c r="AH249" s="879"/>
      <c r="AI249" s="877"/>
      <c r="AJ249" s="877"/>
      <c r="AK249" s="877"/>
      <c r="AL249" s="886"/>
      <c r="AM249" s="877"/>
      <c r="AN249" s="879"/>
      <c r="AO249" s="877"/>
      <c r="AP249" s="877"/>
      <c r="AQ249" s="877"/>
      <c r="AR249" s="886"/>
      <c r="AS249" s="877"/>
      <c r="AT249" s="879"/>
      <c r="AU249" s="877"/>
      <c r="AV249" s="877"/>
      <c r="AW249" s="877"/>
      <c r="AX249" s="877"/>
      <c r="AY249" s="877"/>
      <c r="AZ249" s="886"/>
      <c r="BA249" s="877"/>
      <c r="BB249" s="879"/>
      <c r="BC249" s="877"/>
      <c r="BD249" s="877"/>
      <c r="BE249" s="877"/>
      <c r="BF249" s="886"/>
      <c r="BG249" s="877"/>
      <c r="BH249" s="879"/>
      <c r="BI249" s="877"/>
      <c r="BJ249" s="877"/>
      <c r="BK249" s="877"/>
      <c r="BL249" s="886"/>
      <c r="BM249" s="877"/>
      <c r="BN249" s="879"/>
      <c r="BO249" s="877"/>
      <c r="BP249" s="877"/>
      <c r="BQ249" s="877"/>
      <c r="BR249" s="886"/>
      <c r="BS249" s="877"/>
      <c r="BT249" s="879"/>
      <c r="BU249" s="886"/>
    </row>
    <row r="250" spans="1:73">
      <c r="A250" s="392"/>
      <c r="B250" s="901"/>
      <c r="C250" s="906"/>
      <c r="D250" s="899"/>
      <c r="E250" s="511" t="s">
        <v>321</v>
      </c>
      <c r="F250" s="928">
        <f>SUM(J250:M250)</f>
        <v>0.24384509442789504</v>
      </c>
      <c r="G250" s="877">
        <f>SUM(I250:M250,P250)</f>
        <v>0.24384509442789504</v>
      </c>
      <c r="H250" s="878">
        <f>SUM(R250:T250)/(1-'Common input data'!B$145)</f>
        <v>0.38471080150810155</v>
      </c>
      <c r="I250" s="877">
        <v>0</v>
      </c>
      <c r="J250" s="877">
        <v>0</v>
      </c>
      <c r="K250" s="877">
        <f>('Input data meat and eggs'!M436*'Input data meat and eggs'!G436/12*'Input data meat and eggs'!$C$462*'Input data meat and eggs'!$C$464*'Input data meat and eggs'!$C$465*
('Input data meat and eggs'!$O$436*'Input data meat and eggs'!$B$455
+'Input data meat and eggs'!$P$436*'Input data meat and eggs'!$C$455+
'Input data meat and eggs'!$Q$436*'Input data meat and eggs'!$D$455+
'Input data meat and eggs'!$R$436*'Input data meat and eggs'!$E$455))*'Input data meat and eggs'!$E$436/'Input data meat and eggs'!$H$436</f>
        <v>2.2557185820776683E-2</v>
      </c>
      <c r="L250" s="877">
        <v>0</v>
      </c>
      <c r="M250" s="877">
        <f>('Input data meat and eggs'!L436*'Input data meat and eggs'!G436/12)*'Input data meat and eggs'!$E$436/'Input data meat and eggs'!$H$436</f>
        <v>0.22128790860711836</v>
      </c>
      <c r="N250" s="877">
        <v>0</v>
      </c>
      <c r="O250" s="877">
        <v>0</v>
      </c>
      <c r="P250" s="877">
        <v>0</v>
      </c>
      <c r="Q250" s="877">
        <v>0</v>
      </c>
      <c r="R250" s="877">
        <f>(G250+Q250)/'Input data meat and eggs'!$B$29</f>
        <v>0.35085625097538858</v>
      </c>
      <c r="S250" s="877">
        <v>0</v>
      </c>
      <c r="T250" s="886">
        <v>0</v>
      </c>
      <c r="V250" s="1230"/>
      <c r="W250" s="183"/>
      <c r="X250" s="183"/>
      <c r="Y250" s="183"/>
      <c r="Z250" s="1231"/>
      <c r="AA250" s="183"/>
      <c r="AB250" s="1230"/>
      <c r="AC250" s="183"/>
      <c r="AD250" s="183"/>
      <c r="AE250" s="183"/>
      <c r="AF250" s="1231"/>
      <c r="AG250" s="183"/>
      <c r="AH250" s="879"/>
      <c r="AI250" s="877"/>
      <c r="AJ250" s="877"/>
      <c r="AK250" s="877"/>
      <c r="AL250" s="886"/>
      <c r="AM250" s="877"/>
      <c r="AN250" s="879"/>
      <c r="AO250" s="877"/>
      <c r="AP250" s="877"/>
      <c r="AQ250" s="877"/>
      <c r="AR250" s="886"/>
      <c r="AS250" s="877"/>
      <c r="AT250" s="879"/>
      <c r="AU250" s="877"/>
      <c r="AV250" s="877"/>
      <c r="AW250" s="877"/>
      <c r="AX250" s="877"/>
      <c r="AY250" s="877"/>
      <c r="AZ250" s="886"/>
      <c r="BA250" s="877"/>
      <c r="BB250" s="879"/>
      <c r="BC250" s="877"/>
      <c r="BD250" s="877"/>
      <c r="BE250" s="877"/>
      <c r="BF250" s="886"/>
      <c r="BG250" s="877"/>
      <c r="BH250" s="879"/>
      <c r="BI250" s="877"/>
      <c r="BJ250" s="877"/>
      <c r="BK250" s="877"/>
      <c r="BL250" s="886"/>
      <c r="BM250" s="877"/>
      <c r="BN250" s="879"/>
      <c r="BO250" s="877"/>
      <c r="BP250" s="877"/>
      <c r="BQ250" s="877"/>
      <c r="BR250" s="886"/>
      <c r="BS250" s="877"/>
      <c r="BT250" s="879"/>
      <c r="BU250" s="886"/>
    </row>
    <row r="251" spans="1:73">
      <c r="A251" s="392"/>
      <c r="B251" s="901"/>
      <c r="C251" s="906"/>
      <c r="D251" s="899"/>
      <c r="E251" s="511" t="s">
        <v>319</v>
      </c>
      <c r="F251" s="928">
        <f>SUM(J251:M251)</f>
        <v>0</v>
      </c>
      <c r="G251" s="877">
        <f>SUM(I251:M251,P251)</f>
        <v>9.6842552182202198E-4</v>
      </c>
      <c r="H251" s="878">
        <f>SUM(R251:T251)/(1-'Common input data'!B$145)</f>
        <v>1.6918308250093226E-3</v>
      </c>
      <c r="I251" s="877">
        <f>('Input data meat and eggs'!S436*'Input data meat and eggs'!C48+'Input data meat and eggs'!T436*'Input data meat and eggs'!C47+'Input data meat and eggs'!U436*'Input data meat and eggs'!C35+'Input data meat and eggs'!V436*SUMPRODUCT('Input data meat and eggs'!C37:C46,'Input data meat and eggs'!F77:F86))*'Input data meat and eggs'!$E$436/'Input data meat and eggs'!$H$436</f>
        <v>9.6842552182202198E-4</v>
      </c>
      <c r="J251" s="877">
        <v>0</v>
      </c>
      <c r="K251" s="877">
        <v>0</v>
      </c>
      <c r="L251" s="877">
        <v>0</v>
      </c>
      <c r="M251" s="877">
        <v>0</v>
      </c>
      <c r="N251" s="877">
        <v>0</v>
      </c>
      <c r="O251" s="877">
        <v>0</v>
      </c>
      <c r="P251" s="877">
        <v>0</v>
      </c>
      <c r="Q251" s="877">
        <f>'Input data meat and eggs'!C104*3.6*'Common input data'!B67</f>
        <v>1.0392452830188681E-4</v>
      </c>
      <c r="R251" s="877">
        <f>(G251+Q251)/'Input data meat and eggs'!$B$29</f>
        <v>1.542949712408502E-3</v>
      </c>
      <c r="S251" s="877">
        <v>0</v>
      </c>
      <c r="T251" s="886">
        <v>0</v>
      </c>
      <c r="V251" s="1230"/>
      <c r="W251" s="183"/>
      <c r="X251" s="183"/>
      <c r="Y251" s="183"/>
      <c r="Z251" s="1231"/>
      <c r="AA251" s="183"/>
      <c r="AB251" s="1230"/>
      <c r="AC251" s="183"/>
      <c r="AD251" s="183"/>
      <c r="AE251" s="183"/>
      <c r="AF251" s="1231"/>
      <c r="AG251" s="183"/>
      <c r="AH251" s="879"/>
      <c r="AI251" s="877"/>
      <c r="AJ251" s="877"/>
      <c r="AK251" s="877"/>
      <c r="AL251" s="886"/>
      <c r="AM251" s="877"/>
      <c r="AN251" s="879"/>
      <c r="AO251" s="877"/>
      <c r="AP251" s="877"/>
      <c r="AQ251" s="877"/>
      <c r="AR251" s="886"/>
      <c r="AS251" s="877"/>
      <c r="AT251" s="879"/>
      <c r="AU251" s="877"/>
      <c r="AV251" s="877"/>
      <c r="AW251" s="877"/>
      <c r="AX251" s="877"/>
      <c r="AY251" s="877"/>
      <c r="AZ251" s="886"/>
      <c r="BA251" s="877"/>
      <c r="BB251" s="879"/>
      <c r="BC251" s="877"/>
      <c r="BD251" s="877"/>
      <c r="BE251" s="877"/>
      <c r="BF251" s="886"/>
      <c r="BG251" s="877"/>
      <c r="BH251" s="879"/>
      <c r="BI251" s="877"/>
      <c r="BJ251" s="877"/>
      <c r="BK251" s="877"/>
      <c r="BL251" s="886"/>
      <c r="BM251" s="877"/>
      <c r="BN251" s="879"/>
      <c r="BO251" s="877"/>
      <c r="BP251" s="877"/>
      <c r="BQ251" s="877"/>
      <c r="BR251" s="886"/>
      <c r="BS251" s="877"/>
      <c r="BT251" s="879"/>
      <c r="BU251" s="886"/>
    </row>
    <row r="252" spans="1:73">
      <c r="A252" s="392"/>
      <c r="B252" s="901"/>
      <c r="C252" s="906"/>
      <c r="D252" s="899"/>
      <c r="E252" s="512" t="s">
        <v>320</v>
      </c>
      <c r="F252" s="928">
        <f>SUM(J252:M252)</f>
        <v>9.9594891528484598E-3</v>
      </c>
      <c r="G252" s="877">
        <f>SUM(I252:M252,P252)</f>
        <v>1.2578533497579421E-2</v>
      </c>
      <c r="H252" s="878">
        <f>SUM(R252:T252)/(1-'Common input data'!B$145)</f>
        <v>1.9860251124970214E-2</v>
      </c>
      <c r="I252" s="877">
        <f>(('Input data meat and eggs'!S436*'Input data meat and eggs'!D48+'Input data meat and eggs'!T436*'Input data meat and eggs'!D47+'Input data meat and eggs'!U436*'Input data meat and eggs'!D35+'Input data meat and eggs'!V436*SUMPRODUCT('Input data meat and eggs'!D37:D46,'Input data meat and eggs'!F77:F86))*'Input data meat and eggs'!B70)*'Input data meat and eggs'!$E$436/'Input data meat and eggs'!$H$436</f>
        <v>2.6190443447309626E-3</v>
      </c>
      <c r="J252" s="877">
        <f>(('Input data meat and eggs'!S436*'Input data meat and eggs'!D48+'Input data meat and eggs'!T436*'Input data meat and eggs'!D47+'Input data meat and eggs'!U436*'Input data meat and eggs'!D35+'Input data meat and eggs'!V436*SUMPRODUCT('Input data meat and eggs'!D37:D46,'Input data meat and eggs'!F77:F86))*'Input data meat and eggs'!C70)*'Input data meat and eggs'!$E$436/'Input data meat and eggs'!$H$436</f>
        <v>6.6198884585901016E-3</v>
      </c>
      <c r="K252" s="877">
        <f>('Input data meat and eggs'!K436*'Input data meat and eggs'!G436/12*('Input data meat and eggs'!$O$436*'Input data meat and eggs'!$B$457+'Input data meat and eggs'!$P$436*'Input data meat and eggs'!$C$457+'Input data meat and eggs'!$Q$436*'Input data meat and eggs'!$D$457+'Input data meat and eggs'!$R$436*'Input data meat and eggs'!$E$457)*44/28)*'Input data meat and eggs'!$E$436/'Input data meat and eggs'!$H$436</f>
        <v>1.9882613100199705E-3</v>
      </c>
      <c r="L252" s="877">
        <f>('Input data meat and eggs'!$B$458*44/28*'Input data meat and eggs'!K436*'Input data meat and eggs'!G436/12*('Input data meat and eggs'!O436*'Input data meat and eggs'!B470+'Input data meat and eggs'!P436*'Input data meat and eggs'!C470+'Input data meat and eggs'!Q436*'Input data meat and eggs'!D470))*'Input data meat and eggs'!$E$436/'Input data meat and eggs'!$H$436</f>
        <v>1.3513393842383883E-3</v>
      </c>
      <c r="M252" s="877">
        <v>0</v>
      </c>
      <c r="N252" s="877">
        <v>0</v>
      </c>
      <c r="O252" s="877">
        <v>0</v>
      </c>
      <c r="P252" s="877">
        <v>0</v>
      </c>
      <c r="Q252" s="877">
        <f>'Input data meat and eggs'!C104*3.6*'Common input data'!B68</f>
        <v>9.6880754716981128E-6</v>
      </c>
      <c r="R252" s="877">
        <f>(G252+Q252)/'Input data meat and eggs'!$B$29</f>
        <v>1.8112549025972834E-2</v>
      </c>
      <c r="S252" s="877">
        <v>0</v>
      </c>
      <c r="T252" s="886">
        <v>0</v>
      </c>
      <c r="V252" s="1230"/>
      <c r="W252" s="183"/>
      <c r="X252" s="183"/>
      <c r="Y252" s="183"/>
      <c r="Z252" s="1231"/>
      <c r="AA252" s="183"/>
      <c r="AB252" s="1230"/>
      <c r="AC252" s="183"/>
      <c r="AD252" s="183"/>
      <c r="AE252" s="183"/>
      <c r="AF252" s="1231"/>
      <c r="AG252" s="183"/>
      <c r="AH252" s="879"/>
      <c r="AI252" s="877"/>
      <c r="AJ252" s="877"/>
      <c r="AK252" s="877"/>
      <c r="AL252" s="886"/>
      <c r="AM252" s="877"/>
      <c r="AN252" s="879"/>
      <c r="AO252" s="877"/>
      <c r="AP252" s="877"/>
      <c r="AQ252" s="877"/>
      <c r="AR252" s="886"/>
      <c r="AS252" s="877"/>
      <c r="AT252" s="879"/>
      <c r="AU252" s="877"/>
      <c r="AV252" s="877"/>
      <c r="AW252" s="877"/>
      <c r="AX252" s="877"/>
      <c r="AY252" s="877"/>
      <c r="AZ252" s="886"/>
      <c r="BA252" s="877"/>
      <c r="BB252" s="879"/>
      <c r="BC252" s="877"/>
      <c r="BD252" s="877"/>
      <c r="BE252" s="877"/>
      <c r="BF252" s="886"/>
      <c r="BG252" s="877"/>
      <c r="BH252" s="879"/>
      <c r="BI252" s="877"/>
      <c r="BJ252" s="877"/>
      <c r="BK252" s="877"/>
      <c r="BL252" s="886"/>
      <c r="BM252" s="877"/>
      <c r="BN252" s="879"/>
      <c r="BO252" s="877"/>
      <c r="BP252" s="877"/>
      <c r="BQ252" s="877"/>
      <c r="BR252" s="886"/>
      <c r="BS252" s="877"/>
      <c r="BT252" s="879"/>
      <c r="BU252" s="886"/>
    </row>
    <row r="253" spans="1:73">
      <c r="A253" s="393"/>
      <c r="B253" s="1330" t="s">
        <v>207</v>
      </c>
      <c r="C253" s="910">
        <v>5.8273087194233263E-3</v>
      </c>
      <c r="D253" s="899"/>
      <c r="E253" s="513" t="s">
        <v>316</v>
      </c>
      <c r="F253" s="930">
        <f>SUMPRODUCT($CA$7:$CA$10,F254:F257)</f>
        <v>3.6096013533018239</v>
      </c>
      <c r="G253" s="872">
        <f>SUMPRODUCT($CA$7:$CA$10,G254:G257)</f>
        <v>9.307291375414998</v>
      </c>
      <c r="H253" s="873">
        <f>SUMPRODUCT($CA$7:$CA$10,H254:H257)</f>
        <v>16.171639941810952</v>
      </c>
      <c r="I253" s="884"/>
      <c r="J253" s="884"/>
      <c r="K253" s="884"/>
      <c r="L253" s="884"/>
      <c r="M253" s="884"/>
      <c r="N253" s="884"/>
      <c r="O253" s="884"/>
      <c r="P253" s="884"/>
      <c r="Q253" s="884"/>
      <c r="R253" s="884"/>
      <c r="S253" s="884"/>
      <c r="T253" s="885"/>
      <c r="V253" s="1240">
        <f>'Input data meat and eggs'!$S437*'Input data meat and eggs'!E$48+'Input data meat and eggs'!$U437*'Input data meat and eggs'!E$35+'Input data meat and eggs'!$V437*SUMPRODUCT('Input data meat and eggs'!$E$77:$E$86,'Input data meat and eggs'!E$37:E$46)</f>
        <v>2041.2978949501517</v>
      </c>
      <c r="W253" s="211">
        <f>V253*'Input data meat and eggs'!$D437</f>
        <v>660563998.8058691</v>
      </c>
      <c r="X253" s="1243">
        <f>W253/'Input data meat and eggs'!$J437</f>
        <v>13.992968112227379</v>
      </c>
      <c r="Y253" s="212">
        <f>X253+X253*'Common input data'!$B$145</f>
        <v>15.22434930610339</v>
      </c>
      <c r="Z253" s="1241">
        <f>Y253+Y253*'Common input data'!$B$179</f>
        <v>16.899027729774762</v>
      </c>
      <c r="AA253" s="189"/>
      <c r="AB253" s="1240">
        <f>'Input data meat and eggs'!$T437*'Input data meat and eggs'!F$47</f>
        <v>0</v>
      </c>
      <c r="AC253" s="211">
        <f>AB253*'Input data meat and eggs'!$D437</f>
        <v>0</v>
      </c>
      <c r="AD253" s="1243">
        <f>AC253/'Input data meat and eggs'!$J437</f>
        <v>0</v>
      </c>
      <c r="AE253" s="212">
        <f>AD253+AD253*'Common input data'!$B$145</f>
        <v>0</v>
      </c>
      <c r="AF253" s="1241">
        <f>AE253+AE253*'Common input data'!$B$179</f>
        <v>0</v>
      </c>
      <c r="AG253" s="991"/>
      <c r="AH253" s="883">
        <f>'Input data meat and eggs'!$S437*'Input data meat and eggs'!G$48+'Input data meat and eggs'!$T437*'Input data meat and eggs'!G$47+'Input data meat and eggs'!$U437*'Input data meat and eggs'!G$35+'Input data meat and eggs'!$V437*SUMPRODUCT('Input data meat and eggs'!$E$77:$E$86,'Input data meat and eggs'!G$37:G$46)</f>
        <v>35.386430539631647</v>
      </c>
      <c r="AI253" s="884">
        <f>AH253*'Input data meat and eggs'!$D437</f>
        <v>11451048.9226248</v>
      </c>
      <c r="AJ253" s="884">
        <f>AI253/'Input data meat and eggs'!$J437</f>
        <v>0.24257174583463059</v>
      </c>
      <c r="AK253" s="1225">
        <f>AJ253+AJ253*'Common input data'!$B$145</f>
        <v>0.26391805946807811</v>
      </c>
      <c r="AL253" s="1227">
        <f>AK253+AK253*'Common input data'!$B$179</f>
        <v>0.29294904600956673</v>
      </c>
      <c r="AM253" s="877"/>
      <c r="AN253" s="883">
        <f>'Input data meat and eggs'!$S437*'Input data meat and eggs'!H$48+'Input data meat and eggs'!$T437*'Input data meat and eggs'!H$47+'Input data meat and eggs'!$U437*'Input data meat and eggs'!H$35+'Input data meat and eggs'!$V437*SUMPRODUCT('Input data meat and eggs'!$E$77:$E$86,'Input data meat and eggs'!H$37:H$46)</f>
        <v>1.9690851147664588</v>
      </c>
      <c r="AO253" s="884">
        <f>AN253*'Input data meat and eggs'!$D437</f>
        <v>637195.94313842605</v>
      </c>
      <c r="AP253" s="884">
        <f>AO253/'Input data meat and eggs'!$J437</f>
        <v>1.3497954066063198E-2</v>
      </c>
      <c r="AQ253" s="1225">
        <f>AP253+AP253*'Common input data'!$B$145</f>
        <v>1.468577402387676E-2</v>
      </c>
      <c r="AR253" s="1227">
        <f>AQ253+AQ253*'Common input data'!$B$179</f>
        <v>1.6301209166503204E-2</v>
      </c>
      <c r="AS253" s="877"/>
      <c r="AT253" s="883">
        <f>'Input data meat and eggs'!$S437*'Input data meat and eggs'!I$48+'Input data meat and eggs'!$T437*'Input data meat and eggs'!I$47+'Input data meat and eggs'!$U437*'Input data meat and eggs'!I$35+'Input data meat and eggs'!$V437*SUMPRODUCT('Input data meat and eggs'!$E$77:$E$86,'Input data meat and eggs'!I$37:I$46)</f>
        <v>3.1993495077653491</v>
      </c>
      <c r="AU253" s="884">
        <f>'Input data meat and eggs'!G437/12*((1-'Input data meat and eggs'!$R437)*'Input data meat and eggs'!$B$61+'Input data meat and eggs'!$R437*'Input data meat and eggs'!$B$62)</f>
        <v>10.358796777142773</v>
      </c>
      <c r="AV253" s="884">
        <f>SUM(AT253:AU253)</f>
        <v>13.558146284908123</v>
      </c>
      <c r="AW253" s="884">
        <f>AV253*'Input data meat and eggs'!$D437</f>
        <v>4387416.1377962688</v>
      </c>
      <c r="AX253" s="884">
        <f>AW253/'Input data meat and eggs'!$J437</f>
        <v>9.2940236256044528E-2</v>
      </c>
      <c r="AY253" s="1225">
        <f>AX253+AX253*'Common input data'!$B$145</f>
        <v>0.10111897704657645</v>
      </c>
      <c r="AZ253" s="1227">
        <f>AY253+AY253*'Common input data'!$B$179</f>
        <v>0.11224206452169985</v>
      </c>
      <c r="BA253" s="877"/>
      <c r="BB253" s="883">
        <f>'Input data meat and eggs'!$S437*'Input data meat and eggs'!O$48+'Input data meat and eggs'!$T437*'Input data meat and eggs'!O$47+'Input data meat and eggs'!$U437*'Input data meat and eggs'!O$35+'Input data meat and eggs'!$V437*SUMPRODUCT('Input data meat and eggs'!$E$77:$E$86,'Input data meat and eggs'!O$37:O$46)</f>
        <v>1.2794404693085711E-7</v>
      </c>
      <c r="BC253" s="884">
        <f>BB253*'Input data meat and eggs'!$D437</f>
        <v>4.1402693586825356E-2</v>
      </c>
      <c r="BD253" s="884">
        <f>(BC253/'Input data meat and eggs'!$J437)/$AS$3</f>
        <v>8.7704835892976114E-12</v>
      </c>
      <c r="BE253" s="1225">
        <f>BD253+BD253*'Common input data'!$B$145</f>
        <v>9.5422861451558025E-12</v>
      </c>
      <c r="BF253" s="1227">
        <f>BE253+BE253*'Common input data'!$B$179</f>
        <v>1.059193762112294E-11</v>
      </c>
      <c r="BG253" s="877"/>
      <c r="BH253" s="883">
        <f>'Input data meat and eggs'!$S437*'Input data meat and eggs'!U$48+'Input data meat and eggs'!$T437*'Input data meat and eggs'!U$47+'Input data meat and eggs'!$U437*'Input data meat and eggs'!U$35+'Input data meat and eggs'!$V437*SUMPRODUCT('Input data meat and eggs'!$E$77:$E$86,'Input data meat and eggs'!U$37:U$46)</f>
        <v>7.2067212541538847E-2</v>
      </c>
      <c r="BI253" s="884">
        <f>BH253*'Input data meat and eggs'!$D437</f>
        <v>23320.949978441971</v>
      </c>
      <c r="BJ253" s="884">
        <f>BI253/'Input data meat and eggs'!$J437</f>
        <v>4.9401618917335527E-4</v>
      </c>
      <c r="BK253" s="1225">
        <f>BJ253+BJ253*'Common input data'!$B$145</f>
        <v>5.3748961382061059E-4</v>
      </c>
      <c r="BL253" s="1227">
        <f>BK253+BK253*'Common input data'!$B$179</f>
        <v>5.9661347134087775E-4</v>
      </c>
      <c r="BM253" s="877"/>
      <c r="BN253" s="883">
        <f>'Input data meat and eggs'!$S437*'Input data meat and eggs'!W$48+'Input data meat and eggs'!$T437*'Input data meat and eggs'!W$47+'Input data meat and eggs'!$U437*'Input data meat and eggs'!W$35+'Input data meat and eggs'!$V437*SUMPRODUCT('Input data meat and eggs'!$E$77:$E$86,'Input data meat and eggs'!W$37:W$46)</f>
        <v>2.2673847700225767</v>
      </c>
      <c r="BO253" s="884">
        <f>BN253*'Input data meat and eggs'!$D437</f>
        <v>733725.71157930582</v>
      </c>
      <c r="BP253" s="884">
        <f>BO253/'Input data meat and eggs'!$J437</f>
        <v>1.5542779357958779E-2</v>
      </c>
      <c r="BQ253" s="1225">
        <f>BP253+BP253*'Common input data'!$B$145</f>
        <v>1.6910543941459154E-2</v>
      </c>
      <c r="BR253" s="1227">
        <f>BQ253+BQ253*'Common input data'!$B$179</f>
        <v>1.8770703775019659E-2</v>
      </c>
      <c r="BS253" s="877"/>
      <c r="BT253" s="883">
        <f>('Common input data'!$B$205+'Common input data'!$C$205)+('Common input data'!$B$205+'Common input data'!$C$205)*'Common input data'!$B$145</f>
        <v>0.87203200000000003</v>
      </c>
      <c r="BU253" s="1227">
        <f>BT253+BT253*'Common input data'!$B$179</f>
        <v>0.96795552000000007</v>
      </c>
    </row>
    <row r="254" spans="1:73">
      <c r="A254" s="392"/>
      <c r="B254" s="901"/>
      <c r="C254" s="907"/>
      <c r="D254" s="900"/>
      <c r="E254" s="511" t="s">
        <v>317</v>
      </c>
      <c r="F254" s="928">
        <f>IF(AND($G$2="No",$G$3="No"),SUM(J254:M254),IF(AND($G$2="Yes", $G$3="No"), SUM(J254:M254)+O254, IF(AND($G$2="No", $G$3="Yes"),SUM(J254:M254)+N254, SUM(J254:M254)+O254+N254)))</f>
        <v>0.57509495024975432</v>
      </c>
      <c r="G254" s="877">
        <f>IF(AND($G$2="No",$G$3="No"),SUM(I254:M254,P254),IF(AND($G$2="Yes", $G$3="No"), SUM(I254:M254,P254)+O254, IF(AND($G$2="No", $G$3="Yes"),SUM(I254:M254,P254)+N254, SUM(I254:M254,P254)+O254+N254)))</f>
        <v>5.8670763500036021</v>
      </c>
      <c r="H254" s="878">
        <f>SUM(R254:T254)/(1-'Common input data'!B$145)</f>
        <v>10.739731585949345</v>
      </c>
      <c r="I254" s="877">
        <f>('Input data meat and eggs'!S437*'Input data meat and eggs'!B48+'Input data meat and eggs'!T437*'Input data meat and eggs'!B47+'Input data meat and eggs'!U437*'Input data meat and eggs'!B35+'Input data meat and eggs'!V437*SUMPRODUCT('Input data meat and eggs'!B37:B46,'Input data meat and eggs'!F77:F86))*'Input data meat and eggs'!$E$437/'Input data meat and eggs'!$H$437</f>
        <v>1.8228887764707951</v>
      </c>
      <c r="J254" s="877">
        <v>0</v>
      </c>
      <c r="K254" s="877">
        <v>0</v>
      </c>
      <c r="L254" s="877">
        <v>0</v>
      </c>
      <c r="M254" s="877">
        <v>0</v>
      </c>
      <c r="N254" s="877">
        <f>(('Input data meat and eggs'!S437+'Input data meat and eggs'!T437)*'Common input data'!F19+
'Input data meat and eggs'!U437*'Common input data'!B19+'Input data meat and eggs'!V437*('Input data meat and eggs'!F77*'Common input data'!B19*'Common input data'!G42/'Common input data'!F42+'Input data meat and eggs'!F79*'Common input data'!F19*'Common input data'!J46/'Common input data'!I46+'Common input data'!D19*('Input data meat and eggs'!F80+'Input data meat and eggs'!F81*'Common input data'!G40/'Common input data'!F40)+'Common input data'!C19*('Input data meat and eggs'!F83*'Common input data'!G44/'Common input data'!F44+'Input data meat and eggs'!F84)+'Input data meat and eggs'!F85*'Common input data'!E19*'Common input data'!G43/'Common input data'!F43))*'Input data meat and eggs'!$E$437/'Input data meat and eggs'!$H$437</f>
        <v>0.246353687724399</v>
      </c>
      <c r="O254" s="877">
        <f>('Input data meat and eggs'!V437*('Input data meat and eggs'!F79*'Common input data'!AR27*'Common input data'!G44/'Common input data'!F44+'Input data meat and eggs'!F83*'Common input data'!AS27*'Common input data'!J46/'Common input data'!I46))*'Input data meat and eggs'!$E$437/'Input data meat and eggs'!$H$437</f>
        <v>0.32874126252535535</v>
      </c>
      <c r="P254" s="877">
        <f>'Input data meat and eggs'!B95*'Common input data'!C80</f>
        <v>3.4690926232830526</v>
      </c>
      <c r="Q254" s="877">
        <f>'Input data meat and eggs'!B104*'Common input data'!C80+'Input data meat and eggs'!C104*3.6*'Common input data'!B66</f>
        <v>0.78034511843452981</v>
      </c>
      <c r="R254" s="877">
        <f>(G254+Q254)/'Input data meat and eggs'!$B$29</f>
        <v>9.5646352063858018</v>
      </c>
      <c r="S254" s="877">
        <f>'Common input data'!B109</f>
        <v>0.1</v>
      </c>
      <c r="T254" s="886">
        <f>'Common input data'!B116+'Common input data'!C116</f>
        <v>0.13</v>
      </c>
      <c r="V254" s="1230"/>
      <c r="W254" s="183"/>
      <c r="X254" s="183"/>
      <c r="Y254" s="183"/>
      <c r="Z254" s="1231"/>
      <c r="AA254" s="183"/>
      <c r="AB254" s="1230"/>
      <c r="AC254" s="183"/>
      <c r="AD254" s="183"/>
      <c r="AE254" s="183"/>
      <c r="AF254" s="1231"/>
      <c r="AG254" s="183"/>
      <c r="AH254" s="879"/>
      <c r="AI254" s="877"/>
      <c r="AJ254" s="877"/>
      <c r="AK254" s="877"/>
      <c r="AL254" s="886"/>
      <c r="AM254" s="877"/>
      <c r="AN254" s="879"/>
      <c r="AO254" s="877"/>
      <c r="AP254" s="877"/>
      <c r="AQ254" s="877"/>
      <c r="AR254" s="886"/>
      <c r="AS254" s="877"/>
      <c r="AT254" s="879"/>
      <c r="AU254" s="877"/>
      <c r="AV254" s="877"/>
      <c r="AW254" s="877"/>
      <c r="AX254" s="877"/>
      <c r="AY254" s="877"/>
      <c r="AZ254" s="886"/>
      <c r="BA254" s="877"/>
      <c r="BB254" s="879"/>
      <c r="BC254" s="877"/>
      <c r="BD254" s="877"/>
      <c r="BE254" s="877"/>
      <c r="BF254" s="886"/>
      <c r="BG254" s="877"/>
      <c r="BH254" s="879"/>
      <c r="BI254" s="877"/>
      <c r="BJ254" s="877"/>
      <c r="BK254" s="877"/>
      <c r="BL254" s="886"/>
      <c r="BM254" s="877"/>
      <c r="BN254" s="879"/>
      <c r="BO254" s="877"/>
      <c r="BP254" s="877"/>
      <c r="BQ254" s="877"/>
      <c r="BR254" s="886"/>
      <c r="BS254" s="877"/>
      <c r="BT254" s="879"/>
      <c r="BU254" s="886"/>
    </row>
    <row r="255" spans="1:73">
      <c r="A255" s="392"/>
      <c r="B255" s="901"/>
      <c r="C255" s="907"/>
      <c r="D255" s="900"/>
      <c r="E255" s="511" t="s">
        <v>321</v>
      </c>
      <c r="F255" s="928">
        <f>SUM(J255:M255)</f>
        <v>0.2589555371807204</v>
      </c>
      <c r="G255" s="877">
        <f>SUM(I255:M255,P255)</f>
        <v>0.2589555371807204</v>
      </c>
      <c r="H255" s="878">
        <f>SUM(R255:T255)/(1-'Common input data'!B$145)</f>
        <v>0.40855032371059014</v>
      </c>
      <c r="I255" s="877">
        <v>0</v>
      </c>
      <c r="J255" s="877">
        <v>0</v>
      </c>
      <c r="K255" s="877">
        <f>('Input data meat and eggs'!M437*'Input data meat and eggs'!G437/12*'Input data meat and eggs'!$C$462*'Input data meat and eggs'!$C$464*'Input data meat and eggs'!$C$465*
('Input data meat and eggs'!$O$437*'Input data meat and eggs'!$B$455
+'Input data meat and eggs'!$P$437*'Input data meat and eggs'!$C$455+
'Input data meat and eggs'!$Q$437*'Input data meat and eggs'!$D$455+
'Input data meat and eggs'!$R$437*'Input data meat and eggs'!$E$455))*'Input data meat and eggs'!$E$437/'Input data meat and eggs'!$H$437</f>
        <v>2.395499563035839E-2</v>
      </c>
      <c r="L255" s="877">
        <v>0</v>
      </c>
      <c r="M255" s="877">
        <f>('Input data meat and eggs'!L437*'Input data meat and eggs'!G437/12)*'Input data meat and eggs'!$E$437/'Input data meat and eggs'!$H$437</f>
        <v>0.23500054155036201</v>
      </c>
      <c r="N255" s="877">
        <v>0</v>
      </c>
      <c r="O255" s="877">
        <v>0</v>
      </c>
      <c r="P255" s="877">
        <v>0</v>
      </c>
      <c r="Q255" s="877">
        <v>0</v>
      </c>
      <c r="R255" s="877">
        <f>(G255+Q255)/'Input data meat and eggs'!$B$29</f>
        <v>0.37259789522405817</v>
      </c>
      <c r="S255" s="877">
        <v>0</v>
      </c>
      <c r="T255" s="886">
        <v>0</v>
      </c>
      <c r="V255" s="1230"/>
      <c r="W255" s="183"/>
      <c r="X255" s="183"/>
      <c r="Y255" s="183"/>
      <c r="Z255" s="1231"/>
      <c r="AA255" s="183"/>
      <c r="AB255" s="1230"/>
      <c r="AC255" s="183"/>
      <c r="AD255" s="183"/>
      <c r="AE255" s="183"/>
      <c r="AF255" s="1231"/>
      <c r="AG255" s="183"/>
      <c r="AH255" s="879"/>
      <c r="AI255" s="877"/>
      <c r="AJ255" s="877"/>
      <c r="AK255" s="877"/>
      <c r="AL255" s="886"/>
      <c r="AM255" s="877"/>
      <c r="AN255" s="879"/>
      <c r="AO255" s="877"/>
      <c r="AP255" s="877"/>
      <c r="AQ255" s="877"/>
      <c r="AR255" s="886"/>
      <c r="AS255" s="877"/>
      <c r="AT255" s="879"/>
      <c r="AU255" s="877"/>
      <c r="AV255" s="877"/>
      <c r="AW255" s="877"/>
      <c r="AX255" s="877"/>
      <c r="AY255" s="877"/>
      <c r="AZ255" s="886"/>
      <c r="BA255" s="877"/>
      <c r="BB255" s="879"/>
      <c r="BC255" s="877"/>
      <c r="BD255" s="877"/>
      <c r="BE255" s="877"/>
      <c r="BF255" s="886"/>
      <c r="BG255" s="877"/>
      <c r="BH255" s="879"/>
      <c r="BI255" s="877"/>
      <c r="BJ255" s="877"/>
      <c r="BK255" s="877"/>
      <c r="BL255" s="886"/>
      <c r="BM255" s="877"/>
      <c r="BN255" s="879"/>
      <c r="BO255" s="877"/>
      <c r="BP255" s="877"/>
      <c r="BQ255" s="877"/>
      <c r="BR255" s="886"/>
      <c r="BS255" s="877"/>
      <c r="BT255" s="879"/>
      <c r="BU255" s="886"/>
    </row>
    <row r="256" spans="1:73">
      <c r="A256" s="392"/>
      <c r="B256" s="901"/>
      <c r="C256" s="907"/>
      <c r="D256" s="900"/>
      <c r="E256" s="511" t="s">
        <v>319</v>
      </c>
      <c r="F256" s="928">
        <f>SUM(J256:M256)</f>
        <v>0</v>
      </c>
      <c r="G256" s="877">
        <f>SUM(I256:M256,P256)</f>
        <v>2.8955218052993843E-3</v>
      </c>
      <c r="H256" s="878">
        <f>SUM(R256:T256)/(1-'Common input data'!B$145)</f>
        <v>4.7321821494403496E-3</v>
      </c>
      <c r="I256" s="877">
        <f>('Input data meat and eggs'!S437*'Input data meat and eggs'!C48+'Input data meat and eggs'!T437*'Input data meat and eggs'!C47+'Input data meat and eggs'!U437*'Input data meat and eggs'!C35+'Input data meat and eggs'!V437*SUMPRODUCT('Input data meat and eggs'!C37:C46,'Input data meat and eggs'!F77:F86))*'Input data meat and eggs'!$E$437/'Input data meat and eggs'!$H$437</f>
        <v>2.8955218052993843E-3</v>
      </c>
      <c r="J256" s="877">
        <v>0</v>
      </c>
      <c r="K256" s="877">
        <v>0</v>
      </c>
      <c r="L256" s="877">
        <v>0</v>
      </c>
      <c r="M256" s="877">
        <v>0</v>
      </c>
      <c r="N256" s="877">
        <v>0</v>
      </c>
      <c r="O256" s="877">
        <v>0</v>
      </c>
      <c r="P256" s="877">
        <v>0</v>
      </c>
      <c r="Q256" s="877">
        <f>'Input data meat and eggs'!C104*3.6*'Common input data'!B67</f>
        <v>1.0392452830188681E-4</v>
      </c>
      <c r="R256" s="877">
        <f>(G256+Q256)/'Input data meat and eggs'!$B$29</f>
        <v>4.3157501202895987E-3</v>
      </c>
      <c r="S256" s="877">
        <v>0</v>
      </c>
      <c r="T256" s="886">
        <v>0</v>
      </c>
      <c r="V256" s="1230"/>
      <c r="W256" s="183"/>
      <c r="X256" s="183"/>
      <c r="Y256" s="183"/>
      <c r="Z256" s="1231"/>
      <c r="AA256" s="183"/>
      <c r="AB256" s="1230"/>
      <c r="AC256" s="183"/>
      <c r="AD256" s="183"/>
      <c r="AE256" s="183"/>
      <c r="AF256" s="1231"/>
      <c r="AG256" s="183"/>
      <c r="AH256" s="879"/>
      <c r="AI256" s="877"/>
      <c r="AJ256" s="877"/>
      <c r="AK256" s="877"/>
      <c r="AL256" s="886"/>
      <c r="AM256" s="877"/>
      <c r="AN256" s="879"/>
      <c r="AO256" s="877"/>
      <c r="AP256" s="877"/>
      <c r="AQ256" s="877"/>
      <c r="AR256" s="886"/>
      <c r="AS256" s="877"/>
      <c r="AT256" s="879"/>
      <c r="AU256" s="877"/>
      <c r="AV256" s="877"/>
      <c r="AW256" s="877"/>
      <c r="AX256" s="877"/>
      <c r="AY256" s="877"/>
      <c r="AZ256" s="886"/>
      <c r="BA256" s="877"/>
      <c r="BB256" s="879"/>
      <c r="BC256" s="877"/>
      <c r="BD256" s="877"/>
      <c r="BE256" s="877"/>
      <c r="BF256" s="886"/>
      <c r="BG256" s="877"/>
      <c r="BH256" s="879"/>
      <c r="BI256" s="877"/>
      <c r="BJ256" s="877"/>
      <c r="BK256" s="877"/>
      <c r="BL256" s="886"/>
      <c r="BM256" s="877"/>
      <c r="BN256" s="879"/>
      <c r="BO256" s="877"/>
      <c r="BP256" s="877"/>
      <c r="BQ256" s="877"/>
      <c r="BR256" s="886"/>
      <c r="BS256" s="877"/>
      <c r="BT256" s="879"/>
      <c r="BU256" s="886"/>
    </row>
    <row r="257" spans="1:75">
      <c r="A257" s="392"/>
      <c r="B257" s="901"/>
      <c r="C257" s="907"/>
      <c r="D257" s="900"/>
      <c r="E257" s="512" t="s">
        <v>320</v>
      </c>
      <c r="F257" s="928">
        <f>SUM(J257:M257)</f>
        <v>7.8000660012990698E-3</v>
      </c>
      <c r="G257" s="877">
        <f>SUM(I257:M257,P257)</f>
        <v>9.4828972024768345E-3</v>
      </c>
      <c r="H257" s="878">
        <f>SUM(R257:T257)/(1-'Common input data'!B$145)</f>
        <v>1.4976311494933317E-2</v>
      </c>
      <c r="I257" s="877">
        <f>(('Input data meat and eggs'!S437*'Input data meat and eggs'!D48+'Input data meat and eggs'!T437*'Input data meat and eggs'!D47+'Input data meat and eggs'!U437*'Input data meat and eggs'!D35+'Input data meat and eggs'!V437*SUMPRODUCT('Input data meat and eggs'!D37:D46,'Input data meat and eggs'!F77:F86))*'Input data meat and eggs'!B70)*'Input data meat and eggs'!$E$437/'Input data meat and eggs'!$H$437</f>
        <v>1.6828312011777646E-3</v>
      </c>
      <c r="J257" s="877">
        <f>(('Input data meat and eggs'!S437*'Input data meat and eggs'!D48+'Input data meat and eggs'!T437*'Input data meat and eggs'!D47+'Input data meat and eggs'!U437*'Input data meat and eggs'!D35+'Input data meat and eggs'!V437*SUMPRODUCT('Input data meat and eggs'!D37:D46,'Input data meat and eggs'!F77:F86))*'Input data meat and eggs'!C70)*'Input data meat and eggs'!$E$437/'Input data meat and eggs'!$H$437</f>
        <v>4.2535189863600262E-3</v>
      </c>
      <c r="K257" s="877">
        <f>('Input data meat and eggs'!K437*'Input data meat and eggs'!G437/12*('Input data meat and eggs'!$O$437*'Input data meat and eggs'!$B$457+'Input data meat and eggs'!$P$437*'Input data meat and eggs'!$C$457+'Input data meat and eggs'!$Q$437*'Input data meat and eggs'!$D$457+'Input data meat and eggs'!$R$437*'Input data meat and eggs'!$E$457)*44/28)*'Input data meat and eggs'!$E$437/'Input data meat and eggs'!$H$437</f>
        <v>2.1114686633325395E-3</v>
      </c>
      <c r="L257" s="877">
        <f>('Input data meat and eggs'!$B$458*44/28*'Input data meat and eggs'!K437*'Input data meat and eggs'!G437/12*('Input data meat and eggs'!O437*'Input data meat and eggs'!B470+'Input data meat and eggs'!P437*'Input data meat and eggs'!C470+'Input data meat and eggs'!Q437*'Input data meat and eggs'!D470))*'Input data meat and eggs'!$E$437/'Input data meat and eggs'!$H$437</f>
        <v>1.4350783516065032E-3</v>
      </c>
      <c r="M257" s="877">
        <v>0</v>
      </c>
      <c r="N257" s="877">
        <v>0</v>
      </c>
      <c r="O257" s="877">
        <v>0</v>
      </c>
      <c r="P257" s="877">
        <v>0</v>
      </c>
      <c r="Q257" s="877">
        <f>'Input data meat and eggs'!C104*3.6*'Common input data'!B68</f>
        <v>9.6880754716981128E-6</v>
      </c>
      <c r="R257" s="877">
        <f>(G257+Q257)/'Input data meat and eggs'!$B$29</f>
        <v>1.3658396083379183E-2</v>
      </c>
      <c r="S257" s="877">
        <v>0</v>
      </c>
      <c r="T257" s="886">
        <v>0</v>
      </c>
      <c r="V257" s="1230"/>
      <c r="W257" s="183"/>
      <c r="X257" s="183"/>
      <c r="Y257" s="183"/>
      <c r="Z257" s="1231"/>
      <c r="AA257" s="183"/>
      <c r="AB257" s="1230"/>
      <c r="AC257" s="183"/>
      <c r="AD257" s="183"/>
      <c r="AE257" s="183"/>
      <c r="AF257" s="1231"/>
      <c r="AG257" s="183"/>
      <c r="AH257" s="879"/>
      <c r="AI257" s="877"/>
      <c r="AJ257" s="877"/>
      <c r="AK257" s="877"/>
      <c r="AL257" s="886"/>
      <c r="AM257" s="877"/>
      <c r="AN257" s="879"/>
      <c r="AO257" s="877"/>
      <c r="AP257" s="877"/>
      <c r="AQ257" s="877"/>
      <c r="AR257" s="886"/>
      <c r="AS257" s="877"/>
      <c r="AT257" s="879"/>
      <c r="AU257" s="877"/>
      <c r="AV257" s="877"/>
      <c r="AW257" s="877"/>
      <c r="AX257" s="877"/>
      <c r="AY257" s="877"/>
      <c r="AZ257" s="886"/>
      <c r="BA257" s="877"/>
      <c r="BB257" s="879"/>
      <c r="BC257" s="877"/>
      <c r="BD257" s="877"/>
      <c r="BE257" s="877"/>
      <c r="BF257" s="886"/>
      <c r="BG257" s="877"/>
      <c r="BH257" s="879"/>
      <c r="BI257" s="877"/>
      <c r="BJ257" s="877"/>
      <c r="BK257" s="877"/>
      <c r="BL257" s="886"/>
      <c r="BM257" s="877"/>
      <c r="BN257" s="879"/>
      <c r="BO257" s="877"/>
      <c r="BP257" s="877"/>
      <c r="BQ257" s="877"/>
      <c r="BR257" s="886"/>
      <c r="BS257" s="877"/>
      <c r="BT257" s="879"/>
      <c r="BU257" s="886"/>
    </row>
    <row r="258" spans="1:75">
      <c r="A258" s="389" t="s">
        <v>125</v>
      </c>
      <c r="B258" s="1330" t="str">
        <f>'Input data meat and eggs'!C13</f>
        <v>Beef from extensive dairy production**</v>
      </c>
      <c r="C258" s="910">
        <f>'Input data meat and eggs'!D13</f>
        <v>0.15531116733070377</v>
      </c>
      <c r="D258" s="899"/>
      <c r="E258" s="513" t="s">
        <v>316</v>
      </c>
      <c r="F258" s="930">
        <f>SUMPRODUCT($CA$7:$CA$10,F259:F262)</f>
        <v>3.513756577925311</v>
      </c>
      <c r="G258" s="872">
        <f>SUMPRODUCT($CA$7:$CA$10,G259:G262)</f>
        <v>9.3229362170914758</v>
      </c>
      <c r="H258" s="873">
        <f>SUMPRODUCT($CA$7:$CA$10,H259:H262)</f>
        <v>16.305971700104021</v>
      </c>
      <c r="I258" s="884"/>
      <c r="J258" s="884"/>
      <c r="K258" s="884"/>
      <c r="L258" s="884"/>
      <c r="M258" s="884"/>
      <c r="N258" s="884"/>
      <c r="O258" s="884"/>
      <c r="P258" s="884"/>
      <c r="Q258" s="884"/>
      <c r="R258" s="884"/>
      <c r="S258" s="884"/>
      <c r="T258" s="885"/>
      <c r="V258" s="1240"/>
      <c r="W258" s="211"/>
      <c r="X258" s="211">
        <f>X158</f>
        <v>22.417619220828371</v>
      </c>
      <c r="Y258" s="212">
        <f>X258+X258*'Common input data'!$B$145</f>
        <v>24.390369712261268</v>
      </c>
      <c r="Z258" s="1241">
        <f>Y258+Y258*'Common input data'!$B$179</f>
        <v>27.073310380610007</v>
      </c>
      <c r="AA258" s="189"/>
      <c r="AB258" s="1240"/>
      <c r="AC258" s="211"/>
      <c r="AD258" s="211">
        <f>AD158</f>
        <v>62.754003818767785</v>
      </c>
      <c r="AE258" s="212">
        <f>AD258+AD258*'Common input data'!$B$145</f>
        <v>68.276356154819354</v>
      </c>
      <c r="AF258" s="1241">
        <f>AE258+AE258*'Common input data'!$B$179</f>
        <v>75.786755331849477</v>
      </c>
      <c r="AG258" s="189"/>
      <c r="AH258" s="883"/>
      <c r="AI258" s="884"/>
      <c r="AJ258" s="884">
        <f>AJ158</f>
        <v>0.70508261001311856</v>
      </c>
      <c r="AK258" s="1225">
        <f>AJ258+AJ258*'Common input data'!$B$145</f>
        <v>0.76712987969427304</v>
      </c>
      <c r="AL258" s="1227">
        <f>AK258+AK258*'Common input data'!$B$179</f>
        <v>0.85151416646064304</v>
      </c>
      <c r="AM258" s="877"/>
      <c r="AN258" s="883"/>
      <c r="AO258" s="884"/>
      <c r="AP258" s="884">
        <f>AP158</f>
        <v>1.5004750683525912E-2</v>
      </c>
      <c r="AQ258" s="1225">
        <f>AP258+AP258*'Common input data'!$B$145</f>
        <v>1.6325168743676195E-2</v>
      </c>
      <c r="AR258" s="1227">
        <f>AQ258+AQ258*'Common input data'!$B$179</f>
        <v>1.8120937305480575E-2</v>
      </c>
      <c r="AS258" s="877"/>
      <c r="AT258" s="883"/>
      <c r="AU258" s="884"/>
      <c r="AV258" s="884"/>
      <c r="AW258" s="884"/>
      <c r="AX258" s="884">
        <f>AX158</f>
        <v>9.945167544831314E-2</v>
      </c>
      <c r="AY258" s="1225">
        <f>AX258+AX258*'Common input data'!$B$145</f>
        <v>0.1082034228877647</v>
      </c>
      <c r="AZ258" s="1227">
        <f>AY258+AY258*'Common input data'!$B$179</f>
        <v>0.12010579940541882</v>
      </c>
      <c r="BA258" s="877"/>
      <c r="BB258" s="883"/>
      <c r="BC258" s="884"/>
      <c r="BD258" s="884">
        <f>BD158</f>
        <v>6.4876147091587065E-12</v>
      </c>
      <c r="BE258" s="1225">
        <f>BD258+BD258*'Common input data'!$B$145</f>
        <v>7.0585248035646727E-12</v>
      </c>
      <c r="BF258" s="1227">
        <f>BE258+BE258*'Common input data'!$B$179</f>
        <v>7.8349625319567875E-12</v>
      </c>
      <c r="BG258" s="877"/>
      <c r="BH258" s="883"/>
      <c r="BI258" s="884"/>
      <c r="BJ258" s="884">
        <f>BJ158</f>
        <v>8.7653453653381802E-4</v>
      </c>
      <c r="BK258" s="1225">
        <f>BJ258+BJ258*'Common input data'!$B$145</f>
        <v>9.5366957574879411E-4</v>
      </c>
      <c r="BL258" s="1227">
        <f>BK258+BK258*'Common input data'!$B$179</f>
        <v>1.0585732290811615E-3</v>
      </c>
      <c r="BM258" s="877"/>
      <c r="BN258" s="883"/>
      <c r="BO258" s="884"/>
      <c r="BP258" s="884">
        <f>BP158</f>
        <v>4.6420841045359713E-2</v>
      </c>
      <c r="BQ258" s="1225">
        <f>BP258+BP258*'Common input data'!$B$145</f>
        <v>5.0505875057351372E-2</v>
      </c>
      <c r="BR258" s="1227">
        <f>BQ258+BQ258*'Common input data'!$B$179</f>
        <v>5.6061521313660025E-2</v>
      </c>
      <c r="BS258" s="877"/>
      <c r="BT258" s="883">
        <f>('Common input data'!B214+'Common input data'!C214)+('Common input data'!B214+'Common input data'!C214)*'Common input data'!$B$145</f>
        <v>1.0337813333333334</v>
      </c>
      <c r="BU258" s="1227">
        <f>BT258+BT258*'Common input data'!$B$179</f>
        <v>1.1474972800000001</v>
      </c>
    </row>
    <row r="259" spans="1:75">
      <c r="A259" s="97"/>
      <c r="B259" s="901"/>
      <c r="C259" s="907"/>
      <c r="D259" s="900"/>
      <c r="E259" s="511" t="s">
        <v>317</v>
      </c>
      <c r="F259" s="928">
        <f>IF(AND($G$2="No",$G$3="No"),SUM(J259:M259),IF(AND($G$2="Yes", $G$3="No"), SUM(J259:M259)+O259, IF(AND($G$2="No", $G$3="Yes"),SUM(J259:M259)+N259, SUM(J259:M259)+O259+N259)))</f>
        <v>-1.563290730312457</v>
      </c>
      <c r="G259" s="877">
        <f>IF(AND($G$2="No",$G$3="No"),SUM(I259:M259,P259),IF(AND($G$2="Yes", $G$3="No"), SUM(I259:M259,P259)+O259, IF(AND($G$2="No", $G$3="Yes"),SUM(I259:M259,P259)+N259, SUM(I259:M259,P259)+O259+N259)))</f>
        <v>3.7833518379840552</v>
      </c>
      <c r="H259" s="878">
        <f>SUM(R259:T259)/(1-'Common input data'!B$145)</f>
        <v>7.5619193430811977</v>
      </c>
      <c r="I259" s="877">
        <f>I159</f>
        <v>1.8775499450134594</v>
      </c>
      <c r="J259" s="877">
        <f t="shared" ref="J259:O259" si="28">J159</f>
        <v>0</v>
      </c>
      <c r="K259" s="877">
        <f t="shared" si="28"/>
        <v>0</v>
      </c>
      <c r="L259" s="877">
        <f t="shared" si="28"/>
        <v>0</v>
      </c>
      <c r="M259" s="877">
        <f t="shared" si="28"/>
        <v>0</v>
      </c>
      <c r="N259" s="877">
        <f t="shared" si="28"/>
        <v>-1.5786315165250588</v>
      </c>
      <c r="O259" s="877">
        <f t="shared" si="28"/>
        <v>1.5340786212601744E-2</v>
      </c>
      <c r="P259" s="877">
        <f>'Input data meat and eggs'!B95*'Common input data'!C80</f>
        <v>3.4690926232830526</v>
      </c>
      <c r="Q259" s="877">
        <f>'Input data meat and eggs'!B104*'Common input data'!C80+'Input data meat and eggs'!C104*3.6*'Common input data'!B66</f>
        <v>0.78034511843452981</v>
      </c>
      <c r="R259" s="877">
        <f>(G259+Q259)/'Input data meat and eggs'!$B$29</f>
        <v>6.5664704408900514</v>
      </c>
      <c r="S259" s="877">
        <f>'Common input data'!B109</f>
        <v>0.1</v>
      </c>
      <c r="T259" s="886">
        <f>'Common input data'!B119+'Common input data'!C119</f>
        <v>0.23000000000000004</v>
      </c>
      <c r="V259" s="1230"/>
      <c r="W259" s="183"/>
      <c r="X259" s="183"/>
      <c r="Y259" s="183"/>
      <c r="Z259" s="1231"/>
      <c r="AA259" s="183"/>
      <c r="AB259" s="1230"/>
      <c r="AC259" s="183"/>
      <c r="AD259" s="183"/>
      <c r="AE259" s="183"/>
      <c r="AF259" s="1231"/>
      <c r="AG259" s="183"/>
      <c r="AH259" s="879"/>
      <c r="AI259" s="877"/>
      <c r="AJ259" s="877"/>
      <c r="AK259" s="877"/>
      <c r="AL259" s="886"/>
      <c r="AM259" s="877"/>
      <c r="AN259" s="879"/>
      <c r="AO259" s="877"/>
      <c r="AP259" s="877"/>
      <c r="AQ259" s="877"/>
      <c r="AR259" s="886"/>
      <c r="AS259" s="877"/>
      <c r="AT259" s="879"/>
      <c r="AU259" s="877"/>
      <c r="AV259" s="877"/>
      <c r="AW259" s="877"/>
      <c r="AX259" s="877"/>
      <c r="AY259" s="877"/>
      <c r="AZ259" s="886"/>
      <c r="BA259" s="877"/>
      <c r="BB259" s="879"/>
      <c r="BC259" s="877"/>
      <c r="BD259" s="877"/>
      <c r="BE259" s="877"/>
      <c r="BF259" s="886"/>
      <c r="BG259" s="877"/>
      <c r="BH259" s="879"/>
      <c r="BI259" s="877"/>
      <c r="BJ259" s="877"/>
      <c r="BK259" s="877"/>
      <c r="BL259" s="886"/>
      <c r="BM259" s="877"/>
      <c r="BN259" s="879"/>
      <c r="BO259" s="877"/>
      <c r="BP259" s="877"/>
      <c r="BQ259" s="877"/>
      <c r="BR259" s="886"/>
      <c r="BS259" s="877"/>
      <c r="BT259" s="879"/>
      <c r="BU259" s="886"/>
    </row>
    <row r="260" spans="1:75">
      <c r="A260" s="392"/>
      <c r="B260" s="901"/>
      <c r="C260" s="907"/>
      <c r="D260" s="900"/>
      <c r="E260" s="511" t="s">
        <v>321</v>
      </c>
      <c r="F260" s="928">
        <f>SUM(J260:M260)</f>
        <v>0.4873669016700326</v>
      </c>
      <c r="G260" s="877">
        <f>SUM(I260:M260,P260)</f>
        <v>0.4873669016700326</v>
      </c>
      <c r="H260" s="878">
        <f>SUM(R260:T260)/(1-'Common input data'!B$145)</f>
        <v>0.768911557601339</v>
      </c>
      <c r="I260" s="877">
        <v>0</v>
      </c>
      <c r="J260" s="877">
        <f t="shared" ref="J260:O260" si="29">J160</f>
        <v>0</v>
      </c>
      <c r="K260" s="877">
        <f t="shared" si="29"/>
        <v>5.1404964294935136E-2</v>
      </c>
      <c r="L260" s="877">
        <f t="shared" si="29"/>
        <v>0</v>
      </c>
      <c r="M260" s="877">
        <f t="shared" si="29"/>
        <v>0.43596193737509747</v>
      </c>
      <c r="N260" s="877">
        <f t="shared" si="29"/>
        <v>0</v>
      </c>
      <c r="O260" s="877">
        <f t="shared" si="29"/>
        <v>0</v>
      </c>
      <c r="P260" s="877">
        <v>0</v>
      </c>
      <c r="Q260" s="877">
        <v>0</v>
      </c>
      <c r="R260" s="877">
        <f>(G260+Q260)/'Input data meat and eggs'!$B$29</f>
        <v>0.7012473405324211</v>
      </c>
      <c r="S260" s="877">
        <v>0</v>
      </c>
      <c r="T260" s="886">
        <v>0</v>
      </c>
      <c r="V260" s="1230"/>
      <c r="W260" s="183"/>
      <c r="X260" s="183"/>
      <c r="Y260" s="183"/>
      <c r="Z260" s="1231"/>
      <c r="AA260" s="183"/>
      <c r="AB260" s="1230"/>
      <c r="AC260" s="183"/>
      <c r="AD260" s="183"/>
      <c r="AE260" s="183"/>
      <c r="AF260" s="1231"/>
      <c r="AG260" s="183"/>
      <c r="AH260" s="879"/>
      <c r="AI260" s="877"/>
      <c r="AJ260" s="877"/>
      <c r="AK260" s="877"/>
      <c r="AL260" s="886"/>
      <c r="AM260" s="877"/>
      <c r="AN260" s="879"/>
      <c r="AO260" s="877"/>
      <c r="AP260" s="877"/>
      <c r="AQ260" s="877"/>
      <c r="AR260" s="886"/>
      <c r="AS260" s="877"/>
      <c r="AT260" s="879"/>
      <c r="AU260" s="877"/>
      <c r="AV260" s="877"/>
      <c r="AW260" s="877"/>
      <c r="AX260" s="877"/>
      <c r="AY260" s="877"/>
      <c r="AZ260" s="886"/>
      <c r="BA260" s="877"/>
      <c r="BB260" s="879"/>
      <c r="BC260" s="877"/>
      <c r="BD260" s="877"/>
      <c r="BE260" s="877"/>
      <c r="BF260" s="886"/>
      <c r="BG260" s="877"/>
      <c r="BH260" s="879"/>
      <c r="BI260" s="877"/>
      <c r="BJ260" s="877"/>
      <c r="BK260" s="877"/>
      <c r="BL260" s="886"/>
      <c r="BM260" s="877"/>
      <c r="BN260" s="879"/>
      <c r="BO260" s="877"/>
      <c r="BP260" s="877"/>
      <c r="BQ260" s="877"/>
      <c r="BR260" s="886"/>
      <c r="BS260" s="877"/>
      <c r="BT260" s="879"/>
      <c r="BU260" s="886"/>
    </row>
    <row r="261" spans="1:75">
      <c r="A261" s="392"/>
      <c r="B261" s="901"/>
      <c r="C261" s="907"/>
      <c r="D261" s="900"/>
      <c r="E261" s="511" t="s">
        <v>319</v>
      </c>
      <c r="F261" s="928">
        <f>SUM(J261:M261)</f>
        <v>0</v>
      </c>
      <c r="G261" s="877">
        <f>SUM(I261:M261,P261)</f>
        <v>9.8319541991667898E-4</v>
      </c>
      <c r="H261" s="878">
        <f>SUM(R261:T261)/(1-'Common input data'!B$145)</f>
        <v>1.7151330749377856E-3</v>
      </c>
      <c r="I261" s="877">
        <f>I161</f>
        <v>9.8319541991667898E-4</v>
      </c>
      <c r="J261" s="877">
        <v>0</v>
      </c>
      <c r="K261" s="877">
        <v>0</v>
      </c>
      <c r="L261" s="877">
        <v>0</v>
      </c>
      <c r="M261" s="877">
        <v>0</v>
      </c>
      <c r="N261" s="877">
        <v>0</v>
      </c>
      <c r="O261" s="877">
        <v>0</v>
      </c>
      <c r="P261" s="877">
        <v>0</v>
      </c>
      <c r="Q261" s="877">
        <f>'Input data meat and eggs'!C104*3.6*'Common input data'!B67</f>
        <v>1.0392452830188681E-4</v>
      </c>
      <c r="R261" s="877">
        <f>(G261+Q261)/'Input data meat and eggs'!$B$29</f>
        <v>1.5642013643432603E-3</v>
      </c>
      <c r="S261" s="877">
        <v>0</v>
      </c>
      <c r="T261" s="886">
        <v>0</v>
      </c>
      <c r="V261" s="1230"/>
      <c r="W261" s="183"/>
      <c r="X261" s="183"/>
      <c r="Y261" s="183"/>
      <c r="Z261" s="1231"/>
      <c r="AA261" s="183"/>
      <c r="AB261" s="1230"/>
      <c r="AC261" s="183"/>
      <c r="AD261" s="183"/>
      <c r="AE261" s="183"/>
      <c r="AF261" s="1231"/>
      <c r="AG261" s="183"/>
      <c r="AH261" s="879"/>
      <c r="AI261" s="877"/>
      <c r="AJ261" s="877"/>
      <c r="AK261" s="877"/>
      <c r="AL261" s="886"/>
      <c r="AM261" s="877"/>
      <c r="AN261" s="879"/>
      <c r="AO261" s="877"/>
      <c r="AP261" s="877"/>
      <c r="AQ261" s="877"/>
      <c r="AR261" s="886"/>
      <c r="AS261" s="877"/>
      <c r="AT261" s="879"/>
      <c r="AU261" s="877"/>
      <c r="AV261" s="877"/>
      <c r="AW261" s="877"/>
      <c r="AX261" s="877"/>
      <c r="AY261" s="877"/>
      <c r="AZ261" s="886"/>
      <c r="BA261" s="877"/>
      <c r="BB261" s="879"/>
      <c r="BC261" s="877"/>
      <c r="BD261" s="877"/>
      <c r="BE261" s="877"/>
      <c r="BF261" s="886"/>
      <c r="BG261" s="877"/>
      <c r="BH261" s="879"/>
      <c r="BI261" s="877"/>
      <c r="BJ261" s="877"/>
      <c r="BK261" s="877"/>
      <c r="BL261" s="886"/>
      <c r="BM261" s="877"/>
      <c r="BN261" s="879"/>
      <c r="BO261" s="877"/>
      <c r="BP261" s="877"/>
      <c r="BQ261" s="877"/>
      <c r="BR261" s="886"/>
      <c r="BS261" s="877"/>
      <c r="BT261" s="879"/>
      <c r="BU261" s="886"/>
    </row>
    <row r="262" spans="1:75">
      <c r="A262" s="392"/>
      <c r="B262" s="901"/>
      <c r="C262" s="907"/>
      <c r="D262" s="900"/>
      <c r="E262" s="512" t="s">
        <v>320</v>
      </c>
      <c r="F262" s="928">
        <f>SUM(J262:M262)</f>
        <v>1.1958896439436116E-2</v>
      </c>
      <c r="G262" s="877">
        <f>SUM(I262:M262,P262)</f>
        <v>1.3924201385341882E-2</v>
      </c>
      <c r="H262" s="878">
        <f>SUM(R262:T262)/(1-'Common input data'!B$145)</f>
        <v>2.1983291462851162E-2</v>
      </c>
      <c r="I262" s="877">
        <f t="shared" ref="I262:O262" si="30">I162</f>
        <v>1.9653049459057671E-3</v>
      </c>
      <c r="J262" s="877">
        <f t="shared" si="30"/>
        <v>4.9674987577761212E-3</v>
      </c>
      <c r="K262" s="877">
        <f t="shared" si="30"/>
        <v>6.1511524993051814E-3</v>
      </c>
      <c r="L262" s="877">
        <f t="shared" si="30"/>
        <v>8.4024518235481418E-4</v>
      </c>
      <c r="M262" s="877">
        <f t="shared" si="30"/>
        <v>0</v>
      </c>
      <c r="N262" s="877">
        <f t="shared" si="30"/>
        <v>0</v>
      </c>
      <c r="O262" s="877">
        <f t="shared" si="30"/>
        <v>0</v>
      </c>
      <c r="P262" s="877">
        <v>0</v>
      </c>
      <c r="Q262" s="877">
        <f>'Input data meat and eggs'!C104*3.6*'Common input data'!B68</f>
        <v>9.6880754716981128E-6</v>
      </c>
      <c r="R262" s="877">
        <f>(G262+Q262)/'Input data meat and eggs'!$B$29</f>
        <v>2.0048761814120259E-2</v>
      </c>
      <c r="S262" s="877">
        <v>0</v>
      </c>
      <c r="T262" s="886">
        <v>0</v>
      </c>
      <c r="V262" s="1230"/>
      <c r="W262" s="183"/>
      <c r="X262" s="183"/>
      <c r="Y262" s="183"/>
      <c r="Z262" s="1231"/>
      <c r="AA262" s="183"/>
      <c r="AB262" s="1230"/>
      <c r="AC262" s="183"/>
      <c r="AD262" s="183"/>
      <c r="AE262" s="183"/>
      <c r="AF262" s="1231"/>
      <c r="AG262" s="183"/>
      <c r="AH262" s="879"/>
      <c r="AI262" s="877"/>
      <c r="AJ262" s="877"/>
      <c r="AK262" s="877"/>
      <c r="AL262" s="886"/>
      <c r="AM262" s="877"/>
      <c r="AN262" s="879"/>
      <c r="AO262" s="877"/>
      <c r="AP262" s="877"/>
      <c r="AQ262" s="877"/>
      <c r="AR262" s="886"/>
      <c r="AS262" s="877"/>
      <c r="AT262" s="879"/>
      <c r="AU262" s="877"/>
      <c r="AV262" s="877"/>
      <c r="AW262" s="877"/>
      <c r="AX262" s="877"/>
      <c r="AY262" s="877"/>
      <c r="AZ262" s="886"/>
      <c r="BA262" s="877"/>
      <c r="BB262" s="879"/>
      <c r="BC262" s="877"/>
      <c r="BD262" s="877"/>
      <c r="BE262" s="877"/>
      <c r="BF262" s="886"/>
      <c r="BG262" s="877"/>
      <c r="BH262" s="879"/>
      <c r="BI262" s="877"/>
      <c r="BJ262" s="877"/>
      <c r="BK262" s="877"/>
      <c r="BL262" s="886"/>
      <c r="BM262" s="877"/>
      <c r="BN262" s="879"/>
      <c r="BO262" s="877"/>
      <c r="BP262" s="877"/>
      <c r="BQ262" s="877"/>
      <c r="BR262" s="886"/>
      <c r="BS262" s="877"/>
      <c r="BT262" s="879"/>
      <c r="BU262" s="886"/>
    </row>
    <row r="263" spans="1:75">
      <c r="A263" s="389" t="s">
        <v>134</v>
      </c>
      <c r="B263" s="1330" t="str">
        <f>'Input data meat and eggs'!C14</f>
        <v>Extensive suckler cows and offsprings***</v>
      </c>
      <c r="C263" s="910">
        <f>'Input data meat and eggs'!D14</f>
        <v>4.1870794894080854E-2</v>
      </c>
      <c r="D263" s="899"/>
      <c r="E263" s="513" t="s">
        <v>316</v>
      </c>
      <c r="F263" s="930">
        <f>SUMPRODUCT($CA$7:$CA$10,F264:F267)</f>
        <v>5.6898506399992455</v>
      </c>
      <c r="G263" s="872">
        <f>SUMPRODUCT($CA$7:$CA$10,G264:G267)</f>
        <v>9.0728972767477121</v>
      </c>
      <c r="H263" s="873">
        <f>SUMPRODUCT($CA$7:$CA$10,H264:H267)</f>
        <v>16.19604064444939</v>
      </c>
      <c r="I263" s="884"/>
      <c r="J263" s="884"/>
      <c r="K263" s="884"/>
      <c r="L263" s="884"/>
      <c r="M263" s="884"/>
      <c r="N263" s="884"/>
      <c r="O263" s="884"/>
      <c r="P263" s="884"/>
      <c r="Q263" s="884"/>
      <c r="R263" s="884"/>
      <c r="S263" s="884"/>
      <c r="T263" s="885"/>
      <c r="V263" s="1232"/>
      <c r="W263" s="189"/>
      <c r="X263" s="1233">
        <v>0</v>
      </c>
      <c r="Y263" s="1234">
        <f>X263+X263*'Common input data'!$I$145</f>
        <v>0</v>
      </c>
      <c r="Z263" s="1235">
        <f>Y263+Y263*'Common input data'!$B$179</f>
        <v>0</v>
      </c>
      <c r="AA263" s="189"/>
      <c r="AB263" s="1240"/>
      <c r="AC263" s="211"/>
      <c r="AD263" s="211">
        <v>175</v>
      </c>
      <c r="AE263" s="212">
        <f>AD263+AD263*'Common input data'!$I$145</f>
        <v>190.4</v>
      </c>
      <c r="AF263" s="1241">
        <f>AE263+AE263*'Common input data'!$B$179</f>
        <v>211.34399999999999</v>
      </c>
      <c r="AG263" s="189"/>
      <c r="AH263" s="883"/>
      <c r="AI263" s="884"/>
      <c r="AJ263" s="884">
        <f>AVERAGE(AJ83,AJ188)</f>
        <v>0.90232216393212994</v>
      </c>
      <c r="AK263" s="1225">
        <f>AJ263+AJ263*'Common input data'!$I$145</f>
        <v>0.9817265143581575</v>
      </c>
      <c r="AL263" s="1227">
        <f>AK263+AK263*'Common input data'!$B$179</f>
        <v>1.0897164309375549</v>
      </c>
      <c r="AM263" s="877"/>
      <c r="AN263" s="883"/>
      <c r="AO263" s="884"/>
      <c r="AP263" s="884">
        <f>AVERAGE(AP83,AP188)</f>
        <v>2.2267139424033435E-2</v>
      </c>
      <c r="AQ263" s="1225">
        <f>AP263+AP263*'Common input data'!$I$145</f>
        <v>2.4226647693348379E-2</v>
      </c>
      <c r="AR263" s="1227">
        <f>AQ263+AQ263*'Common input data'!$B$179</f>
        <v>2.68915789396167E-2</v>
      </c>
      <c r="AS263" s="877"/>
      <c r="AT263" s="883"/>
      <c r="AU263" s="884"/>
      <c r="AV263" s="884"/>
      <c r="AW263" s="884"/>
      <c r="AX263" s="884">
        <f>AVERAGE(AX83,AX188)</f>
        <v>0.11026468692339407</v>
      </c>
      <c r="AY263" s="1225">
        <f>AX263+AX263*'Common input data'!$I$145</f>
        <v>0.11996797937265276</v>
      </c>
      <c r="AZ263" s="1227">
        <f>AY263+AY263*'Common input data'!$B$179</f>
        <v>0.13316445710364455</v>
      </c>
      <c r="BA263" s="877"/>
      <c r="BB263" s="883"/>
      <c r="BC263" s="884"/>
      <c r="BD263" s="884">
        <f>AVERAGE(BD83,BD188)</f>
        <v>2.327074752255619E-11</v>
      </c>
      <c r="BE263" s="1225">
        <f>BD263+BD263*'Common input data'!$I$145</f>
        <v>2.5318573304541137E-11</v>
      </c>
      <c r="BF263" s="1227">
        <f>BE263+BE263*'Common input data'!$B$179</f>
        <v>2.8103616368040661E-11</v>
      </c>
      <c r="BG263" s="877"/>
      <c r="BH263" s="883"/>
      <c r="BI263" s="884"/>
      <c r="BJ263" s="884">
        <f>AVERAGE(BJ83,BJ188)</f>
        <v>1.154185616062924E-3</v>
      </c>
      <c r="BK263" s="1225">
        <f>BJ263+BJ263*'Common input data'!$I$145</f>
        <v>1.2557539502764615E-3</v>
      </c>
      <c r="BL263" s="1227">
        <f>BK263+BK263*'Common input data'!$B$179</f>
        <v>1.3938868848068723E-3</v>
      </c>
      <c r="BM263" s="877"/>
      <c r="BN263" s="883"/>
      <c r="BO263" s="884"/>
      <c r="BP263" s="884">
        <f>AVERAGE(BP83,BP188)</f>
        <v>5.855710587198229E-2</v>
      </c>
      <c r="BQ263" s="1225">
        <f>BP263+BP263*'Common input data'!$I$145</f>
        <v>6.371013118871674E-2</v>
      </c>
      <c r="BR263" s="1227">
        <f>BQ263+BQ263*'Common input data'!$B$179</f>
        <v>7.0718245619475581E-2</v>
      </c>
      <c r="BS263" s="877"/>
      <c r="BT263" s="883">
        <f>('Common input data'!B228+'Common input data'!C228)+('Common input data'!B228+'Common input data'!C228)*'Common input data'!$I$145</f>
        <v>6.1498536838095239</v>
      </c>
      <c r="BU263" s="1227">
        <f>BT263+BT263*'Common input data'!$B$179</f>
        <v>6.8263375890285714</v>
      </c>
    </row>
    <row r="264" spans="1:75">
      <c r="A264" s="97"/>
      <c r="B264" s="901"/>
      <c r="C264" s="907"/>
      <c r="D264" s="900"/>
      <c r="E264" s="511" t="s">
        <v>317</v>
      </c>
      <c r="F264" s="928">
        <f>IF(AND($G$2="No",$G$3="No"),SUM(J264:M264),IF(AND($G$2="Yes", $G$3="No"), SUM(J264:M264)+O264, IF(AND($G$2="No", $G$3="Yes"),SUM(J264:M264)+N264, SUM(J264:M264)+O264+N264)))</f>
        <v>-1.7401391727745861</v>
      </c>
      <c r="G264" s="877">
        <f>IF(AND($G$2="No",$G$3="No"),SUM(I264:M264,P264),IF(AND($G$2="Yes", $G$3="No"), SUM(I264:M264,P264)+O264, IF(AND($G$2="No", $G$3="Yes"),SUM(I264:M264,P264)+N264, SUM(I264:M264,P264)+O264+N264)))</f>
        <v>0.98578205849533429</v>
      </c>
      <c r="H264" s="878">
        <f>SUM(R264:T264)/(1-'Common input data'!$I$145)</f>
        <v>3.4327865343895909</v>
      </c>
      <c r="I264" s="877">
        <f>AVERAGE(I84,I189)</f>
        <v>2.7259212312699201</v>
      </c>
      <c r="J264" s="877">
        <f t="shared" ref="J264:O264" si="31">AVERAGE(J84,J189)</f>
        <v>0</v>
      </c>
      <c r="K264" s="877">
        <f t="shared" si="31"/>
        <v>0</v>
      </c>
      <c r="L264" s="877">
        <f t="shared" si="31"/>
        <v>0</v>
      </c>
      <c r="M264" s="877">
        <f t="shared" si="31"/>
        <v>0</v>
      </c>
      <c r="N264" s="877">
        <f t="shared" si="31"/>
        <v>-1.8230883690000956</v>
      </c>
      <c r="O264" s="877">
        <f t="shared" si="31"/>
        <v>8.2949196225509586E-2</v>
      </c>
      <c r="P264" s="877">
        <v>0</v>
      </c>
      <c r="Q264" s="877">
        <f>'Input data meat and eggs'!B104*'Common input data'!K80+'Input data meat and eggs'!C104*3.6*'Common input data'!B66</f>
        <v>0.82170535846216364</v>
      </c>
      <c r="R264" s="877">
        <f>(G264+Q264)/'Input data meat and eggs'!$B$29</f>
        <v>2.6007013193633064</v>
      </c>
      <c r="S264" s="877">
        <f>'Common input data'!B109</f>
        <v>0.1</v>
      </c>
      <c r="T264" s="886">
        <f>'Common input data'!B128+'Common input data'!C128</f>
        <v>0.43000000000000005</v>
      </c>
      <c r="V264" s="1230"/>
      <c r="W264" s="183"/>
      <c r="X264" s="183"/>
      <c r="Y264" s="183"/>
      <c r="Z264" s="1231"/>
      <c r="AA264" s="183"/>
      <c r="AB264" s="1230"/>
      <c r="AC264" s="183"/>
      <c r="AD264" s="183"/>
      <c r="AE264" s="183"/>
      <c r="AF264" s="1231"/>
      <c r="AG264" s="183"/>
      <c r="AH264" s="879"/>
      <c r="AI264" s="877"/>
      <c r="AJ264" s="877"/>
      <c r="AK264" s="877"/>
      <c r="AL264" s="886"/>
      <c r="AM264" s="877"/>
      <c r="AN264" s="879"/>
      <c r="AO264" s="877"/>
      <c r="AP264" s="877"/>
      <c r="AQ264" s="877"/>
      <c r="AR264" s="886"/>
      <c r="AS264" s="877"/>
      <c r="AT264" s="879"/>
      <c r="AU264" s="877"/>
      <c r="AV264" s="877"/>
      <c r="AW264" s="877"/>
      <c r="AX264" s="877"/>
      <c r="AY264" s="877"/>
      <c r="AZ264" s="886"/>
      <c r="BA264" s="877"/>
      <c r="BB264" s="879"/>
      <c r="BC264" s="877"/>
      <c r="BD264" s="877"/>
      <c r="BE264" s="877"/>
      <c r="BF264" s="886"/>
      <c r="BG264" s="877"/>
      <c r="BH264" s="879"/>
      <c r="BI264" s="877"/>
      <c r="BJ264" s="877"/>
      <c r="BK264" s="877"/>
      <c r="BL264" s="886"/>
      <c r="BM264" s="877"/>
      <c r="BN264" s="879"/>
      <c r="BO264" s="877"/>
      <c r="BP264" s="877"/>
      <c r="BQ264" s="877"/>
      <c r="BR264" s="886"/>
      <c r="BS264" s="877"/>
      <c r="BT264" s="879"/>
      <c r="BU264" s="886"/>
      <c r="BV264" s="183"/>
    </row>
    <row r="265" spans="1:75">
      <c r="A265" s="392"/>
      <c r="B265" s="901"/>
      <c r="C265" s="907"/>
      <c r="D265" s="900"/>
      <c r="E265" s="511" t="s">
        <v>321</v>
      </c>
      <c r="F265" s="928">
        <f>SUM(J265:M265)</f>
        <v>0.5970231129574628</v>
      </c>
      <c r="G265" s="877">
        <f>SUM(I265:M265,P265)</f>
        <v>0.5970231129574628</v>
      </c>
      <c r="H265" s="878">
        <f>SUM(R265:T265)/(1-'Common input data'!$I$145)</f>
        <v>0.94191454145756481</v>
      </c>
      <c r="I265" s="877">
        <v>0</v>
      </c>
      <c r="J265" s="877">
        <f t="shared" ref="J265:O265" si="32">AVERAGE(J85,J190)</f>
        <v>0</v>
      </c>
      <c r="K265" s="877">
        <f t="shared" si="32"/>
        <v>3.8697581850186957E-2</v>
      </c>
      <c r="L265" s="877">
        <f t="shared" si="32"/>
        <v>0</v>
      </c>
      <c r="M265" s="877">
        <f t="shared" si="32"/>
        <v>0.55832553110727579</v>
      </c>
      <c r="N265" s="877">
        <f t="shared" si="32"/>
        <v>0</v>
      </c>
      <c r="O265" s="877">
        <f t="shared" si="32"/>
        <v>0</v>
      </c>
      <c r="P265" s="877">
        <v>0</v>
      </c>
      <c r="Q265" s="877">
        <v>0</v>
      </c>
      <c r="R265" s="877">
        <f>(G265+Q265)/'Input data meat and eggs'!$B$29</f>
        <v>0.85902606180929908</v>
      </c>
      <c r="S265" s="877">
        <v>0</v>
      </c>
      <c r="T265" s="886">
        <v>0</v>
      </c>
      <c r="V265" s="1230"/>
      <c r="W265" s="183"/>
      <c r="X265" s="183"/>
      <c r="Y265" s="183"/>
      <c r="Z265" s="1231"/>
      <c r="AA265" s="183"/>
      <c r="AB265" s="1230"/>
      <c r="AC265" s="183"/>
      <c r="AD265" s="183"/>
      <c r="AE265" s="183"/>
      <c r="AF265" s="1231"/>
      <c r="AG265" s="183"/>
      <c r="AH265" s="879"/>
      <c r="AI265" s="877"/>
      <c r="AJ265" s="877"/>
      <c r="AK265" s="877"/>
      <c r="AL265" s="886"/>
      <c r="AM265" s="877"/>
      <c r="AN265" s="879"/>
      <c r="AO265" s="877"/>
      <c r="AP265" s="877"/>
      <c r="AQ265" s="877"/>
      <c r="AR265" s="886"/>
      <c r="AS265" s="877"/>
      <c r="AT265" s="879"/>
      <c r="AU265" s="877"/>
      <c r="AV265" s="877"/>
      <c r="AW265" s="877"/>
      <c r="AX265" s="877"/>
      <c r="AY265" s="877"/>
      <c r="AZ265" s="886"/>
      <c r="BA265" s="877"/>
      <c r="BB265" s="879"/>
      <c r="BC265" s="877"/>
      <c r="BD265" s="877"/>
      <c r="BE265" s="877"/>
      <c r="BF265" s="886"/>
      <c r="BG265" s="877"/>
      <c r="BH265" s="879"/>
      <c r="BI265" s="877"/>
      <c r="BJ265" s="877"/>
      <c r="BK265" s="877"/>
      <c r="BL265" s="886"/>
      <c r="BM265" s="877"/>
      <c r="BN265" s="879"/>
      <c r="BO265" s="877"/>
      <c r="BP265" s="877"/>
      <c r="BQ265" s="877"/>
      <c r="BR265" s="886"/>
      <c r="BS265" s="877"/>
      <c r="BT265" s="879"/>
      <c r="BU265" s="886"/>
      <c r="BV265" s="183"/>
    </row>
    <row r="266" spans="1:75">
      <c r="A266" s="392"/>
      <c r="B266" s="901"/>
      <c r="C266" s="907"/>
      <c r="D266" s="900"/>
      <c r="E266" s="511" t="s">
        <v>319</v>
      </c>
      <c r="F266" s="928">
        <f>SUM(J266:M266)</f>
        <v>0</v>
      </c>
      <c r="G266" s="877">
        <f>SUM(I266:M266,P266)</f>
        <v>1.9084780495613411E-3</v>
      </c>
      <c r="H266" s="878">
        <f>SUM(R266:T266)/(1-'Common input data'!$I$145)</f>
        <v>3.1749378042774646E-3</v>
      </c>
      <c r="I266" s="877">
        <f>AVERAGE(I86,I191)</f>
        <v>1.9084780495613411E-3</v>
      </c>
      <c r="J266" s="877">
        <v>0</v>
      </c>
      <c r="K266" s="877">
        <v>0</v>
      </c>
      <c r="L266" s="877">
        <v>0</v>
      </c>
      <c r="M266" s="877">
        <v>0</v>
      </c>
      <c r="N266" s="877">
        <v>0</v>
      </c>
      <c r="O266" s="877">
        <v>0</v>
      </c>
      <c r="P266" s="877">
        <v>0</v>
      </c>
      <c r="Q266" s="877">
        <f>'Input data meat and eggs'!C104*3.6*'Common input data'!B67</f>
        <v>1.0392452830188681E-4</v>
      </c>
      <c r="R266" s="877">
        <f>(G266+Q266)/'Input data meat and eggs'!$B$29</f>
        <v>2.8955432775010473E-3</v>
      </c>
      <c r="S266" s="877">
        <v>0</v>
      </c>
      <c r="T266" s="886">
        <v>0</v>
      </c>
      <c r="V266" s="1230"/>
      <c r="W266" s="183"/>
      <c r="X266" s="183"/>
      <c r="Y266" s="183"/>
      <c r="Z266" s="1231"/>
      <c r="AA266" s="183"/>
      <c r="AB266" s="1230"/>
      <c r="AC266" s="183"/>
      <c r="AD266" s="183"/>
      <c r="AE266" s="183"/>
      <c r="AF266" s="1231"/>
      <c r="AG266" s="183"/>
      <c r="AH266" s="879"/>
      <c r="AI266" s="877"/>
      <c r="AJ266" s="877"/>
      <c r="AK266" s="877"/>
      <c r="AL266" s="886"/>
      <c r="AM266" s="877"/>
      <c r="AN266" s="879"/>
      <c r="AO266" s="877"/>
      <c r="AP266" s="877"/>
      <c r="AQ266" s="877"/>
      <c r="AR266" s="886"/>
      <c r="AS266" s="877"/>
      <c r="AT266" s="879"/>
      <c r="AU266" s="877"/>
      <c r="AV266" s="877"/>
      <c r="AW266" s="877"/>
      <c r="AX266" s="877"/>
      <c r="AY266" s="877"/>
      <c r="AZ266" s="886"/>
      <c r="BA266" s="877"/>
      <c r="BB266" s="879"/>
      <c r="BC266" s="877"/>
      <c r="BD266" s="877"/>
      <c r="BE266" s="877"/>
      <c r="BF266" s="886"/>
      <c r="BG266" s="877"/>
      <c r="BH266" s="879"/>
      <c r="BI266" s="877"/>
      <c r="BJ266" s="877"/>
      <c r="BK266" s="877"/>
      <c r="BL266" s="886"/>
      <c r="BM266" s="877"/>
      <c r="BN266" s="879"/>
      <c r="BO266" s="877"/>
      <c r="BP266" s="877"/>
      <c r="BQ266" s="877"/>
      <c r="BR266" s="886"/>
      <c r="BS266" s="877"/>
      <c r="BT266" s="879"/>
      <c r="BU266" s="886"/>
      <c r="BV266" s="183"/>
    </row>
    <row r="267" spans="1:75" ht="15.75" thickBot="1">
      <c r="A267" s="395"/>
      <c r="B267" s="396"/>
      <c r="C267" s="911"/>
      <c r="D267" s="900"/>
      <c r="E267" s="519" t="s">
        <v>320</v>
      </c>
      <c r="F267" s="1048">
        <f>SUM(J267:M267)</f>
        <v>1.9845412797741446E-2</v>
      </c>
      <c r="G267" s="894">
        <f>SUM(I267:M267,P267)</f>
        <v>2.2627196311241909E-2</v>
      </c>
      <c r="H267" s="895">
        <f>SUM(R267:T267)/(1-'Common input data'!$I$145)</f>
        <v>3.571387792930962E-2</v>
      </c>
      <c r="I267" s="896">
        <f t="shared" ref="I267:O267" si="33">AVERAGE(I87,I192)</f>
        <v>2.7817835135004665E-3</v>
      </c>
      <c r="J267" s="896">
        <f t="shared" si="33"/>
        <v>7.0312274827899557E-3</v>
      </c>
      <c r="K267" s="896">
        <f t="shared" si="33"/>
        <v>1.179204582975288E-2</v>
      </c>
      <c r="L267" s="896">
        <f t="shared" si="33"/>
        <v>1.0221394851986079E-3</v>
      </c>
      <c r="M267" s="896">
        <f t="shared" si="33"/>
        <v>0</v>
      </c>
      <c r="N267" s="896">
        <f t="shared" si="33"/>
        <v>0</v>
      </c>
      <c r="O267" s="896">
        <f t="shared" si="33"/>
        <v>0</v>
      </c>
      <c r="P267" s="896">
        <v>0</v>
      </c>
      <c r="Q267" s="896">
        <f>'Input data meat and eggs'!C104*3.6*'Common input data'!B68</f>
        <v>9.6880754716981128E-6</v>
      </c>
      <c r="R267" s="896">
        <f>(G267+Q267)/'Input data meat and eggs'!$B$29</f>
        <v>3.2571056671530374E-2</v>
      </c>
      <c r="S267" s="896">
        <v>0</v>
      </c>
      <c r="T267" s="897">
        <v>0</v>
      </c>
      <c r="V267" s="1236"/>
      <c r="W267" s="1237"/>
      <c r="X267" s="1237"/>
      <c r="Y267" s="1237"/>
      <c r="Z267" s="1238"/>
      <c r="AA267" s="183"/>
      <c r="AB267" s="1236"/>
      <c r="AC267" s="1237"/>
      <c r="AD267" s="1237"/>
      <c r="AE267" s="1237"/>
      <c r="AF267" s="1238"/>
      <c r="AG267" s="183"/>
      <c r="AH267" s="935"/>
      <c r="AI267" s="896"/>
      <c r="AJ267" s="896"/>
      <c r="AK267" s="896"/>
      <c r="AL267" s="897"/>
      <c r="AM267" s="877"/>
      <c r="AN267" s="935"/>
      <c r="AO267" s="896"/>
      <c r="AP267" s="896"/>
      <c r="AQ267" s="896"/>
      <c r="AR267" s="897"/>
      <c r="AS267" s="877"/>
      <c r="AT267" s="935"/>
      <c r="AU267" s="896"/>
      <c r="AV267" s="896"/>
      <c r="AW267" s="896"/>
      <c r="AX267" s="896"/>
      <c r="AY267" s="896"/>
      <c r="AZ267" s="897"/>
      <c r="BA267" s="877"/>
      <c r="BB267" s="935"/>
      <c r="BC267" s="896"/>
      <c r="BD267" s="896"/>
      <c r="BE267" s="896"/>
      <c r="BF267" s="897"/>
      <c r="BG267" s="877"/>
      <c r="BH267" s="935"/>
      <c r="BI267" s="896"/>
      <c r="BJ267" s="896"/>
      <c r="BK267" s="896"/>
      <c r="BL267" s="897"/>
      <c r="BM267" s="877"/>
      <c r="BN267" s="935"/>
      <c r="BO267" s="896"/>
      <c r="BP267" s="896"/>
      <c r="BQ267" s="896"/>
      <c r="BR267" s="897"/>
      <c r="BS267" s="877"/>
      <c r="BT267" s="935"/>
      <c r="BU267" s="897"/>
      <c r="BV267" s="183"/>
    </row>
    <row r="269" spans="1:75">
      <c r="H269" s="5"/>
    </row>
    <row r="270" spans="1:75">
      <c r="V270" s="29"/>
      <c r="W270" s="29"/>
      <c r="X270" s="29"/>
      <c r="Y270" s="44"/>
      <c r="Z270" s="44"/>
      <c r="AA270" s="44"/>
      <c r="AB270" s="29"/>
      <c r="AC270" s="604"/>
      <c r="AD270" s="29"/>
      <c r="AE270" s="44"/>
      <c r="AF270" s="44"/>
      <c r="AG270" s="44"/>
      <c r="AH270" s="44"/>
      <c r="AI270" s="29"/>
      <c r="AJ270" s="29"/>
      <c r="AK270" s="44"/>
      <c r="AL270" s="44"/>
      <c r="AM270" s="44"/>
      <c r="AN270" s="44"/>
      <c r="AO270" s="29"/>
      <c r="AP270" s="29"/>
      <c r="AQ270" s="44"/>
      <c r="AR270" s="44"/>
      <c r="AS270" s="44"/>
      <c r="AT270" s="44"/>
      <c r="AU270" s="29"/>
      <c r="AV270" s="29"/>
      <c r="AW270" s="29"/>
      <c r="AX270" s="29"/>
      <c r="AY270" s="44"/>
      <c r="AZ270" s="44"/>
      <c r="BA270" s="44"/>
      <c r="BB270" s="29"/>
      <c r="BC270" s="29"/>
      <c r="BD270" s="29"/>
      <c r="BE270" s="44"/>
      <c r="BF270" s="44"/>
      <c r="BG270" s="44"/>
      <c r="BH270" s="44"/>
      <c r="BI270" s="29"/>
      <c r="BJ270" s="29"/>
      <c r="BK270" s="44"/>
      <c r="BL270" s="44"/>
      <c r="BM270" s="44"/>
      <c r="BN270" s="44"/>
      <c r="BO270" s="29"/>
      <c r="BP270" s="29"/>
      <c r="BQ270" s="44"/>
      <c r="BR270" s="44"/>
      <c r="BS270" s="44"/>
      <c r="BT270" s="29"/>
      <c r="BU270" s="29"/>
      <c r="BV270" s="29"/>
      <c r="BW270" s="29"/>
    </row>
    <row r="271" spans="1:75">
      <c r="V271" s="55"/>
    </row>
    <row r="272" spans="1:75">
      <c r="V272" s="55"/>
    </row>
    <row r="273" spans="22:22">
      <c r="V273" s="55"/>
    </row>
  </sheetData>
  <dataConsolidate/>
  <mergeCells count="9">
    <mergeCell ref="V71:Z71"/>
    <mergeCell ref="BN71:BR71"/>
    <mergeCell ref="BH71:BL71"/>
    <mergeCell ref="BB71:BF71"/>
    <mergeCell ref="BT71:BU71"/>
    <mergeCell ref="AT71:AZ71"/>
    <mergeCell ref="AN71:AR71"/>
    <mergeCell ref="AH71:AL71"/>
    <mergeCell ref="AB71:AF71"/>
  </mergeCells>
  <dataValidations count="3">
    <dataValidation type="list" allowBlank="1" showInputMessage="1" showErrorMessage="1" sqref="G3:G4" xr:uid="{00000000-0002-0000-0400-000000000000}">
      <formula1>"Yes, No,"</formula1>
    </dataValidation>
    <dataValidation type="list" allowBlank="1" showInputMessage="1" showErrorMessage="1" sqref="G2 G5" xr:uid="{00000000-0002-0000-0400-000001000000}">
      <formula1>"Yes, No"</formula1>
    </dataValidation>
    <dataValidation type="list" allowBlank="1" showInputMessage="1" showErrorMessage="1" sqref="AS3" xr:uid="{00000000-0002-0000-0400-000002000000}">
      <formula1>"1,20,100,500"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3000000}">
          <x14:formula1>
            <xm:f>'Common input data'!$A$5:$A$15</xm:f>
          </x14:formula1>
          <xm:sqref>G1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OL160"/>
  <sheetViews>
    <sheetView topLeftCell="F1" zoomScale="85" zoomScaleNormal="85" workbookViewId="0">
      <selection activeCell="K10" sqref="K10"/>
    </sheetView>
  </sheetViews>
  <sheetFormatPr defaultColWidth="8.7109375" defaultRowHeight="15"/>
  <cols>
    <col min="1" max="1" width="37.42578125" customWidth="1"/>
    <col min="2" max="2" width="24.42578125" bestFit="1" customWidth="1"/>
    <col min="3" max="3" width="17.7109375" bestFit="1" customWidth="1"/>
    <col min="4" max="4" width="43.42578125" bestFit="1" customWidth="1"/>
    <col min="5" max="5" width="28" customWidth="1"/>
    <col min="6" max="6" width="38.7109375" customWidth="1"/>
    <col min="7" max="7" width="41.42578125" customWidth="1"/>
    <col min="8" max="8" width="34.28515625" bestFit="1" customWidth="1"/>
    <col min="9" max="9" width="36.42578125" bestFit="1" customWidth="1"/>
    <col min="10" max="10" width="32.42578125" bestFit="1" customWidth="1"/>
    <col min="11" max="11" width="22.42578125" bestFit="1" customWidth="1"/>
    <col min="12" max="12" width="35.28515625" bestFit="1" customWidth="1"/>
    <col min="13" max="13" width="24" bestFit="1" customWidth="1"/>
    <col min="14" max="14" width="37.7109375" bestFit="1" customWidth="1"/>
    <col min="15" max="15" width="41.42578125" bestFit="1" customWidth="1"/>
    <col min="16" max="16" width="24" bestFit="1" customWidth="1"/>
    <col min="17" max="17" width="35.28515625" bestFit="1" customWidth="1"/>
    <col min="18" max="18" width="18.42578125" bestFit="1" customWidth="1"/>
    <col min="19" max="19" width="27.7109375" bestFit="1" customWidth="1"/>
    <col min="21" max="54" width="16.7109375" customWidth="1"/>
    <col min="59" max="60" width="0" hidden="1" customWidth="1"/>
  </cols>
  <sheetData>
    <row r="1" spans="1:290" ht="31.5">
      <c r="A1" s="326" t="s">
        <v>12</v>
      </c>
      <c r="E1" s="327" t="s">
        <v>269</v>
      </c>
      <c r="F1" s="328" t="s">
        <v>251</v>
      </c>
    </row>
    <row r="2" spans="1:290" ht="37.5" customHeight="1">
      <c r="E2" s="327" t="s">
        <v>271</v>
      </c>
      <c r="F2" s="328" t="s">
        <v>272</v>
      </c>
      <c r="AO2" s="1207" t="s">
        <v>274</v>
      </c>
      <c r="AP2" s="1169">
        <v>1</v>
      </c>
    </row>
    <row r="3" spans="1:290" ht="86.25">
      <c r="E3" s="330" t="s">
        <v>273</v>
      </c>
      <c r="F3" s="328" t="s">
        <v>272</v>
      </c>
    </row>
    <row r="4" spans="1:290" ht="21.75" thickBot="1">
      <c r="U4" s="843" t="s">
        <v>276</v>
      </c>
      <c r="V4" s="844"/>
      <c r="W4" s="845"/>
      <c r="X4" s="406"/>
      <c r="Y4" s="843" t="s">
        <v>277</v>
      </c>
      <c r="Z4" s="844"/>
      <c r="AA4" s="845"/>
      <c r="AC4" s="843" t="s">
        <v>278</v>
      </c>
      <c r="AD4" s="844"/>
      <c r="AE4" s="845"/>
      <c r="AG4" s="843" t="s">
        <v>279</v>
      </c>
      <c r="AH4" s="844"/>
      <c r="AI4" s="845"/>
      <c r="AJ4" s="188"/>
      <c r="AK4" s="843" t="s">
        <v>280</v>
      </c>
      <c r="AL4" s="844"/>
      <c r="AM4" s="845"/>
      <c r="AN4" s="188"/>
      <c r="AO4" s="843" t="s">
        <v>281</v>
      </c>
      <c r="AP4" s="844"/>
      <c r="AQ4" s="845"/>
      <c r="AR4" s="188"/>
      <c r="AS4" s="843" t="s">
        <v>282</v>
      </c>
      <c r="AT4" s="844"/>
      <c r="AU4" s="845"/>
      <c r="AW4" s="843" t="s">
        <v>283</v>
      </c>
      <c r="AX4" s="844"/>
      <c r="AY4" s="845"/>
      <c r="BA4" s="843" t="s">
        <v>284</v>
      </c>
      <c r="BB4" s="845"/>
    </row>
    <row r="5" spans="1:290" s="328" customFormat="1" ht="21">
      <c r="A5" s="339"/>
      <c r="B5" s="332"/>
      <c r="C5" s="332"/>
      <c r="D5" s="333" t="s">
        <v>287</v>
      </c>
      <c r="E5" s="399"/>
      <c r="F5" s="400"/>
      <c r="G5" s="401" t="s">
        <v>288</v>
      </c>
      <c r="H5" s="402"/>
      <c r="I5" s="403" t="s">
        <v>289</v>
      </c>
      <c r="J5" s="338"/>
      <c r="K5" s="339"/>
      <c r="L5" s="340"/>
      <c r="M5" s="340"/>
      <c r="N5" s="340"/>
      <c r="O5" s="340"/>
      <c r="P5" s="340"/>
      <c r="Q5" s="340"/>
      <c r="R5" s="340"/>
      <c r="S5" s="341"/>
      <c r="U5" s="850" t="s">
        <v>286</v>
      </c>
      <c r="V5" s="849"/>
      <c r="W5" s="851"/>
      <c r="X5" s="406"/>
      <c r="Y5" s="850" t="s">
        <v>286</v>
      </c>
      <c r="Z5" s="849"/>
      <c r="AA5" s="851"/>
      <c r="AB5"/>
      <c r="AC5" s="850" t="s">
        <v>286</v>
      </c>
      <c r="AD5" s="849"/>
      <c r="AE5" s="851"/>
      <c r="AF5"/>
      <c r="AG5" s="850" t="s">
        <v>286</v>
      </c>
      <c r="AH5" s="849"/>
      <c r="AI5" s="851"/>
      <c r="AJ5" s="188"/>
      <c r="AK5" s="850" t="s">
        <v>286</v>
      </c>
      <c r="AL5" s="849"/>
      <c r="AM5" s="851"/>
      <c r="AN5" s="188"/>
      <c r="AO5" s="850" t="s">
        <v>286</v>
      </c>
      <c r="AP5" s="849"/>
      <c r="AQ5" s="851"/>
      <c r="AR5" s="188"/>
      <c r="AS5" s="850" t="s">
        <v>286</v>
      </c>
      <c r="AT5" s="849"/>
      <c r="AU5" s="851"/>
      <c r="AV5"/>
      <c r="AW5" s="850" t="s">
        <v>286</v>
      </c>
      <c r="AX5" s="849"/>
      <c r="AY5" s="851"/>
      <c r="AZ5"/>
      <c r="BA5" s="850" t="s">
        <v>286</v>
      </c>
      <c r="BB5" s="851"/>
      <c r="BG5" t="s">
        <v>252</v>
      </c>
      <c r="BH5"/>
    </row>
    <row r="6" spans="1:290" s="406" customFormat="1" ht="99" customHeight="1">
      <c r="A6" s="404"/>
      <c r="B6" s="343" t="s">
        <v>359</v>
      </c>
      <c r="C6" s="343" t="s">
        <v>360</v>
      </c>
      <c r="D6" s="344" t="s">
        <v>295</v>
      </c>
      <c r="E6" s="345" t="s">
        <v>290</v>
      </c>
      <c r="F6" s="346" t="s">
        <v>296</v>
      </c>
      <c r="G6" s="336" t="s">
        <v>361</v>
      </c>
      <c r="H6" s="405" t="s">
        <v>298</v>
      </c>
      <c r="I6" s="345" t="s">
        <v>299</v>
      </c>
      <c r="J6" s="345" t="s">
        <v>300</v>
      </c>
      <c r="K6" s="348" t="s">
        <v>301</v>
      </c>
      <c r="L6" s="342" t="s">
        <v>302</v>
      </c>
      <c r="M6" s="342" t="s">
        <v>303</v>
      </c>
      <c r="N6" s="343" t="s">
        <v>304</v>
      </c>
      <c r="O6" s="343" t="s">
        <v>305</v>
      </c>
      <c r="P6" s="343" t="s">
        <v>362</v>
      </c>
      <c r="Q6" s="342" t="s">
        <v>306</v>
      </c>
      <c r="R6" s="343" t="s">
        <v>307</v>
      </c>
      <c r="S6" s="347" t="s">
        <v>308</v>
      </c>
      <c r="U6" s="422" t="s">
        <v>290</v>
      </c>
      <c r="V6" s="1014" t="s">
        <v>291</v>
      </c>
      <c r="W6" s="940" t="s">
        <v>292</v>
      </c>
      <c r="X6" s="52"/>
      <c r="Y6" s="422" t="s">
        <v>290</v>
      </c>
      <c r="Z6" s="1014" t="s">
        <v>291</v>
      </c>
      <c r="AA6" s="940" t="s">
        <v>292</v>
      </c>
      <c r="AB6"/>
      <c r="AC6" s="422" t="s">
        <v>290</v>
      </c>
      <c r="AD6" s="1014" t="s">
        <v>291</v>
      </c>
      <c r="AE6" s="940" t="s">
        <v>292</v>
      </c>
      <c r="AF6"/>
      <c r="AG6" s="422" t="s">
        <v>290</v>
      </c>
      <c r="AH6" s="1014" t="s">
        <v>291</v>
      </c>
      <c r="AI6" s="940" t="s">
        <v>292</v>
      </c>
      <c r="AJ6" s="1015"/>
      <c r="AK6" s="422" t="s">
        <v>290</v>
      </c>
      <c r="AL6" s="1014" t="s">
        <v>291</v>
      </c>
      <c r="AM6" s="940" t="s">
        <v>292</v>
      </c>
      <c r="AO6" s="422" t="s">
        <v>290</v>
      </c>
      <c r="AP6" s="1014" t="s">
        <v>291</v>
      </c>
      <c r="AQ6" s="940" t="s">
        <v>292</v>
      </c>
      <c r="AR6" s="1015"/>
      <c r="AS6" s="422" t="s">
        <v>290</v>
      </c>
      <c r="AT6" s="1014" t="s">
        <v>291</v>
      </c>
      <c r="AU6" s="940" t="s">
        <v>292</v>
      </c>
      <c r="AV6" s="52"/>
      <c r="AW6" s="422" t="s">
        <v>290</v>
      </c>
      <c r="AX6" s="1014" t="s">
        <v>291</v>
      </c>
      <c r="AY6" s="940" t="s">
        <v>292</v>
      </c>
      <c r="AZ6"/>
      <c r="BA6" s="1014" t="s">
        <v>291</v>
      </c>
      <c r="BB6" s="940" t="s">
        <v>292</v>
      </c>
      <c r="BG6" t="s">
        <v>253</v>
      </c>
      <c r="BH6">
        <v>1</v>
      </c>
    </row>
    <row r="7" spans="1:290" s="364" customFormat="1" ht="20.65" customHeight="1">
      <c r="A7" s="407" t="s">
        <v>363</v>
      </c>
      <c r="B7" s="408"/>
      <c r="C7" s="408"/>
      <c r="D7" s="409" t="s">
        <v>364</v>
      </c>
      <c r="E7" s="414" t="s">
        <v>364</v>
      </c>
      <c r="F7" s="410"/>
      <c r="G7" s="411"/>
      <c r="H7" s="411"/>
      <c r="I7" s="411"/>
      <c r="J7" s="412"/>
      <c r="K7" s="408"/>
      <c r="L7" s="352"/>
      <c r="M7" s="352"/>
      <c r="N7" s="352"/>
      <c r="O7" s="352"/>
      <c r="P7" s="352"/>
      <c r="Q7" s="352"/>
      <c r="R7" s="352"/>
      <c r="S7" s="352"/>
      <c r="T7" s="68"/>
      <c r="U7" s="935" t="s">
        <v>365</v>
      </c>
      <c r="V7" s="896" t="s">
        <v>365</v>
      </c>
      <c r="W7" s="897" t="s">
        <v>365</v>
      </c>
      <c r="X7" s="877"/>
      <c r="Y7" s="935" t="s">
        <v>365</v>
      </c>
      <c r="Z7" s="896" t="s">
        <v>365</v>
      </c>
      <c r="AA7" s="897" t="s">
        <v>365</v>
      </c>
      <c r="AB7" s="877"/>
      <c r="AC7" s="935" t="s">
        <v>365</v>
      </c>
      <c r="AD7" s="896" t="s">
        <v>365</v>
      </c>
      <c r="AE7" s="897" t="s">
        <v>365</v>
      </c>
      <c r="AF7" s="877"/>
      <c r="AG7" s="935" t="s">
        <v>365</v>
      </c>
      <c r="AH7" s="896" t="s">
        <v>365</v>
      </c>
      <c r="AI7" s="897" t="s">
        <v>365</v>
      </c>
      <c r="AJ7" s="877"/>
      <c r="AK7" s="935" t="s">
        <v>365</v>
      </c>
      <c r="AL7" s="896" t="s">
        <v>365</v>
      </c>
      <c r="AM7" s="897" t="s">
        <v>365</v>
      </c>
      <c r="AN7" s="877"/>
      <c r="AO7" s="935" t="s">
        <v>365</v>
      </c>
      <c r="AP7" s="896" t="s">
        <v>365</v>
      </c>
      <c r="AQ7" s="897" t="s">
        <v>365</v>
      </c>
      <c r="AR7" s="877"/>
      <c r="AS7" s="935" t="s">
        <v>365</v>
      </c>
      <c r="AT7" s="896" t="s">
        <v>365</v>
      </c>
      <c r="AU7" s="897" t="s">
        <v>365</v>
      </c>
      <c r="AV7" s="877"/>
      <c r="AW7" s="935" t="s">
        <v>365</v>
      </c>
      <c r="AX7" s="896" t="s">
        <v>365</v>
      </c>
      <c r="AY7" s="897" t="s">
        <v>365</v>
      </c>
      <c r="AZ7" s="877"/>
      <c r="BA7" s="896" t="s">
        <v>365</v>
      </c>
      <c r="BB7" s="897" t="s">
        <v>365</v>
      </c>
      <c r="BC7" s="55"/>
      <c r="BD7" s="55"/>
      <c r="BE7" s="55"/>
      <c r="BF7" s="55"/>
      <c r="BG7" s="511" t="s">
        <v>318</v>
      </c>
      <c r="BH7" s="150">
        <f>INDEX('Common input data'!A5:F15,MATCH(F1,'Common input data'!A5:A15,0),3)</f>
        <v>27</v>
      </c>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c r="EQ7" s="55"/>
      <c r="ER7" s="55"/>
      <c r="ES7" s="55"/>
      <c r="ET7" s="55"/>
      <c r="EU7" s="55"/>
      <c r="EV7" s="55"/>
      <c r="EW7" s="55"/>
      <c r="EX7" s="55"/>
      <c r="EY7" s="55"/>
      <c r="EZ7" s="55"/>
      <c r="FA7" s="55"/>
      <c r="FB7" s="55"/>
      <c r="FC7" s="55"/>
      <c r="FD7" s="55"/>
      <c r="FE7" s="55"/>
      <c r="FF7" s="55"/>
      <c r="FG7" s="55"/>
      <c r="FH7" s="55"/>
      <c r="FI7" s="55"/>
      <c r="FJ7" s="55"/>
      <c r="FK7" s="55"/>
      <c r="FL7" s="55"/>
      <c r="FM7" s="55"/>
      <c r="FN7" s="55"/>
      <c r="FO7" s="55"/>
      <c r="FP7" s="55"/>
      <c r="FQ7" s="55"/>
      <c r="FR7" s="55"/>
      <c r="FS7" s="55"/>
      <c r="FT7" s="55"/>
      <c r="FU7" s="55"/>
      <c r="FV7" s="55"/>
      <c r="FW7" s="55"/>
      <c r="FX7" s="55"/>
      <c r="FY7" s="55"/>
      <c r="FZ7" s="55"/>
      <c r="GA7" s="55"/>
      <c r="GB7" s="55"/>
      <c r="GC7" s="55"/>
      <c r="GD7" s="55"/>
      <c r="GE7" s="55"/>
      <c r="GF7" s="55"/>
      <c r="GG7" s="55"/>
      <c r="GH7" s="55"/>
      <c r="GI7" s="55"/>
      <c r="GJ7" s="55"/>
      <c r="GK7" s="55"/>
      <c r="GL7" s="55"/>
      <c r="GM7" s="55"/>
      <c r="GN7" s="55"/>
      <c r="GO7" s="55"/>
      <c r="GP7" s="55"/>
      <c r="GQ7" s="55"/>
      <c r="GR7" s="55"/>
      <c r="GS7" s="55"/>
      <c r="GT7" s="55"/>
      <c r="GU7" s="55"/>
      <c r="GV7" s="55"/>
      <c r="GW7" s="55"/>
      <c r="GX7" s="55"/>
      <c r="GY7" s="55"/>
      <c r="GZ7" s="55"/>
      <c r="HA7" s="55"/>
      <c r="HB7" s="55"/>
      <c r="HC7" s="55"/>
      <c r="HD7" s="55"/>
      <c r="HE7" s="55"/>
      <c r="HF7" s="55"/>
      <c r="HG7" s="55"/>
      <c r="HH7" s="55"/>
      <c r="HI7" s="55"/>
      <c r="HJ7" s="55"/>
      <c r="HK7" s="55"/>
      <c r="HL7" s="55"/>
      <c r="HM7" s="55"/>
      <c r="HN7" s="55"/>
      <c r="HO7" s="55"/>
      <c r="HP7" s="55"/>
      <c r="HQ7" s="55"/>
      <c r="HR7" s="55"/>
      <c r="HS7" s="55"/>
      <c r="HT7" s="55"/>
      <c r="HU7" s="55"/>
      <c r="HV7" s="55"/>
      <c r="HW7" s="55"/>
      <c r="HX7" s="55"/>
      <c r="HY7" s="55"/>
      <c r="HZ7" s="55"/>
      <c r="IA7" s="55"/>
      <c r="IB7" s="55"/>
      <c r="IC7" s="55"/>
      <c r="ID7" s="55"/>
      <c r="IE7" s="55"/>
      <c r="IF7" s="55"/>
      <c r="IG7" s="55"/>
      <c r="IH7" s="55"/>
      <c r="II7" s="55"/>
      <c r="IJ7" s="55"/>
      <c r="IK7" s="55"/>
      <c r="IL7" s="55"/>
      <c r="IM7" s="55"/>
      <c r="IN7" s="55"/>
      <c r="IO7" s="55"/>
      <c r="IP7" s="55"/>
      <c r="IQ7" s="55"/>
      <c r="IR7" s="55"/>
      <c r="IS7" s="55"/>
      <c r="IT7" s="55"/>
      <c r="IU7" s="55"/>
      <c r="IV7" s="55"/>
      <c r="IW7" s="55"/>
      <c r="IX7" s="55"/>
      <c r="IY7" s="55"/>
      <c r="IZ7" s="55"/>
      <c r="JA7" s="55"/>
      <c r="JB7" s="55"/>
      <c r="JC7" s="55"/>
      <c r="JD7" s="55"/>
      <c r="JE7" s="55"/>
      <c r="JF7" s="55"/>
      <c r="JG7" s="55"/>
      <c r="JH7" s="55"/>
      <c r="JI7" s="55"/>
      <c r="JJ7" s="55"/>
      <c r="JK7" s="55"/>
      <c r="JL7" s="55"/>
      <c r="JM7" s="55"/>
      <c r="JN7" s="55"/>
      <c r="JO7" s="55"/>
      <c r="JP7" s="55"/>
      <c r="JQ7" s="55"/>
      <c r="JR7" s="55"/>
      <c r="JS7" s="55"/>
      <c r="JT7" s="55"/>
      <c r="JU7" s="55"/>
      <c r="JV7" s="55"/>
      <c r="JW7" s="55"/>
      <c r="JX7" s="55"/>
      <c r="JY7" s="55"/>
      <c r="JZ7" s="55"/>
      <c r="KA7" s="55"/>
      <c r="KB7" s="55"/>
      <c r="KC7" s="55"/>
      <c r="KD7" s="55"/>
    </row>
    <row r="8" spans="1:290" s="93" customFormat="1">
      <c r="A8" s="108" t="s">
        <v>366</v>
      </c>
      <c r="B8" s="79"/>
      <c r="C8" s="355" t="s">
        <v>316</v>
      </c>
      <c r="D8" s="926">
        <f>SUMPRODUCT($BH$6:$BH$9,D9:D12)</f>
        <v>0.76175304068429117</v>
      </c>
      <c r="E8" s="872">
        <f>SUMPRODUCT($BH$6:$BH$9,E9:E12)</f>
        <v>1.0471541906821293</v>
      </c>
      <c r="F8" s="927"/>
      <c r="G8" s="884"/>
      <c r="H8" s="884"/>
      <c r="I8" s="884"/>
      <c r="J8" s="884"/>
      <c r="K8" s="884"/>
      <c r="L8" s="884"/>
      <c r="M8" s="884"/>
      <c r="N8" s="884"/>
      <c r="O8" s="884"/>
      <c r="P8" s="884"/>
      <c r="Q8" s="884"/>
      <c r="R8" s="884"/>
      <c r="S8" s="884"/>
      <c r="T8" s="68"/>
      <c r="U8" s="883"/>
      <c r="V8" s="884"/>
      <c r="W8" s="885"/>
      <c r="X8" s="877"/>
      <c r="Y8" s="883"/>
      <c r="Z8" s="884"/>
      <c r="AA8" s="885"/>
      <c r="AB8" s="877"/>
      <c r="AC8" s="883"/>
      <c r="AD8" s="884"/>
      <c r="AE8" s="885"/>
      <c r="AF8" s="877"/>
      <c r="AG8" s="883"/>
      <c r="AH8" s="884"/>
      <c r="AI8" s="885"/>
      <c r="AJ8" s="877"/>
      <c r="AK8" s="883"/>
      <c r="AL8" s="884"/>
      <c r="AM8" s="885"/>
      <c r="AN8" s="877"/>
      <c r="AO8" s="883"/>
      <c r="AP8" s="884"/>
      <c r="AQ8" s="885"/>
      <c r="AR8" s="877"/>
      <c r="AS8" s="883"/>
      <c r="AT8" s="884"/>
      <c r="AU8" s="885"/>
      <c r="AV8" s="877"/>
      <c r="AW8" s="883"/>
      <c r="AX8" s="884"/>
      <c r="AY8" s="885"/>
      <c r="AZ8" s="877"/>
      <c r="BA8" s="1172"/>
      <c r="BB8" s="981"/>
      <c r="BC8" s="55"/>
      <c r="BD8" s="55"/>
      <c r="BE8" s="55"/>
      <c r="BF8" s="55"/>
      <c r="BG8" s="511" t="s">
        <v>319</v>
      </c>
      <c r="BH8" s="150">
        <f>INDEX('Common input data'!A5:F15,MATCH(F1,'Common input data'!A5:A15,0),4)</f>
        <v>29.8</v>
      </c>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c r="FN8" s="55"/>
      <c r="FO8" s="55"/>
      <c r="FP8" s="55"/>
      <c r="FQ8" s="55"/>
      <c r="FR8" s="55"/>
      <c r="FS8" s="55"/>
      <c r="FT8" s="55"/>
      <c r="FU8" s="55"/>
      <c r="FV8" s="55"/>
      <c r="FW8" s="55"/>
      <c r="FX8" s="55"/>
      <c r="FY8" s="55"/>
      <c r="FZ8" s="55"/>
      <c r="GA8" s="55"/>
      <c r="GB8" s="55"/>
      <c r="GC8" s="55"/>
      <c r="GD8" s="55"/>
      <c r="GE8" s="55"/>
      <c r="GF8" s="55"/>
      <c r="GG8" s="55"/>
      <c r="GH8" s="55"/>
      <c r="GI8" s="55"/>
      <c r="GJ8" s="55"/>
      <c r="GK8" s="55"/>
      <c r="GL8" s="55"/>
      <c r="GM8" s="55"/>
      <c r="GN8" s="55"/>
      <c r="GO8" s="55"/>
      <c r="GP8" s="55"/>
      <c r="GQ8" s="55"/>
      <c r="GR8" s="55"/>
      <c r="GS8" s="55"/>
      <c r="GT8" s="55"/>
      <c r="GU8" s="55"/>
      <c r="GV8" s="55"/>
      <c r="GW8" s="55"/>
      <c r="GX8" s="55"/>
      <c r="GY8" s="55"/>
      <c r="GZ8" s="55"/>
      <c r="HA8" s="55"/>
      <c r="HB8" s="55"/>
      <c r="HC8" s="55"/>
      <c r="HD8" s="55"/>
      <c r="HE8" s="55"/>
      <c r="HF8" s="55"/>
      <c r="HG8" s="55"/>
      <c r="HH8" s="55"/>
      <c r="HI8" s="55"/>
      <c r="HJ8" s="55"/>
      <c r="HK8" s="55"/>
      <c r="HL8" s="55"/>
      <c r="HM8" s="55"/>
      <c r="HN8" s="55"/>
      <c r="HO8" s="55"/>
      <c r="HP8" s="55"/>
      <c r="HQ8" s="55"/>
      <c r="HR8" s="55"/>
      <c r="HS8" s="55"/>
      <c r="HT8" s="55"/>
      <c r="HU8" s="55"/>
      <c r="HV8" s="55"/>
      <c r="HW8" s="55"/>
      <c r="HX8" s="55"/>
      <c r="HY8" s="55"/>
      <c r="HZ8" s="55"/>
      <c r="IA8" s="55"/>
      <c r="IB8" s="55"/>
      <c r="IC8" s="55"/>
      <c r="ID8" s="55"/>
      <c r="IE8" s="55"/>
      <c r="IF8" s="55"/>
      <c r="IG8" s="55"/>
      <c r="IH8" s="55"/>
      <c r="II8" s="55"/>
      <c r="IJ8" s="55"/>
      <c r="IK8" s="55"/>
      <c r="IL8" s="55"/>
      <c r="IM8" s="55"/>
      <c r="IN8" s="55"/>
      <c r="IO8" s="55"/>
      <c r="IP8" s="55"/>
      <c r="IQ8" s="55"/>
      <c r="IR8" s="55"/>
      <c r="IS8" s="55"/>
      <c r="IT8" s="55"/>
      <c r="IU8" s="55"/>
      <c r="IV8" s="55"/>
      <c r="IW8" s="55"/>
      <c r="IX8" s="55"/>
      <c r="IY8" s="55"/>
      <c r="IZ8" s="55"/>
      <c r="JA8" s="55"/>
      <c r="JB8" s="55"/>
      <c r="JC8" s="55"/>
      <c r="JD8" s="55"/>
      <c r="JE8" s="55"/>
      <c r="JF8" s="55"/>
      <c r="JG8" s="55"/>
      <c r="JH8" s="55"/>
      <c r="JI8" s="55"/>
      <c r="JJ8" s="55"/>
      <c r="JK8" s="55"/>
      <c r="JL8" s="55"/>
      <c r="JM8" s="55"/>
      <c r="JN8" s="55"/>
      <c r="JO8" s="55"/>
      <c r="JP8" s="55"/>
      <c r="JQ8" s="55"/>
      <c r="JR8" s="55"/>
      <c r="JS8" s="55"/>
      <c r="JT8" s="55"/>
      <c r="JU8" s="55"/>
      <c r="JV8" s="55"/>
      <c r="JW8" s="55"/>
      <c r="JX8" s="55"/>
      <c r="JY8" s="55"/>
      <c r="JZ8" s="55"/>
      <c r="KA8" s="55"/>
      <c r="KB8" s="55"/>
      <c r="KC8" s="55"/>
      <c r="KD8" s="55"/>
    </row>
    <row r="9" spans="1:290" s="55" customFormat="1">
      <c r="A9" s="68"/>
      <c r="B9" s="54"/>
      <c r="C9" s="174" t="s">
        <v>317</v>
      </c>
      <c r="D9" s="928">
        <f>IF(AND($F$2="No",$F$3="No"),SUM(H9:K9),IF(AND($F$2="Yes", $F$3="No"), SUM(H9:K9)+M9, IF(AND($F$2="No", $F$3="Yes"),SUM(H9:K9)+L9, SUM(H9:K9)+M9+L9)))</f>
        <v>-2.1579023105901114E-2</v>
      </c>
      <c r="E9" s="877">
        <f>IF(AND($F$2="No",$F$3="No"),SUM(G9:K9,N9:O9),IF(AND($F$2="Yes",$F$3="No"), SUM(G9:K9,N9:O9)+M9, IF(AND($F$2="No", $F$3="Yes"),SUM(G9:K9,N9:O9)+L9, SUM(G9:K9,N9:O9)+M9+L9)))</f>
        <v>0.20271820153742737</v>
      </c>
      <c r="F9" s="878"/>
      <c r="G9" s="877">
        <f>'Meat and eggs'!I134*'Common input data'!$D$52/'Input data meat and eggs'!$B$449</f>
        <v>0.19821189744860501</v>
      </c>
      <c r="H9" s="877">
        <f>'Meat and eggs'!J134*'Common input data'!$D$52/'Input data meat and eggs'!$B$449</f>
        <v>0</v>
      </c>
      <c r="I9" s="877">
        <f>'Meat and eggs'!K134*'Common input data'!$D$52/'Input data meat and eggs'!$B$449</f>
        <v>0</v>
      </c>
      <c r="J9" s="877">
        <f>'Meat and eggs'!L134*'Common input data'!$D$52/'Input data meat and eggs'!$B$449</f>
        <v>0</v>
      </c>
      <c r="K9" s="877">
        <f>'Meat and eggs'!M134*'Common input data'!$D$52/'Input data meat and eggs'!$B$449</f>
        <v>0</v>
      </c>
      <c r="L9" s="877">
        <f>'Meat and eggs'!N134*'Common input data'!$D$52/'Input data meat and eggs'!$B$449</f>
        <v>-4.1512648845980694E-2</v>
      </c>
      <c r="M9" s="877">
        <f>'Meat and eggs'!O134*'Common input data'!$D$52/'Input data meat and eggs'!$B$449</f>
        <v>1.9933625740079581E-2</v>
      </c>
      <c r="N9" s="877">
        <f>'Meat and eggs'!P134*'Common input data'!$D$52/'Input data meat and eggs'!$B$449</f>
        <v>2.2717729610556299E-2</v>
      </c>
      <c r="O9" s="877">
        <f>'Meat and eggs'!Q134*'Common input data'!$D$52/'Input data meat and eggs'!$B$449</f>
        <v>3.3675975841671716E-3</v>
      </c>
      <c r="P9" s="877">
        <v>0</v>
      </c>
      <c r="Q9" s="1185">
        <f>IF(AND($F$2="No",$F$3="No"),SUM(G9:K9,N9:P9),IF(AND($F$2="Yes",$F$3="No"), SUM(G9:K9,N9:P9)+M9, IF(AND($F$2="No", $F$3="Yes"),SUM(G9:K9,N9:P9)+L9, SUM(G9:K9,N9:P9)+M9+L9)))</f>
        <v>0.20271820153742737</v>
      </c>
      <c r="R9" s="877"/>
      <c r="S9" s="877"/>
      <c r="T9" s="68"/>
      <c r="U9" s="879"/>
      <c r="V9" s="877"/>
      <c r="W9" s="886"/>
      <c r="X9" s="877"/>
      <c r="Y9" s="879"/>
      <c r="Z9" s="877"/>
      <c r="AA9" s="886"/>
      <c r="AB9" s="877"/>
      <c r="AC9" s="879"/>
      <c r="AD9" s="877"/>
      <c r="AE9" s="886"/>
      <c r="AF9" s="877"/>
      <c r="AG9" s="879"/>
      <c r="AH9" s="877"/>
      <c r="AI9" s="886"/>
      <c r="AJ9" s="877"/>
      <c r="AK9" s="879"/>
      <c r="AL9" s="877"/>
      <c r="AM9" s="886"/>
      <c r="AN9" s="877"/>
      <c r="AO9" s="879"/>
      <c r="AP9" s="877"/>
      <c r="AQ9" s="886"/>
      <c r="AR9" s="877"/>
      <c r="AS9" s="879"/>
      <c r="AT9" s="877"/>
      <c r="AU9" s="886"/>
      <c r="AV9" s="877"/>
      <c r="AW9" s="879"/>
      <c r="AX9" s="877"/>
      <c r="AY9" s="886"/>
      <c r="AZ9" s="877"/>
      <c r="BA9" s="879"/>
      <c r="BB9" s="886"/>
      <c r="BG9" t="s">
        <v>256</v>
      </c>
      <c r="BH9" s="2">
        <f>INDEX('Common input data'!A5:F15,MATCH(F1,'Common input data'!A5:A15,0),5)</f>
        <v>273</v>
      </c>
    </row>
    <row r="10" spans="1:290" s="55" customFormat="1">
      <c r="A10" s="68"/>
      <c r="B10" s="54"/>
      <c r="C10" s="174" t="s">
        <v>367</v>
      </c>
      <c r="D10" s="928">
        <f>SUM(H10:K10)</f>
        <v>2.092750796111582E-2</v>
      </c>
      <c r="E10" s="877">
        <f>SUM(G10:K10,N10:O10)</f>
        <v>2.092750796111582E-2</v>
      </c>
      <c r="F10" s="878"/>
      <c r="G10" s="877">
        <f>'Meat and eggs'!I135*'Common input data'!$D$52/'Input data meat and eggs'!$B$449</f>
        <v>0</v>
      </c>
      <c r="H10" s="877">
        <f>'Meat and eggs'!J135*'Common input data'!$D$52/'Input data meat and eggs'!$B$449</f>
        <v>0</v>
      </c>
      <c r="I10" s="877">
        <f>'Meat and eggs'!K135*'Common input data'!$D$52/'Input data meat and eggs'!$B$449</f>
        <v>1.2546753441682198E-3</v>
      </c>
      <c r="J10" s="877">
        <f>'Meat and eggs'!L135*'Common input data'!$D$52/'Input data meat and eggs'!$B$449</f>
        <v>0</v>
      </c>
      <c r="K10" s="189">
        <f>'Meat and eggs'!M135*'Common input data'!$D$52/'Input data meat and eggs'!$B$449</f>
        <v>1.9672832616947602E-2</v>
      </c>
      <c r="L10" s="877">
        <f>'Meat and eggs'!N135*'Common input data'!$D$52/'Input data meat and eggs'!$B$449</f>
        <v>0</v>
      </c>
      <c r="M10" s="877">
        <f>'Meat and eggs'!O135*'Common input data'!$D$52/'Input data meat and eggs'!$B$449</f>
        <v>0</v>
      </c>
      <c r="N10" s="877">
        <f>'Meat and eggs'!P135*'Common input data'!$D$52/'Input data meat and eggs'!$B$449</f>
        <v>0</v>
      </c>
      <c r="O10" s="877">
        <v>0</v>
      </c>
      <c r="P10" s="877">
        <v>0</v>
      </c>
      <c r="Q10" s="877">
        <f>SUM(G10:P10)</f>
        <v>2.092750796111582E-2</v>
      </c>
      <c r="R10" s="877"/>
      <c r="S10" s="877"/>
      <c r="T10" s="68"/>
      <c r="U10" s="879"/>
      <c r="V10" s="877"/>
      <c r="W10" s="886"/>
      <c r="X10" s="877"/>
      <c r="Y10" s="879"/>
      <c r="Z10" s="877"/>
      <c r="AA10" s="886"/>
      <c r="AB10" s="877"/>
      <c r="AC10" s="879"/>
      <c r="AD10" s="877"/>
      <c r="AE10" s="886"/>
      <c r="AF10" s="877"/>
      <c r="AG10" s="879"/>
      <c r="AH10" s="877"/>
      <c r="AI10" s="886"/>
      <c r="AJ10" s="877"/>
      <c r="AK10" s="879"/>
      <c r="AL10" s="877"/>
      <c r="AM10" s="886"/>
      <c r="AN10" s="877"/>
      <c r="AO10" s="879"/>
      <c r="AP10" s="877"/>
      <c r="AQ10" s="886"/>
      <c r="AR10" s="877"/>
      <c r="AS10" s="879"/>
      <c r="AT10" s="877"/>
      <c r="AU10" s="886"/>
      <c r="AV10" s="877"/>
      <c r="AW10" s="879"/>
      <c r="AX10" s="877"/>
      <c r="AY10" s="886"/>
      <c r="AZ10" s="877"/>
      <c r="BA10" s="879"/>
      <c r="BB10" s="886"/>
      <c r="BG10"/>
      <c r="BH10" s="2"/>
    </row>
    <row r="11" spans="1:290" s="55" customFormat="1">
      <c r="A11" s="68"/>
      <c r="B11" s="54"/>
      <c r="C11" s="174" t="s">
        <v>319</v>
      </c>
      <c r="D11" s="928">
        <f>SUM(H11:K11)</f>
        <v>0</v>
      </c>
      <c r="E11" s="877">
        <f>SUM(G11:K11,N11:O11)</f>
        <v>2.1280873051105219E-4</v>
      </c>
      <c r="F11" s="878"/>
      <c r="G11" s="877">
        <f>'Meat and eggs'!I136*'Common input data'!$D$52/'Input data meat and eggs'!$B$449</f>
        <v>2.1187779381439312E-4</v>
      </c>
      <c r="H11" s="877">
        <f>'Meat and eggs'!J136*'Common input data'!$D$52/'Input data meat and eggs'!$B$449</f>
        <v>0</v>
      </c>
      <c r="I11" s="877">
        <f>'Meat and eggs'!K136*'Common input data'!$D$52/'Input data meat and eggs'!$B$449</f>
        <v>0</v>
      </c>
      <c r="J11" s="877">
        <f>'Meat and eggs'!L136*'Common input data'!$D$52/'Input data meat and eggs'!$B$449</f>
        <v>0</v>
      </c>
      <c r="K11" s="877">
        <f>'Meat and eggs'!M136*'Common input data'!$D$52/'Input data meat and eggs'!$B$449</f>
        <v>0</v>
      </c>
      <c r="L11" s="877">
        <f>'Meat and eggs'!N136*'Common input data'!$D$52/'Input data meat and eggs'!$B$449</f>
        <v>0</v>
      </c>
      <c r="M11" s="877">
        <f>'Meat and eggs'!O136*'Common input data'!$D$52/'Input data meat and eggs'!$B$449</f>
        <v>0</v>
      </c>
      <c r="N11" s="877">
        <f>'Meat and eggs'!P136*'Common input data'!$D$52/'Input data meat and eggs'!$B$449</f>
        <v>0</v>
      </c>
      <c r="O11" s="877">
        <f>'Meat and eggs'!Q136*'Common input data'!$D$52/'Input data meat and eggs'!$B$449</f>
        <v>9.3093669665907727E-7</v>
      </c>
      <c r="P11" s="877">
        <v>0</v>
      </c>
      <c r="Q11" s="877">
        <f>SUM(G11:P11)</f>
        <v>2.1280873051105219E-4</v>
      </c>
      <c r="R11" s="877"/>
      <c r="S11" s="877"/>
      <c r="T11" s="68"/>
      <c r="U11" s="879"/>
      <c r="V11" s="877"/>
      <c r="W11" s="886"/>
      <c r="X11" s="877"/>
      <c r="Y11" s="879"/>
      <c r="Z11" s="877"/>
      <c r="AA11" s="886"/>
      <c r="AB11" s="877"/>
      <c r="AC11" s="879"/>
      <c r="AD11" s="877"/>
      <c r="AE11" s="886"/>
      <c r="AF11" s="877"/>
      <c r="AG11" s="879"/>
      <c r="AH11" s="877"/>
      <c r="AI11" s="886"/>
      <c r="AJ11" s="877"/>
      <c r="AK11" s="879"/>
      <c r="AL11" s="877"/>
      <c r="AM11" s="886"/>
      <c r="AN11" s="877"/>
      <c r="AO11" s="879"/>
      <c r="AP11" s="877"/>
      <c r="AQ11" s="886"/>
      <c r="AR11" s="877"/>
      <c r="AS11" s="879"/>
      <c r="AT11" s="877"/>
      <c r="AU11" s="886"/>
      <c r="AV11" s="877"/>
      <c r="AW11" s="879"/>
      <c r="AX11" s="877"/>
      <c r="AY11" s="886"/>
      <c r="AZ11" s="877"/>
      <c r="BA11" s="879"/>
      <c r="BB11" s="886"/>
      <c r="BG11" t="s">
        <v>257</v>
      </c>
      <c r="BH11">
        <f>INDEX('Common input data'!A5:F15,MATCH(F1,'Common input data'!A5:A15,0),6)</f>
        <v>1960</v>
      </c>
    </row>
    <row r="12" spans="1:290" s="55" customFormat="1">
      <c r="A12" s="68"/>
      <c r="B12" s="54"/>
      <c r="C12" s="55" t="s">
        <v>320</v>
      </c>
      <c r="D12" s="928">
        <f>SUM(H12:K12)</f>
        <v>7.9959468439584299E-4</v>
      </c>
      <c r="E12" s="877">
        <f>SUM(G12:K12,N12:O12)</f>
        <v>1.0001889158437565E-3</v>
      </c>
      <c r="F12" s="878"/>
      <c r="G12" s="877">
        <f>'Meat and eggs'!I137*'Common input data'!$D$52/'Input data meat and eggs'!$B$449</f>
        <v>2.0050744746030261E-4</v>
      </c>
      <c r="H12" s="877">
        <f>'Meat and eggs'!J137*'Common input data'!$D$52/'Input data meat and eggs'!$B$449</f>
        <v>5.0680200966210336E-4</v>
      </c>
      <c r="I12" s="877">
        <f>'Meat and eggs'!K137*'Common input data'!$D$52/'Input data meat and eggs'!$B$449</f>
        <v>2.7278690119907046E-4</v>
      </c>
      <c r="J12" s="877">
        <f>'Meat and eggs'!L137*'Common input data'!$D$52/'Input data meat and eggs'!$B$449</f>
        <v>2.0005773534669182E-5</v>
      </c>
      <c r="K12" s="877">
        <f>'Meat and eggs'!M137*'Common input data'!$D$52/'Input data meat and eggs'!$B$449</f>
        <v>0</v>
      </c>
      <c r="L12" s="877">
        <f>'Meat and eggs'!N137*'Common input data'!$D$52/'Input data meat and eggs'!$B$449</f>
        <v>0</v>
      </c>
      <c r="M12" s="877">
        <f>'Meat and eggs'!O137*'Common input data'!$D$52/'Input data meat and eggs'!$B$449</f>
        <v>0</v>
      </c>
      <c r="N12" s="877">
        <f>'Meat and eggs'!P137*'Common input data'!$D$52/'Input data meat and eggs'!$B$449</f>
        <v>0</v>
      </c>
      <c r="O12" s="877">
        <f>'Meat and eggs'!Q137*'Common input data'!$D$52/'Input data meat and eggs'!$B$449</f>
        <v>8.6783987610773975E-8</v>
      </c>
      <c r="P12" s="877">
        <v>0</v>
      </c>
      <c r="Q12" s="877">
        <f>SUM(G12:P12)</f>
        <v>1.0001889158437565E-3</v>
      </c>
      <c r="R12" s="877"/>
      <c r="S12" s="877"/>
      <c r="T12" s="68"/>
      <c r="U12" s="879"/>
      <c r="V12" s="877"/>
      <c r="W12" s="886"/>
      <c r="X12" s="877"/>
      <c r="Y12" s="879"/>
      <c r="Z12" s="877"/>
      <c r="AA12" s="886"/>
      <c r="AB12" s="877"/>
      <c r="AC12" s="879"/>
      <c r="AD12" s="877"/>
      <c r="AE12" s="886"/>
      <c r="AF12" s="877"/>
      <c r="AG12" s="879"/>
      <c r="AH12" s="877"/>
      <c r="AI12" s="886"/>
      <c r="AJ12" s="877"/>
      <c r="AK12" s="879"/>
      <c r="AL12" s="877"/>
      <c r="AM12" s="886"/>
      <c r="AN12" s="877"/>
      <c r="AO12" s="879"/>
      <c r="AP12" s="877"/>
      <c r="AQ12" s="886"/>
      <c r="AR12" s="877"/>
      <c r="AS12" s="879"/>
      <c r="AT12" s="877"/>
      <c r="AU12" s="886"/>
      <c r="AV12" s="877"/>
      <c r="AW12" s="879"/>
      <c r="AX12" s="877"/>
      <c r="AY12" s="886"/>
      <c r="AZ12" s="877"/>
      <c r="BA12" s="879"/>
      <c r="BB12" s="886"/>
    </row>
    <row r="13" spans="1:290" s="93" customFormat="1">
      <c r="A13" s="108" t="s">
        <v>125</v>
      </c>
      <c r="B13" s="79"/>
      <c r="C13" s="355" t="s">
        <v>316</v>
      </c>
      <c r="D13" s="930">
        <f>SUMPRODUCT($BH$6:$BH$9,D14:D17)</f>
        <v>0.76175304068429117</v>
      </c>
      <c r="E13" s="872">
        <f>SUMPRODUCT($BH$6:$BH$9,E14:E17)</f>
        <v>1.1504362780415689</v>
      </c>
      <c r="F13" s="873"/>
      <c r="G13" s="884"/>
      <c r="H13" s="884"/>
      <c r="I13" s="884"/>
      <c r="J13" s="884"/>
      <c r="K13" s="884"/>
      <c r="L13" s="884"/>
      <c r="M13" s="884"/>
      <c r="N13" s="884"/>
      <c r="O13" s="884"/>
      <c r="P13" s="884"/>
      <c r="Q13" s="884"/>
      <c r="R13" s="884"/>
      <c r="S13" s="884"/>
      <c r="T13" s="68"/>
      <c r="U13" s="883"/>
      <c r="V13" s="884"/>
      <c r="W13" s="885"/>
      <c r="X13" s="877"/>
      <c r="Y13" s="883"/>
      <c r="Z13" s="884"/>
      <c r="AA13" s="885"/>
      <c r="AB13" s="877"/>
      <c r="AC13" s="883"/>
      <c r="AD13" s="884"/>
      <c r="AE13" s="885"/>
      <c r="AF13" s="877"/>
      <c r="AG13" s="883"/>
      <c r="AH13" s="884"/>
      <c r="AI13" s="885"/>
      <c r="AJ13" s="877"/>
      <c r="AK13" s="883"/>
      <c r="AL13" s="884"/>
      <c r="AM13" s="885"/>
      <c r="AN13" s="877"/>
      <c r="AO13" s="883"/>
      <c r="AP13" s="884"/>
      <c r="AQ13" s="885"/>
      <c r="AR13" s="877"/>
      <c r="AS13" s="883"/>
      <c r="AT13" s="884"/>
      <c r="AU13" s="885"/>
      <c r="AV13" s="877"/>
      <c r="AW13" s="883"/>
      <c r="AX13" s="884"/>
      <c r="AY13" s="885"/>
      <c r="AZ13" s="877"/>
      <c r="BA13" s="883"/>
      <c r="BB13" s="88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c r="HP13" s="55"/>
      <c r="HQ13" s="55"/>
      <c r="HR13" s="55"/>
      <c r="HS13" s="55"/>
      <c r="HT13" s="55"/>
      <c r="HU13" s="55"/>
      <c r="HV13" s="55"/>
      <c r="HW13" s="55"/>
      <c r="HX13" s="55"/>
      <c r="HY13" s="55"/>
      <c r="HZ13" s="55"/>
      <c r="IA13" s="55"/>
      <c r="IB13" s="55"/>
      <c r="IC13" s="55"/>
      <c r="ID13" s="55"/>
      <c r="IE13" s="55"/>
      <c r="IF13" s="55"/>
      <c r="IG13" s="55"/>
      <c r="IH13" s="55"/>
      <c r="II13" s="55"/>
      <c r="IJ13" s="55"/>
      <c r="IK13" s="55"/>
      <c r="IL13" s="55"/>
      <c r="IM13" s="55"/>
      <c r="IN13" s="55"/>
      <c r="IO13" s="55"/>
      <c r="IP13" s="55"/>
      <c r="IQ13" s="55"/>
      <c r="IR13" s="55"/>
      <c r="IS13" s="55"/>
      <c r="IT13" s="55"/>
      <c r="IU13" s="55"/>
      <c r="IV13" s="55"/>
      <c r="IW13" s="55"/>
      <c r="IX13" s="55"/>
      <c r="IY13" s="55"/>
      <c r="IZ13" s="55"/>
      <c r="JA13" s="55"/>
      <c r="JB13" s="55"/>
      <c r="JC13" s="55"/>
      <c r="JD13" s="55"/>
      <c r="JE13" s="55"/>
      <c r="JF13" s="55"/>
      <c r="JG13" s="55"/>
      <c r="JH13" s="55"/>
      <c r="JI13" s="55"/>
      <c r="JJ13" s="55"/>
      <c r="JK13" s="55"/>
      <c r="JL13" s="55"/>
      <c r="JM13" s="55"/>
      <c r="JN13" s="55"/>
      <c r="JO13" s="55"/>
      <c r="JP13" s="55"/>
      <c r="JQ13" s="55"/>
      <c r="JR13" s="55"/>
      <c r="JS13" s="55"/>
      <c r="JT13" s="55"/>
      <c r="JU13" s="55"/>
      <c r="JV13" s="55"/>
      <c r="JW13" s="55"/>
      <c r="JX13" s="55"/>
      <c r="JY13" s="55"/>
      <c r="JZ13" s="55"/>
      <c r="KA13" s="55"/>
      <c r="KB13" s="55"/>
      <c r="KC13" s="55"/>
      <c r="KD13" s="55"/>
    </row>
    <row r="14" spans="1:290" s="55" customFormat="1">
      <c r="A14" s="68"/>
      <c r="B14" s="54"/>
      <c r="C14" s="174" t="s">
        <v>317</v>
      </c>
      <c r="D14" s="928">
        <f>IF(AND($F$2="No",$F$3="No"),SUM(H14:K14),IF(AND($F$2="Yes", $F$3="No"), SUM(H14:K14)+M14, IF(AND($F$2="No", $F$3="Yes"),SUM(H14:K14)+L14, SUM(H14:K14)+M14+L14)))</f>
        <v>-2.1579023105901114E-2</v>
      </c>
      <c r="E14" s="877">
        <f>IF(AND($F$2="No",$F$3="No"),SUM(G14:K14,N14:O14),IF(AND($F$2="Yes",$F$3="No"), SUM(G14:K14,N14:O14)+M14, IF(AND($F$2="No", $F$3="Yes"),SUM(G14:K14,N14:O14)+L14, SUM(G14:K14,N14:O14)+M14+L14)))</f>
        <v>0.30579704240884714</v>
      </c>
      <c r="F14" s="878"/>
      <c r="G14" s="877">
        <f t="shared" ref="G14:M14" si="0">G9</f>
        <v>0.19821189744860501</v>
      </c>
      <c r="H14" s="877">
        <f t="shared" si="0"/>
        <v>0</v>
      </c>
      <c r="I14" s="877">
        <f t="shared" si="0"/>
        <v>0</v>
      </c>
      <c r="J14" s="877">
        <f t="shared" si="0"/>
        <v>0</v>
      </c>
      <c r="K14" s="877">
        <f t="shared" si="0"/>
        <v>0</v>
      </c>
      <c r="L14" s="877">
        <f t="shared" si="0"/>
        <v>-4.1512648845980694E-2</v>
      </c>
      <c r="M14" s="877">
        <f t="shared" si="0"/>
        <v>1.9933625740079581E-2</v>
      </c>
      <c r="N14" s="877">
        <f>N9*'Common input data'!$C$80/'Common input data'!$B$80</f>
        <v>0.11248916387342252</v>
      </c>
      <c r="O14" s="877">
        <f>O9*'Common input data'!$C$80/'Common input data'!$B$80</f>
        <v>1.6675004192720756E-2</v>
      </c>
      <c r="P14" s="877">
        <v>0</v>
      </c>
      <c r="Q14" s="1185">
        <f>IF(AND($F$2="No",$F$3="No"),SUM(G14:K14,N14:P14),IF(AND($F$2="Yes",$F$3="No"), SUM(G14:K14,N14:P14)+M14, IF(AND($F$2="No", $F$3="Yes"),SUM(G14:K14,N14:P14)+L14, SUM(G14:K14,N14:P14)+M14+L14)))</f>
        <v>0.30579704240884714</v>
      </c>
      <c r="R14" s="877"/>
      <c r="S14" s="877"/>
      <c r="T14" s="68"/>
      <c r="U14" s="879"/>
      <c r="V14" s="877"/>
      <c r="W14" s="886"/>
      <c r="X14" s="877"/>
      <c r="Y14" s="879"/>
      <c r="Z14" s="877"/>
      <c r="AA14" s="886"/>
      <c r="AB14" s="877"/>
      <c r="AC14" s="879"/>
      <c r="AD14" s="877"/>
      <c r="AE14" s="886"/>
      <c r="AF14" s="877"/>
      <c r="AG14" s="879"/>
      <c r="AH14" s="877"/>
      <c r="AI14" s="886"/>
      <c r="AJ14" s="877"/>
      <c r="AK14" s="879"/>
      <c r="AL14" s="877"/>
      <c r="AM14" s="886"/>
      <c r="AN14" s="877"/>
      <c r="AO14" s="879"/>
      <c r="AP14" s="877"/>
      <c r="AQ14" s="886"/>
      <c r="AR14" s="877"/>
      <c r="AS14" s="879"/>
      <c r="AT14" s="877"/>
      <c r="AU14" s="886"/>
      <c r="AV14" s="877"/>
      <c r="AW14" s="879"/>
      <c r="AX14" s="877"/>
      <c r="AY14" s="886"/>
      <c r="AZ14" s="877"/>
      <c r="BA14" s="879"/>
      <c r="BB14" s="886"/>
    </row>
    <row r="15" spans="1:290" s="55" customFormat="1">
      <c r="A15" s="68"/>
      <c r="B15" s="54"/>
      <c r="C15" s="174" t="s">
        <v>367</v>
      </c>
      <c r="D15" s="928">
        <f>SUM(H15:K15)</f>
        <v>2.092750796111582E-2</v>
      </c>
      <c r="E15" s="877">
        <f>SUM(G15:K15,N15:O15)</f>
        <v>2.092750796111582E-2</v>
      </c>
      <c r="F15" s="878"/>
      <c r="G15" s="877">
        <v>0</v>
      </c>
      <c r="H15" s="877">
        <v>0</v>
      </c>
      <c r="I15" s="877">
        <f>I10</f>
        <v>1.2546753441682198E-3</v>
      </c>
      <c r="J15" s="877">
        <f>J10</f>
        <v>0</v>
      </c>
      <c r="K15" s="877">
        <f>K10</f>
        <v>1.9672832616947602E-2</v>
      </c>
      <c r="L15" s="877">
        <f>L10</f>
        <v>0</v>
      </c>
      <c r="M15" s="877">
        <f>M10</f>
        <v>0</v>
      </c>
      <c r="N15" s="877">
        <f>N10*'Common input data'!$C$80/'Common input data'!$B$80</f>
        <v>0</v>
      </c>
      <c r="O15" s="877">
        <v>0</v>
      </c>
      <c r="P15" s="877">
        <v>0</v>
      </c>
      <c r="Q15" s="877">
        <f>SUM(G15:P15)</f>
        <v>2.092750796111582E-2</v>
      </c>
      <c r="R15" s="877"/>
      <c r="S15" s="877"/>
      <c r="T15" s="68"/>
      <c r="U15" s="879"/>
      <c r="V15" s="877"/>
      <c r="W15" s="886"/>
      <c r="X15" s="877"/>
      <c r="Y15" s="879"/>
      <c r="Z15" s="877"/>
      <c r="AA15" s="886"/>
      <c r="AB15" s="877"/>
      <c r="AC15" s="879"/>
      <c r="AD15" s="877"/>
      <c r="AE15" s="886"/>
      <c r="AF15" s="877"/>
      <c r="AG15" s="879"/>
      <c r="AH15" s="877"/>
      <c r="AI15" s="886"/>
      <c r="AJ15" s="877"/>
      <c r="AK15" s="879"/>
      <c r="AL15" s="877"/>
      <c r="AM15" s="886"/>
      <c r="AN15" s="877"/>
      <c r="AO15" s="879"/>
      <c r="AP15" s="877"/>
      <c r="AQ15" s="886"/>
      <c r="AR15" s="877"/>
      <c r="AS15" s="879"/>
      <c r="AT15" s="877"/>
      <c r="AU15" s="886"/>
      <c r="AV15" s="877"/>
      <c r="AW15" s="879"/>
      <c r="AX15" s="877"/>
      <c r="AY15" s="886"/>
      <c r="AZ15" s="877"/>
      <c r="BA15" s="879"/>
      <c r="BB15" s="886"/>
    </row>
    <row r="16" spans="1:290" s="55" customFormat="1">
      <c r="A16" s="68"/>
      <c r="B16" s="54"/>
      <c r="C16" s="174" t="s">
        <v>319</v>
      </c>
      <c r="D16" s="928">
        <f>SUM(H16:K16)</f>
        <v>0</v>
      </c>
      <c r="E16" s="877">
        <f>SUM(G16:K16,N16:O16)</f>
        <v>2.1648742217169185E-4</v>
      </c>
      <c r="F16" s="878"/>
      <c r="G16" s="877">
        <f>G11</f>
        <v>2.1187779381439312E-4</v>
      </c>
      <c r="H16" s="877">
        <f>H10</f>
        <v>0</v>
      </c>
      <c r="I16" s="877">
        <v>0</v>
      </c>
      <c r="J16" s="877">
        <v>0</v>
      </c>
      <c r="K16" s="877">
        <v>0</v>
      </c>
      <c r="L16" s="877">
        <f>L11</f>
        <v>0</v>
      </c>
      <c r="M16" s="877">
        <f>M11</f>
        <v>0</v>
      </c>
      <c r="N16" s="877">
        <f>N11*'Common input data'!$C$80/'Common input data'!$B$80</f>
        <v>0</v>
      </c>
      <c r="O16" s="877">
        <f>O11*'Common input data'!$C$80/'Common input data'!$B$80</f>
        <v>4.6096283572987402E-6</v>
      </c>
      <c r="P16" s="877">
        <v>0</v>
      </c>
      <c r="Q16" s="877">
        <f>SUM(G16:P16)</f>
        <v>2.1648742217169185E-4</v>
      </c>
      <c r="R16" s="877"/>
      <c r="S16" s="877"/>
      <c r="T16" s="68"/>
      <c r="U16" s="879"/>
      <c r="V16" s="877"/>
      <c r="W16" s="886"/>
      <c r="X16" s="877"/>
      <c r="Y16" s="879"/>
      <c r="Z16" s="877"/>
      <c r="AA16" s="886"/>
      <c r="AB16" s="877"/>
      <c r="AC16" s="879"/>
      <c r="AD16" s="877"/>
      <c r="AE16" s="886"/>
      <c r="AF16" s="877"/>
      <c r="AG16" s="879"/>
      <c r="AH16" s="877"/>
      <c r="AI16" s="886"/>
      <c r="AJ16" s="877"/>
      <c r="AK16" s="879"/>
      <c r="AL16" s="877"/>
      <c r="AM16" s="886"/>
      <c r="AN16" s="877"/>
      <c r="AO16" s="879"/>
      <c r="AP16" s="877"/>
      <c r="AQ16" s="886"/>
      <c r="AR16" s="877"/>
      <c r="AS16" s="879"/>
      <c r="AT16" s="877"/>
      <c r="AU16" s="886"/>
      <c r="AV16" s="877"/>
      <c r="AW16" s="879"/>
      <c r="AX16" s="877"/>
      <c r="AY16" s="886"/>
      <c r="AZ16" s="877"/>
      <c r="BA16" s="879"/>
      <c r="BB16" s="886"/>
    </row>
    <row r="17" spans="1:402" s="55" customFormat="1">
      <c r="A17" s="68"/>
      <c r="B17" s="54"/>
      <c r="C17" s="55" t="s">
        <v>320</v>
      </c>
      <c r="D17" s="932">
        <f>SUM(H17:K17)</f>
        <v>7.9959468439584299E-4</v>
      </c>
      <c r="E17" s="896">
        <f>SUM(G17:K17,N17:O17)</f>
        <v>1.0005318516552316E-3</v>
      </c>
      <c r="F17" s="933"/>
      <c r="G17" s="877">
        <f t="shared" ref="G17:M17" si="1">G12</f>
        <v>2.0050744746030261E-4</v>
      </c>
      <c r="H17" s="877">
        <f t="shared" si="1"/>
        <v>5.0680200966210336E-4</v>
      </c>
      <c r="I17" s="877">
        <f t="shared" si="1"/>
        <v>2.7278690119907046E-4</v>
      </c>
      <c r="J17" s="877">
        <f t="shared" si="1"/>
        <v>2.0005773534669182E-5</v>
      </c>
      <c r="K17" s="877">
        <f t="shared" si="1"/>
        <v>0</v>
      </c>
      <c r="L17" s="877">
        <f t="shared" si="1"/>
        <v>0</v>
      </c>
      <c r="M17" s="877">
        <f t="shared" si="1"/>
        <v>0</v>
      </c>
      <c r="N17" s="877">
        <f>N12*'Common input data'!$C$80/'Common input data'!$B$80</f>
        <v>0</v>
      </c>
      <c r="O17" s="877">
        <f>O12*'Common input data'!$C$80/'Common input data'!$B$80</f>
        <v>4.2971979908596032E-7</v>
      </c>
      <c r="P17" s="877">
        <v>0</v>
      </c>
      <c r="Q17" s="877">
        <f>SUM(G17:P17)</f>
        <v>1.0005318516552316E-3</v>
      </c>
      <c r="R17" s="877"/>
      <c r="S17" s="877"/>
      <c r="T17" s="68"/>
      <c r="U17" s="1254"/>
      <c r="V17" s="1185"/>
      <c r="W17" s="1221"/>
      <c r="X17" s="1185"/>
      <c r="Y17" s="1254"/>
      <c r="Z17" s="1185"/>
      <c r="AA17" s="1221"/>
      <c r="AB17" s="835"/>
      <c r="AC17" s="1254"/>
      <c r="AD17" s="1185"/>
      <c r="AE17" s="1221"/>
      <c r="AF17" s="877"/>
      <c r="AG17" s="1254"/>
      <c r="AH17" s="1185"/>
      <c r="AI17" s="1221"/>
      <c r="AJ17" s="835"/>
      <c r="AK17" s="1254"/>
      <c r="AL17" s="1185"/>
      <c r="AM17" s="1221"/>
      <c r="AN17" s="835"/>
      <c r="AO17" s="1254"/>
      <c r="AP17" s="1185"/>
      <c r="AQ17" s="1221"/>
      <c r="AR17" s="877"/>
      <c r="AS17" s="1254"/>
      <c r="AT17" s="1185"/>
      <c r="AU17" s="1221"/>
      <c r="AV17" s="835"/>
      <c r="AW17" s="1254"/>
      <c r="AX17" s="1185"/>
      <c r="AY17" s="1221"/>
      <c r="AZ17" s="877"/>
      <c r="BA17" s="1220"/>
      <c r="BB17" s="1221"/>
      <c r="BC17" s="14"/>
      <c r="BE17"/>
    </row>
    <row r="18" spans="1:402" s="364" customFormat="1" ht="17.25">
      <c r="A18" s="413" t="s">
        <v>368</v>
      </c>
      <c r="B18" s="412"/>
      <c r="C18" s="412"/>
      <c r="D18" s="1182" t="s">
        <v>369</v>
      </c>
      <c r="E18" s="1183" t="s">
        <v>369</v>
      </c>
      <c r="F18" s="1184" t="s">
        <v>369</v>
      </c>
      <c r="G18" s="1186"/>
      <c r="H18" s="889"/>
      <c r="I18" s="889"/>
      <c r="J18" s="889"/>
      <c r="K18" s="889"/>
      <c r="L18" s="889"/>
      <c r="M18" s="889"/>
      <c r="N18" s="889"/>
      <c r="O18" s="889"/>
      <c r="P18" s="1186"/>
      <c r="Q18" s="1186"/>
      <c r="R18" s="1183"/>
      <c r="S18" s="1183"/>
      <c r="T18" s="68"/>
      <c r="U18" s="68"/>
      <c r="V18" s="55"/>
      <c r="W18" s="58"/>
      <c r="X18" s="55"/>
      <c r="Y18" s="68"/>
      <c r="Z18" s="55"/>
      <c r="AA18" s="58"/>
      <c r="AB18" s="55"/>
      <c r="AC18" s="68"/>
      <c r="AD18" s="55"/>
      <c r="AE18" s="58"/>
      <c r="AF18" s="55"/>
      <c r="AG18" s="68"/>
      <c r="AH18" s="55"/>
      <c r="AI18" s="58"/>
      <c r="AJ18" s="55"/>
      <c r="AK18" s="68"/>
      <c r="AL18" s="55"/>
      <c r="AM18" s="58"/>
      <c r="AN18" s="55"/>
      <c r="AO18" s="68"/>
      <c r="AP18" s="55"/>
      <c r="AQ18" s="58"/>
      <c r="AR18" s="55"/>
      <c r="AS18" s="68"/>
      <c r="AT18" s="55"/>
      <c r="AU18" s="58"/>
      <c r="AV18" s="55"/>
      <c r="AW18" s="68"/>
      <c r="AX18" s="55"/>
      <c r="AY18" s="58"/>
      <c r="AZ18" s="55"/>
      <c r="BA18" s="68"/>
      <c r="BB18" s="58"/>
      <c r="BC18" s="208"/>
      <c r="BD18" s="55"/>
      <c r="BE18" s="27"/>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c r="HA18" s="55"/>
      <c r="HB18" s="55"/>
      <c r="HC18" s="55"/>
      <c r="HD18" s="55"/>
      <c r="HE18" s="55"/>
      <c r="HF18" s="55"/>
      <c r="HG18" s="55"/>
      <c r="HH18" s="55"/>
      <c r="HI18" s="55"/>
      <c r="HJ18" s="55"/>
      <c r="HK18" s="55"/>
      <c r="HL18" s="55"/>
      <c r="HM18" s="55"/>
      <c r="HN18" s="55"/>
      <c r="HO18" s="55"/>
      <c r="HP18" s="55"/>
      <c r="HQ18" s="55"/>
      <c r="HR18" s="55"/>
      <c r="HS18" s="55"/>
      <c r="HT18" s="55"/>
      <c r="HU18" s="55"/>
      <c r="HV18" s="55"/>
      <c r="HW18" s="55"/>
      <c r="HX18" s="55"/>
      <c r="HY18" s="55"/>
      <c r="HZ18" s="55"/>
      <c r="IA18" s="55"/>
      <c r="IB18" s="55"/>
      <c r="IC18" s="55"/>
      <c r="ID18" s="55"/>
      <c r="IE18" s="55"/>
      <c r="IF18" s="55"/>
      <c r="IG18" s="55"/>
      <c r="IH18" s="55"/>
      <c r="II18" s="55"/>
      <c r="IJ18" s="55"/>
      <c r="IK18" s="55"/>
      <c r="IL18" s="55"/>
      <c r="IM18" s="55"/>
      <c r="IN18" s="55"/>
      <c r="IO18" s="55"/>
      <c r="IP18" s="55"/>
      <c r="IQ18" s="55"/>
      <c r="IR18" s="55"/>
      <c r="IS18" s="55"/>
      <c r="IT18" s="55"/>
      <c r="IU18" s="55"/>
      <c r="IV18" s="55"/>
      <c r="IW18" s="55"/>
      <c r="IX18" s="55"/>
      <c r="IY18" s="55"/>
      <c r="IZ18" s="55"/>
      <c r="JA18" s="55"/>
      <c r="JB18" s="55"/>
      <c r="JC18" s="55"/>
      <c r="JD18" s="55"/>
      <c r="JE18" s="55"/>
      <c r="JF18" s="55"/>
      <c r="JG18" s="55"/>
      <c r="JH18" s="55"/>
      <c r="JI18" s="55"/>
      <c r="JJ18" s="55"/>
      <c r="JK18" s="55"/>
      <c r="JL18" s="55"/>
      <c r="JM18" s="55"/>
      <c r="JN18" s="55"/>
      <c r="JO18" s="55"/>
      <c r="JP18" s="55"/>
      <c r="JQ18" s="55"/>
      <c r="JR18" s="55"/>
      <c r="JS18" s="55"/>
      <c r="JT18" s="55"/>
      <c r="JU18" s="55"/>
      <c r="JV18" s="55"/>
      <c r="JW18" s="55"/>
      <c r="JX18" s="55"/>
      <c r="JY18" s="55"/>
      <c r="JZ18" s="55"/>
      <c r="KA18" s="55"/>
      <c r="KB18" s="55"/>
      <c r="KC18" s="55"/>
      <c r="KD18" s="55"/>
    </row>
    <row r="19" spans="1:402" s="93" customFormat="1" ht="15" customHeight="1">
      <c r="A19" s="108" t="s">
        <v>122</v>
      </c>
      <c r="B19" s="79">
        <f>'Input data dairy products'!C4</f>
        <v>1</v>
      </c>
      <c r="C19" s="355" t="s">
        <v>316</v>
      </c>
      <c r="D19" s="930">
        <f>SUMPRODUCT($BH$6:$BH$9,D20:D23)</f>
        <v>0.76175304068429117</v>
      </c>
      <c r="E19" s="872">
        <f>SUMPRODUCT($BH$6:$BH$9,E20:E23)</f>
        <v>1.0471541906821293</v>
      </c>
      <c r="F19" s="873">
        <f>SUMPRODUCT($BH$6:$BH$9,F20:F23)</f>
        <v>1.1830092119112123</v>
      </c>
      <c r="G19" s="884"/>
      <c r="H19" s="884"/>
      <c r="I19" s="884"/>
      <c r="J19" s="884"/>
      <c r="K19" s="884"/>
      <c r="L19" s="884"/>
      <c r="M19" s="884"/>
      <c r="N19" s="884"/>
      <c r="O19" s="884"/>
      <c r="P19" s="884"/>
      <c r="Q19" s="884"/>
      <c r="R19" s="884"/>
      <c r="S19" s="884"/>
      <c r="T19" s="68"/>
      <c r="U19" s="883">
        <f>'Input data dairy products'!$D4*(SUM('Meat and eggs'!W$123:W$165)*'Common input data'!$D$52/'Input data meat and eggs'!$B$449)</f>
        <v>2.324801414033959</v>
      </c>
      <c r="V19" s="884">
        <f>U19+U19*'Common input data'!$B$146</f>
        <v>2.375610646378095</v>
      </c>
      <c r="W19" s="885">
        <f>V19+V19*'Common input data'!$B$181</f>
        <v>2.5419033916245617</v>
      </c>
      <c r="X19" s="877"/>
      <c r="Y19" s="883">
        <f>'Input data dairy products'!$D4*(SUM('Meat and eggs'!AC$123:AC$165)*'Common input data'!$D$52/'Input data meat and eggs'!$B$449)</f>
        <v>2.5625265286504439</v>
      </c>
      <c r="Z19" s="884">
        <f>Y19+Y19*'Common input data'!$B$146</f>
        <v>2.6185313146920577</v>
      </c>
      <c r="AA19" s="885">
        <f>Z19+Z19*'Common input data'!$B$181</f>
        <v>2.8018285067205015</v>
      </c>
      <c r="AB19" s="877"/>
      <c r="AC19" s="883">
        <f>'Input data dairy products'!$D4*(SUM('Meat and eggs'!AI$123:AI$165)*'Common input data'!$D$52/'Input data meat and eggs'!$B$449)</f>
        <v>5.4498551471326748E-2</v>
      </c>
      <c r="AD19" s="884">
        <f>AC19+AC19*'Common input data'!$B$146</f>
        <v>5.5689633663298023E-2</v>
      </c>
      <c r="AE19" s="885">
        <f>AD19+AD19*'Common input data'!$B$181</f>
        <v>5.9587908019728887E-2</v>
      </c>
      <c r="AF19" s="877"/>
      <c r="AG19" s="883">
        <f>'Input data dairy products'!$D4*(SUM('Meat and eggs'!AO$123:AO$165)*'Common input data'!$D$52/'Input data meat and eggs'!$B$449)</f>
        <v>1.8137632420862839E-3</v>
      </c>
      <c r="AH19" s="884">
        <f>AG19+AG19*'Common input data'!$B$146</f>
        <v>1.8534035818710518E-3</v>
      </c>
      <c r="AI19" s="885">
        <f>AH19+AH19*'Common input data'!$B$181</f>
        <v>1.9831418326020254E-3</v>
      </c>
      <c r="AJ19" s="877"/>
      <c r="AK19" s="883">
        <f>'Input data dairy products'!$D4*(SUM('Meat and eggs'!AW$123:AW$165)*'Common input data'!$D$52/'Input data meat and eggs'!$B$449)</f>
        <v>5.2497397645090765E-3</v>
      </c>
      <c r="AL19" s="884">
        <f>AK19+AK19*'Common input data'!$B$146</f>
        <v>5.3644744019843505E-3</v>
      </c>
      <c r="AM19" s="885">
        <f>AL19+AL19*'Common input data'!$B$181</f>
        <v>5.7399876101232551E-3</v>
      </c>
      <c r="AN19" s="877"/>
      <c r="AO19" s="883">
        <f>('Input data dairy products'!$D4*(SUM('Meat and eggs'!BC$123:BC$165)*'Common input data'!$D$52/'Input data meat and eggs'!$B$449))/$AP$2</f>
        <v>6.6456838563490988E-11</v>
      </c>
      <c r="AP19" s="884">
        <f>AO19+AO19*'Common input data'!$B$146</f>
        <v>6.7909272707347637E-11</v>
      </c>
      <c r="AQ19" s="885">
        <f>AP19+AP19*'Common input data'!$B$181</f>
        <v>7.2662921796861972E-11</v>
      </c>
      <c r="AR19" s="877"/>
      <c r="AS19" s="883">
        <f>'Input data dairy products'!$D4*(SUM('Meat and eggs'!BI$123:BI$165)*'Common input data'!$D$52/'Input data meat and eggs'!$B$449)</f>
        <v>1.1552377914000203E-4</v>
      </c>
      <c r="AT19" s="884">
        <f>AS19+AS19*'Common input data'!$B$146</f>
        <v>1.1804858599024049E-4</v>
      </c>
      <c r="AU19" s="885">
        <f>AT19+AT19*'Common input data'!$B$181</f>
        <v>1.2631198700955733E-4</v>
      </c>
      <c r="AV19" s="877"/>
      <c r="AW19" s="883">
        <f>'Input data dairy products'!$D4*(SUM('Meat and eggs'!BO$123:BO$166)*'Common input data'!$D$52/'Input data meat and eggs'!$B$449)</f>
        <v>4.5284518974825876E-3</v>
      </c>
      <c r="AX19" s="884">
        <f>AW19+AW19*'Common input data'!$B$146</f>
        <v>4.6274225722376374E-3</v>
      </c>
      <c r="AY19" s="885">
        <f>AX19+AX19*'Common input data'!$B$181</f>
        <v>4.9513421522942719E-3</v>
      </c>
      <c r="AZ19" s="877"/>
      <c r="BA19" s="883">
        <f>'Common input data'!C202+'Common input data'!C202*'Common input data'!$B$146</f>
        <v>0.14632967895999996</v>
      </c>
      <c r="BB19" s="885">
        <f>BA19+BA19*'Common input data'!$B$181</f>
        <v>0.15657275648719995</v>
      </c>
      <c r="BC19"/>
      <c r="BD19" s="55"/>
      <c r="BE19"/>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5"/>
      <c r="EC19" s="55"/>
      <c r="ED19" s="55"/>
      <c r="EE19" s="55"/>
      <c r="EF19" s="55"/>
      <c r="EG19" s="55"/>
      <c r="EH19" s="55"/>
      <c r="EI19" s="55"/>
      <c r="EJ19" s="55"/>
      <c r="EK19" s="55"/>
      <c r="EL19" s="55"/>
      <c r="EM19" s="55"/>
      <c r="EN19" s="55"/>
      <c r="EO19" s="55"/>
      <c r="EP19" s="55"/>
      <c r="EQ19" s="55"/>
      <c r="ER19" s="55"/>
      <c r="ES19" s="55"/>
      <c r="ET19" s="55"/>
      <c r="EU19" s="55"/>
      <c r="EV19" s="55"/>
      <c r="EW19" s="55"/>
      <c r="EX19" s="55"/>
      <c r="EY19" s="55"/>
      <c r="EZ19" s="55"/>
      <c r="FA19" s="55"/>
      <c r="FB19" s="55"/>
      <c r="FC19" s="55"/>
      <c r="FD19" s="55"/>
      <c r="FE19" s="55"/>
      <c r="FF19" s="55"/>
      <c r="FG19" s="55"/>
      <c r="FH19" s="55"/>
      <c r="FI19" s="55"/>
      <c r="FJ19" s="55"/>
      <c r="FK19" s="55"/>
      <c r="FL19" s="55"/>
      <c r="FM19" s="55"/>
      <c r="FN19" s="55"/>
      <c r="FO19" s="55"/>
      <c r="FP19" s="55"/>
      <c r="FQ19" s="55"/>
      <c r="FR19" s="55"/>
      <c r="FS19" s="55"/>
      <c r="FT19" s="55"/>
      <c r="FU19" s="55"/>
      <c r="FV19" s="55"/>
      <c r="FW19" s="55"/>
      <c r="FX19" s="55"/>
      <c r="FY19" s="55"/>
      <c r="FZ19" s="55"/>
      <c r="GA19" s="55"/>
      <c r="GB19" s="55"/>
      <c r="GC19" s="55"/>
      <c r="GD19" s="55"/>
      <c r="GE19" s="55"/>
      <c r="GF19" s="55"/>
      <c r="GG19" s="55"/>
      <c r="GH19" s="55"/>
      <c r="GI19" s="55"/>
      <c r="GJ19" s="55"/>
      <c r="GK19" s="55"/>
      <c r="GL19" s="55"/>
      <c r="GM19" s="55"/>
      <c r="GN19" s="55"/>
      <c r="GO19" s="55"/>
      <c r="GP19" s="55"/>
      <c r="GQ19" s="55"/>
      <c r="GR19" s="55"/>
      <c r="GS19" s="55"/>
      <c r="GT19" s="55"/>
      <c r="GU19" s="55"/>
      <c r="GV19" s="55"/>
      <c r="GW19" s="55"/>
      <c r="GX19" s="55"/>
      <c r="GY19" s="55"/>
      <c r="GZ19" s="55"/>
      <c r="HA19" s="55"/>
      <c r="HB19" s="55"/>
      <c r="HC19" s="55"/>
      <c r="HD19" s="55"/>
      <c r="HE19" s="55"/>
      <c r="HF19" s="55"/>
      <c r="HG19" s="55"/>
      <c r="HH19" s="55"/>
      <c r="HI19" s="55"/>
      <c r="HJ19" s="55"/>
      <c r="HK19" s="55"/>
      <c r="HL19" s="55"/>
      <c r="HM19" s="55"/>
      <c r="HN19" s="55"/>
      <c r="HO19" s="55"/>
      <c r="HP19" s="55"/>
      <c r="HQ19" s="55"/>
      <c r="HR19" s="55"/>
      <c r="HS19" s="55"/>
      <c r="HT19" s="55"/>
      <c r="HU19" s="55"/>
      <c r="HV19" s="55"/>
      <c r="HW19" s="55"/>
      <c r="HX19" s="55"/>
      <c r="HY19" s="55"/>
      <c r="HZ19" s="55"/>
      <c r="IA19" s="55"/>
      <c r="IB19" s="55"/>
      <c r="IC19" s="55"/>
      <c r="ID19" s="55"/>
      <c r="IE19" s="55"/>
      <c r="IF19" s="55"/>
      <c r="IG19" s="55"/>
      <c r="IH19" s="55"/>
      <c r="II19" s="55"/>
      <c r="IJ19" s="55"/>
      <c r="IK19" s="55"/>
      <c r="IL19" s="55"/>
      <c r="IM19" s="55"/>
      <c r="IN19" s="55"/>
      <c r="IO19" s="55"/>
      <c r="IP19" s="55"/>
      <c r="IQ19" s="55"/>
      <c r="IR19" s="55"/>
      <c r="IS19" s="55"/>
      <c r="IT19" s="55"/>
      <c r="IU19" s="55"/>
      <c r="IV19" s="55"/>
      <c r="IW19" s="55"/>
      <c r="IX19" s="55"/>
      <c r="IY19" s="55"/>
      <c r="IZ19" s="55"/>
      <c r="JA19" s="55"/>
      <c r="JB19" s="55"/>
      <c r="JC19" s="55"/>
      <c r="JD19" s="55"/>
      <c r="JE19" s="55"/>
      <c r="JF19" s="55"/>
      <c r="JG19" s="55"/>
      <c r="JH19" s="55"/>
      <c r="JI19" s="55"/>
      <c r="JJ19" s="55"/>
      <c r="JK19" s="55"/>
      <c r="JL19" s="55"/>
      <c r="JM19" s="55"/>
      <c r="JN19" s="55"/>
      <c r="JO19" s="55"/>
      <c r="JP19" s="55"/>
      <c r="JQ19" s="55"/>
      <c r="JR19" s="55"/>
      <c r="JS19" s="55"/>
      <c r="JT19" s="55"/>
      <c r="JU19" s="55"/>
      <c r="JV19" s="55"/>
      <c r="JW19" s="55"/>
      <c r="JX19" s="55"/>
      <c r="JY19" s="55"/>
      <c r="JZ19" s="55"/>
      <c r="KA19" s="55"/>
      <c r="KB19" s="55"/>
      <c r="KC19" s="55"/>
      <c r="KD19" s="55"/>
    </row>
    <row r="20" spans="1:402" s="12" customFormat="1">
      <c r="A20" s="68"/>
      <c r="B20" s="50"/>
      <c r="C20" s="174" t="s">
        <v>317</v>
      </c>
      <c r="D20" s="928">
        <f>IF(AND($F$2="No",$F$3="No"),SUM(H20:K20),IF(AND($F$2="Yes", $F$3="No"), SUM(H20:K20)+M20, IF(AND($F$2="No", $F$3="Yes"),SUM(H20:K20)+L20, SUM(H20:K20)+M20+L20)))</f>
        <v>-2.1579023105901114E-2</v>
      </c>
      <c r="E20" s="877">
        <f>IF(AND($F$2="No",$F$3="No"),SUM(G20:K20,N20:O20),IF(AND($F$2="Yes",$F$3="No"), SUM(G20:K20,N20:O20)+M20, IF(AND($F$2="No", $F$3="Yes"),SUM(G20:K20,N20:O20)+L20, SUM(G20:K20,N20:O20)+M20+L20)))</f>
        <v>0.20271820153742737</v>
      </c>
      <c r="F20" s="878">
        <f>SUM(Q20:S20)/(1-'Common input data'!B$146)</f>
        <v>0.31970546028356261</v>
      </c>
      <c r="G20" s="877">
        <f>'Input data dairy products'!$D$4*G9</f>
        <v>0.19821189744860501</v>
      </c>
      <c r="H20" s="877">
        <f>'Input data dairy products'!$D$4*H9</f>
        <v>0</v>
      </c>
      <c r="I20" s="877">
        <f>'Input data dairy products'!$D$4*I9</f>
        <v>0</v>
      </c>
      <c r="J20" s="877">
        <f>'Input data dairy products'!$D$4*J9</f>
        <v>0</v>
      </c>
      <c r="K20" s="877">
        <f>'Input data dairy products'!$D$4*K9</f>
        <v>0</v>
      </c>
      <c r="L20" s="877">
        <f>'Input data dairy products'!$D$4*L9</f>
        <v>-4.1512648845980694E-2</v>
      </c>
      <c r="M20" s="877">
        <f>'Input data dairy products'!$D$4*M9</f>
        <v>1.9933625740079581E-2</v>
      </c>
      <c r="N20" s="877">
        <f>N9*'Input data dairy products'!$D$4</f>
        <v>2.2717729610556299E-2</v>
      </c>
      <c r="O20" s="877">
        <f>O9*'Input data dairy products'!$D$4</f>
        <v>3.3675975841671716E-3</v>
      </c>
      <c r="P20" s="877">
        <f>'Input data dairy products'!B29</f>
        <v>0.03</v>
      </c>
      <c r="Q20" s="1185">
        <f>IF(AND($F$2="No",$F$3="No"),SUM(G20:K20,N20:P20),IF(AND($F$2="Yes",$F$3="No"), SUM(G20:K20,N20:P20)+M20, IF(AND($F$2="No", $F$3="Yes"),SUM(G20:K20,N20:P20)+L20, SUM(G20:K20,N20:P20)+M20+L20)))</f>
        <v>0.23271820153742737</v>
      </c>
      <c r="R20" s="877">
        <f>'Common input data'!B$108</f>
        <v>0.05</v>
      </c>
      <c r="S20" s="877">
        <f>'Common input data'!C$115</f>
        <v>0.03</v>
      </c>
      <c r="T20" s="18"/>
      <c r="U20" s="879"/>
      <c r="V20" s="877"/>
      <c r="W20" s="886"/>
      <c r="X20" s="877"/>
      <c r="Y20" s="879"/>
      <c r="Z20" s="877"/>
      <c r="AA20" s="886"/>
      <c r="AB20" s="877"/>
      <c r="AC20" s="879"/>
      <c r="AD20" s="877"/>
      <c r="AE20" s="886"/>
      <c r="AF20" s="877"/>
      <c r="AG20" s="879"/>
      <c r="AH20" s="877"/>
      <c r="AI20" s="886"/>
      <c r="AJ20" s="877"/>
      <c r="AK20" s="879"/>
      <c r="AL20" s="877"/>
      <c r="AM20" s="886"/>
      <c r="AN20" s="877"/>
      <c r="AO20" s="879"/>
      <c r="AP20" s="877"/>
      <c r="AQ20" s="886"/>
      <c r="AR20" s="877"/>
      <c r="AS20" s="879"/>
      <c r="AT20" s="877"/>
      <c r="AU20" s="886"/>
      <c r="AV20" s="877"/>
      <c r="AW20" s="879"/>
      <c r="AX20" s="877"/>
      <c r="AY20" s="886"/>
      <c r="AZ20" s="877"/>
      <c r="BA20" s="879"/>
      <c r="BB20" s="886"/>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row>
    <row r="21" spans="1:402">
      <c r="A21" s="195"/>
      <c r="B21" s="50"/>
      <c r="C21" s="174" t="s">
        <v>318</v>
      </c>
      <c r="D21" s="928">
        <f>SUM(H21:K21)</f>
        <v>2.092750796111582E-2</v>
      </c>
      <c r="E21" s="877">
        <f>SUM(G21:K21,N21:O21)</f>
        <v>2.092750796111582E-2</v>
      </c>
      <c r="F21" s="878">
        <f>SUM(Q21:S21)/(1-'Common input data'!B$146)</f>
        <v>2.1395104386003231E-2</v>
      </c>
      <c r="G21" s="877">
        <v>0</v>
      </c>
      <c r="H21" s="877">
        <f>'Input data dairy products'!$D$4*H10</f>
        <v>0</v>
      </c>
      <c r="I21" s="877">
        <f>'Input data dairy products'!$D$4*I10</f>
        <v>1.2546753441682198E-3</v>
      </c>
      <c r="J21" s="877">
        <f>'Input data dairy products'!$D$4*J10</f>
        <v>0</v>
      </c>
      <c r="K21" s="877">
        <f>'Input data dairy products'!$D$4*K10</f>
        <v>1.9672832616947602E-2</v>
      </c>
      <c r="L21" s="877">
        <f>'Input data dairy products'!$D$4*L10</f>
        <v>0</v>
      </c>
      <c r="M21" s="877">
        <f>'Input data dairy products'!$D$4*M10</f>
        <v>0</v>
      </c>
      <c r="N21" s="877">
        <f>N10*'Input data dairy products'!$D$4</f>
        <v>0</v>
      </c>
      <c r="O21" s="877">
        <v>0</v>
      </c>
      <c r="P21" s="877">
        <v>0</v>
      </c>
      <c r="Q21" s="877">
        <f>SUM(G21:P21)</f>
        <v>2.092750796111582E-2</v>
      </c>
      <c r="R21" s="877">
        <v>0</v>
      </c>
      <c r="S21" s="877">
        <v>0</v>
      </c>
      <c r="T21" s="18"/>
      <c r="U21" s="879"/>
      <c r="V21" s="877"/>
      <c r="W21" s="886"/>
      <c r="X21" s="877"/>
      <c r="Y21" s="879"/>
      <c r="Z21" s="877"/>
      <c r="AA21" s="886"/>
      <c r="AB21" s="877"/>
      <c r="AC21" s="879"/>
      <c r="AD21" s="877"/>
      <c r="AE21" s="886"/>
      <c r="AF21" s="877"/>
      <c r="AG21" s="879"/>
      <c r="AH21" s="877"/>
      <c r="AI21" s="886"/>
      <c r="AJ21" s="877"/>
      <c r="AK21" s="879"/>
      <c r="AL21" s="877"/>
      <c r="AM21" s="886"/>
      <c r="AN21" s="877"/>
      <c r="AO21" s="879"/>
      <c r="AP21" s="877"/>
      <c r="AQ21" s="886"/>
      <c r="AR21" s="877"/>
      <c r="AS21" s="879"/>
      <c r="AT21" s="877"/>
      <c r="AU21" s="886"/>
      <c r="AV21" s="877"/>
      <c r="AW21" s="879"/>
      <c r="AX21" s="877"/>
      <c r="AY21" s="886"/>
      <c r="AZ21" s="877"/>
      <c r="BA21" s="879"/>
      <c r="BB21" s="886"/>
    </row>
    <row r="22" spans="1:402" ht="17.25">
      <c r="A22" s="195"/>
      <c r="B22" s="50"/>
      <c r="C22" s="174" t="s">
        <v>319</v>
      </c>
      <c r="D22" s="928">
        <f>SUM(H22:K22)</f>
        <v>0</v>
      </c>
      <c r="E22" s="877">
        <f>SUM(G22:K22,N22:O22)</f>
        <v>2.1280873051105219E-4</v>
      </c>
      <c r="F22" s="878">
        <f>SUM(Q22:S22)/(1-'Common input data'!B$146)</f>
        <v>2.1756364933639384E-4</v>
      </c>
      <c r="G22" s="877">
        <f>'Input data dairy products'!$D$4*G11</f>
        <v>2.1187779381439312E-4</v>
      </c>
      <c r="H22" s="877">
        <v>0</v>
      </c>
      <c r="I22" s="877">
        <v>0</v>
      </c>
      <c r="J22" s="877">
        <v>0</v>
      </c>
      <c r="K22" s="877">
        <v>0</v>
      </c>
      <c r="L22" s="877">
        <v>0</v>
      </c>
      <c r="M22" s="877">
        <v>0</v>
      </c>
      <c r="N22" s="877">
        <f>N11*'Input data dairy products'!$D$4</f>
        <v>0</v>
      </c>
      <c r="O22" s="877">
        <f>O11*'Input data dairy products'!$D$4</f>
        <v>9.3093669665907727E-7</v>
      </c>
      <c r="P22" s="877">
        <v>0</v>
      </c>
      <c r="Q22" s="877">
        <f>SUM(G22:P22)</f>
        <v>2.1280873051105219E-4</v>
      </c>
      <c r="R22" s="877">
        <v>0</v>
      </c>
      <c r="S22" s="877">
        <v>0</v>
      </c>
      <c r="T22" s="18"/>
      <c r="U22" s="1220"/>
      <c r="V22" s="1205"/>
      <c r="W22" s="886"/>
      <c r="X22" s="877"/>
      <c r="Y22" s="1220"/>
      <c r="Z22" s="1205"/>
      <c r="AA22" s="886"/>
      <c r="AB22" s="877"/>
      <c r="AC22" s="1220"/>
      <c r="AD22" s="1205"/>
      <c r="AE22" s="886"/>
      <c r="AF22" s="877"/>
      <c r="AG22" s="1220"/>
      <c r="AH22" s="1205"/>
      <c r="AI22" s="886"/>
      <c r="AJ22" s="877"/>
      <c r="AK22" s="1220"/>
      <c r="AL22" s="1205"/>
      <c r="AM22" s="886"/>
      <c r="AN22" s="877"/>
      <c r="AO22" s="1220"/>
      <c r="AP22" s="1205"/>
      <c r="AQ22" s="886"/>
      <c r="AR22" s="877"/>
      <c r="AS22" s="1220"/>
      <c r="AT22" s="1205"/>
      <c r="AU22" s="886"/>
      <c r="AV22" s="877"/>
      <c r="AW22" s="1220"/>
      <c r="AX22" s="1205"/>
      <c r="AY22" s="886"/>
      <c r="AZ22" s="877"/>
      <c r="BA22" s="1325"/>
      <c r="BB22" s="886"/>
    </row>
    <row r="23" spans="1:402">
      <c r="A23" s="195"/>
      <c r="B23" s="54"/>
      <c r="C23" s="55" t="s">
        <v>320</v>
      </c>
      <c r="D23" s="932">
        <f>SUM(H23:K23)</f>
        <v>7.9959468439584299E-4</v>
      </c>
      <c r="E23" s="896">
        <f>SUM(G23:K23,N23:O23)</f>
        <v>1.0001889158437565E-3</v>
      </c>
      <c r="F23" s="933">
        <f>SUM(Q23:S23)/(1-'Common input data'!B$146)</f>
        <v>1.0225367635726659E-3</v>
      </c>
      <c r="G23" s="877">
        <f>'Input data dairy products'!$D$4*G12</f>
        <v>2.0050744746030261E-4</v>
      </c>
      <c r="H23" s="877">
        <f>'Input data dairy products'!$D$4*H12</f>
        <v>5.0680200966210336E-4</v>
      </c>
      <c r="I23" s="877">
        <f>'Input data dairy products'!$D$4*I12</f>
        <v>2.7278690119907046E-4</v>
      </c>
      <c r="J23" s="877">
        <f>'Input data dairy products'!$D$4*J12</f>
        <v>2.0005773534669182E-5</v>
      </c>
      <c r="K23" s="877">
        <f>'Input data dairy products'!$D$4*K12</f>
        <v>0</v>
      </c>
      <c r="L23" s="877">
        <f>'Input data dairy products'!$D$4*L12</f>
        <v>0</v>
      </c>
      <c r="M23" s="877">
        <f>'Input data dairy products'!$D$4*M12</f>
        <v>0</v>
      </c>
      <c r="N23" s="877">
        <f>N12*'Input data dairy products'!$D$4</f>
        <v>0</v>
      </c>
      <c r="O23" s="877">
        <f>O12*'Input data dairy products'!$D$4</f>
        <v>8.6783987610773975E-8</v>
      </c>
      <c r="P23" s="877">
        <v>0</v>
      </c>
      <c r="Q23" s="877">
        <f>SUM(G23:P23)</f>
        <v>1.0001889158437565E-3</v>
      </c>
      <c r="R23" s="877">
        <v>0</v>
      </c>
      <c r="S23" s="877">
        <v>0</v>
      </c>
      <c r="T23" s="18"/>
      <c r="U23" s="879"/>
      <c r="V23" s="877"/>
      <c r="W23" s="886"/>
      <c r="X23" s="877"/>
      <c r="Y23" s="879"/>
      <c r="Z23" s="877"/>
      <c r="AA23" s="886"/>
      <c r="AB23" s="877"/>
      <c r="AC23" s="879"/>
      <c r="AD23" s="877"/>
      <c r="AE23" s="886"/>
      <c r="AF23" s="877"/>
      <c r="AG23" s="879"/>
      <c r="AH23" s="877"/>
      <c r="AI23" s="886"/>
      <c r="AJ23" s="877"/>
      <c r="AK23" s="879"/>
      <c r="AL23" s="877"/>
      <c r="AM23" s="886"/>
      <c r="AN23" s="877"/>
      <c r="AO23" s="879"/>
      <c r="AP23" s="877"/>
      <c r="AQ23" s="886"/>
      <c r="AR23" s="877"/>
      <c r="AS23" s="879"/>
      <c r="AT23" s="877"/>
      <c r="AU23" s="886"/>
      <c r="AV23" s="877"/>
      <c r="AW23" s="879"/>
      <c r="AX23" s="877"/>
      <c r="AY23" s="886"/>
      <c r="AZ23" s="877"/>
      <c r="BA23" s="879"/>
      <c r="BB23" s="886"/>
    </row>
    <row r="24" spans="1:402" s="368" customFormat="1">
      <c r="A24" s="362" t="s">
        <v>370</v>
      </c>
      <c r="B24" s="353"/>
      <c r="C24" s="364"/>
      <c r="D24" s="1182" t="s">
        <v>371</v>
      </c>
      <c r="E24" s="1183" t="s">
        <v>371</v>
      </c>
      <c r="F24" s="1184" t="s">
        <v>371</v>
      </c>
      <c r="G24" s="889"/>
      <c r="H24" s="889"/>
      <c r="I24" s="889"/>
      <c r="J24" s="889"/>
      <c r="K24" s="889"/>
      <c r="L24" s="889"/>
      <c r="M24" s="889"/>
      <c r="N24" s="889"/>
      <c r="O24" s="889"/>
      <c r="P24" s="889"/>
      <c r="Q24" s="889"/>
      <c r="R24" s="889"/>
      <c r="S24" s="889"/>
      <c r="T24" s="18"/>
      <c r="U24" s="879"/>
      <c r="V24" s="877"/>
      <c r="W24" s="886"/>
      <c r="X24" s="877"/>
      <c r="Y24" s="879"/>
      <c r="Z24" s="877"/>
      <c r="AA24" s="886"/>
      <c r="AB24" s="877"/>
      <c r="AC24" s="879"/>
      <c r="AD24" s="877"/>
      <c r="AE24" s="886"/>
      <c r="AF24" s="877"/>
      <c r="AG24" s="879"/>
      <c r="AH24" s="877"/>
      <c r="AI24" s="886"/>
      <c r="AJ24" s="877"/>
      <c r="AK24" s="879"/>
      <c r="AL24" s="877"/>
      <c r="AM24" s="886"/>
      <c r="AN24" s="877"/>
      <c r="AO24" s="879"/>
      <c r="AP24" s="877"/>
      <c r="AQ24" s="886"/>
      <c r="AR24" s="877"/>
      <c r="AS24" s="879"/>
      <c r="AT24" s="877"/>
      <c r="AU24" s="886"/>
      <c r="AV24" s="877"/>
      <c r="AW24" s="879"/>
      <c r="AX24" s="877"/>
      <c r="AY24" s="886"/>
      <c r="AZ24" s="877"/>
      <c r="BA24" s="879"/>
      <c r="BB24" s="886"/>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row>
    <row r="25" spans="1:402" s="12" customFormat="1">
      <c r="A25" s="108" t="s">
        <v>315</v>
      </c>
      <c r="B25" s="390">
        <f>SUM(B30:B40)</f>
        <v>1</v>
      </c>
      <c r="C25" s="355" t="s">
        <v>316</v>
      </c>
      <c r="D25" s="930">
        <f>SUMPRODUCT($BH$6:$BH$9,D26:D29)</f>
        <v>7.4956499203334257</v>
      </c>
      <c r="E25" s="872">
        <f>SUMPRODUCT($BH$6:$BH$9,E26:E29)</f>
        <v>10.467611411137272</v>
      </c>
      <c r="F25" s="873">
        <f>SUMPRODUCT($BH$6:$BH$9,F26:F29)</f>
        <v>10.877123686125856</v>
      </c>
      <c r="G25" s="1178"/>
      <c r="H25" s="884"/>
      <c r="I25" s="884"/>
      <c r="J25" s="884"/>
      <c r="K25" s="884"/>
      <c r="L25" s="884"/>
      <c r="M25" s="884"/>
      <c r="N25" s="884"/>
      <c r="O25" s="884"/>
      <c r="P25" s="1178"/>
      <c r="Q25" s="1178"/>
      <c r="R25" s="872"/>
      <c r="S25" s="872"/>
      <c r="T25" s="18"/>
      <c r="U25" s="883">
        <f>U30*$B$30+U35*$B$35+U40*$B$40</f>
        <v>22.876045914094156</v>
      </c>
      <c r="V25" s="884">
        <f t="shared" ref="V25:BB25" si="2">V30*$B$30+V35*$B$35+V40*$B$40</f>
        <v>23.376008760360452</v>
      </c>
      <c r="W25" s="885">
        <f t="shared" si="2"/>
        <v>25.012329373585686</v>
      </c>
      <c r="X25" s="877"/>
      <c r="Y25" s="883">
        <f t="shared" si="2"/>
        <v>25.215261041920368</v>
      </c>
      <c r="Z25" s="884">
        <f t="shared" si="2"/>
        <v>25.766348136569846</v>
      </c>
      <c r="AA25" s="885">
        <f t="shared" si="2"/>
        <v>27.569992506129736</v>
      </c>
      <c r="AB25" s="877"/>
      <c r="AC25" s="883">
        <f t="shared" si="2"/>
        <v>0.53626574647785519</v>
      </c>
      <c r="AD25" s="884">
        <f t="shared" si="2"/>
        <v>0.54798599524685254</v>
      </c>
      <c r="AE25" s="885">
        <f t="shared" si="2"/>
        <v>0.58634501491413227</v>
      </c>
      <c r="AF25" s="877"/>
      <c r="AG25" s="883">
        <f t="shared" si="2"/>
        <v>1.7847430302129035E-2</v>
      </c>
      <c r="AH25" s="884">
        <f t="shared" si="2"/>
        <v>1.8237491245611151E-2</v>
      </c>
      <c r="AI25" s="885">
        <f t="shared" si="2"/>
        <v>1.9514115632803933E-2</v>
      </c>
      <c r="AJ25" s="877"/>
      <c r="AK25" s="883">
        <f t="shared" si="2"/>
        <v>5.1657439282769307E-2</v>
      </c>
      <c r="AL25" s="884">
        <f t="shared" si="2"/>
        <v>5.2786428115526016E-2</v>
      </c>
      <c r="AM25" s="885">
        <f t="shared" si="2"/>
        <v>5.6481478083612841E-2</v>
      </c>
      <c r="AN25" s="877"/>
      <c r="AO25" s="883">
        <f t="shared" si="2"/>
        <v>6.5393529146475129E-10</v>
      </c>
      <c r="AP25" s="884">
        <f t="shared" si="2"/>
        <v>6.6822724344030071E-10</v>
      </c>
      <c r="AQ25" s="885">
        <f t="shared" si="2"/>
        <v>7.1500315048112173E-10</v>
      </c>
      <c r="AR25" s="877"/>
      <c r="AS25" s="883">
        <f t="shared" si="2"/>
        <v>1.1367539867376199E-3</v>
      </c>
      <c r="AT25" s="884">
        <f t="shared" si="2"/>
        <v>1.1615980861439663E-3</v>
      </c>
      <c r="AU25" s="885">
        <f t="shared" si="2"/>
        <v>1.242909952174044E-3</v>
      </c>
      <c r="AV25" s="877"/>
      <c r="AW25" s="883">
        <f t="shared" si="2"/>
        <v>4.4559966671228655E-2</v>
      </c>
      <c r="AX25" s="884">
        <f t="shared" si="2"/>
        <v>4.5533838110818348E-2</v>
      </c>
      <c r="AY25" s="885">
        <f t="shared" si="2"/>
        <v>4.8721206778575631E-2</v>
      </c>
      <c r="AZ25" s="877"/>
      <c r="BA25" s="883">
        <f t="shared" si="2"/>
        <v>0.27908312973458471</v>
      </c>
      <c r="BB25" s="885">
        <f t="shared" si="2"/>
        <v>0.29861894881600565</v>
      </c>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row>
    <row r="26" spans="1:402">
      <c r="A26" s="18"/>
      <c r="C26" s="174" t="s">
        <v>317</v>
      </c>
      <c r="D26" s="928">
        <f t="shared" ref="D26:S26" si="3">$B$30*D31+$B$35*D36+$B$40*D41</f>
        <v>-0.21233758736206693</v>
      </c>
      <c r="E26" s="877">
        <f t="shared" si="3"/>
        <v>2.1580393053125166</v>
      </c>
      <c r="F26" s="878">
        <f t="shared" si="3"/>
        <v>2.3818856034324125</v>
      </c>
      <c r="G26" s="877">
        <f t="shared" si="3"/>
        <v>1.9504050708942735</v>
      </c>
      <c r="H26" s="877">
        <f t="shared" si="3"/>
        <v>0</v>
      </c>
      <c r="I26" s="877">
        <f t="shared" si="3"/>
        <v>0</v>
      </c>
      <c r="J26" s="877">
        <f t="shared" si="3"/>
        <v>0</v>
      </c>
      <c r="K26" s="877">
        <f t="shared" si="3"/>
        <v>0</v>
      </c>
      <c r="L26" s="877">
        <f t="shared" si="3"/>
        <v>-0.40848446464444998</v>
      </c>
      <c r="M26" s="877">
        <f t="shared" si="3"/>
        <v>0.19614687728238306</v>
      </c>
      <c r="N26" s="877">
        <f t="shared" si="3"/>
        <v>0.36575375190953097</v>
      </c>
      <c r="O26" s="877">
        <f t="shared" si="3"/>
        <v>5.4218069870779401E-2</v>
      </c>
      <c r="P26" s="877">
        <f t="shared" si="3"/>
        <v>5.9591331271200004E-2</v>
      </c>
      <c r="Q26" s="877">
        <f t="shared" si="3"/>
        <v>2.2176306365837166</v>
      </c>
      <c r="R26" s="877">
        <f t="shared" si="3"/>
        <v>0.05</v>
      </c>
      <c r="S26" s="877">
        <f t="shared" si="3"/>
        <v>6.2198142420000012E-2</v>
      </c>
      <c r="T26" s="18"/>
      <c r="U26" s="879"/>
      <c r="V26" s="877"/>
      <c r="W26" s="886"/>
      <c r="X26" s="877"/>
      <c r="Y26" s="879"/>
      <c r="Z26" s="877"/>
      <c r="AA26" s="886"/>
      <c r="AB26" s="877"/>
      <c r="AC26" s="879"/>
      <c r="AD26" s="877"/>
      <c r="AE26" s="886"/>
      <c r="AF26" s="877"/>
      <c r="AG26" s="879"/>
      <c r="AH26" s="877"/>
      <c r="AI26" s="886"/>
      <c r="AJ26" s="877"/>
      <c r="AK26" s="879"/>
      <c r="AL26" s="877"/>
      <c r="AM26" s="886"/>
      <c r="AN26" s="877"/>
      <c r="AO26" s="879"/>
      <c r="AP26" s="877"/>
      <c r="AQ26" s="886"/>
      <c r="AR26" s="877"/>
      <c r="AS26" s="879"/>
      <c r="AT26" s="877"/>
      <c r="AU26" s="886"/>
      <c r="AV26" s="877"/>
      <c r="AW26" s="879"/>
      <c r="AX26" s="877"/>
      <c r="AY26" s="886"/>
      <c r="AZ26" s="877"/>
      <c r="BA26" s="879"/>
      <c r="BB26" s="886"/>
    </row>
    <row r="27" spans="1:402">
      <c r="A27" s="195"/>
      <c r="B27" s="50"/>
      <c r="C27" s="174" t="s">
        <v>318</v>
      </c>
      <c r="D27" s="928">
        <f t="shared" ref="D27:G29" si="4">$B$30*D32+$B$35*D37+$B$40*D42</f>
        <v>0.20592667833737968</v>
      </c>
      <c r="E27" s="877">
        <f t="shared" si="4"/>
        <v>0.20592667833737968</v>
      </c>
      <c r="F27" s="878">
        <f t="shared" si="4"/>
        <v>0.21052782715827184</v>
      </c>
      <c r="G27" s="877">
        <f t="shared" si="4"/>
        <v>0</v>
      </c>
      <c r="H27" s="877">
        <f t="shared" ref="H27:S27" si="5">$B$30*H32+$B$35*H37+$B$40*H42</f>
        <v>0</v>
      </c>
      <c r="I27" s="877">
        <f t="shared" si="5"/>
        <v>1.2346005386615282E-2</v>
      </c>
      <c r="J27" s="877">
        <f t="shared" si="5"/>
        <v>0</v>
      </c>
      <c r="K27" s="877">
        <f t="shared" si="5"/>
        <v>0.19358067295076439</v>
      </c>
      <c r="L27" s="877">
        <f t="shared" si="5"/>
        <v>0</v>
      </c>
      <c r="M27" s="877">
        <f t="shared" si="5"/>
        <v>0</v>
      </c>
      <c r="N27" s="877">
        <f t="shared" si="5"/>
        <v>0</v>
      </c>
      <c r="O27" s="877">
        <f t="shared" si="5"/>
        <v>0</v>
      </c>
      <c r="P27" s="877">
        <f t="shared" si="5"/>
        <v>0</v>
      </c>
      <c r="Q27" s="877">
        <f t="shared" si="5"/>
        <v>0.20592667833737968</v>
      </c>
      <c r="R27" s="877">
        <f t="shared" si="5"/>
        <v>0</v>
      </c>
      <c r="S27" s="877">
        <f t="shared" si="5"/>
        <v>0</v>
      </c>
      <c r="T27" s="18"/>
      <c r="U27" s="879"/>
      <c r="V27" s="877"/>
      <c r="W27" s="886"/>
      <c r="X27" s="877"/>
      <c r="Y27" s="879"/>
      <c r="Z27" s="877"/>
      <c r="AA27" s="886"/>
      <c r="AB27" s="877"/>
      <c r="AC27" s="879"/>
      <c r="AD27" s="877"/>
      <c r="AE27" s="886"/>
      <c r="AF27" s="877"/>
      <c r="AG27" s="879"/>
      <c r="AH27" s="877"/>
      <c r="AI27" s="886"/>
      <c r="AJ27" s="877"/>
      <c r="AK27" s="879"/>
      <c r="AL27" s="877"/>
      <c r="AM27" s="886"/>
      <c r="AN27" s="877"/>
      <c r="AO27" s="879"/>
      <c r="AP27" s="877"/>
      <c r="AQ27" s="886"/>
      <c r="AR27" s="877"/>
      <c r="AS27" s="879"/>
      <c r="AT27" s="877"/>
      <c r="AU27" s="886"/>
      <c r="AV27" s="877"/>
      <c r="AW27" s="879"/>
      <c r="AX27" s="877"/>
      <c r="AY27" s="886"/>
      <c r="AZ27" s="877"/>
      <c r="BA27" s="879"/>
      <c r="BB27" s="886"/>
    </row>
    <row r="28" spans="1:402">
      <c r="A28" s="195"/>
      <c r="B28" s="50"/>
      <c r="C28" s="174" t="s">
        <v>319</v>
      </c>
      <c r="D28" s="928">
        <f t="shared" si="4"/>
        <v>0</v>
      </c>
      <c r="E28" s="877">
        <f t="shared" si="4"/>
        <v>2.0998655024987737E-3</v>
      </c>
      <c r="F28" s="878">
        <f t="shared" si="4"/>
        <v>2.1467841133308531E-3</v>
      </c>
      <c r="G28" s="877">
        <f t="shared" si="4"/>
        <v>2.0848774911336283E-3</v>
      </c>
      <c r="H28" s="877">
        <f t="shared" ref="H28:S28" si="6">$B$30*H33+$B$35*H38+$B$40*H43</f>
        <v>0</v>
      </c>
      <c r="I28" s="877">
        <f t="shared" si="6"/>
        <v>0</v>
      </c>
      <c r="J28" s="877">
        <f t="shared" si="6"/>
        <v>0</v>
      </c>
      <c r="K28" s="877">
        <f t="shared" si="6"/>
        <v>0</v>
      </c>
      <c r="L28" s="877">
        <f t="shared" si="6"/>
        <v>0</v>
      </c>
      <c r="M28" s="877">
        <f t="shared" si="6"/>
        <v>0</v>
      </c>
      <c r="N28" s="877">
        <f t="shared" si="6"/>
        <v>0</v>
      </c>
      <c r="O28" s="877">
        <f t="shared" si="6"/>
        <v>1.4988011365145596E-5</v>
      </c>
      <c r="P28" s="877">
        <f t="shared" si="6"/>
        <v>0</v>
      </c>
      <c r="Q28" s="877">
        <f t="shared" si="6"/>
        <v>2.0998655024987737E-3</v>
      </c>
      <c r="R28" s="877">
        <f t="shared" si="6"/>
        <v>0</v>
      </c>
      <c r="S28" s="877">
        <f t="shared" si="6"/>
        <v>0</v>
      </c>
      <c r="T28" s="18"/>
      <c r="U28" s="879"/>
      <c r="V28" s="877"/>
      <c r="W28" s="886"/>
      <c r="X28" s="877"/>
      <c r="Y28" s="879"/>
      <c r="Z28" s="877"/>
      <c r="AA28" s="886"/>
      <c r="AB28" s="877"/>
      <c r="AC28" s="879"/>
      <c r="AD28" s="877"/>
      <c r="AE28" s="886"/>
      <c r="AF28" s="877"/>
      <c r="AG28" s="879"/>
      <c r="AH28" s="877"/>
      <c r="AI28" s="886"/>
      <c r="AJ28" s="877"/>
      <c r="AK28" s="879"/>
      <c r="AL28" s="877"/>
      <c r="AM28" s="886"/>
      <c r="AN28" s="877"/>
      <c r="AO28" s="879"/>
      <c r="AP28" s="877"/>
      <c r="AQ28" s="886"/>
      <c r="AR28" s="877"/>
      <c r="AS28" s="879"/>
      <c r="AT28" s="877"/>
      <c r="AU28" s="886"/>
      <c r="AV28" s="877"/>
      <c r="AW28" s="879"/>
      <c r="AX28" s="877"/>
      <c r="AY28" s="886"/>
      <c r="AZ28" s="877"/>
      <c r="BA28" s="879"/>
      <c r="BB28" s="886"/>
    </row>
    <row r="29" spans="1:402" ht="24" customHeight="1">
      <c r="A29" s="195"/>
      <c r="B29" s="54"/>
      <c r="C29" s="55" t="s">
        <v>320</v>
      </c>
      <c r="D29" s="928">
        <f t="shared" si="4"/>
        <v>7.8680116944550953E-3</v>
      </c>
      <c r="E29" s="877">
        <f t="shared" si="4"/>
        <v>9.8424021931906233E-3</v>
      </c>
      <c r="F29" s="878">
        <f t="shared" si="4"/>
        <v>1.0062317153270495E-2</v>
      </c>
      <c r="G29" s="877">
        <f t="shared" si="4"/>
        <v>1.9729932830093774E-3</v>
      </c>
      <c r="H29" s="877">
        <f t="shared" ref="H29:S29" si="7">$B$30*H34+$B$35*H39+$B$40*H44</f>
        <v>4.986931775075097E-3</v>
      </c>
      <c r="I29" s="877">
        <f t="shared" si="7"/>
        <v>2.6842231077988531E-3</v>
      </c>
      <c r="J29" s="877">
        <f t="shared" si="7"/>
        <v>1.9685681158114476E-4</v>
      </c>
      <c r="K29" s="877">
        <f t="shared" si="7"/>
        <v>0</v>
      </c>
      <c r="L29" s="877">
        <f t="shared" si="7"/>
        <v>0</v>
      </c>
      <c r="M29" s="877">
        <f t="shared" si="7"/>
        <v>0</v>
      </c>
      <c r="N29" s="877">
        <f t="shared" si="7"/>
        <v>0</v>
      </c>
      <c r="O29" s="877">
        <f t="shared" si="7"/>
        <v>1.397215726150795E-6</v>
      </c>
      <c r="P29" s="877">
        <f t="shared" si="7"/>
        <v>0</v>
      </c>
      <c r="Q29" s="877">
        <f t="shared" si="7"/>
        <v>9.8424021931906233E-3</v>
      </c>
      <c r="R29" s="877">
        <f t="shared" si="7"/>
        <v>0</v>
      </c>
      <c r="S29" s="877">
        <f t="shared" si="7"/>
        <v>0</v>
      </c>
      <c r="T29" s="18"/>
      <c r="U29" s="879"/>
      <c r="V29" s="877"/>
      <c r="W29" s="886"/>
      <c r="X29" s="877"/>
      <c r="Y29" s="879"/>
      <c r="Z29" s="877"/>
      <c r="AA29" s="886"/>
      <c r="AB29" s="877"/>
      <c r="AC29" s="879"/>
      <c r="AD29" s="877"/>
      <c r="AE29" s="886"/>
      <c r="AF29" s="877"/>
      <c r="AG29" s="879"/>
      <c r="AH29" s="877"/>
      <c r="AI29" s="886"/>
      <c r="AJ29" s="877"/>
      <c r="AK29" s="879"/>
      <c r="AL29" s="877"/>
      <c r="AM29" s="886"/>
      <c r="AN29" s="877"/>
      <c r="AO29" s="879"/>
      <c r="AP29" s="877"/>
      <c r="AQ29" s="886"/>
      <c r="AR29" s="877"/>
      <c r="AS29" s="879"/>
      <c r="AT29" s="877"/>
      <c r="AU29" s="886"/>
      <c r="AV29" s="877"/>
      <c r="AW29" s="879"/>
      <c r="AX29" s="877"/>
      <c r="AY29" s="886"/>
      <c r="AZ29" s="877"/>
      <c r="BA29" s="879"/>
      <c r="BB29" s="886"/>
    </row>
    <row r="30" spans="1:402" s="12" customFormat="1">
      <c r="A30" s="108" t="s">
        <v>122</v>
      </c>
      <c r="B30" s="390">
        <f>'Input data dairy products'!C6</f>
        <v>0.83900928789999996</v>
      </c>
      <c r="C30" s="355" t="s">
        <v>316</v>
      </c>
      <c r="D30" s="930">
        <f>SUMPRODUCT($BH$6:$BH$9,D31:D34)</f>
        <v>7.4956499203334257</v>
      </c>
      <c r="E30" s="872">
        <f>SUMPRODUCT($BH$6:$BH$9,E31:E34)</f>
        <v>10.303997236312153</v>
      </c>
      <c r="F30" s="873">
        <f>SUMPRODUCT($BH$6:$BH$9,F31:F34)</f>
        <v>10.665085887918373</v>
      </c>
      <c r="G30" s="884"/>
      <c r="H30" s="884"/>
      <c r="I30" s="884"/>
      <c r="J30" s="884"/>
      <c r="K30" s="884"/>
      <c r="L30" s="884"/>
      <c r="M30" s="884"/>
      <c r="N30" s="884"/>
      <c r="O30" s="884"/>
      <c r="P30" s="884"/>
      <c r="Q30" s="884"/>
      <c r="R30" s="884"/>
      <c r="S30" s="884"/>
      <c r="T30" s="18"/>
      <c r="U30" s="1220">
        <f>U$19*'Input data dairy products'!$D6*'Common input data'!$D$53</f>
        <v>22.876045914094156</v>
      </c>
      <c r="V30" s="877">
        <f>U30+U30*'Common input data'!$B$146</f>
        <v>23.376008760360452</v>
      </c>
      <c r="W30" s="886">
        <f>V30+V30*'Common input data'!$B$181</f>
        <v>25.012329373585686</v>
      </c>
      <c r="X30" s="877"/>
      <c r="Y30" s="1220">
        <f>Y$19*'Input data dairy products'!$D6*'Common input data'!$D$53</f>
        <v>25.215261041920368</v>
      </c>
      <c r="Z30" s="877">
        <f>Y30+Y30*'Common input data'!$B$146</f>
        <v>25.766348136569846</v>
      </c>
      <c r="AA30" s="886">
        <f>Z30+Z30*'Common input data'!$B$181</f>
        <v>27.569992506129736</v>
      </c>
      <c r="AB30" s="877"/>
      <c r="AC30" s="1220">
        <f>AC$19*'Input data dairy products'!$D6*'Common input data'!$D$53</f>
        <v>0.53626574647785519</v>
      </c>
      <c r="AD30" s="877">
        <f>AC30+AC30*'Common input data'!$B$146</f>
        <v>0.54798599524685254</v>
      </c>
      <c r="AE30" s="886">
        <f>AD30+AD30*'Common input data'!$B$181</f>
        <v>0.58634501491413227</v>
      </c>
      <c r="AF30" s="877"/>
      <c r="AG30" s="1220">
        <f>AG$19*'Input data dairy products'!$D6*'Common input data'!$D$53</f>
        <v>1.7847430302129035E-2</v>
      </c>
      <c r="AH30" s="877">
        <f>AG30+AG30*'Common input data'!$B$146</f>
        <v>1.8237491245611151E-2</v>
      </c>
      <c r="AI30" s="886">
        <f>AH30+AH30*'Common input data'!$B$181</f>
        <v>1.9514115632803933E-2</v>
      </c>
      <c r="AJ30" s="877"/>
      <c r="AK30" s="1220">
        <f>AK$19*'Input data dairy products'!$D6*'Common input data'!$D$53</f>
        <v>5.1657439282769314E-2</v>
      </c>
      <c r="AL30" s="877">
        <f>AK30+AK30*'Common input data'!$B$146</f>
        <v>5.2786428115526016E-2</v>
      </c>
      <c r="AM30" s="886">
        <f>AL30+AL30*'Common input data'!$B$181</f>
        <v>5.6481478083612841E-2</v>
      </c>
      <c r="AN30" s="877"/>
      <c r="AO30" s="1220">
        <f>(AO$19*'Input data dairy products'!$D6*'Common input data'!$D$53)/$AP$2</f>
        <v>6.5393529146475129E-10</v>
      </c>
      <c r="AP30" s="877">
        <f>AO30+AO30*'Common input data'!$B$146</f>
        <v>6.6822724344030071E-10</v>
      </c>
      <c r="AQ30" s="886">
        <f>AP30+AP30*'Common input data'!$B$181</f>
        <v>7.1500315048112173E-10</v>
      </c>
      <c r="AR30" s="877"/>
      <c r="AS30" s="1220">
        <f>AS$19*'Input data dairy products'!$D6*'Common input data'!$D$53</f>
        <v>1.1367539867376199E-3</v>
      </c>
      <c r="AT30" s="877">
        <f>AS30+AS30*'Common input data'!$B$146</f>
        <v>1.1615980861439663E-3</v>
      </c>
      <c r="AU30" s="886">
        <f>AT30+AT30*'Common input data'!$B$181</f>
        <v>1.242909952174044E-3</v>
      </c>
      <c r="AV30" s="877"/>
      <c r="AW30" s="1220">
        <f>AW$19*'Input data dairy products'!$D6*'Common input data'!$D$53</f>
        <v>4.4559966671228655E-2</v>
      </c>
      <c r="AX30" s="877">
        <f>AW30+AW30*'Common input data'!$B$146</f>
        <v>4.5533838110818348E-2</v>
      </c>
      <c r="AY30" s="886">
        <f>AX30+AX30*'Common input data'!$B$181</f>
        <v>4.8721206778575631E-2</v>
      </c>
      <c r="AZ30" s="877"/>
      <c r="BA30" s="879">
        <f>'Common input data'!C202+'Common input data'!C202*'Common input data'!$B$146</f>
        <v>0.14632967895999996</v>
      </c>
      <c r="BB30" s="886">
        <f>BA30+BA30*'Common input data'!$B$181</f>
        <v>0.15657275648719995</v>
      </c>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row>
    <row r="31" spans="1:402">
      <c r="A31" s="68"/>
      <c r="C31" s="174" t="s">
        <v>317</v>
      </c>
      <c r="D31" s="928">
        <f>IF(AND($F$2="No",$F$3="No"),SUM(H31:K31),IF(AND($F$2="Yes", $F$3="No"), SUM(H31:K31)+M31, IF(AND($F$2="No", $F$3="Yes"),SUM(H31:K31)+L31, SUM(H31:K31)+M31+L31)))</f>
        <v>-0.21233758736206693</v>
      </c>
      <c r="E31" s="877">
        <f>IF(AND($F$2="No",$F$3="No"),SUM(G31:K31,N31:O31),IF(AND($F$2="Yes",$F$3="No"), SUM(G31:K31,N31:O31)+M31, IF(AND($F$2="No", $F$3="Yes"),SUM(G31:K31,N31:O31)+L31, SUM(G31:K31,N31:O31)+M31+L31)))</f>
        <v>1.9947471031282853</v>
      </c>
      <c r="F31" s="878">
        <f>SUM(Q31:S31)/(1-'Common input data'!B$146)</f>
        <v>2.170176971902301</v>
      </c>
      <c r="G31" s="877">
        <f>'Input data dairy products'!$D$6*G9*'Common input data'!D$53</f>
        <v>1.9504050708942735</v>
      </c>
      <c r="H31" s="877">
        <f>'Input data dairy products'!$D$6*H9*'Common input data'!D$53</f>
        <v>0</v>
      </c>
      <c r="I31" s="877">
        <f>'Input data dairy products'!$D$6*I9*'Common input data'!D$53</f>
        <v>0</v>
      </c>
      <c r="J31" s="877">
        <f>'Input data dairy products'!$D$6*J9*'Common input data'!D$53</f>
        <v>0</v>
      </c>
      <c r="K31" s="877">
        <f>'Input data dairy products'!$D$6*K9*'Common input data'!D$53</f>
        <v>0</v>
      </c>
      <c r="L31" s="877">
        <f>'Input data dairy products'!$D$6*L9*'Common input data'!D$53</f>
        <v>-0.40848446464444998</v>
      </c>
      <c r="M31" s="877">
        <f>'Input data dairy products'!$D$6*M9*'Common input data'!D$53</f>
        <v>0.19614687728238306</v>
      </c>
      <c r="N31" s="877">
        <f>'Input data dairy products'!$D$6*N9*'Common input data'!D$53</f>
        <v>0.22354245936787398</v>
      </c>
      <c r="O31" s="877">
        <f>'Input data dairy products'!$D$6*O9*'Common input data'!D$53</f>
        <v>3.3137160228204968E-2</v>
      </c>
      <c r="P31" s="877">
        <f>'Input data dairy products'!C$29*'Common input data'!D$53</f>
        <v>4.8000000000000001E-2</v>
      </c>
      <c r="Q31" s="877">
        <f>IF(AND($F$2="No",$F$3="No"),SUM(G31:K31,N31:P31),IF(AND($F$2="Yes",$F$3="No"), SUM(G31:K31,N31:P31)+M31, IF(AND($F$2="No", $F$3="Yes"),SUM(G31:K31,N31:P31)+L31, SUM(G31:K31,N31:P31)+M31+L31)))</f>
        <v>2.0427471031282853</v>
      </c>
      <c r="R31" s="877">
        <f>'Common input data'!B$108</f>
        <v>0.05</v>
      </c>
      <c r="S31" s="877">
        <f>'Common input data'!C$115</f>
        <v>0.03</v>
      </c>
      <c r="T31" s="18"/>
      <c r="U31" s="879"/>
      <c r="V31" s="877"/>
      <c r="W31" s="886"/>
      <c r="X31" s="877"/>
      <c r="Y31" s="879"/>
      <c r="Z31" s="877"/>
      <c r="AA31" s="886"/>
      <c r="AB31" s="877"/>
      <c r="AC31" s="879"/>
      <c r="AD31" s="877"/>
      <c r="AE31" s="886"/>
      <c r="AF31" s="877"/>
      <c r="AG31" s="879"/>
      <c r="AH31" s="877"/>
      <c r="AI31" s="886"/>
      <c r="AJ31" s="877"/>
      <c r="AK31" s="879"/>
      <c r="AL31" s="877"/>
      <c r="AM31" s="886"/>
      <c r="AN31" s="877"/>
      <c r="AO31" s="879"/>
      <c r="AP31" s="877"/>
      <c r="AQ31" s="886"/>
      <c r="AR31" s="877"/>
      <c r="AS31" s="879"/>
      <c r="AT31" s="877"/>
      <c r="AU31" s="886"/>
      <c r="AV31" s="877"/>
      <c r="AW31" s="879"/>
      <c r="AX31" s="877"/>
      <c r="AY31" s="886"/>
      <c r="AZ31" s="877"/>
      <c r="BA31" s="879"/>
      <c r="BB31" s="886"/>
    </row>
    <row r="32" spans="1:402">
      <c r="A32" s="68"/>
      <c r="B32" s="50"/>
      <c r="C32" s="174" t="s">
        <v>318</v>
      </c>
      <c r="D32" s="928">
        <f>SUM(H32:K32)</f>
        <v>0.20592667833737968</v>
      </c>
      <c r="E32" s="877">
        <f>SUM(G32:K32,N32:O32)</f>
        <v>0.20592667833737968</v>
      </c>
      <c r="F32" s="878">
        <f>SUM(Q32:S32)/(1-'Common input data'!B$146)</f>
        <v>0.21052782715827181</v>
      </c>
      <c r="G32" s="877">
        <v>0</v>
      </c>
      <c r="H32" s="877">
        <v>0</v>
      </c>
      <c r="I32" s="877">
        <f>'Input data dairy products'!$D$6*I10*'Common input data'!D$53</f>
        <v>1.2346005386615283E-2</v>
      </c>
      <c r="J32" s="877">
        <f>'Input data dairy products'!$D$6*J10*'Common input data'!D$53</f>
        <v>0</v>
      </c>
      <c r="K32" s="877">
        <f>'Input data dairy products'!$D$6*K10*'Common input data'!D$53</f>
        <v>0.19358067295076439</v>
      </c>
      <c r="L32" s="877">
        <f>'Input data dairy products'!$D$6*L10*'Common input data'!D$53</f>
        <v>0</v>
      </c>
      <c r="M32" s="877">
        <f>'Input data dairy products'!$D$6*M10*'Common input data'!D$53</f>
        <v>0</v>
      </c>
      <c r="N32" s="877">
        <f>'Input data dairy products'!$D$6*N10*'Common input data'!D$53</f>
        <v>0</v>
      </c>
      <c r="O32" s="877">
        <v>0</v>
      </c>
      <c r="P32" s="877">
        <v>0</v>
      </c>
      <c r="Q32" s="877">
        <f>SUM(G32:P32)</f>
        <v>0.20592667833737968</v>
      </c>
      <c r="R32" s="877">
        <v>0</v>
      </c>
      <c r="S32" s="877">
        <v>0</v>
      </c>
      <c r="T32" s="18"/>
      <c r="U32" s="879"/>
      <c r="V32" s="877"/>
      <c r="W32" s="886"/>
      <c r="X32" s="877"/>
      <c r="Y32" s="879"/>
      <c r="Z32" s="877"/>
      <c r="AA32" s="886"/>
      <c r="AB32" s="877"/>
      <c r="AC32" s="879"/>
      <c r="AD32" s="877"/>
      <c r="AE32" s="886"/>
      <c r="AF32" s="877"/>
      <c r="AG32" s="879"/>
      <c r="AH32" s="877"/>
      <c r="AI32" s="886"/>
      <c r="AJ32" s="877"/>
      <c r="AK32" s="879"/>
      <c r="AL32" s="877"/>
      <c r="AM32" s="886"/>
      <c r="AN32" s="877"/>
      <c r="AO32" s="879"/>
      <c r="AP32" s="877"/>
      <c r="AQ32" s="886"/>
      <c r="AR32" s="877"/>
      <c r="AS32" s="879"/>
      <c r="AT32" s="877"/>
      <c r="AU32" s="886"/>
      <c r="AV32" s="877"/>
      <c r="AW32" s="879"/>
      <c r="AX32" s="877"/>
      <c r="AY32" s="886"/>
      <c r="AZ32" s="877"/>
      <c r="BA32" s="879"/>
      <c r="BB32" s="886"/>
    </row>
    <row r="33" spans="1:290">
      <c r="A33" s="68"/>
      <c r="B33" s="50"/>
      <c r="C33" s="174" t="s">
        <v>319</v>
      </c>
      <c r="D33" s="928">
        <f>SUM(H33:K33)</f>
        <v>0</v>
      </c>
      <c r="E33" s="877">
        <f>SUM(G33:K33,N33:O33)</f>
        <v>2.0940379082287535E-3</v>
      </c>
      <c r="F33" s="878">
        <f>SUM(Q33:S33)/(1-'Common input data'!B$146)</f>
        <v>2.1408263094701151E-3</v>
      </c>
      <c r="G33" s="877">
        <f>'Input data dairy products'!$D$6*G11*'Common input data'!D$53</f>
        <v>2.0848774911336283E-3</v>
      </c>
      <c r="H33" s="877">
        <f>'Input data dairy products'!$D$6*H10*'Common input data'!D$53</f>
        <v>0</v>
      </c>
      <c r="I33" s="877">
        <v>0</v>
      </c>
      <c r="J33" s="877">
        <v>0</v>
      </c>
      <c r="K33" s="877">
        <v>0</v>
      </c>
      <c r="L33" s="877">
        <v>0</v>
      </c>
      <c r="M33" s="877">
        <v>0</v>
      </c>
      <c r="N33" s="877">
        <v>0</v>
      </c>
      <c r="O33" s="877">
        <f>'Input data dairy products'!$D$6*O11*'Common input data'!D$53</f>
        <v>9.1604170951253197E-6</v>
      </c>
      <c r="P33" s="877">
        <v>0</v>
      </c>
      <c r="Q33" s="877">
        <f>SUM(G33:P33)</f>
        <v>2.0940379082287535E-3</v>
      </c>
      <c r="R33" s="877">
        <v>0</v>
      </c>
      <c r="S33" s="877">
        <v>0</v>
      </c>
      <c r="T33" s="18"/>
      <c r="U33" s="879"/>
      <c r="V33" s="877"/>
      <c r="W33" s="886"/>
      <c r="X33" s="877"/>
      <c r="Y33" s="879"/>
      <c r="Z33" s="877"/>
      <c r="AA33" s="886"/>
      <c r="AB33" s="877"/>
      <c r="AC33" s="879"/>
      <c r="AD33" s="877"/>
      <c r="AE33" s="886"/>
      <c r="AF33" s="877"/>
      <c r="AG33" s="879"/>
      <c r="AH33" s="877"/>
      <c r="AI33" s="886"/>
      <c r="AJ33" s="877"/>
      <c r="AK33" s="879"/>
      <c r="AL33" s="877"/>
      <c r="AM33" s="886"/>
      <c r="AN33" s="877"/>
      <c r="AO33" s="879"/>
      <c r="AP33" s="877"/>
      <c r="AQ33" s="886"/>
      <c r="AR33" s="877"/>
      <c r="AS33" s="879"/>
      <c r="AT33" s="877"/>
      <c r="AU33" s="886"/>
      <c r="AV33" s="877"/>
      <c r="AW33" s="879"/>
      <c r="AX33" s="877"/>
      <c r="AY33" s="886"/>
      <c r="AZ33" s="877"/>
      <c r="BA33" s="879"/>
      <c r="BB33" s="886"/>
    </row>
    <row r="34" spans="1:290">
      <c r="A34" s="359"/>
      <c r="B34" s="54"/>
      <c r="C34" s="55" t="s">
        <v>320</v>
      </c>
      <c r="D34" s="928">
        <f>SUM(H34:K34)</f>
        <v>7.8680116944550953E-3</v>
      </c>
      <c r="E34" s="877">
        <f>SUM(G34:K34,N34:O34)</f>
        <v>9.8418589319025623E-3</v>
      </c>
      <c r="F34" s="878">
        <f>SUM(Q34:S34)/(1-'Common input data'!B$146)</f>
        <v>1.0061761753555032E-2</v>
      </c>
      <c r="G34" s="877">
        <f>'Input data dairy products'!$D$6*G12*'Common input data'!D$53</f>
        <v>1.9729932830093774E-3</v>
      </c>
      <c r="H34" s="877">
        <f>'Input data dairy products'!$D$6*H12*'Common input data'!D$53</f>
        <v>4.986931775075097E-3</v>
      </c>
      <c r="I34" s="877">
        <f>'Input data dairy products'!$D$6*I12*'Common input data'!D$53</f>
        <v>2.6842231077988531E-3</v>
      </c>
      <c r="J34" s="877">
        <f>'Input data dairy products'!$D$6*J12*'Common input data'!D$53</f>
        <v>1.9685681158114476E-4</v>
      </c>
      <c r="K34" s="877">
        <f>'Input data dairy products'!$D$6*K12*'Common input data'!D$53</f>
        <v>0</v>
      </c>
      <c r="L34" s="877">
        <f>'Input data dairy products'!$D$6*L12*'Common input data'!D$53</f>
        <v>0</v>
      </c>
      <c r="M34" s="877">
        <f>'Input data dairy products'!$D$6*M12*'Common input data'!D$53</f>
        <v>0</v>
      </c>
      <c r="N34" s="877">
        <f>'Input data dairy products'!$D$6*N12*'Common input data'!D$53</f>
        <v>0</v>
      </c>
      <c r="O34" s="877">
        <f>'Input data dairy products'!$D$6*O12*'Common input data'!D$53</f>
        <v>8.5395443809001588E-7</v>
      </c>
      <c r="P34" s="877">
        <v>0</v>
      </c>
      <c r="Q34" s="877">
        <f>SUM(G34:P34)</f>
        <v>9.8418589319025623E-3</v>
      </c>
      <c r="R34" s="877">
        <v>0</v>
      </c>
      <c r="S34" s="877">
        <v>0</v>
      </c>
      <c r="T34" s="18"/>
      <c r="U34" s="879"/>
      <c r="V34" s="877"/>
      <c r="W34" s="886"/>
      <c r="X34" s="877"/>
      <c r="Y34" s="879"/>
      <c r="Z34" s="877"/>
      <c r="AA34" s="886"/>
      <c r="AB34" s="877"/>
      <c r="AC34" s="879"/>
      <c r="AD34" s="877"/>
      <c r="AE34" s="886"/>
      <c r="AF34" s="877"/>
      <c r="AG34" s="879"/>
      <c r="AH34" s="877"/>
      <c r="AI34" s="886"/>
      <c r="AJ34" s="877"/>
      <c r="AK34" s="879"/>
      <c r="AL34" s="877"/>
      <c r="AM34" s="886"/>
      <c r="AN34" s="877"/>
      <c r="AO34" s="879"/>
      <c r="AP34" s="877"/>
      <c r="AQ34" s="886"/>
      <c r="AR34" s="877"/>
      <c r="AS34" s="879"/>
      <c r="AT34" s="877"/>
      <c r="AU34" s="886"/>
      <c r="AV34" s="877"/>
      <c r="AW34" s="879"/>
      <c r="AX34" s="877"/>
      <c r="AY34" s="886"/>
      <c r="AZ34" s="877"/>
      <c r="BA34" s="879"/>
      <c r="BB34" s="886"/>
    </row>
    <row r="35" spans="1:290" s="12" customFormat="1">
      <c r="A35" s="108" t="s">
        <v>176</v>
      </c>
      <c r="B35" s="390">
        <f>'Input data dairy products'!C7</f>
        <v>0</v>
      </c>
      <c r="C35" s="355" t="s">
        <v>316</v>
      </c>
      <c r="D35" s="930">
        <f>SUMPRODUCT($BH$6:$BH$9,D36:D39)</f>
        <v>7.4956499203334257</v>
      </c>
      <c r="E35" s="872">
        <f>SUMPRODUCT($BH$6:$BH$9,E36:E39)</f>
        <v>10.303997236312153</v>
      </c>
      <c r="F35" s="873">
        <f>SUMPRODUCT($BH$6:$BH$9,F36:F39)</f>
        <v>10.716203069251565</v>
      </c>
      <c r="G35" s="884"/>
      <c r="H35" s="884"/>
      <c r="I35" s="884"/>
      <c r="J35" s="884"/>
      <c r="K35" s="884"/>
      <c r="L35" s="884"/>
      <c r="M35" s="884"/>
      <c r="N35" s="884"/>
      <c r="O35" s="884"/>
      <c r="P35" s="884"/>
      <c r="Q35" s="884"/>
      <c r="R35" s="884"/>
      <c r="S35" s="884"/>
      <c r="T35" s="18"/>
      <c r="U35" s="1220">
        <f>U$19*'Input data dairy products'!$D7*'Common input data'!$D$53</f>
        <v>22.876045914094156</v>
      </c>
      <c r="V35" s="877">
        <f>U35+U35*'Common input data'!$B$146</f>
        <v>23.376008760360452</v>
      </c>
      <c r="W35" s="886">
        <f>V35+V35*'Common input data'!$B$181</f>
        <v>25.012329373585686</v>
      </c>
      <c r="X35" s="877"/>
      <c r="Y35" s="1220">
        <f>Y$19*'Input data dairy products'!$D7*'Common input data'!$D$53</f>
        <v>25.215261041920368</v>
      </c>
      <c r="Z35" s="877">
        <f>Y35+Y35*'Common input data'!$B$146</f>
        <v>25.766348136569846</v>
      </c>
      <c r="AA35" s="886">
        <f>Z35+Z35*'Common input data'!$B$181</f>
        <v>27.569992506129736</v>
      </c>
      <c r="AB35" s="877"/>
      <c r="AC35" s="1220">
        <f>AC$19*'Input data dairy products'!$D7*'Common input data'!$D$53</f>
        <v>0.53626574647785519</v>
      </c>
      <c r="AD35" s="877">
        <f>AC35+AC35*'Common input data'!$B$146</f>
        <v>0.54798599524685254</v>
      </c>
      <c r="AE35" s="886">
        <f>AD35+AD35*'Common input data'!$B$181</f>
        <v>0.58634501491413227</v>
      </c>
      <c r="AF35" s="877"/>
      <c r="AG35" s="1220">
        <f>AG$19*'Input data dairy products'!$D7*'Common input data'!$D$53</f>
        <v>1.7847430302129035E-2</v>
      </c>
      <c r="AH35" s="877">
        <f>AG35+AG35*'Common input data'!$B$146</f>
        <v>1.8237491245611151E-2</v>
      </c>
      <c r="AI35" s="886">
        <f>AH35+AH35*'Common input data'!$B$181</f>
        <v>1.9514115632803933E-2</v>
      </c>
      <c r="AJ35" s="877"/>
      <c r="AK35" s="1220">
        <f>AK$19*'Input data dairy products'!$D7*'Common input data'!$D$53</f>
        <v>5.1657439282769314E-2</v>
      </c>
      <c r="AL35" s="877">
        <f>AK35+AK35*'Common input data'!$B$146</f>
        <v>5.2786428115526016E-2</v>
      </c>
      <c r="AM35" s="886">
        <f>AL35+AL35*'Common input data'!$B$181</f>
        <v>5.6481478083612841E-2</v>
      </c>
      <c r="AN35" s="877"/>
      <c r="AO35" s="1220">
        <f>(AO$19*'Input data dairy products'!$D7*'Common input data'!$D$53)/$AP$2</f>
        <v>6.5393529146475129E-10</v>
      </c>
      <c r="AP35" s="877">
        <f>AO35+AO35*'Common input data'!$B$146</f>
        <v>6.6822724344030071E-10</v>
      </c>
      <c r="AQ35" s="886">
        <f>AP35+AP35*'Common input data'!$B$181</f>
        <v>7.1500315048112173E-10</v>
      </c>
      <c r="AR35" s="877"/>
      <c r="AS35" s="1220">
        <f>AS$19*'Input data dairy products'!$D7*'Common input data'!$D$53</f>
        <v>1.1367539867376199E-3</v>
      </c>
      <c r="AT35" s="877">
        <f>AS35+AS35*'Common input data'!$B$146</f>
        <v>1.1615980861439663E-3</v>
      </c>
      <c r="AU35" s="886">
        <f>AT35+AT35*'Common input data'!$B$181</f>
        <v>1.242909952174044E-3</v>
      </c>
      <c r="AV35" s="877"/>
      <c r="AW35" s="1220">
        <f>AW$19*'Input data dairy products'!$D7*'Common input data'!$D$53</f>
        <v>4.4559966671228655E-2</v>
      </c>
      <c r="AX35" s="877">
        <f>AW35+AW35*'Common input data'!$B$146</f>
        <v>4.5533838110818348E-2</v>
      </c>
      <c r="AY35" s="886">
        <f>AX35+AX35*'Common input data'!$B$181</f>
        <v>4.8721206778575631E-2</v>
      </c>
      <c r="AZ35" s="877"/>
      <c r="BA35" s="879">
        <f>('Common input data'!B204+'Common input data'!C204)+('Common input data'!B204+'Common input data'!C204)*'Common input data'!$B$146</f>
        <v>0.37215970025999989</v>
      </c>
      <c r="BB35" s="886">
        <f>BA35+BA35*'Common input data'!$B$181</f>
        <v>0.39821087927819987</v>
      </c>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row>
    <row r="36" spans="1:290">
      <c r="A36" s="68"/>
      <c r="C36" s="174" t="s">
        <v>317</v>
      </c>
      <c r="D36" s="928">
        <f>IF(AND($F$2="No",$F$3="No"),SUM(H36:K36),IF(AND($F$2="Yes", $F$3="No"), SUM(H36:K36)+M36, IF(AND($F$2="No", $F$3="Yes"),SUM(H36:K36)+L36, SUM(H36:K36)+M36+L36)))</f>
        <v>-0.21233758736206693</v>
      </c>
      <c r="E36" s="877">
        <f>IF(AND($F$2="No",$F$3="No"),SUM(G36:K36,N36:O36),IF(AND($F$2="Yes",$F$3="No"), SUM(G36:K36,N36:O36)+M36, IF(AND($F$2="No", $F$3="Yes"),SUM(G36:K36,N36:O36)+L36, SUM(G36:K36,N36:O36)+M36+L36)))</f>
        <v>1.9947471031282853</v>
      </c>
      <c r="F36" s="878">
        <f>SUM(Q36:S36)/(1-'Common input data'!B$146)</f>
        <v>2.2212941532354926</v>
      </c>
      <c r="G36" s="877">
        <f>'Input data dairy products'!$D$7*G9*'Common input data'!D$53</f>
        <v>1.9504050708942735</v>
      </c>
      <c r="H36" s="877">
        <f>'Input data dairy products'!$D$7*H9*'Common input data'!D$53</f>
        <v>0</v>
      </c>
      <c r="I36" s="877">
        <f>'Input data dairy products'!$D$7*I9*'Common input data'!D$53</f>
        <v>0</v>
      </c>
      <c r="J36" s="877">
        <f>'Input data dairy products'!$D$7*J9*'Common input data'!D$53</f>
        <v>0</v>
      </c>
      <c r="K36" s="877">
        <f>'Input data dairy products'!$D$7*K9*'Common input data'!D$53</f>
        <v>0</v>
      </c>
      <c r="L36" s="877">
        <f>'Input data dairy products'!$D$7*L9*'Common input data'!D$53</f>
        <v>-0.40848446464444998</v>
      </c>
      <c r="M36" s="877">
        <f>'Input data dairy products'!$D$7*M9*'Common input data'!D$53</f>
        <v>0.19614687728238306</v>
      </c>
      <c r="N36" s="877">
        <f>'Input data dairy products'!$D$7*N9*'Common input data'!D$53</f>
        <v>0.22354245936787398</v>
      </c>
      <c r="O36" s="877">
        <f>'Input data dairy products'!$D$7*O9*'Common input data'!D$53</f>
        <v>3.3137160228204968E-2</v>
      </c>
      <c r="P36" s="877">
        <f>'Input data dairy products'!C$29*'Common input data'!D$53</f>
        <v>4.8000000000000001E-2</v>
      </c>
      <c r="Q36" s="1185">
        <f>IF(AND($F$2="No",$F$3="No"),SUM(G36:K36,N36:P36),IF(AND($F$2="Yes",$F$3="No"), SUM(G36:K36,N36:P36)+M36, IF(AND($F$2="No", $F$3="Yes"),SUM(G36:K36,N36:P36)+L36, SUM(G36:K36,N36:P36)+M36+L36)))</f>
        <v>2.0427471031282853</v>
      </c>
      <c r="R36" s="877">
        <f>'Common input data'!B$108</f>
        <v>0.05</v>
      </c>
      <c r="S36" s="877">
        <f>'Common input data'!B$115+'Common input data'!C$115</f>
        <v>0.08</v>
      </c>
      <c r="T36" s="18"/>
      <c r="U36" s="879"/>
      <c r="V36" s="877"/>
      <c r="W36" s="886"/>
      <c r="X36" s="877"/>
      <c r="Y36" s="879"/>
      <c r="Z36" s="877"/>
      <c r="AA36" s="886"/>
      <c r="AB36" s="877"/>
      <c r="AC36" s="879"/>
      <c r="AD36" s="877"/>
      <c r="AE36" s="886"/>
      <c r="AF36" s="877"/>
      <c r="AG36" s="879"/>
      <c r="AH36" s="877"/>
      <c r="AI36" s="886"/>
      <c r="AJ36" s="877"/>
      <c r="AK36" s="879"/>
      <c r="AL36" s="877"/>
      <c r="AM36" s="886"/>
      <c r="AN36" s="877"/>
      <c r="AO36" s="879"/>
      <c r="AP36" s="877"/>
      <c r="AQ36" s="886"/>
      <c r="AR36" s="877"/>
      <c r="AS36" s="879"/>
      <c r="AT36" s="877"/>
      <c r="AU36" s="886"/>
      <c r="AV36" s="877"/>
      <c r="AW36" s="879"/>
      <c r="AX36" s="877"/>
      <c r="AY36" s="886"/>
      <c r="AZ36" s="877"/>
      <c r="BA36" s="879"/>
      <c r="BB36" s="886"/>
    </row>
    <row r="37" spans="1:290">
      <c r="A37" s="68"/>
      <c r="B37" s="55"/>
      <c r="C37" s="174" t="s">
        <v>318</v>
      </c>
      <c r="D37" s="928">
        <f>SUM(H37:K37)</f>
        <v>0.20592667833737968</v>
      </c>
      <c r="E37" s="877">
        <f>SUM(G37:K37,N37:O37)</f>
        <v>0.20592667833737968</v>
      </c>
      <c r="F37" s="878">
        <f>SUM(Q37:S37)/(1-'Common input data'!B$146)</f>
        <v>0.21052782715827181</v>
      </c>
      <c r="G37" s="877">
        <v>0</v>
      </c>
      <c r="H37" s="877">
        <f>'Input data dairy products'!$D$7*H10*'Common input data'!D$53</f>
        <v>0</v>
      </c>
      <c r="I37" s="877">
        <f>'Input data dairy products'!$D$7*I10*'Common input data'!D$53</f>
        <v>1.2346005386615283E-2</v>
      </c>
      <c r="J37" s="877">
        <f>'Input data dairy products'!$D$7*J10*'Common input data'!D$53</f>
        <v>0</v>
      </c>
      <c r="K37" s="877">
        <f>'Input data dairy products'!$D$7*K10*'Common input data'!D$53</f>
        <v>0.19358067295076439</v>
      </c>
      <c r="L37" s="877">
        <f>'Input data dairy products'!$D$7*L10*'Common input data'!D$53</f>
        <v>0</v>
      </c>
      <c r="M37" s="877">
        <f>'Input data dairy products'!$D$7*M10*'Common input data'!D$53</f>
        <v>0</v>
      </c>
      <c r="N37" s="877">
        <f>'Input data dairy products'!$D$7*N10*'Common input data'!D$53</f>
        <v>0</v>
      </c>
      <c r="O37" s="877">
        <v>0</v>
      </c>
      <c r="P37" s="877">
        <v>0</v>
      </c>
      <c r="Q37" s="877">
        <f>SUM(G37:P37)</f>
        <v>0.20592667833737968</v>
      </c>
      <c r="R37" s="877">
        <v>0</v>
      </c>
      <c r="S37" s="877">
        <v>0</v>
      </c>
      <c r="T37" s="18"/>
      <c r="U37" s="879"/>
      <c r="V37" s="877"/>
      <c r="W37" s="886"/>
      <c r="X37" s="877"/>
      <c r="Y37" s="879"/>
      <c r="Z37" s="877"/>
      <c r="AA37" s="886"/>
      <c r="AB37" s="877"/>
      <c r="AC37" s="879"/>
      <c r="AD37" s="877"/>
      <c r="AE37" s="886"/>
      <c r="AF37" s="877"/>
      <c r="AG37" s="879"/>
      <c r="AH37" s="877"/>
      <c r="AI37" s="886"/>
      <c r="AJ37" s="877"/>
      <c r="AK37" s="879"/>
      <c r="AL37" s="877"/>
      <c r="AM37" s="886"/>
      <c r="AN37" s="877"/>
      <c r="AO37" s="879"/>
      <c r="AP37" s="877"/>
      <c r="AQ37" s="886"/>
      <c r="AR37" s="877"/>
      <c r="AS37" s="879"/>
      <c r="AT37" s="877"/>
      <c r="AU37" s="886"/>
      <c r="AV37" s="877"/>
      <c r="AW37" s="879"/>
      <c r="AX37" s="877"/>
      <c r="AY37" s="886"/>
      <c r="AZ37" s="877"/>
      <c r="BA37" s="879"/>
      <c r="BB37" s="886"/>
    </row>
    <row r="38" spans="1:290">
      <c r="A38" s="68"/>
      <c r="B38" s="55"/>
      <c r="C38" s="174" t="s">
        <v>319</v>
      </c>
      <c r="D38" s="928">
        <f>SUM(H38:K38)</f>
        <v>0</v>
      </c>
      <c r="E38" s="877">
        <f>SUM(G38:K38,N38:O38)</f>
        <v>2.0940379082287535E-3</v>
      </c>
      <c r="F38" s="878">
        <f>SUM(Q38:S38)/(1-'Common input data'!B$146)</f>
        <v>2.1408263094701151E-3</v>
      </c>
      <c r="G38" s="877">
        <f>'Input data dairy products'!$D$7*G11*'Common input data'!D$53</f>
        <v>2.0848774911336283E-3</v>
      </c>
      <c r="H38" s="877">
        <v>0</v>
      </c>
      <c r="I38" s="877">
        <v>0</v>
      </c>
      <c r="J38" s="877">
        <v>0</v>
      </c>
      <c r="K38" s="877">
        <v>0</v>
      </c>
      <c r="L38" s="877">
        <f>'Input data dairy products'!$D$7*L11*'Common input data'!D$53</f>
        <v>0</v>
      </c>
      <c r="M38" s="877">
        <v>0</v>
      </c>
      <c r="N38" s="877">
        <v>0</v>
      </c>
      <c r="O38" s="877">
        <f>'Input data dairy products'!$D$7*O11*'Common input data'!D$53</f>
        <v>9.1604170951253197E-6</v>
      </c>
      <c r="P38" s="877">
        <v>0</v>
      </c>
      <c r="Q38" s="877">
        <f>SUM(G38:P38)</f>
        <v>2.0940379082287535E-3</v>
      </c>
      <c r="R38" s="877">
        <v>0</v>
      </c>
      <c r="S38" s="877">
        <v>0</v>
      </c>
      <c r="T38" s="18"/>
      <c r="U38" s="879"/>
      <c r="V38" s="877"/>
      <c r="W38" s="886"/>
      <c r="X38" s="877"/>
      <c r="Y38" s="879"/>
      <c r="Z38" s="877"/>
      <c r="AA38" s="886"/>
      <c r="AB38" s="877"/>
      <c r="AC38" s="879"/>
      <c r="AD38" s="877"/>
      <c r="AE38" s="886"/>
      <c r="AF38" s="877"/>
      <c r="AG38" s="879"/>
      <c r="AH38" s="877"/>
      <c r="AI38" s="886"/>
      <c r="AJ38" s="877"/>
      <c r="AK38" s="879"/>
      <c r="AL38" s="877"/>
      <c r="AM38" s="886"/>
      <c r="AN38" s="877"/>
      <c r="AO38" s="879"/>
      <c r="AP38" s="877"/>
      <c r="AQ38" s="886"/>
      <c r="AR38" s="877"/>
      <c r="AS38" s="879"/>
      <c r="AT38" s="877"/>
      <c r="AU38" s="886"/>
      <c r="AV38" s="877"/>
      <c r="AW38" s="879"/>
      <c r="AX38" s="877"/>
      <c r="AY38" s="886"/>
      <c r="AZ38" s="877"/>
      <c r="BA38" s="879"/>
      <c r="BB38" s="886"/>
    </row>
    <row r="39" spans="1:290">
      <c r="A39" s="68"/>
      <c r="B39" s="54"/>
      <c r="C39" s="55" t="s">
        <v>320</v>
      </c>
      <c r="D39" s="928">
        <f>SUM(H39:K39)</f>
        <v>7.8680116944550953E-3</v>
      </c>
      <c r="E39" s="877">
        <f>SUM(G39:K39,N39:O39)</f>
        <v>9.8418589319025623E-3</v>
      </c>
      <c r="F39" s="878">
        <f>SUM(Q39:S39)/(1-'Common input data'!B$146)</f>
        <v>1.0061761753555032E-2</v>
      </c>
      <c r="G39" s="877">
        <f>'Input data dairy products'!$D$7*G12*'Common input data'!D$53</f>
        <v>1.9729932830093774E-3</v>
      </c>
      <c r="H39" s="877">
        <f>'Input data dairy products'!$D$7*H12*'Common input data'!D$53</f>
        <v>4.986931775075097E-3</v>
      </c>
      <c r="I39" s="877">
        <f>'Input data dairy products'!$D$7*I12*'Common input data'!D$53</f>
        <v>2.6842231077988531E-3</v>
      </c>
      <c r="J39" s="877">
        <f>'Input data dairy products'!$D$7*J12*'Common input data'!D$53</f>
        <v>1.9685681158114476E-4</v>
      </c>
      <c r="K39" s="877">
        <f>'Input data dairy products'!$D$7*K12*'Common input data'!D$53</f>
        <v>0</v>
      </c>
      <c r="L39" s="877">
        <f>'Input data dairy products'!$D$7*L12*'Common input data'!D$53</f>
        <v>0</v>
      </c>
      <c r="M39" s="877">
        <f>'Input data dairy products'!$D$7*M12*'Common input data'!D$53</f>
        <v>0</v>
      </c>
      <c r="N39" s="877">
        <f>'Input data dairy products'!$D$7*N12*'Common input data'!D$53</f>
        <v>0</v>
      </c>
      <c r="O39" s="877">
        <f>'Input data dairy products'!$D$7*O12*'Common input data'!D$53</f>
        <v>8.5395443809001588E-7</v>
      </c>
      <c r="P39" s="877">
        <v>0</v>
      </c>
      <c r="Q39" s="877">
        <f>SUM(G39:P39)</f>
        <v>9.8418589319025623E-3</v>
      </c>
      <c r="R39" s="1187">
        <v>0</v>
      </c>
      <c r="S39" s="877">
        <v>0</v>
      </c>
      <c r="T39" s="18"/>
      <c r="U39" s="879"/>
      <c r="V39" s="877"/>
      <c r="W39" s="886"/>
      <c r="X39" s="877"/>
      <c r="Y39" s="879"/>
      <c r="Z39" s="877"/>
      <c r="AA39" s="886"/>
      <c r="AB39" s="877"/>
      <c r="AC39" s="879"/>
      <c r="AD39" s="877"/>
      <c r="AE39" s="886"/>
      <c r="AF39" s="877"/>
      <c r="AG39" s="879"/>
      <c r="AH39" s="877"/>
      <c r="AI39" s="886"/>
      <c r="AJ39" s="877"/>
      <c r="AK39" s="879"/>
      <c r="AL39" s="877"/>
      <c r="AM39" s="886"/>
      <c r="AN39" s="877"/>
      <c r="AO39" s="879"/>
      <c r="AP39" s="877"/>
      <c r="AQ39" s="886"/>
      <c r="AR39" s="877"/>
      <c r="AS39" s="879"/>
      <c r="AT39" s="877"/>
      <c r="AU39" s="886"/>
      <c r="AV39" s="877"/>
      <c r="AW39" s="879"/>
      <c r="AX39" s="877"/>
      <c r="AY39" s="886"/>
      <c r="AZ39" s="877"/>
      <c r="BA39" s="879"/>
      <c r="BB39" s="886"/>
    </row>
    <row r="40" spans="1:290" s="12" customFormat="1">
      <c r="A40" s="108" t="s">
        <v>125</v>
      </c>
      <c r="B40" s="390">
        <f>'Input data dairy products'!C8</f>
        <v>0.16099071210000004</v>
      </c>
      <c r="C40" s="355" t="s">
        <v>316</v>
      </c>
      <c r="D40" s="930">
        <f>SUMPRODUCT($BH$6:$BH$9,D41:D44)</f>
        <v>7.4956499203334257</v>
      </c>
      <c r="E40" s="872">
        <f>SUMPRODUCT($BH$6:$BH$9,E41:E44)</f>
        <v>11.320292975929037</v>
      </c>
      <c r="F40" s="873">
        <f>SUMPRODUCT($BH$6:$BH$9,F41:F44)</f>
        <v>11.982166826573856</v>
      </c>
      <c r="G40" s="884"/>
      <c r="H40" s="884"/>
      <c r="I40" s="884"/>
      <c r="J40" s="884"/>
      <c r="K40" s="884"/>
      <c r="L40" s="884"/>
      <c r="M40" s="884"/>
      <c r="N40" s="884"/>
      <c r="O40" s="884"/>
      <c r="P40" s="884"/>
      <c r="Q40" s="884"/>
      <c r="R40" s="884"/>
      <c r="S40" s="884"/>
      <c r="T40" s="18"/>
      <c r="U40" s="1220">
        <f>U$19*'Input data dairy products'!$D8*'Common input data'!$D$53</f>
        <v>22.876045914094156</v>
      </c>
      <c r="V40" s="877">
        <f>U40+U40*'Common input data'!$B$146</f>
        <v>23.376008760360452</v>
      </c>
      <c r="W40" s="886">
        <f>V40+V40*'Common input data'!$B$181</f>
        <v>25.012329373585686</v>
      </c>
      <c r="X40" s="877"/>
      <c r="Y40" s="1220">
        <f>Y$19*'Input data dairy products'!$D8*'Common input data'!$D$53</f>
        <v>25.215261041920368</v>
      </c>
      <c r="Z40" s="877">
        <f>Y40+Y40*'Common input data'!$B$146</f>
        <v>25.766348136569846</v>
      </c>
      <c r="AA40" s="886">
        <f>Z40+Z40*'Common input data'!$B$181</f>
        <v>27.569992506129736</v>
      </c>
      <c r="AB40" s="877"/>
      <c r="AC40" s="1220">
        <f>AC$19*'Input data dairy products'!$D8*'Common input data'!$D$53</f>
        <v>0.53626574647785519</v>
      </c>
      <c r="AD40" s="877">
        <f>AC40+AC40*'Common input data'!$B$146</f>
        <v>0.54798599524685254</v>
      </c>
      <c r="AE40" s="886">
        <f>AD40+AD40*'Common input data'!$B$181</f>
        <v>0.58634501491413227</v>
      </c>
      <c r="AF40" s="877"/>
      <c r="AG40" s="1220">
        <f>AG$19*'Input data dairy products'!$D8*'Common input data'!$D$53</f>
        <v>1.7847430302129035E-2</v>
      </c>
      <c r="AH40" s="877">
        <f>AG40+AG40*'Common input data'!$B$146</f>
        <v>1.8237491245611151E-2</v>
      </c>
      <c r="AI40" s="886">
        <f>AH40+AH40*'Common input data'!$B$181</f>
        <v>1.9514115632803933E-2</v>
      </c>
      <c r="AJ40" s="877"/>
      <c r="AK40" s="1220">
        <f>AK$19*'Input data dairy products'!$D8*'Common input data'!$D$53</f>
        <v>5.1657439282769314E-2</v>
      </c>
      <c r="AL40" s="877">
        <f>AK40+AK40*'Common input data'!$B$146</f>
        <v>5.2786428115526016E-2</v>
      </c>
      <c r="AM40" s="886">
        <f>AL40+AL40*'Common input data'!$B$181</f>
        <v>5.6481478083612841E-2</v>
      </c>
      <c r="AN40" s="877"/>
      <c r="AO40" s="1220">
        <f>(AO$19*'Input data dairy products'!$D8*'Common input data'!$D$53)/$AP$2</f>
        <v>6.5393529146475129E-10</v>
      </c>
      <c r="AP40" s="877">
        <f>AO40+AO40*'Common input data'!$B$146</f>
        <v>6.6822724344030071E-10</v>
      </c>
      <c r="AQ40" s="886">
        <f>AP40+AP40*'Common input data'!$B$181</f>
        <v>7.1500315048112173E-10</v>
      </c>
      <c r="AR40" s="877"/>
      <c r="AS40" s="1220">
        <f>AS$19*'Input data dairy products'!$D8*'Common input data'!$D$53</f>
        <v>1.1367539867376199E-3</v>
      </c>
      <c r="AT40" s="877">
        <f>AS40+AS40*'Common input data'!$B$146</f>
        <v>1.1615980861439663E-3</v>
      </c>
      <c r="AU40" s="886">
        <f>AT40+AT40*'Common input data'!$B$181</f>
        <v>1.242909952174044E-3</v>
      </c>
      <c r="AV40" s="877"/>
      <c r="AW40" s="1220">
        <f>AW$19*'Input data dairy products'!$D8*'Common input data'!$D$53</f>
        <v>4.4559966671228655E-2</v>
      </c>
      <c r="AX40" s="877">
        <f>AW40+AW40*'Common input data'!$B$146</f>
        <v>4.5533838110818348E-2</v>
      </c>
      <c r="AY40" s="886">
        <f>AX40+AX40*'Common input data'!$B$181</f>
        <v>4.8721206778575631E-2</v>
      </c>
      <c r="AZ40" s="877"/>
      <c r="BA40" s="879">
        <f>('Common input data'!B214+'Common input data'!C214)+('Common input data'!B214+'Common input data'!C214)*'Common input data'!$B$146</f>
        <v>0.97093284421666648</v>
      </c>
      <c r="BB40" s="886">
        <f>BA40+BA40*'Common input data'!$B$181</f>
        <v>1.0388981433118332</v>
      </c>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row>
    <row r="41" spans="1:290">
      <c r="A41" s="68"/>
      <c r="C41" s="174" t="s">
        <v>317</v>
      </c>
      <c r="D41" s="928">
        <f>IF(AND($F$2="No",$F$3="No"),SUM(H41:K41),IF(AND($F$2="Yes", $F$3="No"), SUM(H41:K41)+M41, IF(AND($F$2="No", $F$3="Yes"),SUM(H41:K41)+L41, SUM(H41:K41)+M41+L41)))</f>
        <v>-0.21233758736206693</v>
      </c>
      <c r="E41" s="877">
        <f>IF(AND($F$2="No",$F$3="No"),SUM(G41:K41,N41:O41),IF(AND($F$2="Yes",$F$3="No"), SUM(G41:K41,N41:O41)+M41, IF(AND($F$2="No", $F$3="Yes"),SUM(G41:K41,N41:O41)+L41, SUM(G41:K41,N41:O41)+M41+L41)))</f>
        <v>3.0090428973030559</v>
      </c>
      <c r="F41" s="878">
        <f>SUM(Q41:S41)/(1-'Common input data'!B$146)</f>
        <v>3.4852132790813619</v>
      </c>
      <c r="G41" s="877">
        <f>'Input data dairy products'!$D$8*G14*'Common input data'!D$53</f>
        <v>1.9504050708942735</v>
      </c>
      <c r="H41" s="877">
        <f>'Input data dairy products'!$D$8*H14*'Common input data'!D$53</f>
        <v>0</v>
      </c>
      <c r="I41" s="877">
        <f>'Input data dairy products'!$D$8*I14*'Common input data'!D$53</f>
        <v>0</v>
      </c>
      <c r="J41" s="877">
        <f>'Input data dairy products'!$D$8*J14*'Common input data'!D$53</f>
        <v>0</v>
      </c>
      <c r="K41" s="877">
        <f>'Input data dairy products'!$D$8*K14*'Common input data'!D$53</f>
        <v>0</v>
      </c>
      <c r="L41" s="877">
        <f>'Input data dairy products'!$D$8*L14*'Common input data'!D$53</f>
        <v>-0.40848446464444998</v>
      </c>
      <c r="M41" s="877">
        <f>'Input data dairy products'!$D$8*M14*'Common input data'!D$53</f>
        <v>0.19614687728238306</v>
      </c>
      <c r="N41" s="877">
        <f>'Input data dairy products'!$D$8*N14*'Common input data'!D$53</f>
        <v>1.1068933725144774</v>
      </c>
      <c r="O41" s="877">
        <f>'Input data dairy products'!$D$8*O14*'Common input data'!D$53</f>
        <v>0.16408204125637224</v>
      </c>
      <c r="P41" s="877">
        <f>'Input data dairy products'!C$30*'Common input data'!D$53</f>
        <v>0.12</v>
      </c>
      <c r="Q41" s="1185">
        <f>IF(AND($F$2="No",$F$3="No"),SUM(G41:K41,N41:P41),IF(AND($F$2="Yes",$F$3="No"), SUM(G41:K41,N41:P41)+M41, IF(AND($F$2="No", $F$3="Yes"),SUM(G41:K41,N41:P41)+L41, SUM(G41:K41,N41:P41)+M41+L41)))</f>
        <v>3.129042897303056</v>
      </c>
      <c r="R41" s="877">
        <f>'Common input data'!B$108</f>
        <v>0.05</v>
      </c>
      <c r="S41" s="877">
        <f>'Common input data'!B$119+'Common input data'!C$119</f>
        <v>0.23000000000000004</v>
      </c>
      <c r="T41" s="18"/>
      <c r="U41" s="879"/>
      <c r="V41" s="877"/>
      <c r="W41" s="886"/>
      <c r="X41" s="877"/>
      <c r="Y41" s="879"/>
      <c r="Z41" s="877"/>
      <c r="AA41" s="886"/>
      <c r="AB41" s="877"/>
      <c r="AC41" s="879"/>
      <c r="AD41" s="877"/>
      <c r="AE41" s="886"/>
      <c r="AF41" s="877"/>
      <c r="AG41" s="879"/>
      <c r="AH41" s="877"/>
      <c r="AI41" s="886"/>
      <c r="AJ41" s="877"/>
      <c r="AK41" s="879"/>
      <c r="AL41" s="877"/>
      <c r="AM41" s="886"/>
      <c r="AN41" s="877"/>
      <c r="AO41" s="879"/>
      <c r="AP41" s="877"/>
      <c r="AQ41" s="886"/>
      <c r="AR41" s="877"/>
      <c r="AS41" s="879"/>
      <c r="AT41" s="877"/>
      <c r="AU41" s="886"/>
      <c r="AV41" s="877"/>
      <c r="AW41" s="879"/>
      <c r="AX41" s="877"/>
      <c r="AY41" s="886"/>
      <c r="AZ41" s="877"/>
      <c r="BA41" s="879"/>
      <c r="BB41" s="886"/>
    </row>
    <row r="42" spans="1:290">
      <c r="A42" s="68"/>
      <c r="B42" s="54"/>
      <c r="C42" s="174" t="s">
        <v>318</v>
      </c>
      <c r="D42" s="928">
        <f>SUM(H42:K42)</f>
        <v>0.20592667833737968</v>
      </c>
      <c r="E42" s="877">
        <f>SUM(G42:K42,N42:O42)</f>
        <v>0.20592667833737968</v>
      </c>
      <c r="F42" s="878">
        <f>SUM(Q42:S42)/(1-'Common input data'!B$146)</f>
        <v>0.21052782715827181</v>
      </c>
      <c r="G42" s="877">
        <v>0</v>
      </c>
      <c r="H42" s="877">
        <f>'Input data dairy products'!$D$8*H16*'Common input data'!D$53</f>
        <v>0</v>
      </c>
      <c r="I42" s="877">
        <f>'Input data dairy products'!$D$8*I15*'Common input data'!D$53</f>
        <v>1.2346005386615283E-2</v>
      </c>
      <c r="J42" s="877">
        <f>'Input data dairy products'!$D$8*J15*'Common input data'!D$53</f>
        <v>0</v>
      </c>
      <c r="K42" s="877">
        <f>'Input data dairy products'!$D$8*K15*'Common input data'!D$53</f>
        <v>0.19358067295076439</v>
      </c>
      <c r="L42" s="877">
        <f>'Input data dairy products'!$D$8*L15*'Common input data'!D$53</f>
        <v>0</v>
      </c>
      <c r="M42" s="877">
        <f>'Input data dairy products'!$D$8*M15*'Common input data'!D$53</f>
        <v>0</v>
      </c>
      <c r="N42" s="877">
        <f>'Input data dairy products'!$D$8*N15*'Common input data'!D$53</f>
        <v>0</v>
      </c>
      <c r="O42" s="877">
        <v>0</v>
      </c>
      <c r="P42" s="877">
        <v>0</v>
      </c>
      <c r="Q42" s="877">
        <f>SUM(G42:P42)</f>
        <v>0.20592667833737968</v>
      </c>
      <c r="R42" s="877">
        <v>0</v>
      </c>
      <c r="S42" s="877">
        <v>0</v>
      </c>
      <c r="T42" s="18"/>
      <c r="U42" s="879"/>
      <c r="V42" s="877"/>
      <c r="W42" s="886"/>
      <c r="X42" s="877"/>
      <c r="Y42" s="879"/>
      <c r="Z42" s="877"/>
      <c r="AA42" s="886"/>
      <c r="AB42" s="877"/>
      <c r="AC42" s="879"/>
      <c r="AD42" s="877"/>
      <c r="AE42" s="886"/>
      <c r="AF42" s="877"/>
      <c r="AG42" s="879"/>
      <c r="AH42" s="877"/>
      <c r="AI42" s="886"/>
      <c r="AJ42" s="877"/>
      <c r="AK42" s="879"/>
      <c r="AL42" s="877"/>
      <c r="AM42" s="886"/>
      <c r="AN42" s="877"/>
      <c r="AO42" s="879"/>
      <c r="AP42" s="877"/>
      <c r="AQ42" s="886"/>
      <c r="AR42" s="877"/>
      <c r="AS42" s="879"/>
      <c r="AT42" s="877"/>
      <c r="AU42" s="886"/>
      <c r="AV42" s="877"/>
      <c r="AW42" s="879"/>
      <c r="AX42" s="877"/>
      <c r="AY42" s="886"/>
      <c r="AZ42" s="877"/>
      <c r="BA42" s="879"/>
      <c r="BB42" s="886"/>
    </row>
    <row r="43" spans="1:290">
      <c r="A43" s="68"/>
      <c r="B43" s="54"/>
      <c r="C43" s="174" t="s">
        <v>319</v>
      </c>
      <c r="D43" s="928">
        <f>SUM(H43:K43)</f>
        <v>0</v>
      </c>
      <c r="E43" s="877">
        <f>SUM(G43:K43,N43:O43)</f>
        <v>2.1302362341694479E-3</v>
      </c>
      <c r="F43" s="878">
        <f>SUM(Q43:S43)/(1-'Common input data'!B$146)</f>
        <v>2.177833437291484E-3</v>
      </c>
      <c r="G43" s="877">
        <f>'Input data dairy products'!$D$8*G16*'Common input data'!D$53</f>
        <v>2.0848774911336283E-3</v>
      </c>
      <c r="H43" s="877">
        <v>0</v>
      </c>
      <c r="I43" s="877">
        <v>0</v>
      </c>
      <c r="J43" s="877">
        <v>0</v>
      </c>
      <c r="K43" s="877">
        <v>0</v>
      </c>
      <c r="L43" s="877">
        <v>0</v>
      </c>
      <c r="M43" s="877">
        <v>0</v>
      </c>
      <c r="N43" s="877">
        <v>0</v>
      </c>
      <c r="O43" s="877">
        <f>'Input data dairy products'!$D$8*O16*'Common input data'!D$53</f>
        <v>4.5358743035819608E-5</v>
      </c>
      <c r="P43" s="877">
        <v>0</v>
      </c>
      <c r="Q43" s="877">
        <f>SUM(G43:P43)</f>
        <v>2.1302362341694479E-3</v>
      </c>
      <c r="R43" s="877">
        <v>0</v>
      </c>
      <c r="S43" s="877">
        <v>0</v>
      </c>
      <c r="T43" s="18"/>
      <c r="U43" s="879"/>
      <c r="V43" s="877"/>
      <c r="W43" s="886"/>
      <c r="X43" s="877"/>
      <c r="Y43" s="879"/>
      <c r="Z43" s="877"/>
      <c r="AA43" s="886"/>
      <c r="AB43" s="877"/>
      <c r="AC43" s="879"/>
      <c r="AD43" s="877"/>
      <c r="AE43" s="886"/>
      <c r="AF43" s="877"/>
      <c r="AG43" s="879"/>
      <c r="AH43" s="877"/>
      <c r="AI43" s="886"/>
      <c r="AJ43" s="877"/>
      <c r="AK43" s="879"/>
      <c r="AL43" s="877"/>
      <c r="AM43" s="886"/>
      <c r="AN43" s="877"/>
      <c r="AO43" s="879"/>
      <c r="AP43" s="877"/>
      <c r="AQ43" s="886"/>
      <c r="AR43" s="877"/>
      <c r="AS43" s="879"/>
      <c r="AT43" s="877"/>
      <c r="AU43" s="886"/>
      <c r="AV43" s="877"/>
      <c r="AW43" s="879"/>
      <c r="AX43" s="877"/>
      <c r="AY43" s="886"/>
      <c r="AZ43" s="877"/>
      <c r="BA43" s="879"/>
      <c r="BB43" s="886"/>
    </row>
    <row r="44" spans="1:290">
      <c r="A44" s="68"/>
      <c r="B44" s="55"/>
      <c r="C44" s="55" t="s">
        <v>320</v>
      </c>
      <c r="D44" s="932">
        <f>SUM(H44:K44)</f>
        <v>7.8680116944550953E-3</v>
      </c>
      <c r="E44" s="896">
        <f>SUM(G44:K44,N44:O44)</f>
        <v>9.8452334202874785E-3</v>
      </c>
      <c r="F44" s="933">
        <f>SUM(Q44:S44)/(1-'Common input data'!B$146)</f>
        <v>1.0065211640248602E-2</v>
      </c>
      <c r="G44" s="877">
        <f>'Input data dairy products'!$D$8*G17*'Common input data'!D$53</f>
        <v>1.9729932830093774E-3</v>
      </c>
      <c r="H44" s="877">
        <f>'Input data dairy products'!$D$8*H17*'Common input data'!D$53</f>
        <v>4.986931775075097E-3</v>
      </c>
      <c r="I44" s="877">
        <f>'Input data dairy products'!$D$8*I17*'Common input data'!D$53</f>
        <v>2.6842231077988531E-3</v>
      </c>
      <c r="J44" s="877">
        <f>'Input data dairy products'!$D$8*J17*'Common input data'!D$53</f>
        <v>1.9685681158114476E-4</v>
      </c>
      <c r="K44" s="877">
        <f>'Input data dairy products'!$D$8*K17*'Common input data'!D$53</f>
        <v>0</v>
      </c>
      <c r="L44" s="877">
        <f>'Input data dairy products'!$D$8*L17*'Common input data'!D$53</f>
        <v>0</v>
      </c>
      <c r="M44" s="877">
        <f>'Input data dairy products'!$D$8*M17*'Common input data'!D$53</f>
        <v>0</v>
      </c>
      <c r="N44" s="877">
        <f>'Input data dairy products'!$D$8*N17*'Common input data'!D$53</f>
        <v>0</v>
      </c>
      <c r="O44" s="877">
        <f>'Input data dairy products'!$D$8*O17*'Common input data'!D$53</f>
        <v>4.2284428230058497E-6</v>
      </c>
      <c r="P44" s="877">
        <v>0</v>
      </c>
      <c r="Q44" s="877">
        <f>SUM(G44:P44)</f>
        <v>9.8452334202874785E-3</v>
      </c>
      <c r="R44" s="877">
        <v>0</v>
      </c>
      <c r="S44" s="877">
        <v>0</v>
      </c>
      <c r="T44" s="18"/>
      <c r="U44" s="879"/>
      <c r="V44" s="877"/>
      <c r="W44" s="886"/>
      <c r="X44" s="877"/>
      <c r="Y44" s="879"/>
      <c r="Z44" s="877"/>
      <c r="AA44" s="886"/>
      <c r="AB44" s="877"/>
      <c r="AC44" s="879"/>
      <c r="AD44" s="877"/>
      <c r="AE44" s="886"/>
      <c r="AF44" s="877"/>
      <c r="AG44" s="879"/>
      <c r="AH44" s="877"/>
      <c r="AI44" s="886"/>
      <c r="AJ44" s="877"/>
      <c r="AK44" s="879"/>
      <c r="AL44" s="877"/>
      <c r="AM44" s="886"/>
      <c r="AN44" s="877"/>
      <c r="AO44" s="879"/>
      <c r="AP44" s="877"/>
      <c r="AQ44" s="886"/>
      <c r="AR44" s="877"/>
      <c r="AS44" s="879"/>
      <c r="AT44" s="877"/>
      <c r="AU44" s="886"/>
      <c r="AV44" s="877"/>
      <c r="AW44" s="879"/>
      <c r="AX44" s="877"/>
      <c r="AY44" s="886"/>
      <c r="AZ44" s="877"/>
      <c r="BA44" s="879"/>
      <c r="BB44" s="886"/>
    </row>
    <row r="45" spans="1:290" s="368" customFormat="1">
      <c r="A45" s="362" t="s">
        <v>372</v>
      </c>
      <c r="B45" s="364"/>
      <c r="C45" s="364"/>
      <c r="D45" s="1182" t="s">
        <v>373</v>
      </c>
      <c r="E45" s="1183" t="s">
        <v>373</v>
      </c>
      <c r="F45" s="1184" t="s">
        <v>373</v>
      </c>
      <c r="G45" s="889"/>
      <c r="H45" s="889"/>
      <c r="I45" s="889"/>
      <c r="J45" s="889"/>
      <c r="K45" s="889"/>
      <c r="L45" s="889"/>
      <c r="M45" s="889"/>
      <c r="N45" s="889"/>
      <c r="O45" s="889"/>
      <c r="P45" s="889"/>
      <c r="Q45" s="889"/>
      <c r="R45" s="889"/>
      <c r="S45" s="889"/>
      <c r="T45" s="18"/>
      <c r="U45" s="883">
        <f>U51*$B$51+U56*$B$56</f>
        <v>2.324801414033959</v>
      </c>
      <c r="V45" s="884">
        <f t="shared" ref="V45:BB45" si="8">V51*$B$51+V56*$B$56</f>
        <v>2.375610646378095</v>
      </c>
      <c r="W45" s="885">
        <f t="shared" si="8"/>
        <v>2.5419033916245617</v>
      </c>
      <c r="X45" s="877"/>
      <c r="Y45" s="883">
        <f t="shared" si="8"/>
        <v>2.5625265286504439</v>
      </c>
      <c r="Z45" s="884">
        <f t="shared" si="8"/>
        <v>2.6185313146920572</v>
      </c>
      <c r="AA45" s="885">
        <f t="shared" si="8"/>
        <v>2.8018285067205015</v>
      </c>
      <c r="AB45" s="877"/>
      <c r="AC45" s="883">
        <f t="shared" si="8"/>
        <v>5.4498551471326748E-2</v>
      </c>
      <c r="AD45" s="884">
        <f t="shared" si="8"/>
        <v>5.5689633663298023E-2</v>
      </c>
      <c r="AE45" s="885">
        <f t="shared" si="8"/>
        <v>5.958790801972888E-2</v>
      </c>
      <c r="AF45" s="877"/>
      <c r="AG45" s="883">
        <f t="shared" si="8"/>
        <v>1.8137632420862839E-3</v>
      </c>
      <c r="AH45" s="884">
        <f t="shared" si="8"/>
        <v>1.8534035818710518E-3</v>
      </c>
      <c r="AI45" s="885">
        <f t="shared" si="8"/>
        <v>1.9831418326020254E-3</v>
      </c>
      <c r="AJ45" s="877"/>
      <c r="AK45" s="883">
        <f t="shared" si="8"/>
        <v>5.2497397645090765E-3</v>
      </c>
      <c r="AL45" s="884">
        <f t="shared" si="8"/>
        <v>5.3644744019843505E-3</v>
      </c>
      <c r="AM45" s="885">
        <f t="shared" si="8"/>
        <v>5.7399876101232551E-3</v>
      </c>
      <c r="AN45" s="877"/>
      <c r="AO45" s="883">
        <f t="shared" si="8"/>
        <v>6.6456838563490988E-11</v>
      </c>
      <c r="AP45" s="884">
        <f t="shared" si="8"/>
        <v>6.7909272707347637E-11</v>
      </c>
      <c r="AQ45" s="885">
        <f t="shared" si="8"/>
        <v>7.2662921796861972E-11</v>
      </c>
      <c r="AR45" s="877"/>
      <c r="AS45" s="883">
        <f t="shared" si="8"/>
        <v>1.1552377914000203E-4</v>
      </c>
      <c r="AT45" s="884">
        <f t="shared" si="8"/>
        <v>1.1804858599024049E-4</v>
      </c>
      <c r="AU45" s="885">
        <f t="shared" si="8"/>
        <v>1.2631198700955733E-4</v>
      </c>
      <c r="AV45" s="877"/>
      <c r="AW45" s="883">
        <f t="shared" si="8"/>
        <v>4.5284518974825876E-3</v>
      </c>
      <c r="AX45" s="884">
        <f t="shared" si="8"/>
        <v>4.6274225722376374E-3</v>
      </c>
      <c r="AY45" s="885">
        <f t="shared" si="8"/>
        <v>4.9513421522942719E-3</v>
      </c>
      <c r="AZ45" s="877"/>
      <c r="BA45" s="883">
        <f t="shared" si="8"/>
        <v>0.33763761329954656</v>
      </c>
      <c r="BB45" s="885">
        <f t="shared" si="8"/>
        <v>0.36127224623051485</v>
      </c>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row>
    <row r="46" spans="1:290" s="12" customFormat="1">
      <c r="A46" s="108" t="s">
        <v>315</v>
      </c>
      <c r="B46" s="390">
        <f>SUM(B51:B56)</f>
        <v>1</v>
      </c>
      <c r="C46" s="355" t="s">
        <v>316</v>
      </c>
      <c r="D46" s="930">
        <f>SUMPRODUCT($BH$6:$BH$9,D47:D50)</f>
        <v>0.76175304068429117</v>
      </c>
      <c r="E46" s="872">
        <f>SUMPRODUCT($BH$6:$BH$9,E47:E50)</f>
        <v>1.0711156349495192</v>
      </c>
      <c r="F46" s="873">
        <f>SUMPRODUCT($BH$6:$BH$9,F47:F50)</f>
        <v>1.3620843980952093</v>
      </c>
      <c r="G46" s="1178"/>
      <c r="H46" s="884"/>
      <c r="I46" s="884"/>
      <c r="J46" s="884"/>
      <c r="K46" s="884"/>
      <c r="L46" s="884"/>
      <c r="M46" s="884"/>
      <c r="N46" s="884"/>
      <c r="O46" s="884"/>
      <c r="P46" s="1178"/>
      <c r="Q46" s="1178"/>
      <c r="R46" s="872"/>
      <c r="S46" s="872"/>
      <c r="T46" s="18"/>
      <c r="U46" s="879"/>
      <c r="V46" s="877"/>
      <c r="W46" s="886"/>
      <c r="X46" s="877"/>
      <c r="Y46" s="879"/>
      <c r="Z46" s="877"/>
      <c r="AA46" s="886"/>
      <c r="AB46" s="877"/>
      <c r="AC46" s="879"/>
      <c r="AD46" s="877"/>
      <c r="AE46" s="886"/>
      <c r="AF46" s="877"/>
      <c r="AG46" s="879"/>
      <c r="AH46" s="877"/>
      <c r="AI46" s="886"/>
      <c r="AJ46" s="877"/>
      <c r="AK46" s="879"/>
      <c r="AL46" s="877"/>
      <c r="AM46" s="886"/>
      <c r="AN46" s="877"/>
      <c r="AO46" s="879"/>
      <c r="AP46" s="877"/>
      <c r="AQ46" s="886"/>
      <c r="AR46" s="877"/>
      <c r="AS46" s="879"/>
      <c r="AT46" s="877"/>
      <c r="AU46" s="886"/>
      <c r="AV46" s="877"/>
      <c r="AW46" s="879"/>
      <c r="AX46" s="877"/>
      <c r="AY46" s="886"/>
      <c r="AZ46" s="877"/>
      <c r="BA46" s="879"/>
      <c r="BB46" s="88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row>
    <row r="47" spans="1:290">
      <c r="A47" s="18"/>
      <c r="C47" s="174" t="s">
        <v>317</v>
      </c>
      <c r="D47" s="928">
        <f t="shared" ref="D47:S47" si="9">$B$51*D52+$B$56*D57</f>
        <v>-2.1579023105901114E-2</v>
      </c>
      <c r="E47" s="877">
        <f t="shared" si="9"/>
        <v>0.22663249261959673</v>
      </c>
      <c r="F47" s="878">
        <f t="shared" si="9"/>
        <v>0.49873243970917247</v>
      </c>
      <c r="G47" s="877">
        <f t="shared" si="9"/>
        <v>0.19821189744860501</v>
      </c>
      <c r="H47" s="877">
        <f t="shared" si="9"/>
        <v>0</v>
      </c>
      <c r="I47" s="877">
        <f t="shared" si="9"/>
        <v>0</v>
      </c>
      <c r="J47" s="877">
        <f t="shared" si="9"/>
        <v>0</v>
      </c>
      <c r="K47" s="877">
        <f t="shared" si="9"/>
        <v>0</v>
      </c>
      <c r="L47" s="877">
        <f t="shared" si="9"/>
        <v>-4.1512648845980694E-2</v>
      </c>
      <c r="M47" s="877">
        <f t="shared" si="9"/>
        <v>1.9933625740079581E-2</v>
      </c>
      <c r="N47" s="877">
        <f t="shared" si="9"/>
        <v>4.3544702359541262E-2</v>
      </c>
      <c r="O47" s="877">
        <f t="shared" si="9"/>
        <v>6.454915917351603E-3</v>
      </c>
      <c r="P47" s="877">
        <f t="shared" si="9"/>
        <v>0.1348</v>
      </c>
      <c r="Q47" s="877">
        <f t="shared" si="9"/>
        <v>0.3614324926195967</v>
      </c>
      <c r="R47" s="877">
        <f t="shared" si="9"/>
        <v>0.05</v>
      </c>
      <c r="S47" s="877">
        <f t="shared" si="9"/>
        <v>7.6399999999999996E-2</v>
      </c>
      <c r="T47" s="18"/>
      <c r="U47" s="879"/>
      <c r="V47" s="877"/>
      <c r="W47" s="886"/>
      <c r="X47" s="877"/>
      <c r="Y47" s="879"/>
      <c r="Z47" s="877"/>
      <c r="AA47" s="886"/>
      <c r="AB47" s="877"/>
      <c r="AC47" s="879"/>
      <c r="AD47" s="877"/>
      <c r="AE47" s="886"/>
      <c r="AF47" s="877"/>
      <c r="AG47" s="879"/>
      <c r="AH47" s="877"/>
      <c r="AI47" s="886"/>
      <c r="AJ47" s="877"/>
      <c r="AK47" s="879"/>
      <c r="AL47" s="877"/>
      <c r="AM47" s="886"/>
      <c r="AN47" s="877"/>
      <c r="AO47" s="879"/>
      <c r="AP47" s="877"/>
      <c r="AQ47" s="886"/>
      <c r="AR47" s="877"/>
      <c r="AS47" s="879"/>
      <c r="AT47" s="877"/>
      <c r="AU47" s="886"/>
      <c r="AV47" s="877"/>
      <c r="AW47" s="879"/>
      <c r="AX47" s="877"/>
      <c r="AY47" s="886"/>
      <c r="AZ47" s="877"/>
      <c r="BA47" s="879"/>
      <c r="BB47" s="886"/>
    </row>
    <row r="48" spans="1:290">
      <c r="A48" s="195"/>
      <c r="B48" s="50"/>
      <c r="C48" s="174" t="s">
        <v>318</v>
      </c>
      <c r="D48" s="928">
        <f t="shared" ref="D48:F50" si="10">$B$51*D53+$B$56*D58</f>
        <v>2.092750796111582E-2</v>
      </c>
      <c r="E48" s="877">
        <f t="shared" si="10"/>
        <v>2.092750796111582E-2</v>
      </c>
      <c r="F48" s="878">
        <f t="shared" si="10"/>
        <v>2.1395104386003231E-2</v>
      </c>
      <c r="G48" s="877">
        <f t="shared" ref="G48:S48" si="11">$B$51*G53+$B$56*G58</f>
        <v>0</v>
      </c>
      <c r="H48" s="877">
        <f t="shared" si="11"/>
        <v>0</v>
      </c>
      <c r="I48" s="877">
        <f t="shared" si="11"/>
        <v>1.2546753441682198E-3</v>
      </c>
      <c r="J48" s="877">
        <f t="shared" si="11"/>
        <v>0</v>
      </c>
      <c r="K48" s="877">
        <f t="shared" si="11"/>
        <v>1.9672832616947602E-2</v>
      </c>
      <c r="L48" s="877">
        <f t="shared" si="11"/>
        <v>0</v>
      </c>
      <c r="M48" s="877">
        <f t="shared" si="11"/>
        <v>0</v>
      </c>
      <c r="N48" s="877">
        <f t="shared" si="11"/>
        <v>0</v>
      </c>
      <c r="O48" s="877">
        <f t="shared" si="11"/>
        <v>0</v>
      </c>
      <c r="P48" s="877">
        <f t="shared" si="11"/>
        <v>0</v>
      </c>
      <c r="Q48" s="877">
        <f t="shared" si="11"/>
        <v>2.092750796111582E-2</v>
      </c>
      <c r="R48" s="877">
        <f t="shared" si="11"/>
        <v>0</v>
      </c>
      <c r="S48" s="877">
        <f t="shared" si="11"/>
        <v>0</v>
      </c>
      <c r="T48" s="18"/>
      <c r="U48" s="879"/>
      <c r="V48" s="877"/>
      <c r="W48" s="886"/>
      <c r="X48" s="877"/>
      <c r="Y48" s="879"/>
      <c r="Z48" s="877"/>
      <c r="AA48" s="886"/>
      <c r="AB48" s="877"/>
      <c r="AC48" s="879"/>
      <c r="AD48" s="877"/>
      <c r="AE48" s="886"/>
      <c r="AF48" s="877"/>
      <c r="AG48" s="879"/>
      <c r="AH48" s="877"/>
      <c r="AI48" s="886"/>
      <c r="AJ48" s="877"/>
      <c r="AK48" s="879"/>
      <c r="AL48" s="877"/>
      <c r="AM48" s="886"/>
      <c r="AN48" s="877"/>
      <c r="AO48" s="879"/>
      <c r="AP48" s="877"/>
      <c r="AQ48" s="886"/>
      <c r="AR48" s="877"/>
      <c r="AS48" s="879"/>
      <c r="AT48" s="877"/>
      <c r="AU48" s="886"/>
      <c r="AV48" s="877"/>
      <c r="AW48" s="879"/>
      <c r="AX48" s="877"/>
      <c r="AY48" s="886"/>
      <c r="AZ48" s="877"/>
      <c r="BA48" s="879"/>
      <c r="BB48" s="886"/>
    </row>
    <row r="49" spans="1:334">
      <c r="A49" s="195"/>
      <c r="B49" s="50"/>
      <c r="C49" s="174" t="s">
        <v>319</v>
      </c>
      <c r="D49" s="928">
        <f t="shared" si="10"/>
        <v>0</v>
      </c>
      <c r="E49" s="877">
        <f t="shared" si="10"/>
        <v>2.1366218697632059E-4</v>
      </c>
      <c r="F49" s="878">
        <f t="shared" si="10"/>
        <v>2.1843617511429602E-4</v>
      </c>
      <c r="G49" s="877">
        <f t="shared" ref="G49:S49" si="12">$B$51*G54+$B$56*G59</f>
        <v>2.1187779381439312E-4</v>
      </c>
      <c r="H49" s="877">
        <f t="shared" si="12"/>
        <v>0</v>
      </c>
      <c r="I49" s="877">
        <f t="shared" si="12"/>
        <v>0</v>
      </c>
      <c r="J49" s="877">
        <f t="shared" si="12"/>
        <v>0</v>
      </c>
      <c r="K49" s="877">
        <f t="shared" si="12"/>
        <v>0</v>
      </c>
      <c r="L49" s="877">
        <f t="shared" si="12"/>
        <v>0</v>
      </c>
      <c r="M49" s="877">
        <f t="shared" si="12"/>
        <v>0</v>
      </c>
      <c r="N49" s="877">
        <f t="shared" si="12"/>
        <v>0</v>
      </c>
      <c r="O49" s="877">
        <f t="shared" si="12"/>
        <v>1.7843931619274789E-6</v>
      </c>
      <c r="P49" s="877">
        <f t="shared" si="12"/>
        <v>0</v>
      </c>
      <c r="Q49" s="877">
        <f t="shared" si="12"/>
        <v>2.1366218697632059E-4</v>
      </c>
      <c r="R49" s="877">
        <f t="shared" si="12"/>
        <v>0</v>
      </c>
      <c r="S49" s="877">
        <f t="shared" si="12"/>
        <v>0</v>
      </c>
      <c r="T49" s="18"/>
      <c r="U49" s="879"/>
      <c r="V49" s="877"/>
      <c r="W49" s="886"/>
      <c r="X49" s="877"/>
      <c r="Y49" s="879"/>
      <c r="Z49" s="877"/>
      <c r="AA49" s="886"/>
      <c r="AB49" s="877"/>
      <c r="AC49" s="879"/>
      <c r="AD49" s="877"/>
      <c r="AE49" s="886"/>
      <c r="AF49" s="877"/>
      <c r="AG49" s="879"/>
      <c r="AH49" s="877"/>
      <c r="AI49" s="886"/>
      <c r="AJ49" s="877"/>
      <c r="AK49" s="879"/>
      <c r="AL49" s="877"/>
      <c r="AM49" s="886"/>
      <c r="AN49" s="877"/>
      <c r="AO49" s="879"/>
      <c r="AP49" s="877"/>
      <c r="AQ49" s="886"/>
      <c r="AR49" s="877"/>
      <c r="AS49" s="879"/>
      <c r="AT49" s="877"/>
      <c r="AU49" s="886"/>
      <c r="AV49" s="877"/>
      <c r="AW49" s="879"/>
      <c r="AX49" s="877"/>
      <c r="AY49" s="886"/>
      <c r="AZ49" s="877"/>
      <c r="BA49" s="879"/>
      <c r="BB49" s="886"/>
    </row>
    <row r="50" spans="1:334">
      <c r="A50" s="195"/>
      <c r="B50" s="54"/>
      <c r="C50" s="55" t="s">
        <v>320</v>
      </c>
      <c r="D50" s="928">
        <f t="shared" si="10"/>
        <v>7.9959468439584299E-4</v>
      </c>
      <c r="E50" s="877">
        <f t="shared" si="10"/>
        <v>1.0002684769520188E-3</v>
      </c>
      <c r="F50" s="878">
        <f t="shared" si="10"/>
        <v>1.0226181023646282E-3</v>
      </c>
      <c r="G50" s="877">
        <f t="shared" ref="G50:S50" si="13">$B$51*G55+$B$56*G60</f>
        <v>2.0050744746030261E-4</v>
      </c>
      <c r="H50" s="877">
        <f t="shared" si="13"/>
        <v>5.0680200966210336E-4</v>
      </c>
      <c r="I50" s="877">
        <f t="shared" si="13"/>
        <v>2.7278690119907046E-4</v>
      </c>
      <c r="J50" s="877">
        <f t="shared" si="13"/>
        <v>2.0005773534669182E-5</v>
      </c>
      <c r="K50" s="877">
        <f t="shared" si="13"/>
        <v>0</v>
      </c>
      <c r="L50" s="877">
        <f t="shared" si="13"/>
        <v>0</v>
      </c>
      <c r="M50" s="877">
        <f t="shared" si="13"/>
        <v>0</v>
      </c>
      <c r="N50" s="877">
        <f t="shared" si="13"/>
        <v>0</v>
      </c>
      <c r="O50" s="877">
        <f t="shared" si="13"/>
        <v>1.6634509587301722E-7</v>
      </c>
      <c r="P50" s="877">
        <f t="shared" si="13"/>
        <v>0</v>
      </c>
      <c r="Q50" s="877">
        <f t="shared" si="13"/>
        <v>1.0002684769520188E-3</v>
      </c>
      <c r="R50" s="877">
        <f t="shared" si="13"/>
        <v>0</v>
      </c>
      <c r="S50" s="877">
        <f t="shared" si="13"/>
        <v>0</v>
      </c>
      <c r="T50" s="18"/>
      <c r="U50" s="879"/>
      <c r="V50" s="877"/>
      <c r="W50" s="886"/>
      <c r="X50" s="877"/>
      <c r="Y50" s="879"/>
      <c r="Z50" s="877"/>
      <c r="AA50" s="886"/>
      <c r="AB50" s="877"/>
      <c r="AC50" s="879"/>
      <c r="AD50" s="877"/>
      <c r="AE50" s="886"/>
      <c r="AF50" s="877"/>
      <c r="AG50" s="879"/>
      <c r="AH50" s="877"/>
      <c r="AI50" s="886"/>
      <c r="AJ50" s="877"/>
      <c r="AK50" s="879"/>
      <c r="AL50" s="877"/>
      <c r="AM50" s="886"/>
      <c r="AN50" s="877"/>
      <c r="AO50" s="879"/>
      <c r="AP50" s="877"/>
      <c r="AQ50" s="886"/>
      <c r="AR50" s="877"/>
      <c r="AS50" s="879"/>
      <c r="AT50" s="877"/>
      <c r="AU50" s="886"/>
      <c r="AV50" s="877"/>
      <c r="AW50" s="879"/>
      <c r="AX50" s="877"/>
      <c r="AY50" s="886"/>
      <c r="AZ50" s="877"/>
      <c r="BA50" s="879"/>
      <c r="BB50" s="886"/>
    </row>
    <row r="51" spans="1:334" s="12" customFormat="1">
      <c r="A51" s="108" t="s">
        <v>122</v>
      </c>
      <c r="B51" s="79">
        <f>'Input data dairy products'!C9</f>
        <v>0.76800000000000002</v>
      </c>
      <c r="C51" s="355" t="s">
        <v>316</v>
      </c>
      <c r="D51" s="930">
        <f>SUMPRODUCT($BH$6:$BH$9,D52:D55)</f>
        <v>0.76175304068429117</v>
      </c>
      <c r="E51" s="872">
        <f>SUMPRODUCT($BH$6:$BH$9,E52:E55)</f>
        <v>1.0471541906821293</v>
      </c>
      <c r="F51" s="873">
        <f>SUMPRODUCT($BH$6:$BH$9,F52:F55)</f>
        <v>1.25457326577768</v>
      </c>
      <c r="G51" s="884"/>
      <c r="H51" s="884"/>
      <c r="I51" s="884"/>
      <c r="J51" s="884"/>
      <c r="K51" s="884"/>
      <c r="L51" s="884"/>
      <c r="M51" s="884"/>
      <c r="N51" s="884"/>
      <c r="O51" s="884"/>
      <c r="P51" s="884"/>
      <c r="Q51" s="884"/>
      <c r="R51" s="884"/>
      <c r="S51" s="884"/>
      <c r="T51" s="18"/>
      <c r="U51" s="1220">
        <f>U$19*'Input data dairy products'!$D9</f>
        <v>2.324801414033959</v>
      </c>
      <c r="V51" s="877">
        <f>U51+U51*'Common input data'!$B$146</f>
        <v>2.375610646378095</v>
      </c>
      <c r="W51" s="886">
        <f>V51+V51*'Common input data'!$B$181</f>
        <v>2.5419033916245617</v>
      </c>
      <c r="X51" s="877"/>
      <c r="Y51" s="1220">
        <f>Y$19*'Input data dairy products'!$D9</f>
        <v>2.5625265286504439</v>
      </c>
      <c r="Z51" s="877">
        <f>Y51+Y51*'Common input data'!$B$146</f>
        <v>2.6185313146920577</v>
      </c>
      <c r="AA51" s="886">
        <f>Z51+Z51*'Common input data'!$B$181</f>
        <v>2.8018285067205015</v>
      </c>
      <c r="AB51" s="877"/>
      <c r="AC51" s="1220">
        <f>AC$19*'Input data dairy products'!$D9</f>
        <v>5.4498551471326748E-2</v>
      </c>
      <c r="AD51" s="877">
        <f>AC51+AC51*'Common input data'!$B$146</f>
        <v>5.5689633663298023E-2</v>
      </c>
      <c r="AE51" s="886">
        <f>AD51+AD51*'Common input data'!$B$181</f>
        <v>5.9587908019728887E-2</v>
      </c>
      <c r="AF51" s="877"/>
      <c r="AG51" s="1220">
        <f>AG$19*'Input data dairy products'!$D9</f>
        <v>1.8137632420862839E-3</v>
      </c>
      <c r="AH51" s="877">
        <f>AG51+AG51*'Common input data'!$B$146</f>
        <v>1.8534035818710518E-3</v>
      </c>
      <c r="AI51" s="886">
        <f>AH51+AH51*'Common input data'!$B$181</f>
        <v>1.9831418326020254E-3</v>
      </c>
      <c r="AJ51" s="877"/>
      <c r="AK51" s="1220">
        <f>AK$19*'Input data dairy products'!$D9</f>
        <v>5.2497397645090765E-3</v>
      </c>
      <c r="AL51" s="877">
        <f>AK51+AK51*'Common input data'!$B$146</f>
        <v>5.3644744019843505E-3</v>
      </c>
      <c r="AM51" s="886">
        <f>AL51+AL51*'Common input data'!$B$181</f>
        <v>5.7399876101232551E-3</v>
      </c>
      <c r="AN51" s="877"/>
      <c r="AO51" s="1220">
        <f>(AO$19*'Input data dairy products'!$D9)/$AP$2</f>
        <v>6.6456838563490988E-11</v>
      </c>
      <c r="AP51" s="877">
        <f>AO51+AO51*'Common input data'!$B$146</f>
        <v>6.7909272707347637E-11</v>
      </c>
      <c r="AQ51" s="886">
        <f>AP51+AP51*'Common input data'!$B$181</f>
        <v>7.2662921796861972E-11</v>
      </c>
      <c r="AR51" s="877"/>
      <c r="AS51" s="1220">
        <f>AS$19*'Input data dairy products'!$D9</f>
        <v>1.1552377914000203E-4</v>
      </c>
      <c r="AT51" s="877">
        <f>AS51+AS51*'Common input data'!$B$146</f>
        <v>1.1804858599024049E-4</v>
      </c>
      <c r="AU51" s="886">
        <f>AT51+AT51*'Common input data'!$B$181</f>
        <v>1.2631198700955733E-4</v>
      </c>
      <c r="AV51" s="877"/>
      <c r="AW51" s="1220">
        <f>AW$19*'Input data dairy products'!$D9</f>
        <v>4.5284518974825876E-3</v>
      </c>
      <c r="AX51" s="877">
        <f>AW51+AW51*'Common input data'!$B$146</f>
        <v>4.6274225722376374E-3</v>
      </c>
      <c r="AY51" s="886">
        <f>AX51+AX51*'Common input data'!$B$181</f>
        <v>4.9513421522942719E-3</v>
      </c>
      <c r="AZ51" s="877"/>
      <c r="BA51" s="879">
        <f>'Common input data'!C202+'Common input data'!C202*'Common input data'!$B$146</f>
        <v>0.14632967895999996</v>
      </c>
      <c r="BB51" s="886">
        <f>BA51+BA51*'Common input data'!$B$181</f>
        <v>0.15657275648719995</v>
      </c>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row>
    <row r="52" spans="1:334">
      <c r="A52" s="18"/>
      <c r="B52" s="50"/>
      <c r="C52" s="174" t="s">
        <v>317</v>
      </c>
      <c r="D52" s="928">
        <f>IF(AND($F$2="No",$F$3="No"),SUM(H52:K52),IF(AND($F$2="Yes", $F$3="No"), SUM(H52:K52)+M52, IF(AND($F$2="No", $F$3="Yes"),SUM(H52:K52)+L52, SUM(H52:K52)+M52+L52)))</f>
        <v>-2.1579023105901114E-2</v>
      </c>
      <c r="E52" s="877">
        <f>IF(AND($F$2="No",$F$3="No"),SUM(G52:K52,N52:O52),IF(AND($F$2="Yes",$F$3="No"), SUM(G52:K52,N52:O52)+M52, IF(AND($F$2="No", $F$3="Yes"),SUM(G52:K52,N52:O52)+L52, SUM(G52:K52,N52:O52)+M52+L52)))</f>
        <v>0.20271820153742737</v>
      </c>
      <c r="F52" s="878">
        <f>SUM(Q52:S52)/(1-'Common input data'!B$146)</f>
        <v>0.39126951415003036</v>
      </c>
      <c r="G52" s="877">
        <f>'Input data dairy products'!$D$9*G9</f>
        <v>0.19821189744860501</v>
      </c>
      <c r="H52" s="877">
        <f>'Input data dairy products'!$D$9*H9</f>
        <v>0</v>
      </c>
      <c r="I52" s="877">
        <f>'Input data dairy products'!$D$9*I9</f>
        <v>0</v>
      </c>
      <c r="J52" s="877">
        <f>'Input data dairy products'!$D$9*J9</f>
        <v>0</v>
      </c>
      <c r="K52" s="877">
        <f>'Input data dairy products'!$D$9*K9</f>
        <v>0</v>
      </c>
      <c r="L52" s="877">
        <f>'Input data dairy products'!$D$9*L9</f>
        <v>-4.1512648845980694E-2</v>
      </c>
      <c r="M52" s="877">
        <f>'Input data dairy products'!$D$9*M9</f>
        <v>1.9933625740079581E-2</v>
      </c>
      <c r="N52" s="877">
        <f>'Input data dairy products'!$D$9*N9</f>
        <v>2.2717729610556299E-2</v>
      </c>
      <c r="O52" s="877">
        <f>'Input data dairy products'!$D$9*O9</f>
        <v>3.3675975841671716E-3</v>
      </c>
      <c r="P52" s="877">
        <f>'Input data dairy products'!D$29</f>
        <v>0.1</v>
      </c>
      <c r="Q52" s="1185">
        <f>IF(AND($F$2="No",$F$3="No"),SUM(G52:K52,N52:P52),IF(AND($F$2="Yes",$F$3="No"), SUM(G52:K52,N52:P52)+M52, IF(AND($F$2="No", $F$3="Yes"),SUM(G52:K52,N52:P52)+L52, SUM(G52:K52,N52:P52)+M52+L52)))</f>
        <v>0.30271820153742729</v>
      </c>
      <c r="R52" s="877">
        <f>'Common input data'!B$108</f>
        <v>0.05</v>
      </c>
      <c r="S52" s="877">
        <f>'Common input data'!C$115</f>
        <v>0.03</v>
      </c>
      <c r="T52" s="18"/>
      <c r="U52" s="879"/>
      <c r="V52" s="877"/>
      <c r="W52" s="886"/>
      <c r="X52" s="877"/>
      <c r="Y52" s="879"/>
      <c r="Z52" s="877"/>
      <c r="AA52" s="886"/>
      <c r="AB52" s="877"/>
      <c r="AC52" s="879"/>
      <c r="AD52" s="877"/>
      <c r="AE52" s="886"/>
      <c r="AF52" s="877"/>
      <c r="AG52" s="879"/>
      <c r="AH52" s="877"/>
      <c r="AI52" s="886"/>
      <c r="AJ52" s="877"/>
      <c r="AK52" s="879"/>
      <c r="AL52" s="877"/>
      <c r="AM52" s="886"/>
      <c r="AN52" s="877"/>
      <c r="AO52" s="879"/>
      <c r="AP52" s="877"/>
      <c r="AQ52" s="886"/>
      <c r="AR52" s="877"/>
      <c r="AS52" s="879"/>
      <c r="AT52" s="877"/>
      <c r="AU52" s="886"/>
      <c r="AV52" s="877"/>
      <c r="AW52" s="879"/>
      <c r="AX52" s="877"/>
      <c r="AY52" s="886"/>
      <c r="AZ52" s="877"/>
      <c r="BA52" s="879"/>
      <c r="BB52" s="886"/>
    </row>
    <row r="53" spans="1:334">
      <c r="A53" s="68"/>
      <c r="B53" s="50"/>
      <c r="C53" s="174" t="s">
        <v>318</v>
      </c>
      <c r="D53" s="928">
        <f>SUM(H53:K53)</f>
        <v>2.092750796111582E-2</v>
      </c>
      <c r="E53" s="877">
        <f>SUM(G53:K53,N53:O53)</f>
        <v>2.092750796111582E-2</v>
      </c>
      <c r="F53" s="878">
        <f>SUM(Q53:S53)/(1-'Common input data'!B$146)</f>
        <v>2.1395104386003231E-2</v>
      </c>
      <c r="G53" s="877">
        <v>0</v>
      </c>
      <c r="H53" s="877">
        <f>'Input data dairy products'!$D$9*H10</f>
        <v>0</v>
      </c>
      <c r="I53" s="877">
        <f>'Input data dairy products'!$D$9*I10</f>
        <v>1.2546753441682198E-3</v>
      </c>
      <c r="J53" s="877">
        <f>'Input data dairy products'!$D$9*J10</f>
        <v>0</v>
      </c>
      <c r="K53" s="877">
        <f>'Input data dairy products'!$D$9*K10</f>
        <v>1.9672832616947602E-2</v>
      </c>
      <c r="L53" s="877">
        <f>'Input data dairy products'!$D$9*L10</f>
        <v>0</v>
      </c>
      <c r="M53" s="877">
        <f>'Input data dairy products'!$D$9*M10</f>
        <v>0</v>
      </c>
      <c r="N53" s="877">
        <f>'Input data dairy products'!$D$9*N10</f>
        <v>0</v>
      </c>
      <c r="O53" s="877">
        <v>0</v>
      </c>
      <c r="P53" s="877">
        <v>0</v>
      </c>
      <c r="Q53" s="877">
        <f>SUM(G53:P53)</f>
        <v>2.092750796111582E-2</v>
      </c>
      <c r="R53" s="877">
        <v>0</v>
      </c>
      <c r="S53" s="877">
        <v>0</v>
      </c>
      <c r="T53" s="18"/>
      <c r="U53" s="879"/>
      <c r="V53" s="877"/>
      <c r="W53" s="886"/>
      <c r="X53" s="877"/>
      <c r="Y53" s="879"/>
      <c r="Z53" s="877"/>
      <c r="AA53" s="886"/>
      <c r="AB53" s="877"/>
      <c r="AC53" s="879"/>
      <c r="AD53" s="877"/>
      <c r="AE53" s="886"/>
      <c r="AF53" s="877"/>
      <c r="AG53" s="879"/>
      <c r="AH53" s="877"/>
      <c r="AI53" s="886"/>
      <c r="AJ53" s="877"/>
      <c r="AK53" s="879"/>
      <c r="AL53" s="877"/>
      <c r="AM53" s="886"/>
      <c r="AN53" s="877"/>
      <c r="AO53" s="879"/>
      <c r="AP53" s="877"/>
      <c r="AQ53" s="886"/>
      <c r="AR53" s="877"/>
      <c r="AS53" s="879"/>
      <c r="AT53" s="877"/>
      <c r="AU53" s="886"/>
      <c r="AV53" s="877"/>
      <c r="AW53" s="879"/>
      <c r="AX53" s="877"/>
      <c r="AY53" s="886"/>
      <c r="AZ53" s="877"/>
      <c r="BA53" s="879"/>
      <c r="BB53" s="886"/>
    </row>
    <row r="54" spans="1:334">
      <c r="A54" s="68"/>
      <c r="B54" s="50"/>
      <c r="C54" s="174" t="s">
        <v>319</v>
      </c>
      <c r="D54" s="928">
        <f>SUM(H54:K54)</f>
        <v>0</v>
      </c>
      <c r="E54" s="877">
        <f>SUM(G54:K54,N54:O54)</f>
        <v>2.1280873051105219E-4</v>
      </c>
      <c r="F54" s="878">
        <f>SUM(Q54:S54)/(1-'Common input data'!B$146)</f>
        <v>2.1756364933639384E-4</v>
      </c>
      <c r="G54" s="877">
        <f>'Input data dairy products'!$D$9*G11</f>
        <v>2.1187779381439312E-4</v>
      </c>
      <c r="H54" s="877">
        <v>0</v>
      </c>
      <c r="I54" s="877">
        <v>0</v>
      </c>
      <c r="J54" s="877">
        <v>0</v>
      </c>
      <c r="K54" s="877">
        <v>0</v>
      </c>
      <c r="L54" s="877">
        <v>0</v>
      </c>
      <c r="M54" s="877">
        <v>0</v>
      </c>
      <c r="N54" s="877">
        <v>0</v>
      </c>
      <c r="O54" s="877">
        <f>'Input data dairy products'!$D$9*O11</f>
        <v>9.3093669665907727E-7</v>
      </c>
      <c r="P54" s="877">
        <v>0</v>
      </c>
      <c r="Q54" s="877">
        <f>SUM(G54:P54)</f>
        <v>2.1280873051105219E-4</v>
      </c>
      <c r="R54" s="877">
        <v>0</v>
      </c>
      <c r="S54" s="877">
        <v>0</v>
      </c>
      <c r="T54" s="18"/>
      <c r="U54" s="879"/>
      <c r="V54" s="877"/>
      <c r="W54" s="886"/>
      <c r="X54" s="877"/>
      <c r="Y54" s="879"/>
      <c r="Z54" s="877"/>
      <c r="AA54" s="886"/>
      <c r="AB54" s="877"/>
      <c r="AC54" s="879"/>
      <c r="AD54" s="877"/>
      <c r="AE54" s="886"/>
      <c r="AF54" s="877"/>
      <c r="AG54" s="879"/>
      <c r="AH54" s="877"/>
      <c r="AI54" s="886"/>
      <c r="AJ54" s="877"/>
      <c r="AK54" s="879"/>
      <c r="AL54" s="877"/>
      <c r="AM54" s="886"/>
      <c r="AN54" s="877"/>
      <c r="AO54" s="879"/>
      <c r="AP54" s="877"/>
      <c r="AQ54" s="886"/>
      <c r="AR54" s="877"/>
      <c r="AS54" s="879"/>
      <c r="AT54" s="877"/>
      <c r="AU54" s="886"/>
      <c r="AV54" s="877"/>
      <c r="AW54" s="879"/>
      <c r="AX54" s="877"/>
      <c r="AY54" s="886"/>
      <c r="AZ54" s="877"/>
      <c r="BA54" s="879"/>
      <c r="BB54" s="886"/>
    </row>
    <row r="55" spans="1:334">
      <c r="A55" s="359"/>
      <c r="B55" s="54"/>
      <c r="C55" s="55" t="s">
        <v>320</v>
      </c>
      <c r="D55" s="928">
        <f>SUM(H55:K55)</f>
        <v>7.9959468439584299E-4</v>
      </c>
      <c r="E55" s="877">
        <f>SUM(G55:K55,N55:O55)</f>
        <v>1.0001889158437565E-3</v>
      </c>
      <c r="F55" s="878">
        <f>SUM(Q55:S55)/(1-'Common input data'!B$146)</f>
        <v>1.0225367635726659E-3</v>
      </c>
      <c r="G55" s="877">
        <f>'Input data dairy products'!$D$9*G12</f>
        <v>2.0050744746030261E-4</v>
      </c>
      <c r="H55" s="877">
        <f>'Input data dairy products'!$D$9*H12</f>
        <v>5.0680200966210336E-4</v>
      </c>
      <c r="I55" s="877">
        <f>'Input data dairy products'!$D$9*I12</f>
        <v>2.7278690119907046E-4</v>
      </c>
      <c r="J55" s="877">
        <f>'Input data dairy products'!$D$9*J12</f>
        <v>2.0005773534669182E-5</v>
      </c>
      <c r="K55" s="877">
        <f>'Input data dairy products'!$D$9*K12</f>
        <v>0</v>
      </c>
      <c r="L55" s="877">
        <f>'Input data dairy products'!$D$9*L12</f>
        <v>0</v>
      </c>
      <c r="M55" s="877">
        <f>'Input data dairy products'!$D$9*M12</f>
        <v>0</v>
      </c>
      <c r="N55" s="877">
        <f>'Input data dairy products'!$D$9*N12</f>
        <v>0</v>
      </c>
      <c r="O55" s="877">
        <f>'Input data dairy products'!$D$9*O12</f>
        <v>8.6783987610773975E-8</v>
      </c>
      <c r="P55" s="877">
        <v>0</v>
      </c>
      <c r="Q55" s="877">
        <f>SUM(G55:P55)</f>
        <v>1.0001889158437565E-3</v>
      </c>
      <c r="R55" s="877">
        <v>0</v>
      </c>
      <c r="S55" s="877">
        <v>0</v>
      </c>
      <c r="T55" s="18"/>
      <c r="U55" s="879"/>
      <c r="V55" s="877"/>
      <c r="W55" s="886"/>
      <c r="X55" s="877"/>
      <c r="Y55" s="879"/>
      <c r="Z55" s="877"/>
      <c r="AA55" s="886"/>
      <c r="AB55" s="877"/>
      <c r="AC55" s="879"/>
      <c r="AD55" s="877"/>
      <c r="AE55" s="886"/>
      <c r="AF55" s="877"/>
      <c r="AG55" s="879"/>
      <c r="AH55" s="877"/>
      <c r="AI55" s="886"/>
      <c r="AJ55" s="877"/>
      <c r="AK55" s="879"/>
      <c r="AL55" s="877"/>
      <c r="AM55" s="886"/>
      <c r="AN55" s="877"/>
      <c r="AO55" s="879"/>
      <c r="AP55" s="877"/>
      <c r="AQ55" s="886"/>
      <c r="AR55" s="877"/>
      <c r="AS55" s="879"/>
      <c r="AT55" s="877"/>
      <c r="AU55" s="886"/>
      <c r="AV55" s="877"/>
      <c r="AW55" s="879"/>
      <c r="AX55" s="877"/>
      <c r="AY55" s="886"/>
      <c r="AZ55" s="877"/>
      <c r="BA55" s="879"/>
      <c r="BB55" s="886"/>
    </row>
    <row r="56" spans="1:334" s="12" customFormat="1">
      <c r="A56" s="108" t="s">
        <v>125</v>
      </c>
      <c r="B56" s="79">
        <f>'Input data dairy products'!C10</f>
        <v>0.23199999999999998</v>
      </c>
      <c r="C56" s="355" t="s">
        <v>316</v>
      </c>
      <c r="D56" s="930">
        <f>SUMPRODUCT($BH$6:$BH$9,D57:D60)</f>
        <v>0.76175304068429117</v>
      </c>
      <c r="E56" s="872">
        <f>SUMPRODUCT($BH$6:$BH$9,E57:E60)</f>
        <v>1.1504362780415689</v>
      </c>
      <c r="F56" s="873">
        <f>SUMPRODUCT($BH$6:$BH$9,F57:F60)</f>
        <v>1.7179833188704785</v>
      </c>
      <c r="G56" s="884"/>
      <c r="H56" s="884"/>
      <c r="I56" s="884"/>
      <c r="J56" s="884"/>
      <c r="K56" s="884"/>
      <c r="L56" s="884"/>
      <c r="M56" s="884"/>
      <c r="N56" s="884"/>
      <c r="O56" s="884"/>
      <c r="P56" s="884"/>
      <c r="Q56" s="884"/>
      <c r="R56" s="884"/>
      <c r="S56" s="884"/>
      <c r="T56" s="18"/>
      <c r="U56" s="1220">
        <f>U$19*'Input data dairy products'!$D10</f>
        <v>2.324801414033959</v>
      </c>
      <c r="V56" s="877">
        <f>U56+U56*'Common input data'!$B$146</f>
        <v>2.375610646378095</v>
      </c>
      <c r="W56" s="886">
        <f>V56+V56*'Common input data'!$B$181</f>
        <v>2.5419033916245617</v>
      </c>
      <c r="X56" s="877"/>
      <c r="Y56" s="1220">
        <f>Y$19*'Input data dairy products'!$D10</f>
        <v>2.5625265286504439</v>
      </c>
      <c r="Z56" s="877">
        <f>Y56+Y56*'Common input data'!$B$146</f>
        <v>2.6185313146920577</v>
      </c>
      <c r="AA56" s="886">
        <f>Z56+Z56*'Common input data'!$B$181</f>
        <v>2.8018285067205015</v>
      </c>
      <c r="AB56" s="877"/>
      <c r="AC56" s="1220">
        <f>AC$19*'Input data dairy products'!$D10</f>
        <v>5.4498551471326748E-2</v>
      </c>
      <c r="AD56" s="877">
        <f>AC56+AC56*'Common input data'!$B$146</f>
        <v>5.5689633663298023E-2</v>
      </c>
      <c r="AE56" s="886">
        <f>AD56+AD56*'Common input data'!$B$181</f>
        <v>5.9587908019728887E-2</v>
      </c>
      <c r="AF56" s="877"/>
      <c r="AG56" s="1220">
        <f>AG$19*'Input data dairy products'!$D10</f>
        <v>1.8137632420862839E-3</v>
      </c>
      <c r="AH56" s="877">
        <f>AG56+AG56*'Common input data'!$B$146</f>
        <v>1.8534035818710518E-3</v>
      </c>
      <c r="AI56" s="886">
        <f>AH56+AH56*'Common input data'!$B$181</f>
        <v>1.9831418326020254E-3</v>
      </c>
      <c r="AJ56" s="877"/>
      <c r="AK56" s="1220">
        <f>AK$19*'Input data dairy products'!$D10</f>
        <v>5.2497397645090765E-3</v>
      </c>
      <c r="AL56" s="877">
        <f>AK56+AK56*'Common input data'!$B$146</f>
        <v>5.3644744019843505E-3</v>
      </c>
      <c r="AM56" s="886">
        <f>AL56+AL56*'Common input data'!$B$181</f>
        <v>5.7399876101232551E-3</v>
      </c>
      <c r="AN56" s="877"/>
      <c r="AO56" s="1220">
        <f>(AO$19*'Input data dairy products'!$D10)/$AP$2</f>
        <v>6.6456838563490988E-11</v>
      </c>
      <c r="AP56" s="877">
        <f>AO56+AO56*'Common input data'!$B$146</f>
        <v>6.7909272707347637E-11</v>
      </c>
      <c r="AQ56" s="886">
        <f>AP56+AP56*'Common input data'!$B$181</f>
        <v>7.2662921796861972E-11</v>
      </c>
      <c r="AR56" s="877"/>
      <c r="AS56" s="1220">
        <f>AS$19*'Input data dairy products'!$D10</f>
        <v>1.1552377914000203E-4</v>
      </c>
      <c r="AT56" s="877">
        <f>AS56+AS56*'Common input data'!$B$146</f>
        <v>1.1804858599024049E-4</v>
      </c>
      <c r="AU56" s="886">
        <f>AT56+AT56*'Common input data'!$B$181</f>
        <v>1.2631198700955733E-4</v>
      </c>
      <c r="AV56" s="877"/>
      <c r="AW56" s="1220">
        <f>AW$19*'Input data dairy products'!$D10</f>
        <v>4.5284518974825876E-3</v>
      </c>
      <c r="AX56" s="877">
        <f>AW56+AW56*'Common input data'!$B$146</f>
        <v>4.6274225722376374E-3</v>
      </c>
      <c r="AY56" s="886">
        <f>AX56+AX56*'Common input data'!$B$181</f>
        <v>4.9513421522942719E-3</v>
      </c>
      <c r="AZ56" s="877"/>
      <c r="BA56" s="879">
        <f>('Common input data'!B214+'Common input data'!C214)+('Common input data'!B214+'Common input data'!C214)*'Common input data'!$B$146</f>
        <v>0.97093284421666648</v>
      </c>
      <c r="BB56" s="886">
        <f>BA56+BA56*'Common input data'!$B$181</f>
        <v>1.0388981433118332</v>
      </c>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row>
    <row r="57" spans="1:334">
      <c r="A57" s="18"/>
      <c r="B57" s="50"/>
      <c r="C57" s="174" t="s">
        <v>317</v>
      </c>
      <c r="D57" s="928">
        <f>IF(AND($F$2="No",$F$3="No"),SUM(H57:K57),IF(AND($F$2="Yes", $F$3="No"), SUM(H57:K57)+M57, IF(AND($F$2="No", $F$3="Yes"),SUM(H57:K57)+L57, SUM(H57:K57)+M57+L57)))</f>
        <v>-2.1579023105901114E-2</v>
      </c>
      <c r="E57" s="877">
        <f>IF(AND($F$2="No",$F$3="No"),SUM(G57:K57,N57:O57),IF(AND($F$2="Yes",$F$3="No"), SUM(G57:K57,N57:O57)+M57, IF(AND($F$2="No", $F$3="Yes"),SUM(G57:K57,N57:O57)+L57, SUM(G57:K57,N57:O57)+M57+L57)))</f>
        <v>0.30579704240884714</v>
      </c>
      <c r="F57" s="878">
        <f>SUM(Q57:S57)/(1-'Common input data'!B$146)</f>
        <v>0.85447177949116015</v>
      </c>
      <c r="G57" s="877">
        <f>'Input data dairy products'!$D$10*G14</f>
        <v>0.19821189744860501</v>
      </c>
      <c r="H57" s="877">
        <f>'Input data dairy products'!$D$10*H14</f>
        <v>0</v>
      </c>
      <c r="I57" s="877">
        <f>'Input data dairy products'!$D$10*I14</f>
        <v>0</v>
      </c>
      <c r="J57" s="877">
        <f>'Input data dairy products'!$D$10*J14</f>
        <v>0</v>
      </c>
      <c r="K57" s="877">
        <f>'Input data dairy products'!$D$10*K14</f>
        <v>0</v>
      </c>
      <c r="L57" s="877">
        <f>'Input data dairy products'!$D$10*L14</f>
        <v>-4.1512648845980694E-2</v>
      </c>
      <c r="M57" s="877">
        <f>'Input data dairy products'!$D$10*M14</f>
        <v>1.9933625740079581E-2</v>
      </c>
      <c r="N57" s="877">
        <f>'Input data dairy products'!$D$10*N14</f>
        <v>0.11248916387342252</v>
      </c>
      <c r="O57" s="877">
        <f>'Input data dairy products'!$D$10*O14</f>
        <v>1.6675004192720756E-2</v>
      </c>
      <c r="P57" s="877">
        <f>'Input data dairy products'!D$30</f>
        <v>0.25</v>
      </c>
      <c r="Q57" s="1185">
        <f>IF(AND($F$2="No",$F$3="No"),SUM(G57:K57,N57:P57),IF(AND($F$2="Yes",$F$3="No"), SUM(G57:K57,N57:P57)+M57, IF(AND($F$2="No", $F$3="Yes"),SUM(G57:K57,N57:P57)+L57, SUM(G57:K57,N57:P57)+M57+L57)))</f>
        <v>0.5557970424088472</v>
      </c>
      <c r="R57" s="877">
        <f>'Common input data'!B$108</f>
        <v>0.05</v>
      </c>
      <c r="S57" s="877">
        <f>'Common input data'!B$119+'Common input data'!C$119</f>
        <v>0.23000000000000004</v>
      </c>
      <c r="T57" s="18"/>
      <c r="U57" s="879"/>
      <c r="V57" s="877"/>
      <c r="W57" s="886"/>
      <c r="X57" s="877"/>
      <c r="Y57" s="879"/>
      <c r="Z57" s="877"/>
      <c r="AA57" s="886"/>
      <c r="AB57" s="877"/>
      <c r="AC57" s="879"/>
      <c r="AD57" s="877"/>
      <c r="AE57" s="886"/>
      <c r="AF57" s="877"/>
      <c r="AG57" s="879"/>
      <c r="AH57" s="877"/>
      <c r="AI57" s="886"/>
      <c r="AJ57" s="877"/>
      <c r="AK57" s="879"/>
      <c r="AL57" s="877"/>
      <c r="AM57" s="886"/>
      <c r="AN57" s="877"/>
      <c r="AO57" s="879"/>
      <c r="AP57" s="877"/>
      <c r="AQ57" s="886"/>
      <c r="AR57" s="877"/>
      <c r="AS57" s="879"/>
      <c r="AT57" s="877"/>
      <c r="AU57" s="886"/>
      <c r="AV57" s="877"/>
      <c r="AW57" s="879"/>
      <c r="AX57" s="877"/>
      <c r="AY57" s="886"/>
      <c r="AZ57" s="877"/>
      <c r="BA57" s="879"/>
      <c r="BB57" s="886"/>
    </row>
    <row r="58" spans="1:334">
      <c r="A58" s="68"/>
      <c r="B58" s="55"/>
      <c r="C58" s="174" t="s">
        <v>318</v>
      </c>
      <c r="D58" s="928">
        <f>SUM(H58:K58)</f>
        <v>2.092750796111582E-2</v>
      </c>
      <c r="E58" s="877">
        <f>SUM(G58:K58,N58:O58)</f>
        <v>2.092750796111582E-2</v>
      </c>
      <c r="F58" s="878">
        <f>SUM(Q58:S58)/(1-'Common input data'!B$146)</f>
        <v>2.1395104386003231E-2</v>
      </c>
      <c r="G58" s="877">
        <v>0</v>
      </c>
      <c r="H58" s="877">
        <f>'Input data dairy products'!$D$10*H16</f>
        <v>0</v>
      </c>
      <c r="I58" s="877">
        <f>'Input data dairy products'!$D$10*I15</f>
        <v>1.2546753441682198E-3</v>
      </c>
      <c r="J58" s="877">
        <f>'Input data dairy products'!$D$10*J15</f>
        <v>0</v>
      </c>
      <c r="K58" s="877">
        <f>'Input data dairy products'!$D$10*K15</f>
        <v>1.9672832616947602E-2</v>
      </c>
      <c r="L58" s="877">
        <f>'Input data dairy products'!$D$10*L15</f>
        <v>0</v>
      </c>
      <c r="M58" s="877">
        <f>'Input data dairy products'!$D$10*M15</f>
        <v>0</v>
      </c>
      <c r="N58" s="877">
        <f>'Input data dairy products'!$D$10*N15</f>
        <v>0</v>
      </c>
      <c r="O58" s="877">
        <v>0</v>
      </c>
      <c r="P58" s="877">
        <v>0</v>
      </c>
      <c r="Q58" s="877">
        <f>SUM(G58:P58)</f>
        <v>2.092750796111582E-2</v>
      </c>
      <c r="R58" s="877">
        <v>0</v>
      </c>
      <c r="S58" s="877">
        <v>0</v>
      </c>
      <c r="T58" s="18"/>
      <c r="U58" s="879"/>
      <c r="V58" s="877"/>
      <c r="W58" s="886"/>
      <c r="X58" s="877"/>
      <c r="Y58" s="879"/>
      <c r="Z58" s="877"/>
      <c r="AA58" s="886"/>
      <c r="AB58" s="877"/>
      <c r="AC58" s="879"/>
      <c r="AD58" s="877"/>
      <c r="AE58" s="886"/>
      <c r="AF58" s="877"/>
      <c r="AG58" s="879"/>
      <c r="AH58" s="877"/>
      <c r="AI58" s="886"/>
      <c r="AJ58" s="877"/>
      <c r="AK58" s="879"/>
      <c r="AL58" s="877"/>
      <c r="AM58" s="886"/>
      <c r="AN58" s="877"/>
      <c r="AO58" s="879"/>
      <c r="AP58" s="877"/>
      <c r="AQ58" s="886"/>
      <c r="AR58" s="877"/>
      <c r="AS58" s="879"/>
      <c r="AT58" s="877"/>
      <c r="AU58" s="886"/>
      <c r="AV58" s="877"/>
      <c r="AW58" s="879"/>
      <c r="AX58" s="877"/>
      <c r="AY58" s="886"/>
      <c r="AZ58" s="877"/>
      <c r="BA58" s="879"/>
      <c r="BB58" s="886"/>
    </row>
    <row r="59" spans="1:334">
      <c r="A59" s="68"/>
      <c r="B59" s="55"/>
      <c r="C59" s="174" t="s">
        <v>319</v>
      </c>
      <c r="D59" s="928">
        <f>SUM(H59:K59)</f>
        <v>0</v>
      </c>
      <c r="E59" s="877">
        <f>SUM(G59:K59,N59:O59)</f>
        <v>2.1648742217169185E-4</v>
      </c>
      <c r="F59" s="878">
        <f>SUM(Q59:S59)/(1-'Common input data'!B$146)</f>
        <v>2.2132453631011016E-4</v>
      </c>
      <c r="G59" s="877">
        <f>'Input data dairy products'!$D$10*G16</f>
        <v>2.1187779381439312E-4</v>
      </c>
      <c r="H59" s="877">
        <v>0</v>
      </c>
      <c r="I59" s="877">
        <v>0</v>
      </c>
      <c r="J59" s="877">
        <v>0</v>
      </c>
      <c r="K59" s="877">
        <v>0</v>
      </c>
      <c r="L59" s="877">
        <v>0</v>
      </c>
      <c r="M59" s="877">
        <v>0</v>
      </c>
      <c r="N59" s="877">
        <v>0</v>
      </c>
      <c r="O59" s="877">
        <f>'Input data dairy products'!$D$10*O16</f>
        <v>4.6096283572987402E-6</v>
      </c>
      <c r="P59" s="877">
        <v>0</v>
      </c>
      <c r="Q59" s="877">
        <f>SUM(G59:P59)</f>
        <v>2.1648742217169185E-4</v>
      </c>
      <c r="R59" s="877">
        <v>0</v>
      </c>
      <c r="S59" s="877">
        <v>0</v>
      </c>
      <c r="T59" s="18"/>
      <c r="U59" s="879"/>
      <c r="V59" s="877"/>
      <c r="W59" s="886"/>
      <c r="X59" s="877"/>
      <c r="Y59" s="879"/>
      <c r="Z59" s="877"/>
      <c r="AA59" s="886"/>
      <c r="AB59" s="877"/>
      <c r="AC59" s="879"/>
      <c r="AD59" s="877"/>
      <c r="AE59" s="886"/>
      <c r="AF59" s="877"/>
      <c r="AG59" s="879"/>
      <c r="AH59" s="877"/>
      <c r="AI59" s="886"/>
      <c r="AJ59" s="877"/>
      <c r="AK59" s="879"/>
      <c r="AL59" s="877"/>
      <c r="AM59" s="886"/>
      <c r="AN59" s="877"/>
      <c r="AO59" s="879"/>
      <c r="AP59" s="877"/>
      <c r="AQ59" s="886"/>
      <c r="AR59" s="877"/>
      <c r="AS59" s="879"/>
      <c r="AT59" s="877"/>
      <c r="AU59" s="886"/>
      <c r="AV59" s="877"/>
      <c r="AW59" s="879"/>
      <c r="AX59" s="877"/>
      <c r="AY59" s="886"/>
      <c r="AZ59" s="877"/>
      <c r="BA59" s="879"/>
      <c r="BB59" s="886"/>
    </row>
    <row r="60" spans="1:334">
      <c r="A60" s="68"/>
      <c r="B60" s="54"/>
      <c r="C60" s="55" t="s">
        <v>320</v>
      </c>
      <c r="D60" s="932">
        <f>SUM(H60:K60)</f>
        <v>7.9959468439584299E-4</v>
      </c>
      <c r="E60" s="896">
        <f>SUM(G60:K60,N60:O60)</f>
        <v>1.0005318516552316E-3</v>
      </c>
      <c r="F60" s="933">
        <f>SUM(Q60:S60)/(1-'Common input data'!B$146)</f>
        <v>1.0228873618138823E-3</v>
      </c>
      <c r="G60" s="877">
        <f>'Input data dairy products'!$D$10*G17</f>
        <v>2.0050744746030261E-4</v>
      </c>
      <c r="H60" s="877">
        <f>'Input data dairy products'!$D$10*H17</f>
        <v>5.0680200966210336E-4</v>
      </c>
      <c r="I60" s="877">
        <f>'Input data dairy products'!$D$10*I17</f>
        <v>2.7278690119907046E-4</v>
      </c>
      <c r="J60" s="877">
        <f>'Input data dairy products'!$D$10*J17</f>
        <v>2.0005773534669182E-5</v>
      </c>
      <c r="K60" s="877">
        <f>'Input data dairy products'!$D$10*K17</f>
        <v>0</v>
      </c>
      <c r="L60" s="877">
        <f>'Input data dairy products'!$D$10*L17</f>
        <v>0</v>
      </c>
      <c r="M60" s="877">
        <f>'Input data dairy products'!$D$10*M17</f>
        <v>0</v>
      </c>
      <c r="N60" s="877">
        <f>'Input data dairy products'!$D$10*N17</f>
        <v>0</v>
      </c>
      <c r="O60" s="877">
        <f>'Input data dairy products'!$D$10*O17</f>
        <v>4.2971979908596032E-7</v>
      </c>
      <c r="P60" s="877">
        <v>0</v>
      </c>
      <c r="Q60" s="877">
        <f>SUM(G60:P60)</f>
        <v>1.0005318516552316E-3</v>
      </c>
      <c r="R60" s="1187">
        <v>0</v>
      </c>
      <c r="S60" s="877">
        <v>0</v>
      </c>
      <c r="T60" s="18"/>
      <c r="U60" s="879"/>
      <c r="V60" s="877"/>
      <c r="W60" s="886"/>
      <c r="X60" s="877"/>
      <c r="Y60" s="879"/>
      <c r="Z60" s="877"/>
      <c r="AA60" s="886"/>
      <c r="AB60" s="877"/>
      <c r="AC60" s="879"/>
      <c r="AD60" s="877"/>
      <c r="AE60" s="886"/>
      <c r="AF60" s="877"/>
      <c r="AG60" s="879"/>
      <c r="AH60" s="877"/>
      <c r="AI60" s="886"/>
      <c r="AJ60" s="877"/>
      <c r="AK60" s="879"/>
      <c r="AL60" s="877"/>
      <c r="AM60" s="886"/>
      <c r="AN60" s="877"/>
      <c r="AO60" s="879"/>
      <c r="AP60" s="877"/>
      <c r="AQ60" s="886"/>
      <c r="AR60" s="877"/>
      <c r="AS60" s="879"/>
      <c r="AT60" s="877"/>
      <c r="AU60" s="886"/>
      <c r="AV60" s="877"/>
      <c r="AW60" s="879"/>
      <c r="AX60" s="877"/>
      <c r="AY60" s="886"/>
      <c r="AZ60" s="877"/>
      <c r="BA60" s="879"/>
      <c r="BB60" s="886"/>
    </row>
    <row r="61" spans="1:334" s="368" customFormat="1">
      <c r="A61" s="362" t="s">
        <v>374</v>
      </c>
      <c r="B61" s="353"/>
      <c r="C61" s="364"/>
      <c r="D61" s="1182" t="s">
        <v>375</v>
      </c>
      <c r="E61" s="1183" t="s">
        <v>375</v>
      </c>
      <c r="F61" s="1184" t="s">
        <v>375</v>
      </c>
      <c r="G61" s="889"/>
      <c r="H61" s="889"/>
      <c r="I61" s="889"/>
      <c r="J61" s="889"/>
      <c r="K61" s="889"/>
      <c r="L61" s="889"/>
      <c r="M61" s="889"/>
      <c r="N61" s="889"/>
      <c r="O61" s="889"/>
      <c r="P61" s="889"/>
      <c r="Q61" s="889"/>
      <c r="R61" s="1188"/>
      <c r="S61" s="889"/>
      <c r="T61" s="18"/>
      <c r="U61" s="883">
        <f>U67*$B$67+U72*$B$72</f>
        <v>11.624007070169796</v>
      </c>
      <c r="V61" s="884">
        <f t="shared" ref="V61:BB61" si="14">V67*$B$67+V72*$B$72</f>
        <v>11.878053231890476</v>
      </c>
      <c r="W61" s="885">
        <f t="shared" si="14"/>
        <v>12.70951695812281</v>
      </c>
      <c r="X61" s="877"/>
      <c r="Y61" s="883">
        <f t="shared" si="14"/>
        <v>12.81263264325222</v>
      </c>
      <c r="Z61" s="884">
        <f t="shared" si="14"/>
        <v>13.092656573460287</v>
      </c>
      <c r="AA61" s="885">
        <f t="shared" si="14"/>
        <v>14.009142533602507</v>
      </c>
      <c r="AB61" s="877"/>
      <c r="AC61" s="883">
        <f t="shared" si="14"/>
        <v>0.27249275735663375</v>
      </c>
      <c r="AD61" s="884">
        <f t="shared" si="14"/>
        <v>0.27844816831649011</v>
      </c>
      <c r="AE61" s="885">
        <f t="shared" si="14"/>
        <v>0.29793954009864443</v>
      </c>
      <c r="AF61" s="877"/>
      <c r="AG61" s="883">
        <f t="shared" si="14"/>
        <v>9.0688162104314192E-3</v>
      </c>
      <c r="AH61" s="884">
        <f t="shared" si="14"/>
        <v>9.2670179093552584E-3</v>
      </c>
      <c r="AI61" s="885">
        <f t="shared" si="14"/>
        <v>9.9157091630101262E-3</v>
      </c>
      <c r="AJ61" s="877"/>
      <c r="AK61" s="883">
        <f t="shared" si="14"/>
        <v>2.6248698822545383E-2</v>
      </c>
      <c r="AL61" s="884">
        <f t="shared" si="14"/>
        <v>2.6822372009921755E-2</v>
      </c>
      <c r="AM61" s="885">
        <f t="shared" si="14"/>
        <v>2.8699938050616276E-2</v>
      </c>
      <c r="AN61" s="877"/>
      <c r="AO61" s="883">
        <f t="shared" si="14"/>
        <v>3.3228419281745494E-10</v>
      </c>
      <c r="AP61" s="884">
        <f t="shared" si="14"/>
        <v>3.395463635367382E-10</v>
      </c>
      <c r="AQ61" s="885">
        <f t="shared" si="14"/>
        <v>3.6331460898430986E-10</v>
      </c>
      <c r="AR61" s="877"/>
      <c r="AS61" s="883">
        <f t="shared" si="14"/>
        <v>5.7761889570001016E-4</v>
      </c>
      <c r="AT61" s="884">
        <f t="shared" si="14"/>
        <v>5.9024292995120246E-4</v>
      </c>
      <c r="AU61" s="885">
        <f t="shared" si="14"/>
        <v>6.3155993504778666E-4</v>
      </c>
      <c r="AV61" s="877"/>
      <c r="AW61" s="883">
        <f t="shared" si="14"/>
        <v>2.2642259487412938E-2</v>
      </c>
      <c r="AX61" s="884">
        <f t="shared" si="14"/>
        <v>2.3137112861188188E-2</v>
      </c>
      <c r="AY61" s="885">
        <f t="shared" si="14"/>
        <v>2.4756710761471359E-2</v>
      </c>
      <c r="AZ61" s="877"/>
      <c r="BA61" s="883">
        <f t="shared" si="14"/>
        <v>0.23139689403572175</v>
      </c>
      <c r="BB61" s="885">
        <f t="shared" si="14"/>
        <v>0.24759467661822226</v>
      </c>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row>
    <row r="62" spans="1:334" s="12" customFormat="1">
      <c r="A62" s="108" t="s">
        <v>315</v>
      </c>
      <c r="B62" s="390">
        <f>SUM(B67:B72)</f>
        <v>1</v>
      </c>
      <c r="C62" s="355" t="s">
        <v>316</v>
      </c>
      <c r="D62" s="930">
        <f>SUMPRODUCT($BH$6:$BH$9,D63:D66)</f>
        <v>3.8087652034214559</v>
      </c>
      <c r="E62" s="872">
        <f>SUMPRODUCT($BH$6:$BH$9,E63:E66)</f>
        <v>5.2890445758575133</v>
      </c>
      <c r="F62" s="873">
        <f>SUMPRODUCT($BH$6:$BH$9,F63:F66)</f>
        <v>5.5219072151216606</v>
      </c>
      <c r="G62" s="1178"/>
      <c r="H62" s="884"/>
      <c r="I62" s="884"/>
      <c r="J62" s="884"/>
      <c r="K62" s="884"/>
      <c r="L62" s="884"/>
      <c r="M62" s="884"/>
      <c r="N62" s="884"/>
      <c r="O62" s="884"/>
      <c r="P62" s="1178"/>
      <c r="Q62" s="1178"/>
      <c r="R62" s="872"/>
      <c r="S62" s="872"/>
      <c r="T62" s="18"/>
      <c r="U62" s="879"/>
      <c r="V62" s="877"/>
      <c r="W62" s="886"/>
      <c r="X62" s="877"/>
      <c r="Y62" s="879"/>
      <c r="Z62" s="877"/>
      <c r="AA62" s="886"/>
      <c r="AB62" s="877"/>
      <c r="AC62" s="879"/>
      <c r="AD62" s="877"/>
      <c r="AE62" s="886"/>
      <c r="AF62" s="877"/>
      <c r="AG62" s="879"/>
      <c r="AH62" s="877"/>
      <c r="AI62" s="886"/>
      <c r="AJ62" s="877"/>
      <c r="AK62" s="879"/>
      <c r="AL62" s="877"/>
      <c r="AM62" s="886"/>
      <c r="AN62" s="877"/>
      <c r="AO62" s="879"/>
      <c r="AP62" s="877"/>
      <c r="AQ62" s="886"/>
      <c r="AR62" s="877"/>
      <c r="AS62" s="879"/>
      <c r="AT62" s="877"/>
      <c r="AU62" s="886"/>
      <c r="AV62" s="877"/>
      <c r="AW62" s="879"/>
      <c r="AX62" s="877"/>
      <c r="AY62" s="886"/>
      <c r="AZ62" s="877"/>
      <c r="BA62" s="879"/>
      <c r="BB62" s="886"/>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row>
    <row r="63" spans="1:334" s="12" customFormat="1">
      <c r="A63" s="18"/>
      <c r="B63"/>
      <c r="C63" s="174" t="s">
        <v>317</v>
      </c>
      <c r="D63" s="928">
        <f t="shared" ref="D63:F66" si="15">$B$67*D68+$B$72*D73</f>
        <v>-0.10789511552950556</v>
      </c>
      <c r="E63" s="877">
        <f t="shared" si="15"/>
        <v>1.0667597941750948</v>
      </c>
      <c r="F63" s="878">
        <f t="shared" si="15"/>
        <v>1.205281278608977</v>
      </c>
      <c r="G63" s="877">
        <f t="shared" ref="G63:P63" si="16">$B67*G68+$B$72*G73</f>
        <v>0.99105948724302506</v>
      </c>
      <c r="H63" s="877">
        <f t="shared" si="16"/>
        <v>0</v>
      </c>
      <c r="I63" s="877">
        <f t="shared" si="16"/>
        <v>0</v>
      </c>
      <c r="J63" s="877">
        <f t="shared" si="16"/>
        <v>0</v>
      </c>
      <c r="K63" s="877">
        <f t="shared" si="16"/>
        <v>0</v>
      </c>
      <c r="L63" s="877">
        <f t="shared" si="16"/>
        <v>-0.20756324422990347</v>
      </c>
      <c r="M63" s="877">
        <f t="shared" si="16"/>
        <v>9.9668128700397901E-2</v>
      </c>
      <c r="N63" s="877">
        <f t="shared" si="16"/>
        <v>0.15989338121323624</v>
      </c>
      <c r="O63" s="877">
        <f t="shared" si="16"/>
        <v>2.3702041248338877E-2</v>
      </c>
      <c r="P63" s="877">
        <f t="shared" si="16"/>
        <v>1.1547420965499999E-2</v>
      </c>
      <c r="Q63" s="877">
        <f>$B$67*Q68+$B$72*Q73</f>
        <v>1.0783072151405946</v>
      </c>
      <c r="R63" s="877">
        <f t="shared" ref="R63:S66" si="17">$B67*R68+$B$72*R73</f>
        <v>0.05</v>
      </c>
      <c r="S63" s="877">
        <f t="shared" si="17"/>
        <v>5.0632279540000005E-2</v>
      </c>
      <c r="T63" s="18"/>
      <c r="U63" s="879"/>
      <c r="V63" s="877"/>
      <c r="W63" s="886"/>
      <c r="X63" s="877"/>
      <c r="Y63" s="879"/>
      <c r="Z63" s="877"/>
      <c r="AA63" s="886"/>
      <c r="AB63" s="877"/>
      <c r="AC63" s="879"/>
      <c r="AD63" s="877"/>
      <c r="AE63" s="886"/>
      <c r="AF63" s="877"/>
      <c r="AG63" s="879"/>
      <c r="AH63" s="877"/>
      <c r="AI63" s="886"/>
      <c r="AJ63" s="877"/>
      <c r="AK63" s="879"/>
      <c r="AL63" s="877"/>
      <c r="AM63" s="886"/>
      <c r="AN63" s="877"/>
      <c r="AO63" s="879"/>
      <c r="AP63" s="877"/>
      <c r="AQ63" s="886"/>
      <c r="AR63" s="877"/>
      <c r="AS63" s="879"/>
      <c r="AT63" s="877"/>
      <c r="AU63" s="886"/>
      <c r="AV63" s="877"/>
      <c r="AW63" s="879"/>
      <c r="AX63" s="877"/>
      <c r="AY63" s="886"/>
      <c r="AZ63" s="877"/>
      <c r="BA63" s="879"/>
      <c r="BB63" s="886"/>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row>
    <row r="64" spans="1:334">
      <c r="A64" s="195"/>
      <c r="B64" s="50"/>
      <c r="C64" s="174" t="s">
        <v>318</v>
      </c>
      <c r="D64" s="928">
        <f t="shared" si="15"/>
        <v>0.10463753980557911</v>
      </c>
      <c r="E64" s="877">
        <f t="shared" si="15"/>
        <v>0.10463753980557911</v>
      </c>
      <c r="F64" s="878">
        <f t="shared" si="15"/>
        <v>0.10697552193001617</v>
      </c>
      <c r="G64" s="877">
        <f t="shared" ref="G64:P64" si="18">$B68*G69+$B$72*G74</f>
        <v>0</v>
      </c>
      <c r="H64" s="877">
        <f t="shared" si="18"/>
        <v>0</v>
      </c>
      <c r="I64" s="877">
        <f t="shared" si="18"/>
        <v>6.4717031082061043E-4</v>
      </c>
      <c r="J64" s="877">
        <f t="shared" si="18"/>
        <v>0</v>
      </c>
      <c r="K64" s="877">
        <f t="shared" si="18"/>
        <v>1.0147384547412316E-2</v>
      </c>
      <c r="L64" s="877">
        <f t="shared" si="18"/>
        <v>0</v>
      </c>
      <c r="M64" s="877">
        <f t="shared" si="18"/>
        <v>0</v>
      </c>
      <c r="N64" s="877">
        <f t="shared" si="18"/>
        <v>0</v>
      </c>
      <c r="O64" s="877">
        <f t="shared" si="18"/>
        <v>0</v>
      </c>
      <c r="P64" s="877">
        <f t="shared" si="18"/>
        <v>0</v>
      </c>
      <c r="Q64" s="877">
        <f>$B$67*Q69+$B$72*Q74</f>
        <v>0.10463753980557911</v>
      </c>
      <c r="R64" s="877">
        <f t="shared" si="17"/>
        <v>0</v>
      </c>
      <c r="S64" s="877">
        <f t="shared" si="17"/>
        <v>0</v>
      </c>
      <c r="T64" s="18"/>
      <c r="U64" s="879"/>
      <c r="V64" s="877"/>
      <c r="W64" s="886"/>
      <c r="X64" s="877"/>
      <c r="Y64" s="879"/>
      <c r="Z64" s="877"/>
      <c r="AA64" s="886"/>
      <c r="AB64" s="877"/>
      <c r="AC64" s="879"/>
      <c r="AD64" s="877"/>
      <c r="AE64" s="886"/>
      <c r="AF64" s="877"/>
      <c r="AG64" s="879"/>
      <c r="AH64" s="877"/>
      <c r="AI64" s="886"/>
      <c r="AJ64" s="877"/>
      <c r="AK64" s="879"/>
      <c r="AL64" s="877"/>
      <c r="AM64" s="886"/>
      <c r="AN64" s="877"/>
      <c r="AO64" s="879"/>
      <c r="AP64" s="877"/>
      <c r="AQ64" s="886"/>
      <c r="AR64" s="877"/>
      <c r="AS64" s="879"/>
      <c r="AT64" s="877"/>
      <c r="AU64" s="886"/>
      <c r="AV64" s="877"/>
      <c r="AW64" s="879"/>
      <c r="AX64" s="877"/>
      <c r="AY64" s="886"/>
      <c r="AZ64" s="877"/>
      <c r="BA64" s="879"/>
      <c r="BB64" s="886"/>
    </row>
    <row r="65" spans="1:402">
      <c r="A65" s="195"/>
      <c r="B65" s="50"/>
      <c r="C65" s="174" t="s">
        <v>319</v>
      </c>
      <c r="D65" s="928">
        <f t="shared" si="15"/>
        <v>0</v>
      </c>
      <c r="E65" s="877">
        <f t="shared" si="15"/>
        <v>1.0659411474223555E-3</v>
      </c>
      <c r="F65" s="878">
        <f t="shared" si="15"/>
        <v>1.0897581384659706E-3</v>
      </c>
      <c r="G65" s="877">
        <f t="shared" ref="G65:P65" si="19">$B69*G70+$B$72*G75</f>
        <v>1.0928804675742603E-4</v>
      </c>
      <c r="H65" s="877">
        <f t="shared" si="19"/>
        <v>0</v>
      </c>
      <c r="I65" s="877">
        <f t="shared" si="19"/>
        <v>0</v>
      </c>
      <c r="J65" s="877">
        <f t="shared" si="19"/>
        <v>0</v>
      </c>
      <c r="K65" s="877">
        <f t="shared" si="19"/>
        <v>0</v>
      </c>
      <c r="L65" s="877">
        <f t="shared" si="19"/>
        <v>0</v>
      </c>
      <c r="M65" s="877">
        <f t="shared" si="19"/>
        <v>0</v>
      </c>
      <c r="N65" s="877">
        <f t="shared" si="19"/>
        <v>0</v>
      </c>
      <c r="O65" s="877">
        <f t="shared" si="19"/>
        <v>2.3776785210824646E-6</v>
      </c>
      <c r="P65" s="877">
        <f t="shared" si="19"/>
        <v>0</v>
      </c>
      <c r="Q65" s="877">
        <f>$B$67*Q70+$B$72*Q75</f>
        <v>1.0659411474223555E-3</v>
      </c>
      <c r="R65" s="877">
        <f t="shared" si="17"/>
        <v>0</v>
      </c>
      <c r="S65" s="877">
        <f t="shared" si="17"/>
        <v>0</v>
      </c>
      <c r="T65" s="18"/>
      <c r="U65" s="879"/>
      <c r="V65" s="877"/>
      <c r="W65" s="886"/>
      <c r="X65" s="877"/>
      <c r="Y65" s="879"/>
      <c r="Z65" s="877"/>
      <c r="AA65" s="886"/>
      <c r="AB65" s="877"/>
      <c r="AC65" s="879"/>
      <c r="AD65" s="877"/>
      <c r="AE65" s="886"/>
      <c r="AF65" s="877"/>
      <c r="AG65" s="879"/>
      <c r="AH65" s="877"/>
      <c r="AI65" s="886"/>
      <c r="AJ65" s="877"/>
      <c r="AK65" s="879"/>
      <c r="AL65" s="877"/>
      <c r="AM65" s="886"/>
      <c r="AN65" s="877"/>
      <c r="AO65" s="879"/>
      <c r="AP65" s="877"/>
      <c r="AQ65" s="886"/>
      <c r="AR65" s="877"/>
      <c r="AS65" s="879"/>
      <c r="AT65" s="877"/>
      <c r="AU65" s="886"/>
      <c r="AV65" s="877"/>
      <c r="AW65" s="879"/>
      <c r="AX65" s="877"/>
      <c r="AY65" s="886"/>
      <c r="AZ65" s="877"/>
      <c r="BA65" s="879"/>
      <c r="BB65" s="886"/>
    </row>
    <row r="66" spans="1:402">
      <c r="A66" s="195"/>
      <c r="B66" s="54"/>
      <c r="C66" s="55" t="s">
        <v>320</v>
      </c>
      <c r="D66" s="928">
        <f t="shared" si="15"/>
        <v>3.9979734219792147E-3</v>
      </c>
      <c r="E66" s="877">
        <f t="shared" si="15"/>
        <v>5.0011214679069474E-3</v>
      </c>
      <c r="F66" s="878">
        <f t="shared" si="15"/>
        <v>5.112864658886304E-3</v>
      </c>
      <c r="G66" s="877">
        <f t="shared" ref="G66:P66" si="20">$B70*G71+$B$72*G76</f>
        <v>1.0342314264632065E-4</v>
      </c>
      <c r="H66" s="877">
        <f t="shared" si="20"/>
        <v>2.6141201836955743E-4</v>
      </c>
      <c r="I66" s="877">
        <f t="shared" si="20"/>
        <v>1.4070539000973954E-4</v>
      </c>
      <c r="J66" s="877">
        <f t="shared" si="20"/>
        <v>1.031911779953071E-5</v>
      </c>
      <c r="K66" s="877">
        <f t="shared" si="20"/>
        <v>0</v>
      </c>
      <c r="L66" s="877">
        <f t="shared" si="20"/>
        <v>0</v>
      </c>
      <c r="M66" s="877">
        <f t="shared" si="20"/>
        <v>0</v>
      </c>
      <c r="N66" s="877">
        <f t="shared" si="20"/>
        <v>0</v>
      </c>
      <c r="O66" s="877">
        <f t="shared" si="20"/>
        <v>2.2165247546535419E-7</v>
      </c>
      <c r="P66" s="877">
        <f t="shared" si="20"/>
        <v>0</v>
      </c>
      <c r="Q66" s="877">
        <f>$B$67*Q71+$B$72*Q76</f>
        <v>5.0011214679069474E-3</v>
      </c>
      <c r="R66" s="877">
        <f t="shared" si="17"/>
        <v>0</v>
      </c>
      <c r="S66" s="877">
        <f t="shared" si="17"/>
        <v>0</v>
      </c>
      <c r="T66" s="18"/>
      <c r="U66" s="879"/>
      <c r="V66" s="877"/>
      <c r="W66" s="886"/>
      <c r="X66" s="877"/>
      <c r="Y66" s="879"/>
      <c r="Z66" s="877"/>
      <c r="AA66" s="886"/>
      <c r="AB66" s="877"/>
      <c r="AC66" s="879"/>
      <c r="AD66" s="877"/>
      <c r="AE66" s="886"/>
      <c r="AF66" s="877"/>
      <c r="AG66" s="879"/>
      <c r="AH66" s="877"/>
      <c r="AI66" s="886"/>
      <c r="AJ66" s="877"/>
      <c r="AK66" s="879"/>
      <c r="AL66" s="877"/>
      <c r="AM66" s="886"/>
      <c r="AN66" s="877"/>
      <c r="AO66" s="879"/>
      <c r="AP66" s="877"/>
      <c r="AQ66" s="886"/>
      <c r="AR66" s="877"/>
      <c r="AS66" s="879"/>
      <c r="AT66" s="877"/>
      <c r="AU66" s="886"/>
      <c r="AV66" s="877"/>
      <c r="AW66" s="879"/>
      <c r="AX66" s="877"/>
      <c r="AY66" s="886"/>
      <c r="AZ66" s="877"/>
      <c r="BA66" s="879"/>
      <c r="BB66" s="886"/>
    </row>
    <row r="67" spans="1:402" s="12" customFormat="1">
      <c r="A67" s="108" t="s">
        <v>122</v>
      </c>
      <c r="B67" s="390">
        <f>'Input data dairy products'!C11</f>
        <v>0.89683860230000001</v>
      </c>
      <c r="C67" s="355" t="s">
        <v>316</v>
      </c>
      <c r="D67" s="930">
        <f>SUMPRODUCT($BH$6:$BH$9,D68:D71)</f>
        <v>3.8087652034214559</v>
      </c>
      <c r="E67" s="872">
        <f>SUMPRODUCT($BH$6:$BH$9,E68:E71)</f>
        <v>5.2357709534106469</v>
      </c>
      <c r="F67" s="873">
        <f>SUMPRODUCT($BH$6:$BH$9,F68:F71)</f>
        <v>5.4447679912907017</v>
      </c>
      <c r="G67" s="884"/>
      <c r="H67" s="884"/>
      <c r="I67" s="884"/>
      <c r="J67" s="884"/>
      <c r="K67" s="884"/>
      <c r="L67" s="884"/>
      <c r="M67" s="884"/>
      <c r="N67" s="884"/>
      <c r="O67" s="884"/>
      <c r="P67" s="884"/>
      <c r="Q67" s="884"/>
      <c r="R67" s="884"/>
      <c r="S67" s="884"/>
      <c r="T67" s="18"/>
      <c r="U67" s="1220">
        <f>U$19*'Input data dairy products'!$D11*'Common input data'!$D$54</f>
        <v>11.624007070169796</v>
      </c>
      <c r="V67" s="877">
        <f>U67+U67*'Common input data'!$B$146</f>
        <v>11.878053231890476</v>
      </c>
      <c r="W67" s="886">
        <f>V67+V67*'Common input data'!$B$181</f>
        <v>12.70951695812281</v>
      </c>
      <c r="X67" s="877"/>
      <c r="Y67" s="1220">
        <f>Y$19*'Input data dairy products'!$D11*'Common input data'!$D$54</f>
        <v>12.81263264325222</v>
      </c>
      <c r="Z67" s="877">
        <f>Y67+Y67*'Common input data'!$B$146</f>
        <v>13.092656573460287</v>
      </c>
      <c r="AA67" s="886">
        <f>Z67+Z67*'Common input data'!$B$181</f>
        <v>14.009142533602507</v>
      </c>
      <c r="AB67" s="877"/>
      <c r="AC67" s="1220">
        <f>AC$19*'Input data dairy products'!$D11*'Common input data'!$D$54</f>
        <v>0.27249275735663375</v>
      </c>
      <c r="AD67" s="877">
        <f>AC67+AC67*'Common input data'!$B$146</f>
        <v>0.27844816831649011</v>
      </c>
      <c r="AE67" s="886">
        <f>AD67+AD67*'Common input data'!$B$181</f>
        <v>0.29793954009864443</v>
      </c>
      <c r="AF67" s="877"/>
      <c r="AG67" s="1220">
        <f>AG$19*'Input data dairy products'!$D11*'Common input data'!$D$54</f>
        <v>9.0688162104314192E-3</v>
      </c>
      <c r="AH67" s="877">
        <f>AG67+AG67*'Common input data'!$B$146</f>
        <v>9.2670179093552584E-3</v>
      </c>
      <c r="AI67" s="886">
        <f>AH67+AH67*'Common input data'!$B$181</f>
        <v>9.9157091630101262E-3</v>
      </c>
      <c r="AJ67" s="877"/>
      <c r="AK67" s="1220">
        <f>AK$19*'Input data dairy products'!$D11*'Common input data'!$D$54</f>
        <v>2.6248698822545383E-2</v>
      </c>
      <c r="AL67" s="877">
        <f>AK67+AK67*'Common input data'!$B$146</f>
        <v>2.6822372009921755E-2</v>
      </c>
      <c r="AM67" s="886">
        <f>AL67+AL67*'Common input data'!$B$181</f>
        <v>2.8699938050616276E-2</v>
      </c>
      <c r="AN67" s="877"/>
      <c r="AO67" s="1220">
        <f>(AO$19*'Input data dairy products'!$D11*'Common input data'!$D$54)/$AP$2</f>
        <v>3.3228419281745494E-10</v>
      </c>
      <c r="AP67" s="877">
        <f>AO67+AO67*'Common input data'!$B$146</f>
        <v>3.395463635367382E-10</v>
      </c>
      <c r="AQ67" s="886">
        <f>AP67+AP67*'Common input data'!$B$181</f>
        <v>3.6331460898430986E-10</v>
      </c>
      <c r="AR67" s="877"/>
      <c r="AS67" s="1220">
        <f>AS$19*'Input data dairy products'!$D11*'Common input data'!$D$54</f>
        <v>5.7761889570001016E-4</v>
      </c>
      <c r="AT67" s="877">
        <f>AS67+AS67*'Common input data'!$B$146</f>
        <v>5.9024292995120246E-4</v>
      </c>
      <c r="AU67" s="886">
        <f>AT67+AT67*'Common input data'!$B$181</f>
        <v>6.3155993504778666E-4</v>
      </c>
      <c r="AV67" s="877"/>
      <c r="AW67" s="1220">
        <f>AW$19*'Input data dairy products'!$D11*'Common input data'!$D$54</f>
        <v>2.2642259487412938E-2</v>
      </c>
      <c r="AX67" s="877">
        <f>AW67+AW67*'Common input data'!$B$146</f>
        <v>2.3137112861188188E-2</v>
      </c>
      <c r="AY67" s="886">
        <f>AX67+AX67*'Common input data'!$B$181</f>
        <v>2.4756710761471363E-2</v>
      </c>
      <c r="AZ67" s="877"/>
      <c r="BA67" s="879">
        <f>'Common input data'!C202+'Common input data'!C202*'Common input data'!$B$146</f>
        <v>0.14632967895999996</v>
      </c>
      <c r="BB67" s="886">
        <f>BA67+BA67*'Common input data'!$B$181</f>
        <v>0.15657275648719995</v>
      </c>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row>
    <row r="68" spans="1:402">
      <c r="A68" s="18"/>
      <c r="C68" s="174" t="s">
        <v>317</v>
      </c>
      <c r="D68" s="928">
        <f>IF(AND($F$2="No",$F$3="No"),SUM(H68:K68),IF(AND($F$2="Yes", $F$3="No"), SUM(H68:K68)+M68, IF(AND($F$2="No", $F$3="Yes"),SUM(H68:K68)+L68, SUM(H68:K68)+M68+L68)))</f>
        <v>-0.10789511552950556</v>
      </c>
      <c r="E68" s="877">
        <f>IF(AND($F$2="No",$F$3="No"),SUM(G68:K68,N68:O68),IF(AND($F$2="Yes",$F$3="No"), SUM(G68:K68,N68:O68)+M68, IF(AND($F$2="No", $F$3="Yes"),SUM(G68:K68,N68:O68)+L68, SUM(G68:K68,N68:O68)+M68+L68)))</f>
        <v>1.0135910076871371</v>
      </c>
      <c r="F68" s="878">
        <f>SUM(Q68:S68)/(1-'Common input data'!B$146)</f>
        <v>1.1282492331524534</v>
      </c>
      <c r="G68" s="877">
        <f>'Input data dairy products'!$D$11*G9*'Common input data'!D$54</f>
        <v>0.99105948724302506</v>
      </c>
      <c r="H68" s="877">
        <f>'Input data dairy products'!$D$11*H9*'Common input data'!D$54</f>
        <v>0</v>
      </c>
      <c r="I68" s="877">
        <f>'Input data dairy products'!$D$11*I9*'Common input data'!D$54</f>
        <v>0</v>
      </c>
      <c r="J68" s="877">
        <f>'Input data dairy products'!$D$11*J9*'Common input data'!D$54</f>
        <v>0</v>
      </c>
      <c r="K68" s="877">
        <f>'Input data dairy products'!$D$11*K9*'Common input data'!D$54</f>
        <v>0</v>
      </c>
      <c r="L68" s="877">
        <f>'Input data dairy products'!$D$11*L9*'Common input data'!D$54</f>
        <v>-0.20756324422990347</v>
      </c>
      <c r="M68" s="877">
        <f>'Input data dairy products'!$D$11*M9*'Common input data'!D$54</f>
        <v>9.9668128700397901E-2</v>
      </c>
      <c r="N68" s="877">
        <f>'Input data dairy products'!$D$11*N9*'Common input data'!D$54</f>
        <v>0.11358864805278149</v>
      </c>
      <c r="O68" s="877">
        <f>'Input data dairy products'!$D$11*O9*'Common input data'!D$54</f>
        <v>1.6837987920835858E-2</v>
      </c>
      <c r="P68" s="877">
        <f>'Input data dairy products'!E$29*'Common input data'!D$54</f>
        <v>0.01</v>
      </c>
      <c r="Q68" s="1185">
        <f>IF(AND($F$2="No",$F$3="No"),SUM(G68:K68,N68:P68),IF(AND($F$2="Yes",$F$3="No"), SUM(G68:K68,N68:P68)+M68, IF(AND($F$2="No", $F$3="Yes"),SUM(G68:K68,N68:P68)+L68, SUM(G68:K68,N68:P68)+M68+L68)))</f>
        <v>1.0235910076871368</v>
      </c>
      <c r="R68" s="877">
        <f>'Common input data'!B$108</f>
        <v>0.05</v>
      </c>
      <c r="S68" s="877">
        <f>'Common input data'!C$115</f>
        <v>0.03</v>
      </c>
      <c r="T68" s="18"/>
      <c r="U68" s="879"/>
      <c r="V68" s="877"/>
      <c r="W68" s="886"/>
      <c r="X68" s="877"/>
      <c r="Y68" s="879"/>
      <c r="Z68" s="877"/>
      <c r="AA68" s="886"/>
      <c r="AB68" s="877"/>
      <c r="AC68" s="879"/>
      <c r="AD68" s="877"/>
      <c r="AE68" s="886"/>
      <c r="AF68" s="877"/>
      <c r="AG68" s="879"/>
      <c r="AH68" s="877"/>
      <c r="AI68" s="886"/>
      <c r="AJ68" s="877"/>
      <c r="AK68" s="879"/>
      <c r="AL68" s="877"/>
      <c r="AM68" s="886"/>
      <c r="AN68" s="877"/>
      <c r="AO68" s="879"/>
      <c r="AP68" s="877"/>
      <c r="AQ68" s="886"/>
      <c r="AR68" s="877"/>
      <c r="AS68" s="879"/>
      <c r="AT68" s="877"/>
      <c r="AU68" s="886"/>
      <c r="AV68" s="877"/>
      <c r="AW68" s="879"/>
      <c r="AX68" s="877"/>
      <c r="AY68" s="886"/>
      <c r="AZ68" s="877"/>
      <c r="BA68" s="879"/>
      <c r="BB68" s="886"/>
    </row>
    <row r="69" spans="1:402">
      <c r="A69" s="68"/>
      <c r="B69" s="50"/>
      <c r="C69" s="174" t="s">
        <v>318</v>
      </c>
      <c r="D69" s="928">
        <f>SUM(H69:K69)</f>
        <v>0.10463753980557911</v>
      </c>
      <c r="E69" s="877">
        <f>SUM(G69:K69,N69:O69)</f>
        <v>0.10463753980557911</v>
      </c>
      <c r="F69" s="878">
        <f>SUM(Q69:S69)/(1-'Common input data'!B$146)</f>
        <v>0.10697552193001617</v>
      </c>
      <c r="G69" s="877">
        <v>0</v>
      </c>
      <c r="H69" s="877">
        <f>'Input data dairy products'!$D$11*H10*'Common input data'!D$54</f>
        <v>0</v>
      </c>
      <c r="I69" s="877">
        <f>'Input data dairy products'!$D$11*I10*'Common input data'!D$54</f>
        <v>6.2733767208410993E-3</v>
      </c>
      <c r="J69" s="877">
        <f>'Input data dairy products'!$D$11*J10*'Common input data'!D$54</f>
        <v>0</v>
      </c>
      <c r="K69" s="877">
        <f>'Input data dairy products'!$D$11*K10*'Common input data'!D$54</f>
        <v>9.8364163084738013E-2</v>
      </c>
      <c r="L69" s="877">
        <f>'Input data dairy products'!$D$11*L10*'Common input data'!D$54</f>
        <v>0</v>
      </c>
      <c r="M69" s="877">
        <f>'Input data dairy products'!$D$11*M10*'Common input data'!D$54</f>
        <v>0</v>
      </c>
      <c r="N69" s="877">
        <f>'Input data dairy products'!$D$11*N10*'Common input data'!D$54</f>
        <v>0</v>
      </c>
      <c r="O69" s="877">
        <v>0</v>
      </c>
      <c r="P69" s="877">
        <v>0</v>
      </c>
      <c r="Q69" s="877">
        <f>SUM(G69:P69)</f>
        <v>0.10463753980557911</v>
      </c>
      <c r="R69" s="877">
        <v>0</v>
      </c>
      <c r="S69" s="877">
        <v>0</v>
      </c>
      <c r="T69" s="18"/>
      <c r="U69" s="879"/>
      <c r="V69" s="877"/>
      <c r="W69" s="886"/>
      <c r="X69" s="877"/>
      <c r="Y69" s="879"/>
      <c r="Z69" s="877"/>
      <c r="AA69" s="886"/>
      <c r="AB69" s="877"/>
      <c r="AC69" s="879"/>
      <c r="AD69" s="877"/>
      <c r="AE69" s="886"/>
      <c r="AF69" s="877"/>
      <c r="AG69" s="879"/>
      <c r="AH69" s="877"/>
      <c r="AI69" s="886"/>
      <c r="AJ69" s="877"/>
      <c r="AK69" s="879"/>
      <c r="AL69" s="877"/>
      <c r="AM69" s="886"/>
      <c r="AN69" s="877"/>
      <c r="AO69" s="879"/>
      <c r="AP69" s="877"/>
      <c r="AQ69" s="886"/>
      <c r="AR69" s="877"/>
      <c r="AS69" s="879"/>
      <c r="AT69" s="877"/>
      <c r="AU69" s="886"/>
      <c r="AV69" s="877"/>
      <c r="AW69" s="879"/>
      <c r="AX69" s="877"/>
      <c r="AY69" s="886"/>
      <c r="AZ69" s="877"/>
      <c r="BA69" s="879"/>
      <c r="BB69" s="886"/>
    </row>
    <row r="70" spans="1:402">
      <c r="A70" s="68"/>
      <c r="B70" s="50"/>
      <c r="C70" s="174" t="s">
        <v>319</v>
      </c>
      <c r="D70" s="928">
        <f>SUM(H70:K70)</f>
        <v>0</v>
      </c>
      <c r="E70" s="877">
        <f>SUM(G70:K70,N70:O70)</f>
        <v>1.0640436525552609E-3</v>
      </c>
      <c r="F70" s="878">
        <f>SUM(Q70:S70)/(1-'Common input data'!B$146)</f>
        <v>1.0878182466819691E-3</v>
      </c>
      <c r="G70" s="877">
        <f>'Input data dairy products'!$D$11*G11*'Common input data'!D$54</f>
        <v>1.0593889690719656E-3</v>
      </c>
      <c r="H70" s="877">
        <v>0</v>
      </c>
      <c r="I70" s="877">
        <v>0</v>
      </c>
      <c r="J70" s="877">
        <v>0</v>
      </c>
      <c r="K70" s="877">
        <v>0</v>
      </c>
      <c r="L70" s="877">
        <v>0</v>
      </c>
      <c r="M70" s="877">
        <v>0</v>
      </c>
      <c r="N70" s="877">
        <v>0</v>
      </c>
      <c r="O70" s="877">
        <f>'Input data dairy products'!$D$11*O11*'Common input data'!D$54</f>
        <v>4.6546834832953866E-6</v>
      </c>
      <c r="P70" s="877">
        <v>0</v>
      </c>
      <c r="Q70" s="877">
        <f>SUM(G70:P70)</f>
        <v>1.0640436525552609E-3</v>
      </c>
      <c r="R70" s="877">
        <v>0</v>
      </c>
      <c r="S70" s="877">
        <v>0</v>
      </c>
      <c r="T70" s="18"/>
      <c r="U70" s="879"/>
      <c r="V70" s="877"/>
      <c r="W70" s="886"/>
      <c r="X70" s="877"/>
      <c r="Y70" s="879"/>
      <c r="Z70" s="877"/>
      <c r="AA70" s="886"/>
      <c r="AB70" s="877"/>
      <c r="AC70" s="879"/>
      <c r="AD70" s="877"/>
      <c r="AE70" s="886"/>
      <c r="AF70" s="877"/>
      <c r="AG70" s="879"/>
      <c r="AH70" s="877"/>
      <c r="AI70" s="886"/>
      <c r="AJ70" s="877"/>
      <c r="AK70" s="879"/>
      <c r="AL70" s="877"/>
      <c r="AM70" s="886"/>
      <c r="AN70" s="877"/>
      <c r="AO70" s="879"/>
      <c r="AP70" s="877"/>
      <c r="AQ70" s="886"/>
      <c r="AR70" s="877"/>
      <c r="AS70" s="879"/>
      <c r="AT70" s="877"/>
      <c r="AU70" s="886"/>
      <c r="AV70" s="877"/>
      <c r="AW70" s="879"/>
      <c r="AX70" s="877"/>
      <c r="AY70" s="886"/>
      <c r="AZ70" s="877"/>
      <c r="BA70" s="879"/>
      <c r="BB70" s="886"/>
    </row>
    <row r="71" spans="1:402">
      <c r="A71" s="359"/>
      <c r="B71" s="54"/>
      <c r="C71" s="55" t="s">
        <v>320</v>
      </c>
      <c r="D71" s="928">
        <f>SUM(H71:K71)</f>
        <v>3.9979734219792147E-3</v>
      </c>
      <c r="E71" s="877">
        <f>SUM(G71:K71,N71:O71)</f>
        <v>5.0009445792187817E-3</v>
      </c>
      <c r="F71" s="878">
        <f>SUM(Q71:S71)/(1-'Common input data'!B$146)</f>
        <v>5.112683817863329E-3</v>
      </c>
      <c r="G71" s="877">
        <f>'Input data dairy products'!$D$11*G12*'Common input data'!D$54</f>
        <v>1.002537237301513E-3</v>
      </c>
      <c r="H71" s="877">
        <f>'Input data dairy products'!$D$11*H12*'Common input data'!D$54</f>
        <v>2.5340100483105168E-3</v>
      </c>
      <c r="I71" s="877">
        <f>'Input data dairy products'!$D$11*I12*'Common input data'!D$54</f>
        <v>1.3639345059953522E-3</v>
      </c>
      <c r="J71" s="877">
        <f>'Input data dairy products'!$D$11*J12*'Common input data'!D$54</f>
        <v>1.000288676733459E-4</v>
      </c>
      <c r="K71" s="877">
        <f>'Input data dairy products'!$D$11*K12*'Common input data'!D$54</f>
        <v>0</v>
      </c>
      <c r="L71" s="877">
        <f>'Input data dairy products'!$D$11*L12*'Common input data'!D$54</f>
        <v>0</v>
      </c>
      <c r="M71" s="877">
        <f>'Input data dairy products'!$D$11*M12*'Common input data'!D$54</f>
        <v>0</v>
      </c>
      <c r="N71" s="877">
        <f>'Input data dairy products'!$D$11*N12*'Common input data'!D$54</f>
        <v>0</v>
      </c>
      <c r="O71" s="877">
        <f>'Input data dairy products'!$D$11*O12*'Common input data'!D$54</f>
        <v>4.3391993805386986E-7</v>
      </c>
      <c r="P71" s="877">
        <v>0</v>
      </c>
      <c r="Q71" s="877">
        <f>SUM(G71:P71)</f>
        <v>5.0009445792187817E-3</v>
      </c>
      <c r="R71" s="877">
        <v>0</v>
      </c>
      <c r="S71" s="877">
        <v>0</v>
      </c>
      <c r="T71" s="18"/>
      <c r="U71" s="879"/>
      <c r="V71" s="877"/>
      <c r="W71" s="886"/>
      <c r="X71" s="877"/>
      <c r="Y71" s="879"/>
      <c r="Z71" s="877"/>
      <c r="AA71" s="886"/>
      <c r="AB71" s="877"/>
      <c r="AC71" s="879"/>
      <c r="AD71" s="877"/>
      <c r="AE71" s="886"/>
      <c r="AF71" s="877"/>
      <c r="AG71" s="879"/>
      <c r="AH71" s="877"/>
      <c r="AI71" s="886"/>
      <c r="AJ71" s="877"/>
      <c r="AK71" s="879"/>
      <c r="AL71" s="877"/>
      <c r="AM71" s="886"/>
      <c r="AN71" s="877"/>
      <c r="AO71" s="879"/>
      <c r="AP71" s="877"/>
      <c r="AQ71" s="886"/>
      <c r="AR71" s="877"/>
      <c r="AS71" s="879"/>
      <c r="AT71" s="877"/>
      <c r="AU71" s="886"/>
      <c r="AV71" s="877"/>
      <c r="AW71" s="879"/>
      <c r="AX71" s="877"/>
      <c r="AY71" s="886"/>
      <c r="AZ71" s="877"/>
      <c r="BA71" s="879"/>
      <c r="BB71" s="886"/>
    </row>
    <row r="72" spans="1:402" s="12" customFormat="1">
      <c r="A72" s="108" t="s">
        <v>125</v>
      </c>
      <c r="B72" s="390">
        <f>'Input data dairy products'!C12</f>
        <v>0.10316139769999999</v>
      </c>
      <c r="C72" s="355" t="s">
        <v>316</v>
      </c>
      <c r="D72" s="930">
        <f>SUMPRODUCT($BH$6:$BH$9,D73:D76)</f>
        <v>3.8087652034214559</v>
      </c>
      <c r="E72" s="872">
        <f>SUMPRODUCT($BH$6:$BH$9,E73:E76)</f>
        <v>5.752181390207844</v>
      </c>
      <c r="F72" s="873">
        <f>SUMPRODUCT($BH$6:$BH$9,F73:F76)</f>
        <v>6.1925207898257213</v>
      </c>
      <c r="G72" s="884"/>
      <c r="H72" s="884"/>
      <c r="I72" s="884"/>
      <c r="J72" s="884"/>
      <c r="K72" s="884"/>
      <c r="L72" s="884"/>
      <c r="M72" s="884"/>
      <c r="N72" s="884"/>
      <c r="O72" s="884"/>
      <c r="P72" s="884"/>
      <c r="Q72" s="884"/>
      <c r="R72" s="884"/>
      <c r="S72" s="884"/>
      <c r="T72" s="18"/>
      <c r="U72" s="1220">
        <f>U$19*'Input data dairy products'!$D12*'Common input data'!$D$54</f>
        <v>11.624007070169796</v>
      </c>
      <c r="V72" s="877">
        <f>U72+U72*'Common input data'!$B$146</f>
        <v>11.878053231890476</v>
      </c>
      <c r="W72" s="886">
        <f>V72+V72*'Common input data'!$B$181</f>
        <v>12.70951695812281</v>
      </c>
      <c r="X72" s="877"/>
      <c r="Y72" s="1220">
        <f>Y$19*'Input data dairy products'!$D12*'Common input data'!$D$54</f>
        <v>12.81263264325222</v>
      </c>
      <c r="Z72" s="877">
        <f>Y72+Y72*'Common input data'!$B$146</f>
        <v>13.092656573460287</v>
      </c>
      <c r="AA72" s="886">
        <f>Z72+Z72*'Common input data'!$B$181</f>
        <v>14.009142533602507</v>
      </c>
      <c r="AB72" s="877"/>
      <c r="AC72" s="1220">
        <f>AC$19*'Input data dairy products'!$D12*'Common input data'!$D$54</f>
        <v>0.27249275735663375</v>
      </c>
      <c r="AD72" s="877">
        <f>AC72+AC72*'Common input data'!$B$146</f>
        <v>0.27844816831649011</v>
      </c>
      <c r="AE72" s="886">
        <f>AD72+AD72*'Common input data'!$B$181</f>
        <v>0.29793954009864443</v>
      </c>
      <c r="AF72" s="877"/>
      <c r="AG72" s="1220">
        <f>AG$19*'Input data dairy products'!$D12*'Common input data'!$D$54</f>
        <v>9.0688162104314192E-3</v>
      </c>
      <c r="AH72" s="877">
        <f>AG72+AG72*'Common input data'!$B$146</f>
        <v>9.2670179093552584E-3</v>
      </c>
      <c r="AI72" s="886">
        <f>AH72+AH72*'Common input data'!$B$181</f>
        <v>9.9157091630101262E-3</v>
      </c>
      <c r="AJ72" s="877"/>
      <c r="AK72" s="1220">
        <f>AK$19*'Input data dairy products'!$D12*'Common input data'!$D$54</f>
        <v>2.6248698822545383E-2</v>
      </c>
      <c r="AL72" s="877">
        <f>AK72+AK72*'Common input data'!$B$146</f>
        <v>2.6822372009921755E-2</v>
      </c>
      <c r="AM72" s="886">
        <f>AL72+AL72*'Common input data'!$B$181</f>
        <v>2.8699938050616276E-2</v>
      </c>
      <c r="AN72" s="877"/>
      <c r="AO72" s="1220">
        <f>(AO$19*'Input data dairy products'!$D12*'Common input data'!$D$54)/$AP$2</f>
        <v>3.3228419281745494E-10</v>
      </c>
      <c r="AP72" s="877">
        <f>AO72+AO72*'Common input data'!$B$146</f>
        <v>3.395463635367382E-10</v>
      </c>
      <c r="AQ72" s="886">
        <f>AP72+AP72*'Common input data'!$B$181</f>
        <v>3.6331460898430986E-10</v>
      </c>
      <c r="AR72" s="877"/>
      <c r="AS72" s="1220">
        <f>AS$19*'Input data dairy products'!$D12*'Common input data'!$D$54</f>
        <v>5.7761889570001016E-4</v>
      </c>
      <c r="AT72" s="877">
        <f>AS72+AS72*'Common input data'!$B$146</f>
        <v>5.9024292995120246E-4</v>
      </c>
      <c r="AU72" s="886">
        <f>AT72+AT72*'Common input data'!$B$181</f>
        <v>6.3155993504778666E-4</v>
      </c>
      <c r="AV72" s="877"/>
      <c r="AW72" s="1220">
        <f>AW$19*'Input data dairy products'!$D12*'Common input data'!$D$54</f>
        <v>2.2642259487412938E-2</v>
      </c>
      <c r="AX72" s="877">
        <f>AW72+AW72*'Common input data'!$B$146</f>
        <v>2.3137112861188188E-2</v>
      </c>
      <c r="AY72" s="886">
        <f>AX72+AX72*'Common input data'!$B$181</f>
        <v>2.4756710761471363E-2</v>
      </c>
      <c r="AZ72" s="877"/>
      <c r="BA72" s="879">
        <f>('Common input data'!B214+'Common input data'!C214)+('Common input data'!B214+'Common input data'!C214)*'Common input data'!$B$146</f>
        <v>0.97093284421666648</v>
      </c>
      <c r="BB72" s="886">
        <f>BA72+BA72*'Common input data'!$B$181</f>
        <v>1.0388981433118332</v>
      </c>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row>
    <row r="73" spans="1:402" s="12" customFormat="1">
      <c r="A73" s="18"/>
      <c r="B73"/>
      <c r="C73" s="174" t="s">
        <v>317</v>
      </c>
      <c r="D73" s="928">
        <f>IF(AND($F$2="No",$F$3="No"),SUM(H73:K73),IF(AND($F$2="Yes", $F$3="No"), SUM(H73:K73)+M73, IF(AND($F$2="No", $F$3="Yes"),SUM(H73:K73)+L73, SUM(H73:K73)+M73+L73)))</f>
        <v>-0.10789511552950556</v>
      </c>
      <c r="E73" s="877">
        <f>IF(AND($F$2="No",$F$3="No"),SUM(G73:K73,N73:O73),IF(AND($F$2="Yes",$F$3="No"), SUM(G73:K73,N73:O73)+M73, IF(AND($F$2="No", $F$3="Yes"),SUM(G73:K73,N73:O73)+L73, SUM(G73:K73,N73:O73)+M73+L73)))</f>
        <v>1.528985212044236</v>
      </c>
      <c r="F73" s="878">
        <f>SUM(Q73:S73)/(1-'Common input data'!B$146)</f>
        <v>1.8749630929291297</v>
      </c>
      <c r="G73" s="877">
        <f>'Input data dairy products'!$D$12*G14*'Common input data'!D$54</f>
        <v>0.99105948724302506</v>
      </c>
      <c r="H73" s="877">
        <f>'Input data dairy products'!$D$12*H14*'Common input data'!D$54</f>
        <v>0</v>
      </c>
      <c r="I73" s="877">
        <f>'Input data dairy products'!$D$12*I14*'Common input data'!D$54</f>
        <v>0</v>
      </c>
      <c r="J73" s="877">
        <f>'Input data dairy products'!$D$12*J14*'Common input data'!D$54</f>
        <v>0</v>
      </c>
      <c r="K73" s="877">
        <f>'Input data dairy products'!$D$12*K14*'Common input data'!D$54</f>
        <v>0</v>
      </c>
      <c r="L73" s="877">
        <f>'Input data dairy products'!$D$12*L14*'Common input data'!D$54</f>
        <v>-0.20756324422990347</v>
      </c>
      <c r="M73" s="877">
        <f>'Input data dairy products'!$D$12*M14*'Common input data'!D$54</f>
        <v>9.9668128700397901E-2</v>
      </c>
      <c r="N73" s="877">
        <f>'Input data dairy products'!$D$12*N14*'Common input data'!D$54</f>
        <v>0.56244581936711258</v>
      </c>
      <c r="O73" s="877">
        <f>'Input data dairy products'!$D$12*O14*'Common input data'!D$54</f>
        <v>8.3375020963603774E-2</v>
      </c>
      <c r="P73" s="877">
        <f>'Input data dairy products'!E$30*'Common input data'!D$54</f>
        <v>2.5000000000000001E-2</v>
      </c>
      <c r="Q73" s="1185">
        <f>IF(AND($F$2="No",$F$3="No"),SUM(G73:K73,N73:P73),IF(AND($F$2="Yes",$F$3="No"), SUM(G73:K73,N73:P73)+M73, IF(AND($F$2="No", $F$3="Yes"),SUM(G73:K73,N73:P73)+L73, SUM(G73:K73,N73:P73)+M73+L73)))</f>
        <v>1.5539852120442359</v>
      </c>
      <c r="R73" s="877">
        <f>'Common input data'!B$108</f>
        <v>0.05</v>
      </c>
      <c r="S73" s="877">
        <f>'Common input data'!B$119+'Common input data'!C$119</f>
        <v>0.23000000000000004</v>
      </c>
      <c r="T73" s="18"/>
      <c r="U73" s="879"/>
      <c r="V73" s="877"/>
      <c r="W73" s="886"/>
      <c r="X73" s="877"/>
      <c r="Y73" s="879"/>
      <c r="Z73" s="877"/>
      <c r="AA73" s="886"/>
      <c r="AB73" s="877"/>
      <c r="AC73" s="879"/>
      <c r="AD73" s="877"/>
      <c r="AE73" s="886"/>
      <c r="AF73" s="877"/>
      <c r="AG73" s="879"/>
      <c r="AH73" s="877"/>
      <c r="AI73" s="886"/>
      <c r="AJ73" s="877"/>
      <c r="AK73" s="879"/>
      <c r="AL73" s="877"/>
      <c r="AM73" s="886"/>
      <c r="AN73" s="877"/>
      <c r="AO73" s="879"/>
      <c r="AP73" s="877"/>
      <c r="AQ73" s="886"/>
      <c r="AR73" s="877"/>
      <c r="AS73" s="879"/>
      <c r="AT73" s="877"/>
      <c r="AU73" s="886"/>
      <c r="AV73" s="877"/>
      <c r="AW73" s="879"/>
      <c r="AX73" s="877"/>
      <c r="AY73" s="886"/>
      <c r="AZ73" s="877"/>
      <c r="BA73" s="879"/>
      <c r="BB73" s="886"/>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row>
    <row r="74" spans="1:402">
      <c r="A74" s="68"/>
      <c r="B74" s="55"/>
      <c r="C74" s="174" t="s">
        <v>318</v>
      </c>
      <c r="D74" s="928">
        <f>SUM(H74:K74)</f>
        <v>0.10463753980557911</v>
      </c>
      <c r="E74" s="877">
        <f>SUM(G74:K74,N74:O74)</f>
        <v>0.10463753980557911</v>
      </c>
      <c r="F74" s="878">
        <f>SUM(Q74:S74)/(1-'Common input data'!B$146)</f>
        <v>0.10697552193001617</v>
      </c>
      <c r="G74" s="877">
        <v>0</v>
      </c>
      <c r="H74" s="877">
        <f>'Input data dairy products'!$D$12*H16*'Common input data'!D$54</f>
        <v>0</v>
      </c>
      <c r="I74" s="877">
        <f>'Input data dairy products'!$D$12*I15*'Common input data'!D$54</f>
        <v>6.2733767208410993E-3</v>
      </c>
      <c r="J74" s="877">
        <f>'Input data dairy products'!$D$12*J15*'Common input data'!D$54</f>
        <v>0</v>
      </c>
      <c r="K74" s="877">
        <f>'Input data dairy products'!$D$12*K15*'Common input data'!D$54</f>
        <v>9.8364163084738013E-2</v>
      </c>
      <c r="L74" s="877">
        <f>'Input data dairy products'!$D$12*L15*'Common input data'!D$54</f>
        <v>0</v>
      </c>
      <c r="M74" s="877">
        <f>'Input data dairy products'!$D$12*M15*'Common input data'!D$54</f>
        <v>0</v>
      </c>
      <c r="N74" s="877">
        <f>'Input data dairy products'!$D$12*N15*'Common input data'!D$54</f>
        <v>0</v>
      </c>
      <c r="O74" s="877">
        <v>0</v>
      </c>
      <c r="P74" s="877">
        <v>0</v>
      </c>
      <c r="Q74" s="877">
        <f>SUM(G74:P74)</f>
        <v>0.10463753980557911</v>
      </c>
      <c r="R74" s="877">
        <v>0</v>
      </c>
      <c r="S74" s="877">
        <v>0</v>
      </c>
      <c r="T74" s="18"/>
      <c r="U74" s="879"/>
      <c r="V74" s="877"/>
      <c r="W74" s="886"/>
      <c r="X74" s="877"/>
      <c r="Y74" s="879"/>
      <c r="Z74" s="877"/>
      <c r="AA74" s="886"/>
      <c r="AB74" s="877"/>
      <c r="AC74" s="879"/>
      <c r="AD74" s="877"/>
      <c r="AE74" s="886"/>
      <c r="AF74" s="877"/>
      <c r="AG74" s="879"/>
      <c r="AH74" s="877"/>
      <c r="AI74" s="886"/>
      <c r="AJ74" s="877"/>
      <c r="AK74" s="879"/>
      <c r="AL74" s="877"/>
      <c r="AM74" s="886"/>
      <c r="AN74" s="877"/>
      <c r="AO74" s="879"/>
      <c r="AP74" s="877"/>
      <c r="AQ74" s="886"/>
      <c r="AR74" s="877"/>
      <c r="AS74" s="879"/>
      <c r="AT74" s="877"/>
      <c r="AU74" s="886"/>
      <c r="AV74" s="877"/>
      <c r="AW74" s="879"/>
      <c r="AX74" s="877"/>
      <c r="AY74" s="886"/>
      <c r="AZ74" s="877"/>
      <c r="BA74" s="879"/>
      <c r="BB74" s="886"/>
    </row>
    <row r="75" spans="1:402">
      <c r="A75" s="68"/>
      <c r="B75" s="55"/>
      <c r="C75" s="174" t="s">
        <v>319</v>
      </c>
      <c r="D75" s="928">
        <f>SUM(H75:K75)</f>
        <v>0</v>
      </c>
      <c r="E75" s="877">
        <f>SUM(G75:K75,N75:O75)</f>
        <v>1.0824371108584592E-3</v>
      </c>
      <c r="F75" s="878">
        <f>SUM(Q75:S75)/(1-'Common input data'!B$146)</f>
        <v>1.1066226815505508E-3</v>
      </c>
      <c r="G75" s="877">
        <f>'Input data dairy products'!$D$12*G16*'Common input data'!D$54</f>
        <v>1.0593889690719656E-3</v>
      </c>
      <c r="H75" s="877">
        <v>0</v>
      </c>
      <c r="I75" s="877">
        <v>0</v>
      </c>
      <c r="J75" s="877">
        <v>0</v>
      </c>
      <c r="K75" s="877">
        <v>0</v>
      </c>
      <c r="L75" s="877">
        <v>0</v>
      </c>
      <c r="M75" s="877">
        <v>0</v>
      </c>
      <c r="N75" s="877">
        <v>0</v>
      </c>
      <c r="O75" s="877">
        <f>'Input data dairy products'!$D$12*O16*'Common input data'!D$54</f>
        <v>2.3048141786493699E-5</v>
      </c>
      <c r="P75" s="877">
        <v>0</v>
      </c>
      <c r="Q75" s="877">
        <f>SUM(G75:P75)</f>
        <v>1.0824371108584592E-3</v>
      </c>
      <c r="R75" s="877">
        <v>0</v>
      </c>
      <c r="S75" s="877">
        <v>0</v>
      </c>
      <c r="T75" s="18"/>
      <c r="U75" s="879"/>
      <c r="V75" s="877"/>
      <c r="W75" s="886"/>
      <c r="X75" s="877"/>
      <c r="Y75" s="879"/>
      <c r="Z75" s="877"/>
      <c r="AA75" s="886"/>
      <c r="AB75" s="877"/>
      <c r="AC75" s="879"/>
      <c r="AD75" s="877"/>
      <c r="AE75" s="886"/>
      <c r="AF75" s="877"/>
      <c r="AG75" s="879"/>
      <c r="AH75" s="877"/>
      <c r="AI75" s="886"/>
      <c r="AJ75" s="877"/>
      <c r="AK75" s="879"/>
      <c r="AL75" s="877"/>
      <c r="AM75" s="886"/>
      <c r="AN75" s="877"/>
      <c r="AO75" s="879"/>
      <c r="AP75" s="877"/>
      <c r="AQ75" s="886"/>
      <c r="AR75" s="877"/>
      <c r="AS75" s="879"/>
      <c r="AT75" s="877"/>
      <c r="AU75" s="886"/>
      <c r="AV75" s="877"/>
      <c r="AW75" s="879"/>
      <c r="AX75" s="877"/>
      <c r="AY75" s="886"/>
      <c r="AZ75" s="877"/>
      <c r="BA75" s="879"/>
      <c r="BB75" s="886"/>
    </row>
    <row r="76" spans="1:402">
      <c r="A76" s="68"/>
      <c r="B76" s="54"/>
      <c r="C76" s="55" t="s">
        <v>320</v>
      </c>
      <c r="D76" s="932">
        <f>SUM(H76:K76)</f>
        <v>3.9979734219792147E-3</v>
      </c>
      <c r="E76" s="896">
        <f>SUM(G76:K76,N76:O76)</f>
        <v>5.0026592582761579E-3</v>
      </c>
      <c r="F76" s="933">
        <f>SUM(Q76:S76)/(1-'Common input data'!B$146)</f>
        <v>5.1144368090694113E-3</v>
      </c>
      <c r="G76" s="877">
        <f>'Input data dairy products'!$D$12*G17*'Common input data'!D$54</f>
        <v>1.002537237301513E-3</v>
      </c>
      <c r="H76" s="877">
        <f>'Input data dairy products'!$D$12*H17*'Common input data'!D$54</f>
        <v>2.5340100483105168E-3</v>
      </c>
      <c r="I76" s="877">
        <f>'Input data dairy products'!$D$12*I17*'Common input data'!D$54</f>
        <v>1.3639345059953522E-3</v>
      </c>
      <c r="J76" s="877">
        <f>'Input data dairy products'!$D$12*J17*'Common input data'!D$54</f>
        <v>1.000288676733459E-4</v>
      </c>
      <c r="K76" s="877">
        <f>'Input data dairy products'!$D$12*K17*'Common input data'!D$54</f>
        <v>0</v>
      </c>
      <c r="L76" s="877">
        <f>'Input data dairy products'!$D$12*L17*'Common input data'!D$54</f>
        <v>0</v>
      </c>
      <c r="M76" s="877">
        <f>'Input data dairy products'!$D$12*M17*'Common input data'!D$54</f>
        <v>0</v>
      </c>
      <c r="N76" s="877">
        <f>'Input data dairy products'!$D$12*N17*'Common input data'!D$54</f>
        <v>0</v>
      </c>
      <c r="O76" s="877">
        <f>'Input data dairy products'!$D$12*O17*'Common input data'!D$54</f>
        <v>2.1485989954298014E-6</v>
      </c>
      <c r="P76" s="877">
        <v>0</v>
      </c>
      <c r="Q76" s="877">
        <f>SUM(G76:P76)</f>
        <v>5.0026592582761579E-3</v>
      </c>
      <c r="R76" s="1187">
        <v>0</v>
      </c>
      <c r="S76" s="877">
        <v>0</v>
      </c>
      <c r="T76" s="18"/>
      <c r="U76" s="879"/>
      <c r="V76" s="877"/>
      <c r="W76" s="886"/>
      <c r="X76" s="877"/>
      <c r="Y76" s="879"/>
      <c r="Z76" s="877"/>
      <c r="AA76" s="886"/>
      <c r="AB76" s="877"/>
      <c r="AC76" s="879"/>
      <c r="AD76" s="877"/>
      <c r="AE76" s="886"/>
      <c r="AF76" s="877"/>
      <c r="AG76" s="879"/>
      <c r="AH76" s="877"/>
      <c r="AI76" s="886"/>
      <c r="AJ76" s="877"/>
      <c r="AK76" s="879"/>
      <c r="AL76" s="877"/>
      <c r="AM76" s="886"/>
      <c r="AN76" s="877"/>
      <c r="AO76" s="879"/>
      <c r="AP76" s="877"/>
      <c r="AQ76" s="886"/>
      <c r="AR76" s="877"/>
      <c r="AS76" s="879"/>
      <c r="AT76" s="877"/>
      <c r="AU76" s="886"/>
      <c r="AV76" s="877"/>
      <c r="AW76" s="879"/>
      <c r="AX76" s="877"/>
      <c r="AY76" s="886"/>
      <c r="AZ76" s="877"/>
      <c r="BA76" s="879"/>
      <c r="BB76" s="886"/>
    </row>
    <row r="77" spans="1:402" s="368" customFormat="1">
      <c r="A77" s="362" t="s">
        <v>376</v>
      </c>
      <c r="B77" s="353"/>
      <c r="C77" s="364"/>
      <c r="D77" s="1182" t="s">
        <v>377</v>
      </c>
      <c r="E77" s="1183" t="s">
        <v>377</v>
      </c>
      <c r="F77" s="1184" t="s">
        <v>377</v>
      </c>
      <c r="G77" s="889"/>
      <c r="H77" s="889"/>
      <c r="I77" s="889"/>
      <c r="J77" s="889"/>
      <c r="K77" s="889"/>
      <c r="L77" s="889"/>
      <c r="M77" s="889"/>
      <c r="N77" s="889"/>
      <c r="O77" s="889"/>
      <c r="P77" s="889"/>
      <c r="Q77" s="889"/>
      <c r="R77" s="1188"/>
      <c r="S77" s="889"/>
      <c r="T77" s="18"/>
      <c r="U77" s="883">
        <f>U83*$B$83+U88*$B$88+U93*$B$93+U98*$B$98</f>
        <v>21.85313329191921</v>
      </c>
      <c r="V77" s="884">
        <f t="shared" ref="V77:BB77" si="21">V83*$B$83+V88*$B$88+V93*$B$93+V98*$B$98</f>
        <v>22.33074007595409</v>
      </c>
      <c r="W77" s="885">
        <f t="shared" si="21"/>
        <v>23.893891881270875</v>
      </c>
      <c r="X77" s="877"/>
      <c r="Y77" s="883">
        <f t="shared" si="21"/>
        <v>24.087749369314171</v>
      </c>
      <c r="Z77" s="884">
        <f t="shared" si="21"/>
        <v>24.61419435810534</v>
      </c>
      <c r="AA77" s="885">
        <f t="shared" si="21"/>
        <v>26.33718796317271</v>
      </c>
      <c r="AB77" s="877"/>
      <c r="AC77" s="883">
        <f t="shared" si="21"/>
        <v>0.51228638383047143</v>
      </c>
      <c r="AD77" s="884">
        <f t="shared" si="21"/>
        <v>0.52348255643500141</v>
      </c>
      <c r="AE77" s="885">
        <f t="shared" si="21"/>
        <v>0.56012633538545153</v>
      </c>
      <c r="AF77" s="877"/>
      <c r="AG77" s="883">
        <f t="shared" si="21"/>
        <v>1.7049374475611067E-2</v>
      </c>
      <c r="AH77" s="884">
        <f t="shared" si="21"/>
        <v>1.7421993669587885E-2</v>
      </c>
      <c r="AI77" s="885">
        <f t="shared" si="21"/>
        <v>1.8641533226459037E-2</v>
      </c>
      <c r="AJ77" s="877"/>
      <c r="AK77" s="883">
        <f t="shared" si="21"/>
        <v>4.9347553786385327E-2</v>
      </c>
      <c r="AL77" s="884">
        <f t="shared" si="21"/>
        <v>5.0426059378652896E-2</v>
      </c>
      <c r="AM77" s="885">
        <f t="shared" si="21"/>
        <v>5.3955883535158601E-2</v>
      </c>
      <c r="AN77" s="877"/>
      <c r="AO77" s="883">
        <f t="shared" si="21"/>
        <v>6.2469428249681519E-10</v>
      </c>
      <c r="AP77" s="884">
        <f t="shared" si="21"/>
        <v>6.3834716344906785E-10</v>
      </c>
      <c r="AQ77" s="885">
        <f t="shared" si="21"/>
        <v>6.8303146489050246E-10</v>
      </c>
      <c r="AR77" s="877"/>
      <c r="AS77" s="883">
        <f t="shared" si="21"/>
        <v>1.085923523916019E-3</v>
      </c>
      <c r="AT77" s="884">
        <f t="shared" si="21"/>
        <v>1.1096567083082604E-3</v>
      </c>
      <c r="AU77" s="885">
        <f t="shared" si="21"/>
        <v>1.1873326778898386E-3</v>
      </c>
      <c r="AV77" s="877"/>
      <c r="AW77" s="883">
        <f t="shared" si="21"/>
        <v>4.2567447836336321E-2</v>
      </c>
      <c r="AX77" s="884">
        <f t="shared" si="21"/>
        <v>4.3497772179033792E-2</v>
      </c>
      <c r="AY77" s="885">
        <f t="shared" si="21"/>
        <v>4.654261623156615E-2</v>
      </c>
      <c r="AZ77" s="877"/>
      <c r="BA77" s="883">
        <f t="shared" si="21"/>
        <v>0.42155284740135313</v>
      </c>
      <c r="BB77" s="885">
        <f t="shared" si="21"/>
        <v>0.45106154671944787</v>
      </c>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row>
    <row r="78" spans="1:402" s="12" customFormat="1">
      <c r="A78" s="108" t="s">
        <v>315</v>
      </c>
      <c r="B78" s="390">
        <f>SUM(B83:B98)</f>
        <v>1</v>
      </c>
      <c r="C78" s="355" t="s">
        <v>316</v>
      </c>
      <c r="D78" s="930">
        <f>SUMPRODUCT($BH$6:$BH$9,D79:D82)</f>
        <v>7.1604785824323356</v>
      </c>
      <c r="E78" s="872">
        <f>SUMPRODUCT($BH$6:$BH$9,E79:E82)</f>
        <v>10.161688724158639</v>
      </c>
      <c r="F78" s="873">
        <f>SUMPRODUCT($BH$6:$BH$9,F79:F82)</f>
        <v>10.948908401955904</v>
      </c>
      <c r="G78" s="1178"/>
      <c r="H78" s="884"/>
      <c r="I78" s="884"/>
      <c r="J78" s="884"/>
      <c r="K78" s="884"/>
      <c r="L78" s="884"/>
      <c r="M78" s="884"/>
      <c r="N78" s="884"/>
      <c r="O78" s="884"/>
      <c r="P78" s="1178"/>
      <c r="Q78" s="1178"/>
      <c r="R78" s="872"/>
      <c r="S78" s="872"/>
      <c r="T78" s="18"/>
      <c r="U78" s="879"/>
      <c r="V78" s="877"/>
      <c r="W78" s="886"/>
      <c r="X78" s="877"/>
      <c r="Y78" s="879"/>
      <c r="Z78" s="877"/>
      <c r="AA78" s="886"/>
      <c r="AB78" s="877"/>
      <c r="AC78" s="879"/>
      <c r="AD78" s="877"/>
      <c r="AE78" s="886"/>
      <c r="AF78" s="877"/>
      <c r="AG78" s="879"/>
      <c r="AH78" s="877"/>
      <c r="AI78" s="886"/>
      <c r="AJ78" s="877"/>
      <c r="AK78" s="879"/>
      <c r="AL78" s="877"/>
      <c r="AM78" s="886"/>
      <c r="AN78" s="877"/>
      <c r="AO78" s="879"/>
      <c r="AP78" s="877"/>
      <c r="AQ78" s="886"/>
      <c r="AR78" s="877"/>
      <c r="AS78" s="879"/>
      <c r="AT78" s="877"/>
      <c r="AU78" s="886"/>
      <c r="AV78" s="877"/>
      <c r="AW78" s="879"/>
      <c r="AX78" s="877"/>
      <c r="AY78" s="886"/>
      <c r="AZ78" s="877"/>
      <c r="BA78" s="879"/>
      <c r="BB78" s="886"/>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row>
    <row r="79" spans="1:402">
      <c r="A79" s="18"/>
      <c r="C79" s="174" t="s">
        <v>317</v>
      </c>
      <c r="D79" s="928">
        <f t="shared" ref="D79:S79" si="22">$B$83*D84+$B$88*D89+$B$93*D94+$B$98*D99</f>
        <v>-0.20284281719547043</v>
      </c>
      <c r="E79" s="877">
        <f t="shared" si="22"/>
        <v>2.223363776626579</v>
      </c>
      <c r="F79" s="878">
        <f t="shared" si="22"/>
        <v>2.8332124854600531</v>
      </c>
      <c r="G79" s="877">
        <f t="shared" si="22"/>
        <v>1.8631918360168871</v>
      </c>
      <c r="H79" s="877">
        <f t="shared" si="22"/>
        <v>0</v>
      </c>
      <c r="I79" s="877">
        <f t="shared" si="22"/>
        <v>0</v>
      </c>
      <c r="J79" s="877">
        <f t="shared" si="22"/>
        <v>0</v>
      </c>
      <c r="K79" s="877">
        <f t="shared" si="22"/>
        <v>0</v>
      </c>
      <c r="L79" s="877">
        <f t="shared" si="22"/>
        <v>-0.39021889915221847</v>
      </c>
      <c r="M79" s="877">
        <f t="shared" si="22"/>
        <v>0.18737608195674801</v>
      </c>
      <c r="N79" s="877">
        <f t="shared" si="22"/>
        <v>0.49032994445849815</v>
      </c>
      <c r="O79" s="877">
        <f t="shared" si="22"/>
        <v>7.2684813346663796E-2</v>
      </c>
      <c r="P79" s="877">
        <f t="shared" si="22"/>
        <v>0.40532799999999991</v>
      </c>
      <c r="Q79" s="877">
        <f t="shared" si="22"/>
        <v>2.6286917766265789</v>
      </c>
      <c r="R79" s="877">
        <f t="shared" si="22"/>
        <v>4.9999999999999996E-2</v>
      </c>
      <c r="S79" s="877">
        <f t="shared" si="22"/>
        <v>9.2599999999999988E-2</v>
      </c>
      <c r="T79" s="18"/>
      <c r="U79" s="879"/>
      <c r="V79" s="877"/>
      <c r="W79" s="886"/>
      <c r="X79" s="877"/>
      <c r="Y79" s="879"/>
      <c r="Z79" s="877"/>
      <c r="AA79" s="886"/>
      <c r="AB79" s="877"/>
      <c r="AC79" s="879"/>
      <c r="AD79" s="877"/>
      <c r="AE79" s="886"/>
      <c r="AF79" s="877"/>
      <c r="AG79" s="879"/>
      <c r="AH79" s="877"/>
      <c r="AI79" s="886"/>
      <c r="AJ79" s="877"/>
      <c r="AK79" s="879"/>
      <c r="AL79" s="877"/>
      <c r="AM79" s="886"/>
      <c r="AN79" s="877"/>
      <c r="AO79" s="879"/>
      <c r="AP79" s="877"/>
      <c r="AQ79" s="886"/>
      <c r="AR79" s="877"/>
      <c r="AS79" s="879"/>
      <c r="AT79" s="877"/>
      <c r="AU79" s="886"/>
      <c r="AV79" s="877"/>
      <c r="AW79" s="879"/>
      <c r="AX79" s="877"/>
      <c r="AY79" s="886"/>
      <c r="AZ79" s="877"/>
      <c r="BA79" s="879"/>
      <c r="BB79" s="886"/>
    </row>
    <row r="80" spans="1:402">
      <c r="A80" s="195"/>
      <c r="B80" s="50"/>
      <c r="C80" s="174" t="s">
        <v>318</v>
      </c>
      <c r="D80" s="928">
        <f t="shared" ref="D80:F82" si="23">$B$83*D85+$B$88*D90+$B$93*D95+$B$98*D100</f>
        <v>0.19671857483448868</v>
      </c>
      <c r="E80" s="877">
        <f t="shared" si="23"/>
        <v>0.19671857483448868</v>
      </c>
      <c r="F80" s="878">
        <f t="shared" si="23"/>
        <v>0.20111398122843038</v>
      </c>
      <c r="G80" s="877">
        <f>$B$83*G86+$B$88*G91+$B$93*G96+$B$98*G101</f>
        <v>1.9916512618552949E-3</v>
      </c>
      <c r="H80" s="877">
        <f t="shared" ref="H80:N82" si="24">$B$83*H85+$B$88*H90+$B$93*H95+$B$98*H100</f>
        <v>0</v>
      </c>
      <c r="I80" s="877">
        <f t="shared" si="24"/>
        <v>1.1793948235181265E-2</v>
      </c>
      <c r="J80" s="877">
        <f t="shared" si="24"/>
        <v>0</v>
      </c>
      <c r="K80" s="877">
        <f t="shared" si="24"/>
        <v>0.18492462659930742</v>
      </c>
      <c r="L80" s="877">
        <f t="shared" si="24"/>
        <v>0</v>
      </c>
      <c r="M80" s="877">
        <f t="shared" si="24"/>
        <v>0</v>
      </c>
      <c r="N80" s="877">
        <f t="shared" si="24"/>
        <v>0</v>
      </c>
      <c r="O80" s="877">
        <f>$B$83*O86+$B$88*O91+$B$93*O96+$B$98*O101</f>
        <v>2.0092947076679528E-5</v>
      </c>
      <c r="P80" s="877">
        <f t="shared" ref="P80:S82" si="25">$B$83*P85+$B$88*P90+$B$93*P95+$B$98*P100</f>
        <v>0</v>
      </c>
      <c r="Q80" s="877">
        <f t="shared" si="25"/>
        <v>0.19671857483448868</v>
      </c>
      <c r="R80" s="877">
        <f t="shared" si="25"/>
        <v>0</v>
      </c>
      <c r="S80" s="877">
        <f t="shared" si="25"/>
        <v>0</v>
      </c>
      <c r="T80" s="18"/>
      <c r="U80" s="879"/>
      <c r="V80" s="877"/>
      <c r="W80" s="886"/>
      <c r="X80" s="877"/>
      <c r="Y80" s="879"/>
      <c r="Z80" s="877"/>
      <c r="AA80" s="886"/>
      <c r="AB80" s="877"/>
      <c r="AC80" s="879"/>
      <c r="AD80" s="877"/>
      <c r="AE80" s="886"/>
      <c r="AF80" s="877"/>
      <c r="AG80" s="879"/>
      <c r="AH80" s="877"/>
      <c r="AI80" s="886"/>
      <c r="AJ80" s="877"/>
      <c r="AK80" s="879"/>
      <c r="AL80" s="877"/>
      <c r="AM80" s="886"/>
      <c r="AN80" s="877"/>
      <c r="AO80" s="879"/>
      <c r="AP80" s="877"/>
      <c r="AQ80" s="886"/>
      <c r="AR80" s="877"/>
      <c r="AS80" s="879"/>
      <c r="AT80" s="877"/>
      <c r="AU80" s="886"/>
      <c r="AV80" s="877"/>
      <c r="AW80" s="879"/>
      <c r="AX80" s="877"/>
      <c r="AY80" s="886"/>
      <c r="AZ80" s="877"/>
      <c r="BA80" s="879"/>
      <c r="BB80" s="886"/>
    </row>
    <row r="81" spans="1:402">
      <c r="A81" s="195"/>
      <c r="B81" s="50"/>
      <c r="C81" s="174" t="s">
        <v>319</v>
      </c>
      <c r="D81" s="928">
        <f t="shared" si="23"/>
        <v>0</v>
      </c>
      <c r="E81" s="877">
        <f t="shared" si="23"/>
        <v>2.0117442089319744E-3</v>
      </c>
      <c r="F81" s="878">
        <f t="shared" si="23"/>
        <v>2.0566938704794637E-3</v>
      </c>
      <c r="G81" s="877">
        <f>$B$83*G87+$B$88*G92+$B$93*G97+$B$98*G102</f>
        <v>1.8847700061268447E-3</v>
      </c>
      <c r="H81" s="877">
        <f t="shared" si="24"/>
        <v>0</v>
      </c>
      <c r="I81" s="877">
        <f t="shared" si="24"/>
        <v>0</v>
      </c>
      <c r="J81" s="877">
        <f t="shared" si="24"/>
        <v>0</v>
      </c>
      <c r="K81" s="877">
        <f t="shared" si="24"/>
        <v>0</v>
      </c>
      <c r="L81" s="877">
        <f t="shared" si="24"/>
        <v>0</v>
      </c>
      <c r="M81" s="877">
        <f t="shared" si="24"/>
        <v>0</v>
      </c>
      <c r="N81" s="877">
        <f t="shared" si="24"/>
        <v>0</v>
      </c>
      <c r="O81" s="877">
        <f>$B$83*O87+$B$88*O92+$B$93*O97+$B$98*O102</f>
        <v>1.873109177481569E-6</v>
      </c>
      <c r="P81" s="877">
        <f t="shared" si="25"/>
        <v>0</v>
      </c>
      <c r="Q81" s="877">
        <f t="shared" si="25"/>
        <v>2.0117442089319744E-3</v>
      </c>
      <c r="R81" s="877">
        <f t="shared" si="25"/>
        <v>0</v>
      </c>
      <c r="S81" s="877">
        <f t="shared" si="25"/>
        <v>0</v>
      </c>
      <c r="T81" s="18"/>
      <c r="U81" s="879"/>
      <c r="V81" s="877"/>
      <c r="W81" s="886"/>
      <c r="X81" s="877"/>
      <c r="Y81" s="879"/>
      <c r="Z81" s="877"/>
      <c r="AA81" s="886"/>
      <c r="AB81" s="877"/>
      <c r="AC81" s="879"/>
      <c r="AD81" s="877"/>
      <c r="AE81" s="886"/>
      <c r="AF81" s="877"/>
      <c r="AG81" s="879"/>
      <c r="AH81" s="877"/>
      <c r="AI81" s="886"/>
      <c r="AJ81" s="877"/>
      <c r="AK81" s="879"/>
      <c r="AL81" s="877"/>
      <c r="AM81" s="886"/>
      <c r="AN81" s="877"/>
      <c r="AO81" s="879"/>
      <c r="AP81" s="877"/>
      <c r="AQ81" s="886"/>
      <c r="AR81" s="877"/>
      <c r="AS81" s="879"/>
      <c r="AT81" s="877"/>
      <c r="AU81" s="886"/>
      <c r="AV81" s="877"/>
      <c r="AW81" s="879"/>
      <c r="AX81" s="877"/>
      <c r="AY81" s="886"/>
      <c r="AZ81" s="877"/>
      <c r="BA81" s="879"/>
      <c r="BB81" s="886"/>
    </row>
    <row r="82" spans="1:402">
      <c r="A82" s="195"/>
      <c r="B82" s="54"/>
      <c r="C82" s="55" t="s">
        <v>320</v>
      </c>
      <c r="D82" s="928">
        <f t="shared" si="23"/>
        <v>7.5161900333209231E-3</v>
      </c>
      <c r="E82" s="877">
        <f t="shared" si="23"/>
        <v>9.4028331486252503E-3</v>
      </c>
      <c r="F82" s="878">
        <f t="shared" si="23"/>
        <v>9.6129265420803762E-3</v>
      </c>
      <c r="G82" s="877">
        <f>$B$83*G87+$B$88*G92+$B$93*G97+$B$98*G102</f>
        <v>1.8847700061268447E-3</v>
      </c>
      <c r="H82" s="877">
        <f t="shared" si="24"/>
        <v>4.7639388908237712E-3</v>
      </c>
      <c r="I82" s="877">
        <f t="shared" si="24"/>
        <v>2.5641968712712621E-3</v>
      </c>
      <c r="J82" s="877">
        <f t="shared" si="24"/>
        <v>1.880542712258903E-4</v>
      </c>
      <c r="K82" s="877">
        <f t="shared" si="24"/>
        <v>0</v>
      </c>
      <c r="L82" s="877">
        <f t="shared" si="24"/>
        <v>0</v>
      </c>
      <c r="M82" s="877">
        <f t="shared" si="24"/>
        <v>0</v>
      </c>
      <c r="N82" s="877">
        <f t="shared" si="24"/>
        <v>0</v>
      </c>
      <c r="O82" s="877">
        <f>$B$83*O87+$B$88*O92+$B$93*O97+$B$98*O102</f>
        <v>1.873109177481569E-6</v>
      </c>
      <c r="P82" s="877">
        <f t="shared" si="25"/>
        <v>0</v>
      </c>
      <c r="Q82" s="877">
        <f t="shared" si="25"/>
        <v>9.4028331486252503E-3</v>
      </c>
      <c r="R82" s="877">
        <f t="shared" si="25"/>
        <v>0</v>
      </c>
      <c r="S82" s="877">
        <f t="shared" si="25"/>
        <v>0</v>
      </c>
      <c r="T82" s="18"/>
      <c r="U82" s="879"/>
      <c r="V82" s="877"/>
      <c r="W82" s="886"/>
      <c r="X82" s="877"/>
      <c r="Y82" s="879"/>
      <c r="Z82" s="877"/>
      <c r="AA82" s="886"/>
      <c r="AB82" s="877"/>
      <c r="AC82" s="879"/>
      <c r="AD82" s="877"/>
      <c r="AE82" s="886"/>
      <c r="AF82" s="877"/>
      <c r="AG82" s="879"/>
      <c r="AH82" s="877"/>
      <c r="AI82" s="886"/>
      <c r="AJ82" s="877"/>
      <c r="AK82" s="879"/>
      <c r="AL82" s="877"/>
      <c r="AM82" s="886"/>
      <c r="AN82" s="877"/>
      <c r="AO82" s="879"/>
      <c r="AP82" s="877"/>
      <c r="AQ82" s="886"/>
      <c r="AR82" s="877"/>
      <c r="AS82" s="879"/>
      <c r="AT82" s="877"/>
      <c r="AU82" s="886"/>
      <c r="AV82" s="877"/>
      <c r="AW82" s="879"/>
      <c r="AX82" s="877"/>
      <c r="AY82" s="886"/>
      <c r="AZ82" s="877"/>
      <c r="BA82" s="879"/>
      <c r="BB82" s="886"/>
    </row>
    <row r="83" spans="1:402" s="12" customFormat="1">
      <c r="A83" s="108" t="s">
        <v>122</v>
      </c>
      <c r="B83" s="390">
        <f>'Input data dairy products'!C13</f>
        <v>0.51200000000000012</v>
      </c>
      <c r="C83" s="355" t="s">
        <v>316</v>
      </c>
      <c r="D83" s="930">
        <f>SUMPRODUCT($BH$6:$BH$9,D84:D87)</f>
        <v>7.1604785824323365</v>
      </c>
      <c r="E83" s="872">
        <f>SUMPRODUCT($BH$6:$BH$9,E84:E87)</f>
        <v>9.8432493924120159</v>
      </c>
      <c r="F83" s="873">
        <f>SUMPRODUCT($BH$6:$BH$9,F84:F87)</f>
        <v>10.433271674847303</v>
      </c>
      <c r="G83" s="884"/>
      <c r="H83" s="884"/>
      <c r="I83" s="884"/>
      <c r="J83" s="884"/>
      <c r="K83" s="884"/>
      <c r="L83" s="884"/>
      <c r="M83" s="884"/>
      <c r="N83" s="884"/>
      <c r="O83" s="884"/>
      <c r="P83" s="884"/>
      <c r="Q83" s="884"/>
      <c r="R83" s="884"/>
      <c r="S83" s="884"/>
      <c r="T83" s="18"/>
      <c r="U83" s="1220">
        <f>U$19*'Input data dairy products'!$D13*'Common input data'!$D$55</f>
        <v>21.853133291919214</v>
      </c>
      <c r="V83" s="877">
        <f>U83+U83*'Common input data'!$B$146</f>
        <v>22.33074007595409</v>
      </c>
      <c r="W83" s="886">
        <f>V83+V83*'Common input data'!$B$181</f>
        <v>23.893891881270875</v>
      </c>
      <c r="X83" s="877"/>
      <c r="Y83" s="1220">
        <f>Y$19*'Input data dairy products'!$D13*'Common input data'!$D$55</f>
        <v>24.087749369314171</v>
      </c>
      <c r="Z83" s="877">
        <f>Y83+Y83*'Common input data'!$B$146</f>
        <v>24.614194358105337</v>
      </c>
      <c r="AA83" s="886">
        <f>Z83+Z83*'Common input data'!$B$181</f>
        <v>26.33718796317271</v>
      </c>
      <c r="AB83" s="877"/>
      <c r="AC83" s="1220">
        <f>AC$19*'Input data dairy products'!$D13*'Common input data'!$D$55</f>
        <v>0.51228638383047143</v>
      </c>
      <c r="AD83" s="877">
        <f>AC83+AC83*'Common input data'!$B$146</f>
        <v>0.52348255643500141</v>
      </c>
      <c r="AE83" s="886">
        <f>AD83+AD83*'Common input data'!$B$181</f>
        <v>0.56012633538545153</v>
      </c>
      <c r="AF83" s="877"/>
      <c r="AG83" s="1220">
        <f>AG$19*'Input data dairy products'!$D13*'Common input data'!$D$55</f>
        <v>1.7049374475611067E-2</v>
      </c>
      <c r="AH83" s="877">
        <f>AG83+AG83*'Common input data'!$B$146</f>
        <v>1.7421993669587885E-2</v>
      </c>
      <c r="AI83" s="886">
        <f>AH83+AH83*'Common input data'!$B$181</f>
        <v>1.8641533226459037E-2</v>
      </c>
      <c r="AJ83" s="877"/>
      <c r="AK83" s="1220">
        <f>AK$19*'Input data dairy products'!$D13*'Common input data'!$D$55</f>
        <v>4.934755378638532E-2</v>
      </c>
      <c r="AL83" s="877">
        <f>AK83+AK83*'Common input data'!$B$146</f>
        <v>5.0426059378652896E-2</v>
      </c>
      <c r="AM83" s="886">
        <f>AL83+AL83*'Common input data'!$B$181</f>
        <v>5.3955883535158601E-2</v>
      </c>
      <c r="AN83" s="877"/>
      <c r="AO83" s="1220">
        <f>(AO$19*'Input data dairy products'!$D13*'Common input data'!$D$55)/$AP$2</f>
        <v>6.2469428249681529E-10</v>
      </c>
      <c r="AP83" s="877">
        <f>AO83+AO83*'Common input data'!$B$146</f>
        <v>6.3834716344906785E-10</v>
      </c>
      <c r="AQ83" s="886">
        <f>AP83+AP83*'Common input data'!$B$181</f>
        <v>6.8303146489050257E-10</v>
      </c>
      <c r="AR83" s="877"/>
      <c r="AS83" s="1220">
        <f>AS$19*'Input data dairy products'!$D13*'Common input data'!$D$55</f>
        <v>1.085923523916019E-3</v>
      </c>
      <c r="AT83" s="877">
        <f>AS83+AS83*'Common input data'!$B$146</f>
        <v>1.1096567083082604E-3</v>
      </c>
      <c r="AU83" s="886">
        <f>AT83+AT83*'Common input data'!$B$181</f>
        <v>1.1873326778898386E-3</v>
      </c>
      <c r="AV83" s="877"/>
      <c r="AW83" s="1220">
        <f>AW$19*'Input data dairy products'!$D13*'Common input data'!$D$55</f>
        <v>4.2567447836336321E-2</v>
      </c>
      <c r="AX83" s="877">
        <f>AW83+AW83*'Common input data'!$B$146</f>
        <v>4.3497772179033792E-2</v>
      </c>
      <c r="AY83" s="886">
        <f>AX83+AX83*'Common input data'!$B$181</f>
        <v>4.6542616231566157E-2</v>
      </c>
      <c r="AZ83" s="877"/>
      <c r="BA83" s="879">
        <f>'Common input data'!C202+'Common input data'!C202*'Common input data'!$B$146</f>
        <v>0.14632967895999996</v>
      </c>
      <c r="BB83" s="886">
        <f>BA83+BA83*'Common input data'!$B$181</f>
        <v>0.15657275648719995</v>
      </c>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row>
    <row r="84" spans="1:402">
      <c r="A84" s="18"/>
      <c r="C84" s="174" t="s">
        <v>317</v>
      </c>
      <c r="D84" s="928">
        <f>IF(AND($F$2="No",$F$3="No"),SUM(H84:K84),IF(AND($F$2="Yes", $F$3="No"), SUM(H84:K84)+M84, IF(AND($F$2="No", $F$3="Yes"),SUM(H84:K84)+L84, SUM(H84:K84)+M84+L84)))</f>
        <v>-0.20284281719547043</v>
      </c>
      <c r="E84" s="877">
        <f>IF(AND($F$2="No",$F$3="No"),SUM(G84:K84,N84:O84),IF(AND($F$2="Yes",$F$3="No"), SUM(G84:K84,N84:O84)+M84, IF(AND($F$2="No", $F$3="Yes"),SUM(G84:K84,N84:O84)+L84, SUM(G84:K84,N84:O84)+M84+L84)))</f>
        <v>1.9055510944518175</v>
      </c>
      <c r="F84" s="878">
        <f>SUM(Q84:S84)/(1-'Common input data'!B$146)</f>
        <v>2.3182164095473978</v>
      </c>
      <c r="G84" s="877">
        <f>'Input data dairy products'!$D$13*G9*'Common input data'!D$55</f>
        <v>1.8631918360168871</v>
      </c>
      <c r="H84" s="877">
        <f>'Input data dairy products'!$D$13*H9*'Common input data'!D$55</f>
        <v>0</v>
      </c>
      <c r="I84" s="877">
        <f>'Input data dairy products'!$D$13*I9*'Common input data'!D$55</f>
        <v>0</v>
      </c>
      <c r="J84" s="877">
        <f>'Input data dairy products'!$D$13*J9*'Common input data'!D$55</f>
        <v>0</v>
      </c>
      <c r="K84" s="877">
        <f>'Input data dairy products'!$D$13*K9*'Common input data'!D$55</f>
        <v>0</v>
      </c>
      <c r="L84" s="877">
        <f>'Input data dairy products'!$D$13*L9*'Common input data'!D$55</f>
        <v>-0.39021889915221847</v>
      </c>
      <c r="M84" s="877">
        <f>'Input data dairy products'!$D$13*M9*'Common input data'!D$55</f>
        <v>0.18737608195674804</v>
      </c>
      <c r="N84" s="877">
        <f>'Input data dairy products'!$D$13*N9*'Common input data'!D$55</f>
        <v>0.21354665833922917</v>
      </c>
      <c r="O84" s="877">
        <f>'Input data dairy products'!$D$13*O9*'Common input data'!D$55</f>
        <v>3.1655417291171412E-2</v>
      </c>
      <c r="P84" s="877">
        <f>'Input data dairy products'!F$29*'Common input data'!D$55</f>
        <v>0.28199999999999997</v>
      </c>
      <c r="Q84" s="1185">
        <f>IF(AND($F$2="No",$F$3="No"),SUM(G84:K84,N84:P84),IF(AND($F$2="Yes",$F$3="No"), SUM(G84:K84,N84:P84)+M84, IF(AND($F$2="No", $F$3="Yes"),SUM(G84:K84,N84:P84)+L84, SUM(G84:K84,N84:P84)+M84+L84)))</f>
        <v>2.1875510944518175</v>
      </c>
      <c r="R84" s="877">
        <f>'Common input data'!B$108</f>
        <v>0.05</v>
      </c>
      <c r="S84" s="877">
        <f>'Common input data'!C$115</f>
        <v>0.03</v>
      </c>
      <c r="T84" s="18"/>
      <c r="U84" s="879"/>
      <c r="V84" s="877"/>
      <c r="W84" s="886"/>
      <c r="X84" s="877"/>
      <c r="Y84" s="879"/>
      <c r="Z84" s="877"/>
      <c r="AA84" s="886"/>
      <c r="AB84" s="877"/>
      <c r="AC84" s="879"/>
      <c r="AD84" s="877"/>
      <c r="AE84" s="886"/>
      <c r="AF84" s="877"/>
      <c r="AG84" s="879"/>
      <c r="AH84" s="877"/>
      <c r="AI84" s="886"/>
      <c r="AJ84" s="877"/>
      <c r="AK84" s="879"/>
      <c r="AL84" s="877"/>
      <c r="AM84" s="886"/>
      <c r="AN84" s="877"/>
      <c r="AO84" s="879"/>
      <c r="AP84" s="877"/>
      <c r="AQ84" s="886"/>
      <c r="AR84" s="877"/>
      <c r="AS84" s="879"/>
      <c r="AT84" s="877"/>
      <c r="AU84" s="886"/>
      <c r="AV84" s="877"/>
      <c r="AW84" s="879"/>
      <c r="AX84" s="877"/>
      <c r="AY84" s="886"/>
      <c r="AZ84" s="877"/>
      <c r="BA84" s="879"/>
      <c r="BB84" s="886"/>
    </row>
    <row r="85" spans="1:402">
      <c r="A85" s="68"/>
      <c r="B85" s="50"/>
      <c r="C85" s="174" t="s">
        <v>318</v>
      </c>
      <c r="D85" s="928">
        <f>SUM(H85:K85)</f>
        <v>0.19671857483448871</v>
      </c>
      <c r="E85" s="877">
        <f>SUM(G85:K85,N85:O85)</f>
        <v>0.19671857483448871</v>
      </c>
      <c r="F85" s="878">
        <f>SUM(Q85:S85)/(1-'Common input data'!B$146)</f>
        <v>0.20111398122843038</v>
      </c>
      <c r="G85" s="877">
        <v>0</v>
      </c>
      <c r="H85" s="877">
        <f>'Input data dairy products'!$D$13*H10*'Common input data'!D$55</f>
        <v>0</v>
      </c>
      <c r="I85" s="877">
        <f>'Input data dairy products'!$D$13*I10*'Common input data'!D$55</f>
        <v>1.1793948235181265E-2</v>
      </c>
      <c r="J85" s="877">
        <f>'Input data dairy products'!$D$13*J10*'Common input data'!D$55</f>
        <v>0</v>
      </c>
      <c r="K85" s="877">
        <f>'Input data dairy products'!$D$13*K10*'Common input data'!D$55</f>
        <v>0.18492462659930745</v>
      </c>
      <c r="L85" s="877">
        <f>'Input data dairy products'!$D$13*L10*'Common input data'!D$55</f>
        <v>0</v>
      </c>
      <c r="M85" s="877">
        <f>'Input data dairy products'!$D$13*M10*'Common input data'!D$55</f>
        <v>0</v>
      </c>
      <c r="N85" s="877">
        <f>'Input data dairy products'!$D$13*N10*'Common input data'!D$55</f>
        <v>0</v>
      </c>
      <c r="O85" s="877">
        <v>0</v>
      </c>
      <c r="P85" s="877">
        <v>0</v>
      </c>
      <c r="Q85" s="877">
        <f>SUM(G85:P85)</f>
        <v>0.19671857483448871</v>
      </c>
      <c r="R85" s="877">
        <v>0</v>
      </c>
      <c r="S85" s="877">
        <v>0</v>
      </c>
      <c r="T85" s="18"/>
      <c r="U85" s="879"/>
      <c r="V85" s="877"/>
      <c r="W85" s="886"/>
      <c r="X85" s="877"/>
      <c r="Y85" s="879"/>
      <c r="Z85" s="877"/>
      <c r="AA85" s="886"/>
      <c r="AB85" s="877"/>
      <c r="AC85" s="879"/>
      <c r="AD85" s="877"/>
      <c r="AE85" s="886"/>
      <c r="AF85" s="877"/>
      <c r="AG85" s="879"/>
      <c r="AH85" s="877"/>
      <c r="AI85" s="886"/>
      <c r="AJ85" s="877"/>
      <c r="AK85" s="879"/>
      <c r="AL85" s="877"/>
      <c r="AM85" s="886"/>
      <c r="AN85" s="877"/>
      <c r="AO85" s="879"/>
      <c r="AP85" s="877"/>
      <c r="AQ85" s="886"/>
      <c r="AR85" s="877"/>
      <c r="AS85" s="879"/>
      <c r="AT85" s="877"/>
      <c r="AU85" s="886"/>
      <c r="AV85" s="877"/>
      <c r="AW85" s="879"/>
      <c r="AX85" s="877"/>
      <c r="AY85" s="886"/>
      <c r="AZ85" s="877"/>
      <c r="BA85" s="879"/>
      <c r="BB85" s="886"/>
    </row>
    <row r="86" spans="1:402">
      <c r="A86" s="68"/>
      <c r="B86" s="50"/>
      <c r="C86" s="174" t="s">
        <v>319</v>
      </c>
      <c r="D86" s="928">
        <f>SUM(H86:K86)</f>
        <v>0</v>
      </c>
      <c r="E86" s="877">
        <f>SUM(G86:K86,N86:O86)</f>
        <v>2.0004020668038902E-3</v>
      </c>
      <c r="F86" s="878">
        <f>SUM(Q86:S86)/(1-'Common input data'!B$146)</f>
        <v>2.0450983037621018E-3</v>
      </c>
      <c r="G86" s="877">
        <f>'Input data dairy products'!$D$13*G11*'Common input data'!D$55</f>
        <v>1.9916512618552949E-3</v>
      </c>
      <c r="H86" s="877">
        <v>0</v>
      </c>
      <c r="I86" s="877">
        <v>0</v>
      </c>
      <c r="J86" s="877">
        <v>0</v>
      </c>
      <c r="K86" s="877">
        <v>0</v>
      </c>
      <c r="L86" s="877">
        <v>0</v>
      </c>
      <c r="M86" s="877">
        <v>0</v>
      </c>
      <c r="N86" s="877">
        <v>0</v>
      </c>
      <c r="O86" s="877">
        <f>'Input data dairy products'!$D$13*O11*'Common input data'!D$55</f>
        <v>8.7508049485953268E-6</v>
      </c>
      <c r="P86" s="877">
        <v>0</v>
      </c>
      <c r="Q86" s="877">
        <f>SUM(G86:P86)</f>
        <v>2.0004020668038902E-3</v>
      </c>
      <c r="R86" s="877">
        <v>0</v>
      </c>
      <c r="S86" s="877">
        <v>0</v>
      </c>
      <c r="T86" s="18"/>
      <c r="U86" s="879"/>
      <c r="V86" s="877"/>
      <c r="W86" s="886"/>
      <c r="X86" s="877"/>
      <c r="Y86" s="879"/>
      <c r="Z86" s="877"/>
      <c r="AA86" s="886"/>
      <c r="AB86" s="877"/>
      <c r="AC86" s="879"/>
      <c r="AD86" s="877"/>
      <c r="AE86" s="886"/>
      <c r="AF86" s="877"/>
      <c r="AG86" s="879"/>
      <c r="AH86" s="877"/>
      <c r="AI86" s="886"/>
      <c r="AJ86" s="877"/>
      <c r="AK86" s="879"/>
      <c r="AL86" s="877"/>
      <c r="AM86" s="886"/>
      <c r="AN86" s="877"/>
      <c r="AO86" s="879"/>
      <c r="AP86" s="877"/>
      <c r="AQ86" s="886"/>
      <c r="AR86" s="877"/>
      <c r="AS86" s="879"/>
      <c r="AT86" s="877"/>
      <c r="AU86" s="886"/>
      <c r="AV86" s="877"/>
      <c r="AW86" s="879"/>
      <c r="AX86" s="877"/>
      <c r="AY86" s="886"/>
      <c r="AZ86" s="877"/>
      <c r="BA86" s="879"/>
      <c r="BB86" s="886"/>
    </row>
    <row r="87" spans="1:402">
      <c r="A87" s="359"/>
      <c r="B87" s="54"/>
      <c r="C87" s="55" t="s">
        <v>320</v>
      </c>
      <c r="D87" s="928">
        <f>SUM(H87:K87)</f>
        <v>7.516190033320924E-3</v>
      </c>
      <c r="E87" s="877">
        <f>SUM(G87:K87,N87:O87)</f>
        <v>9.4017758089313102E-3</v>
      </c>
      <c r="F87" s="878">
        <f>SUM(Q87:S87)/(1-'Common input data'!B$146)</f>
        <v>9.6118455775830586E-3</v>
      </c>
      <c r="G87" s="877">
        <f>'Input data dairy products'!$D$13*G12*'Common input data'!D$55</f>
        <v>1.8847700061268445E-3</v>
      </c>
      <c r="H87" s="877">
        <f>'Input data dairy products'!$D$13*H12*'Common input data'!D$55</f>
        <v>4.7639388908237712E-3</v>
      </c>
      <c r="I87" s="877">
        <f>'Input data dairy products'!$D$13*I12*'Common input data'!D$55</f>
        <v>2.5641968712712621E-3</v>
      </c>
      <c r="J87" s="877">
        <f>'Input data dairy products'!$D$13*J12*'Common input data'!D$55</f>
        <v>1.880542712258903E-4</v>
      </c>
      <c r="K87" s="877">
        <f>'Input data dairy products'!$D$13*K12*'Common input data'!D$55</f>
        <v>0</v>
      </c>
      <c r="L87" s="877">
        <f>'Input data dairy products'!$D$13*L12*'Common input data'!D$55</f>
        <v>0</v>
      </c>
      <c r="M87" s="877">
        <f>'Input data dairy products'!$D$13*M12*'Common input data'!D$55</f>
        <v>0</v>
      </c>
      <c r="N87" s="877">
        <f>'Input data dairy products'!$D$13*N12*'Common input data'!D$55</f>
        <v>0</v>
      </c>
      <c r="O87" s="877">
        <f>'Input data dairy products'!$D$13*O12*'Common input data'!D$55</f>
        <v>8.1576948354127526E-7</v>
      </c>
      <c r="P87" s="877">
        <v>0</v>
      </c>
      <c r="Q87" s="877">
        <f>SUM(G87:P87)</f>
        <v>9.4017758089313102E-3</v>
      </c>
      <c r="R87" s="877">
        <v>0</v>
      </c>
      <c r="S87" s="877">
        <v>0</v>
      </c>
      <c r="T87" s="18"/>
      <c r="U87" s="879"/>
      <c r="V87" s="877"/>
      <c r="W87" s="886"/>
      <c r="X87" s="877"/>
      <c r="Y87" s="879"/>
      <c r="Z87" s="877"/>
      <c r="AA87" s="886"/>
      <c r="AB87" s="877"/>
      <c r="AC87" s="879"/>
      <c r="AD87" s="877"/>
      <c r="AE87" s="886"/>
      <c r="AF87" s="877"/>
      <c r="AG87" s="879"/>
      <c r="AH87" s="877"/>
      <c r="AI87" s="886"/>
      <c r="AJ87" s="877"/>
      <c r="AK87" s="879"/>
      <c r="AL87" s="877"/>
      <c r="AM87" s="886"/>
      <c r="AN87" s="877"/>
      <c r="AO87" s="879"/>
      <c r="AP87" s="877"/>
      <c r="AQ87" s="886"/>
      <c r="AR87" s="877"/>
      <c r="AS87" s="879"/>
      <c r="AT87" s="877"/>
      <c r="AU87" s="886"/>
      <c r="AV87" s="877"/>
      <c r="AW87" s="879"/>
      <c r="AX87" s="877"/>
      <c r="AY87" s="886"/>
      <c r="AZ87" s="877"/>
      <c r="BA87" s="879"/>
      <c r="BB87" s="886"/>
    </row>
    <row r="88" spans="1:402" s="12" customFormat="1">
      <c r="A88" s="108" t="s">
        <v>176</v>
      </c>
      <c r="B88" s="390">
        <f>'Input data dairy products'!C14</f>
        <v>0.16</v>
      </c>
      <c r="C88" s="355" t="s">
        <v>316</v>
      </c>
      <c r="D88" s="930">
        <f>SUMPRODUCT($BH$6:$BH$9,D89:D92)</f>
        <v>7.1604785824323365</v>
      </c>
      <c r="E88" s="872">
        <f>SUMPRODUCT($BH$6:$BH$9,E89:E92)</f>
        <v>9.8432493924120159</v>
      </c>
      <c r="F88" s="873">
        <f>SUMPRODUCT($BH$6:$BH$9,F89:F92)</f>
        <v>10.484388856180495</v>
      </c>
      <c r="G88" s="884"/>
      <c r="H88" s="884"/>
      <c r="I88" s="884"/>
      <c r="J88" s="884"/>
      <c r="K88" s="884"/>
      <c r="L88" s="884"/>
      <c r="M88" s="884"/>
      <c r="N88" s="884"/>
      <c r="O88" s="884"/>
      <c r="P88" s="884"/>
      <c r="Q88" s="884"/>
      <c r="R88" s="884"/>
      <c r="S88" s="884"/>
      <c r="T88" s="18"/>
      <c r="U88" s="1220">
        <f>U$19*'Input data dairy products'!$D14*'Common input data'!$D$55</f>
        <v>21.853133291919214</v>
      </c>
      <c r="V88" s="877">
        <f>U88+U88*'Common input data'!$B$146</f>
        <v>22.33074007595409</v>
      </c>
      <c r="W88" s="886">
        <f>V88+V88*'Common input data'!$B$181</f>
        <v>23.893891881270875</v>
      </c>
      <c r="X88" s="877"/>
      <c r="Y88" s="1220">
        <f>Y$19*'Input data dairy products'!$D14*'Common input data'!$D$55</f>
        <v>24.087749369314171</v>
      </c>
      <c r="Z88" s="877">
        <f>Y88+Y88*'Common input data'!$B$146</f>
        <v>24.614194358105337</v>
      </c>
      <c r="AA88" s="886">
        <f>Z88+Z88*'Common input data'!$B$181</f>
        <v>26.33718796317271</v>
      </c>
      <c r="AB88" s="877"/>
      <c r="AC88" s="1220">
        <f>AC$19*'Input data dairy products'!$D14*'Common input data'!$D$55</f>
        <v>0.51228638383047143</v>
      </c>
      <c r="AD88" s="877">
        <f>AC88+AC88*'Common input data'!$B$146</f>
        <v>0.52348255643500141</v>
      </c>
      <c r="AE88" s="886">
        <f>AD88+AD88*'Common input data'!$B$181</f>
        <v>0.56012633538545153</v>
      </c>
      <c r="AF88" s="877"/>
      <c r="AG88" s="1220">
        <f>AG$19*'Input data dairy products'!$D14*'Common input data'!$D$55</f>
        <v>1.7049374475611067E-2</v>
      </c>
      <c r="AH88" s="877">
        <f>AG88+AG88*'Common input data'!$B$146</f>
        <v>1.7421993669587885E-2</v>
      </c>
      <c r="AI88" s="886">
        <f>AH88+AH88*'Common input data'!$B$181</f>
        <v>1.8641533226459037E-2</v>
      </c>
      <c r="AJ88" s="877"/>
      <c r="AK88" s="1220">
        <f>AK$19*'Input data dairy products'!$D14*'Common input data'!$D$55</f>
        <v>4.934755378638532E-2</v>
      </c>
      <c r="AL88" s="877">
        <f>AK88+AK88*'Common input data'!$B$146</f>
        <v>5.0426059378652896E-2</v>
      </c>
      <c r="AM88" s="886">
        <f>AL88+AL88*'Common input data'!$B$181</f>
        <v>5.3955883535158601E-2</v>
      </c>
      <c r="AN88" s="877"/>
      <c r="AO88" s="1220">
        <f>(AO$19*'Input data dairy products'!$D14*'Common input data'!$D$55)/$AP$2</f>
        <v>6.2469428249681529E-10</v>
      </c>
      <c r="AP88" s="877">
        <f>AO88+AO88*'Common input data'!$B$146</f>
        <v>6.3834716344906785E-10</v>
      </c>
      <c r="AQ88" s="886">
        <f>AP88+AP88*'Common input data'!$B$181</f>
        <v>6.8303146489050257E-10</v>
      </c>
      <c r="AR88" s="877"/>
      <c r="AS88" s="1220">
        <f>AS$19*'Input data dairy products'!$D14*'Common input data'!$D$55</f>
        <v>1.085923523916019E-3</v>
      </c>
      <c r="AT88" s="877">
        <f>AS88+AS88*'Common input data'!$B$146</f>
        <v>1.1096567083082604E-3</v>
      </c>
      <c r="AU88" s="886">
        <f>AT88+AT88*'Common input data'!$B$181</f>
        <v>1.1873326778898386E-3</v>
      </c>
      <c r="AV88" s="877"/>
      <c r="AW88" s="1220">
        <f>AW$19*'Input data dairy products'!$D14*'Common input data'!$D$55</f>
        <v>4.2567447836336321E-2</v>
      </c>
      <c r="AX88" s="877">
        <f>AW88+AW88*'Common input data'!$B$146</f>
        <v>4.3497772179033792E-2</v>
      </c>
      <c r="AY88" s="886">
        <f>AX88+AX88*'Common input data'!$B$181</f>
        <v>4.6542616231566157E-2</v>
      </c>
      <c r="AZ88" s="877"/>
      <c r="BA88" s="879">
        <f>('Common input data'!B204+'Common input data'!C204)+('Common input data'!B204+'Common input data'!C204)*'Common input data'!$B$146</f>
        <v>0.37215970025999989</v>
      </c>
      <c r="BB88" s="886">
        <f>BA88+BA88*'Common input data'!$B$181</f>
        <v>0.39821087927819987</v>
      </c>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row>
    <row r="89" spans="1:402" s="12" customFormat="1">
      <c r="A89" s="18"/>
      <c r="B89"/>
      <c r="C89" s="174" t="s">
        <v>317</v>
      </c>
      <c r="D89" s="928">
        <f>IF(AND($F$2="No",$F$3="No"),SUM(H89:K89),IF(AND($F$2="Yes", $F$3="No"), SUM(H89:K89)+M89, IF(AND($F$2="No", $F$3="Yes"),SUM(H89:K89)+L89, SUM(H89:K89)+M89+L89)))</f>
        <v>-0.20284281719547043</v>
      </c>
      <c r="E89" s="877">
        <f>IF(AND($F$2="No",$F$3="No"),SUM(G89:K89,N89:O89),IF(AND($F$2="Yes",$F$3="No"), SUM(G89:K89,N89:O89)+M89, IF(AND($F$2="No", $F$3="Yes"),SUM(G89:K89,N89:O89)+L89, SUM(G89:K89,N89:O89)+M89+L89)))</f>
        <v>1.9055510944518175</v>
      </c>
      <c r="F89" s="878">
        <f>SUM(Q89:S89)/(1-'Common input data'!B$146)</f>
        <v>2.3693335908805895</v>
      </c>
      <c r="G89" s="877">
        <f>'Input data dairy products'!$D$14*G9*'Common input data'!D$55</f>
        <v>1.8631918360168871</v>
      </c>
      <c r="H89" s="877">
        <f>'Input data dairy products'!$D$14*H9*'Common input data'!D$55</f>
        <v>0</v>
      </c>
      <c r="I89" s="877">
        <f>'Input data dairy products'!$D$14*I9*'Common input data'!D$55</f>
        <v>0</v>
      </c>
      <c r="J89" s="877">
        <f>'Input data dairy products'!$D$14*J9*'Common input data'!D$55</f>
        <v>0</v>
      </c>
      <c r="K89" s="877">
        <f>'Input data dairy products'!$D$14*K9*'Common input data'!D$55</f>
        <v>0</v>
      </c>
      <c r="L89" s="877">
        <f>'Input data dairy products'!$D$14*L9*'Common input data'!D$55</f>
        <v>-0.39021889915221847</v>
      </c>
      <c r="M89" s="877">
        <f>'Input data dairy products'!$D$14*M9*'Common input data'!D$55</f>
        <v>0.18737608195674804</v>
      </c>
      <c r="N89" s="877">
        <f>'Input data dairy products'!$D$14*N9*'Common input data'!D$55</f>
        <v>0.21354665833922917</v>
      </c>
      <c r="O89" s="877">
        <f>'Input data dairy products'!$D$14*O9*'Common input data'!D$55</f>
        <v>3.1655417291171412E-2</v>
      </c>
      <c r="P89" s="877">
        <f>'Input data dairy products'!F$29*'Common input data'!D$55</f>
        <v>0.28199999999999997</v>
      </c>
      <c r="Q89" s="1185">
        <f>IF(AND($F$2="No",$F$3="No"),SUM(G89:K89,N89:P89),IF(AND($F$2="Yes",$F$3="No"), SUM(G89:K89,N89:P89)+M89, IF(AND($F$2="No", $F$3="Yes"),SUM(G89:K89,N89:P89)+L89, SUM(G89:K89,N89:P89)+M89+L89)))</f>
        <v>2.1875510944518175</v>
      </c>
      <c r="R89" s="877">
        <f>'Common input data'!B$108</f>
        <v>0.05</v>
      </c>
      <c r="S89" s="877">
        <f>'Common input data'!B$115+'Common input data'!C$115</f>
        <v>0.08</v>
      </c>
      <c r="T89" s="18"/>
      <c r="U89" s="879"/>
      <c r="V89" s="877"/>
      <c r="W89" s="886"/>
      <c r="X89" s="877"/>
      <c r="Y89" s="879"/>
      <c r="Z89" s="877"/>
      <c r="AA89" s="886"/>
      <c r="AB89" s="877"/>
      <c r="AC89" s="879"/>
      <c r="AD89" s="877"/>
      <c r="AE89" s="886"/>
      <c r="AF89" s="877"/>
      <c r="AG89" s="879"/>
      <c r="AH89" s="877"/>
      <c r="AI89" s="886"/>
      <c r="AJ89" s="877"/>
      <c r="AK89" s="879"/>
      <c r="AL89" s="877"/>
      <c r="AM89" s="886"/>
      <c r="AN89" s="877"/>
      <c r="AO89" s="879"/>
      <c r="AP89" s="877"/>
      <c r="AQ89" s="886"/>
      <c r="AR89" s="877"/>
      <c r="AS89" s="879"/>
      <c r="AT89" s="877"/>
      <c r="AU89" s="886"/>
      <c r="AV89" s="877"/>
      <c r="AW89" s="879"/>
      <c r="AX89" s="877"/>
      <c r="AY89" s="886"/>
      <c r="AZ89" s="877"/>
      <c r="BA89" s="879"/>
      <c r="BB89" s="886"/>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row>
    <row r="90" spans="1:402">
      <c r="A90" s="68"/>
      <c r="B90" s="55"/>
      <c r="C90" s="174" t="s">
        <v>318</v>
      </c>
      <c r="D90" s="928">
        <f>SUM(H90:K90)</f>
        <v>0.19671857483448871</v>
      </c>
      <c r="E90" s="877">
        <f>SUM(G90:K90,N90:O90)</f>
        <v>0.19671857483448871</v>
      </c>
      <c r="F90" s="878">
        <f>SUM(Q90:S90)/(1-'Common input data'!B$146)</f>
        <v>0.20111398122843038</v>
      </c>
      <c r="G90" s="877">
        <v>0</v>
      </c>
      <c r="H90" s="877">
        <f>'Input data dairy products'!$D$14*H10*'Common input data'!D$55</f>
        <v>0</v>
      </c>
      <c r="I90" s="877">
        <f>'Input data dairy products'!$D$14*I10*'Common input data'!D$55</f>
        <v>1.1793948235181265E-2</v>
      </c>
      <c r="J90" s="877">
        <f>'Input data dairy products'!$D$14*J10*'Common input data'!D$55</f>
        <v>0</v>
      </c>
      <c r="K90" s="877">
        <f>'Input data dairy products'!$D$14*K10*'Common input data'!D$55</f>
        <v>0.18492462659930745</v>
      </c>
      <c r="L90" s="877">
        <f>'Input data dairy products'!$D$14*L10*'Common input data'!D$55</f>
        <v>0</v>
      </c>
      <c r="M90" s="877">
        <f>'Input data dairy products'!$D$14*M10*'Common input data'!D$55</f>
        <v>0</v>
      </c>
      <c r="N90" s="877">
        <f>'Input data dairy products'!$D$14*N10*'Common input data'!D$55</f>
        <v>0</v>
      </c>
      <c r="O90" s="877">
        <v>0</v>
      </c>
      <c r="P90" s="877">
        <v>0</v>
      </c>
      <c r="Q90" s="877">
        <f>SUM(G90:P90)</f>
        <v>0.19671857483448871</v>
      </c>
      <c r="R90" s="877">
        <v>0</v>
      </c>
      <c r="S90" s="877">
        <v>0</v>
      </c>
      <c r="T90" s="18"/>
      <c r="U90" s="879"/>
      <c r="V90" s="877"/>
      <c r="W90" s="886"/>
      <c r="X90" s="877"/>
      <c r="Y90" s="879"/>
      <c r="Z90" s="877"/>
      <c r="AA90" s="886"/>
      <c r="AB90" s="877"/>
      <c r="AC90" s="879"/>
      <c r="AD90" s="877"/>
      <c r="AE90" s="886"/>
      <c r="AF90" s="877"/>
      <c r="AG90" s="879"/>
      <c r="AH90" s="877"/>
      <c r="AI90" s="886"/>
      <c r="AJ90" s="877"/>
      <c r="AK90" s="879"/>
      <c r="AL90" s="877"/>
      <c r="AM90" s="886"/>
      <c r="AN90" s="877"/>
      <c r="AO90" s="879"/>
      <c r="AP90" s="877"/>
      <c r="AQ90" s="886"/>
      <c r="AR90" s="877"/>
      <c r="AS90" s="879"/>
      <c r="AT90" s="877"/>
      <c r="AU90" s="886"/>
      <c r="AV90" s="877"/>
      <c r="AW90" s="879"/>
      <c r="AX90" s="877"/>
      <c r="AY90" s="886"/>
      <c r="AZ90" s="877"/>
      <c r="BA90" s="879"/>
      <c r="BB90" s="886"/>
    </row>
    <row r="91" spans="1:402">
      <c r="A91" s="68"/>
      <c r="B91" s="55"/>
      <c r="C91" s="174" t="s">
        <v>319</v>
      </c>
      <c r="D91" s="928">
        <f>SUM(H91:K91)</f>
        <v>0</v>
      </c>
      <c r="E91" s="877">
        <f>SUM(G91:K91,N91:O91)</f>
        <v>2.0004020668038902E-3</v>
      </c>
      <c r="F91" s="878">
        <f>SUM(Q91:S91)/(1-'Common input data'!B$146)</f>
        <v>2.0450983037621018E-3</v>
      </c>
      <c r="G91" s="877">
        <f>'Input data dairy products'!$D$14*G11*'Common input data'!D$55</f>
        <v>1.9916512618552949E-3</v>
      </c>
      <c r="H91" s="877">
        <v>0</v>
      </c>
      <c r="I91" s="877">
        <v>0</v>
      </c>
      <c r="J91" s="877">
        <v>0</v>
      </c>
      <c r="K91" s="877">
        <v>0</v>
      </c>
      <c r="L91" s="877">
        <v>0</v>
      </c>
      <c r="M91" s="877">
        <v>0</v>
      </c>
      <c r="N91" s="877">
        <v>0</v>
      </c>
      <c r="O91" s="877">
        <f>'Input data dairy products'!$D$14*O11*'Common input data'!D$55</f>
        <v>8.7508049485953268E-6</v>
      </c>
      <c r="P91" s="877">
        <v>0</v>
      </c>
      <c r="Q91" s="877">
        <f>SUM(G91:P91)</f>
        <v>2.0004020668038902E-3</v>
      </c>
      <c r="R91" s="877">
        <v>0</v>
      </c>
      <c r="S91" s="877">
        <v>0</v>
      </c>
      <c r="T91" s="18"/>
      <c r="U91" s="879"/>
      <c r="V91" s="877"/>
      <c r="W91" s="886"/>
      <c r="X91" s="877"/>
      <c r="Y91" s="879"/>
      <c r="Z91" s="877"/>
      <c r="AA91" s="886"/>
      <c r="AB91" s="877"/>
      <c r="AC91" s="879"/>
      <c r="AD91" s="877"/>
      <c r="AE91" s="886"/>
      <c r="AF91" s="877"/>
      <c r="AG91" s="879"/>
      <c r="AH91" s="877"/>
      <c r="AI91" s="886"/>
      <c r="AJ91" s="877"/>
      <c r="AK91" s="879"/>
      <c r="AL91" s="877"/>
      <c r="AM91" s="886"/>
      <c r="AN91" s="877"/>
      <c r="AO91" s="879"/>
      <c r="AP91" s="877"/>
      <c r="AQ91" s="886"/>
      <c r="AR91" s="877"/>
      <c r="AS91" s="879"/>
      <c r="AT91" s="877"/>
      <c r="AU91" s="886"/>
      <c r="AV91" s="877"/>
      <c r="AW91" s="879"/>
      <c r="AX91" s="877"/>
      <c r="AY91" s="886"/>
      <c r="AZ91" s="877"/>
      <c r="BA91" s="879"/>
      <c r="BB91" s="886"/>
    </row>
    <row r="92" spans="1:402">
      <c r="A92" s="68"/>
      <c r="B92" s="54"/>
      <c r="C92" s="55" t="s">
        <v>320</v>
      </c>
      <c r="D92" s="928">
        <f>SUM(H92:K92)</f>
        <v>7.516190033320924E-3</v>
      </c>
      <c r="E92" s="877">
        <f>SUM(G92:K92,N92:O92)</f>
        <v>9.4017758089313102E-3</v>
      </c>
      <c r="F92" s="878">
        <f>SUM(Q92:S92)/(1-'Common input data'!B$146)</f>
        <v>9.6118455775830586E-3</v>
      </c>
      <c r="G92" s="877">
        <f>'Input data dairy products'!$D$14*G12*'Common input data'!D$55</f>
        <v>1.8847700061268445E-3</v>
      </c>
      <c r="H92" s="877">
        <f>'Input data dairy products'!$D$14*H12*'Common input data'!D$55</f>
        <v>4.7639388908237712E-3</v>
      </c>
      <c r="I92" s="877">
        <f>'Input data dairy products'!$D$14*I12*'Common input data'!D$55</f>
        <v>2.5641968712712621E-3</v>
      </c>
      <c r="J92" s="877">
        <f>'Input data dairy products'!$D$14*J12*'Common input data'!D$55</f>
        <v>1.880542712258903E-4</v>
      </c>
      <c r="K92" s="877">
        <f>'Input data dairy products'!$D$14*K12*'Common input data'!D$55</f>
        <v>0</v>
      </c>
      <c r="L92" s="877">
        <f>'Input data dairy products'!$D$14*L12*'Common input data'!D$55</f>
        <v>0</v>
      </c>
      <c r="M92" s="877">
        <f>'Input data dairy products'!$D$14*M12*'Common input data'!D$55</f>
        <v>0</v>
      </c>
      <c r="N92" s="877">
        <f>'Input data dairy products'!$D$14*N12*'Common input data'!D$55</f>
        <v>0</v>
      </c>
      <c r="O92" s="877">
        <f>'Input data dairy products'!$D$14*O12*'Common input data'!D$55</f>
        <v>8.1576948354127526E-7</v>
      </c>
      <c r="P92" s="877">
        <v>0</v>
      </c>
      <c r="Q92" s="877">
        <f>SUM(G92:P92)</f>
        <v>9.4017758089313102E-3</v>
      </c>
      <c r="R92" s="1187">
        <v>0</v>
      </c>
      <c r="S92" s="877">
        <v>0</v>
      </c>
      <c r="T92" s="18"/>
      <c r="U92" s="879"/>
      <c r="V92" s="877"/>
      <c r="W92" s="886"/>
      <c r="X92" s="877"/>
      <c r="Y92" s="879"/>
      <c r="Z92" s="877"/>
      <c r="AA92" s="886"/>
      <c r="AB92" s="877"/>
      <c r="AC92" s="879"/>
      <c r="AD92" s="877"/>
      <c r="AE92" s="886"/>
      <c r="AF92" s="877"/>
      <c r="AG92" s="879"/>
      <c r="AH92" s="877"/>
      <c r="AI92" s="886"/>
      <c r="AJ92" s="877"/>
      <c r="AK92" s="879"/>
      <c r="AL92" s="877"/>
      <c r="AM92" s="886"/>
      <c r="AN92" s="877"/>
      <c r="AO92" s="879"/>
      <c r="AP92" s="877"/>
      <c r="AQ92" s="886"/>
      <c r="AR92" s="877"/>
      <c r="AS92" s="879"/>
      <c r="AT92" s="877"/>
      <c r="AU92" s="886"/>
      <c r="AV92" s="877"/>
      <c r="AW92" s="879"/>
      <c r="AX92" s="877"/>
      <c r="AY92" s="886"/>
      <c r="AZ92" s="877"/>
      <c r="BA92" s="879"/>
      <c r="BB92" s="886"/>
    </row>
    <row r="93" spans="1:402" s="12" customFormat="1">
      <c r="A93" s="108" t="s">
        <v>148</v>
      </c>
      <c r="B93" s="390">
        <f>'Input data dairy products'!C15</f>
        <v>0.11</v>
      </c>
      <c r="C93" s="355" t="s">
        <v>316</v>
      </c>
      <c r="D93" s="930">
        <f>SUMPRODUCT($BH$6:$BH$9,D94:D97)</f>
        <v>7.1604785824323365</v>
      </c>
      <c r="E93" s="872">
        <f>SUMPRODUCT($BH$6:$BH$9,E94:E97)</f>
        <v>10.814101013590747</v>
      </c>
      <c r="F93" s="873">
        <f>SUMPRODUCT($BH$6:$BH$9,F94:F97)</f>
        <v>11.912451208487605</v>
      </c>
      <c r="G93" s="884"/>
      <c r="H93" s="884"/>
      <c r="I93" s="884"/>
      <c r="J93" s="884"/>
      <c r="K93" s="884"/>
      <c r="L93" s="884"/>
      <c r="M93" s="884"/>
      <c r="N93" s="884"/>
      <c r="O93" s="884"/>
      <c r="P93" s="884"/>
      <c r="Q93" s="884"/>
      <c r="R93" s="884"/>
      <c r="S93" s="884"/>
      <c r="T93" s="18"/>
      <c r="U93" s="1220">
        <f>U$19*'Input data dairy products'!$D15*'Common input data'!$D$55</f>
        <v>21.853133291919214</v>
      </c>
      <c r="V93" s="877">
        <f>U93+U93*'Common input data'!$B$146</f>
        <v>22.33074007595409</v>
      </c>
      <c r="W93" s="886">
        <f>V93+V93*'Common input data'!$B$181</f>
        <v>23.893891881270875</v>
      </c>
      <c r="X93" s="877"/>
      <c r="Y93" s="1220">
        <f>Y$19*'Input data dairy products'!$D15*'Common input data'!$D$55</f>
        <v>24.087749369314171</v>
      </c>
      <c r="Z93" s="877">
        <f>Y93+Y93*'Common input data'!$B$146</f>
        <v>24.614194358105337</v>
      </c>
      <c r="AA93" s="886">
        <f>Z93+Z93*'Common input data'!$B$181</f>
        <v>26.33718796317271</v>
      </c>
      <c r="AB93" s="877"/>
      <c r="AC93" s="1220">
        <f>AC$19*'Input data dairy products'!$D15*'Common input data'!$D$55</f>
        <v>0.51228638383047143</v>
      </c>
      <c r="AD93" s="877">
        <f>AC93+AC93*'Common input data'!$B$146</f>
        <v>0.52348255643500141</v>
      </c>
      <c r="AE93" s="886">
        <f>AD93+AD93*'Common input data'!$B$181</f>
        <v>0.56012633538545153</v>
      </c>
      <c r="AF93" s="877"/>
      <c r="AG93" s="1220">
        <f>AG$19*'Input data dairy products'!$D15*'Common input data'!$D$55</f>
        <v>1.7049374475611067E-2</v>
      </c>
      <c r="AH93" s="877">
        <f>AG93+AG93*'Common input data'!$B$146</f>
        <v>1.7421993669587885E-2</v>
      </c>
      <c r="AI93" s="886">
        <f>AH93+AH93*'Common input data'!$B$181</f>
        <v>1.8641533226459037E-2</v>
      </c>
      <c r="AJ93" s="877"/>
      <c r="AK93" s="1220">
        <f>AK$19*'Input data dairy products'!$D15*'Common input data'!$D$55</f>
        <v>4.934755378638532E-2</v>
      </c>
      <c r="AL93" s="877">
        <f>AK93+AK93*'Common input data'!$B$146</f>
        <v>5.0426059378652896E-2</v>
      </c>
      <c r="AM93" s="886">
        <f>AL93+AL93*'Common input data'!$B$181</f>
        <v>5.3955883535158601E-2</v>
      </c>
      <c r="AN93" s="877"/>
      <c r="AO93" s="1220">
        <f>(AO$19*'Input data dairy products'!$D15*'Common input data'!$D$55)/$AP$2</f>
        <v>6.2469428249681529E-10</v>
      </c>
      <c r="AP93" s="877">
        <f>AO93+AO93*'Common input data'!$B$146</f>
        <v>6.3834716344906785E-10</v>
      </c>
      <c r="AQ93" s="886">
        <f>AP93+AP93*'Common input data'!$B$181</f>
        <v>6.8303146489050257E-10</v>
      </c>
      <c r="AR93" s="877"/>
      <c r="AS93" s="1220">
        <f>AS$19*'Input data dairy products'!$D15*'Common input data'!$D$55</f>
        <v>1.085923523916019E-3</v>
      </c>
      <c r="AT93" s="877">
        <f>AS93+AS93*'Common input data'!$B$146</f>
        <v>1.1096567083082604E-3</v>
      </c>
      <c r="AU93" s="886">
        <f>AT93+AT93*'Common input data'!$B$181</f>
        <v>1.1873326778898386E-3</v>
      </c>
      <c r="AV93" s="877"/>
      <c r="AW93" s="1220">
        <f>AW$19*'Input data dairy products'!$D15*'Common input data'!$D$55</f>
        <v>4.2567447836336321E-2</v>
      </c>
      <c r="AX93" s="877">
        <f>AW93+AW93*'Common input data'!$B$146</f>
        <v>4.3497772179033792E-2</v>
      </c>
      <c r="AY93" s="886">
        <f>AX93+AX93*'Common input data'!$B$181</f>
        <v>4.6542616231566157E-2</v>
      </c>
      <c r="AZ93" s="877"/>
      <c r="BA93" s="879">
        <f>('Common input data'!B209+'Common input data'!C209)+('Common input data'!B209+'Common input data'!C209)*'Common input data'!$B$146</f>
        <v>0.68566490629999988</v>
      </c>
      <c r="BB93" s="886">
        <f>BA93+BA93*'Common input data'!$B$181</f>
        <v>0.73366144974099989</v>
      </c>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row>
    <row r="94" spans="1:402" s="12" customFormat="1">
      <c r="A94" s="18"/>
      <c r="B94"/>
      <c r="C94" s="174" t="s">
        <v>317</v>
      </c>
      <c r="D94" s="928">
        <f>IF(AND($F$2="No",$F$3="No"),SUM(H94:K94),IF(AND($F$2="Yes", $F$3="No"), SUM(H94:K94)+M94, IF(AND($F$2="No", $F$3="Yes"),SUM(H94:K94)+L94, SUM(H94:K94)+M94+L94)))</f>
        <v>-0.20284281719547043</v>
      </c>
      <c r="E94" s="877">
        <f>IF(AND($F$2="No",$F$3="No"),SUM(G94:K94,N94:O94),IF(AND($F$2="Yes",$F$3="No"), SUM(G94:K94,N94:O94)+M94, IF(AND($F$2="No", $F$3="Yes"),SUM(G94:K94,N94:O94)+L94, SUM(G94:K94,N94:O94)+M94+L94)))</f>
        <v>2.8744921986431637</v>
      </c>
      <c r="F94" s="878">
        <f>SUM(Q94:S94)/(1-'Common input data'!B$146)</f>
        <v>3.7954427383220115</v>
      </c>
      <c r="G94" s="877">
        <f>'Input data dairy products'!$D$15*G14*'Common input data'!D$55</f>
        <v>1.8631918360168871</v>
      </c>
      <c r="H94" s="877">
        <f>'Input data dairy products'!$D$15*H14*'Common input data'!D$55</f>
        <v>0</v>
      </c>
      <c r="I94" s="877">
        <f>'Input data dairy products'!$D$15*I14*'Common input data'!D$55</f>
        <v>0</v>
      </c>
      <c r="J94" s="877">
        <f>'Input data dairy products'!$D$15*J14*'Common input data'!D$55</f>
        <v>0</v>
      </c>
      <c r="K94" s="877">
        <f>'Input data dairy products'!$D$15*K14*'Common input data'!D$55</f>
        <v>0</v>
      </c>
      <c r="L94" s="877">
        <f>'Input data dairy products'!$D$15*L14*'Common input data'!D$55</f>
        <v>-0.39021889915221847</v>
      </c>
      <c r="M94" s="877">
        <f>'Input data dairy products'!$D$15*M14*'Common input data'!D$55</f>
        <v>0.18737608195674804</v>
      </c>
      <c r="N94" s="877">
        <f>'Input data dairy products'!$D$15*N14*'Common input data'!D$55</f>
        <v>1.0573981404101715</v>
      </c>
      <c r="O94" s="877">
        <f>'Input data dairy products'!$D$15*O14*'Common input data'!D$55</f>
        <v>0.15674503941157508</v>
      </c>
      <c r="P94" s="877">
        <f>'Input data dairy products'!F$30*'Common input data'!D$55</f>
        <v>0.65799999999999992</v>
      </c>
      <c r="Q94" s="1185">
        <f>IF(AND($F$2="No",$F$3="No"),SUM(G94:K94,N94:P94),IF(AND($F$2="Yes",$F$3="No"), SUM(G94:K94,N94:P94)+M94, IF(AND($F$2="No", $F$3="Yes"),SUM(G94:K94,N94:P94)+L94, SUM(G94:K94,N94:P94)+M94+L94)))</f>
        <v>3.5324921986431637</v>
      </c>
      <c r="R94" s="877">
        <f>'Common input data'!B$108</f>
        <v>0.05</v>
      </c>
      <c r="S94" s="877">
        <f>'Common input data'!B$116+'Common input data'!C$116</f>
        <v>0.13</v>
      </c>
      <c r="T94" s="18"/>
      <c r="U94" s="879"/>
      <c r="V94" s="877"/>
      <c r="W94" s="886"/>
      <c r="X94" s="877"/>
      <c r="Y94" s="879"/>
      <c r="Z94" s="877"/>
      <c r="AA94" s="886"/>
      <c r="AB94" s="877"/>
      <c r="AC94" s="879"/>
      <c r="AD94" s="877"/>
      <c r="AE94" s="886"/>
      <c r="AF94" s="877"/>
      <c r="AG94" s="879"/>
      <c r="AH94" s="877"/>
      <c r="AI94" s="886"/>
      <c r="AJ94" s="877"/>
      <c r="AK94" s="879"/>
      <c r="AL94" s="877"/>
      <c r="AM94" s="886"/>
      <c r="AN94" s="877"/>
      <c r="AO94" s="879"/>
      <c r="AP94" s="877"/>
      <c r="AQ94" s="886"/>
      <c r="AR94" s="877"/>
      <c r="AS94" s="879"/>
      <c r="AT94" s="877"/>
      <c r="AU94" s="886"/>
      <c r="AV94" s="877"/>
      <c r="AW94" s="879"/>
      <c r="AX94" s="877"/>
      <c r="AY94" s="886"/>
      <c r="AZ94" s="877"/>
      <c r="BA94" s="879"/>
      <c r="BB94" s="886"/>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row>
    <row r="95" spans="1:402">
      <c r="A95" s="68"/>
      <c r="B95" s="50"/>
      <c r="C95" s="174" t="s">
        <v>318</v>
      </c>
      <c r="D95" s="928">
        <f>SUM(H95:K95)</f>
        <v>0.19671857483448871</v>
      </c>
      <c r="E95" s="877">
        <f>SUM(G95:K95,N95:O95)</f>
        <v>0.19671857483448871</v>
      </c>
      <c r="F95" s="878">
        <f>SUM(Q95:S95)/(1-'Common input data'!B$146)</f>
        <v>0.20111398122843038</v>
      </c>
      <c r="G95" s="877">
        <v>0</v>
      </c>
      <c r="H95" s="877">
        <f>'Input data dairy products'!$D$15*H16*'Common input data'!D$55</f>
        <v>0</v>
      </c>
      <c r="I95" s="877">
        <f>'Input data dairy products'!$D$15*I15*'Common input data'!D$55</f>
        <v>1.1793948235181265E-2</v>
      </c>
      <c r="J95" s="877">
        <f>'Input data dairy products'!$D$15*J15*'Common input data'!D$55</f>
        <v>0</v>
      </c>
      <c r="K95" s="877">
        <f>'Input data dairy products'!$D$15*K15*'Common input data'!D$55</f>
        <v>0.18492462659930745</v>
      </c>
      <c r="L95" s="877">
        <f>'Input data dairy products'!$D$15*L15*'Common input data'!D$55</f>
        <v>0</v>
      </c>
      <c r="M95" s="877">
        <f>'Input data dairy products'!$D$15*M15*'Common input data'!D$55</f>
        <v>0</v>
      </c>
      <c r="N95" s="877">
        <f>'Input data dairy products'!$D$15*N15*'Common input data'!D$55</f>
        <v>0</v>
      </c>
      <c r="O95" s="877">
        <v>0</v>
      </c>
      <c r="P95" s="877">
        <v>0</v>
      </c>
      <c r="Q95" s="877">
        <f>SUM(G95:P95)</f>
        <v>0.19671857483448871</v>
      </c>
      <c r="R95" s="877">
        <v>0</v>
      </c>
      <c r="S95" s="877">
        <v>0</v>
      </c>
      <c r="T95" s="18"/>
      <c r="U95" s="879"/>
      <c r="V95" s="877"/>
      <c r="W95" s="886"/>
      <c r="X95" s="877"/>
      <c r="Y95" s="879"/>
      <c r="Z95" s="877"/>
      <c r="AA95" s="886"/>
      <c r="AB95" s="877"/>
      <c r="AC95" s="879"/>
      <c r="AD95" s="877"/>
      <c r="AE95" s="886"/>
      <c r="AF95" s="877"/>
      <c r="AG95" s="879"/>
      <c r="AH95" s="877"/>
      <c r="AI95" s="886"/>
      <c r="AJ95" s="877"/>
      <c r="AK95" s="879"/>
      <c r="AL95" s="877"/>
      <c r="AM95" s="886"/>
      <c r="AN95" s="877"/>
      <c r="AO95" s="879"/>
      <c r="AP95" s="877"/>
      <c r="AQ95" s="886"/>
      <c r="AR95" s="877"/>
      <c r="AS95" s="879"/>
      <c r="AT95" s="877"/>
      <c r="AU95" s="886"/>
      <c r="AV95" s="877"/>
      <c r="AW95" s="879"/>
      <c r="AX95" s="877"/>
      <c r="AY95" s="886"/>
      <c r="AZ95" s="877"/>
      <c r="BA95" s="879"/>
      <c r="BB95" s="886"/>
    </row>
    <row r="96" spans="1:402">
      <c r="A96" s="68"/>
      <c r="B96" s="50"/>
      <c r="C96" s="174" t="s">
        <v>319</v>
      </c>
      <c r="D96" s="928">
        <f>SUM(H96:K96)</f>
        <v>0</v>
      </c>
      <c r="E96" s="877">
        <f>SUM(G96:K96,N96:O96)</f>
        <v>2.0349817684139032E-3</v>
      </c>
      <c r="F96" s="878">
        <f>SUM(Q96:S96)/(1-'Common input data'!B$146)</f>
        <v>2.0804506413150351E-3</v>
      </c>
      <c r="G96" s="877">
        <f>'Input data dairy products'!$D$15*G16*'Common input data'!D$55</f>
        <v>1.9916512618552949E-3</v>
      </c>
      <c r="H96" s="877">
        <v>0</v>
      </c>
      <c r="I96" s="877">
        <v>0</v>
      </c>
      <c r="J96" s="877">
        <v>0</v>
      </c>
      <c r="K96" s="877">
        <v>0</v>
      </c>
      <c r="L96" s="877">
        <v>0</v>
      </c>
      <c r="M96" s="877">
        <v>0</v>
      </c>
      <c r="N96" s="877">
        <v>0</v>
      </c>
      <c r="O96" s="877">
        <f>'Input data dairy products'!$D$15*O16*'Common input data'!D$55</f>
        <v>4.333050655860815E-5</v>
      </c>
      <c r="P96" s="877">
        <v>0</v>
      </c>
      <c r="Q96" s="877">
        <f>SUM(G96:P96)</f>
        <v>2.0349817684139032E-3</v>
      </c>
      <c r="R96" s="877">
        <v>0</v>
      </c>
      <c r="S96" s="877">
        <v>0</v>
      </c>
      <c r="T96" s="18"/>
      <c r="U96" s="879"/>
      <c r="V96" s="877"/>
      <c r="W96" s="886"/>
      <c r="X96" s="877"/>
      <c r="Y96" s="879"/>
      <c r="Z96" s="877"/>
      <c r="AA96" s="886"/>
      <c r="AB96" s="877"/>
      <c r="AC96" s="879"/>
      <c r="AD96" s="877"/>
      <c r="AE96" s="886"/>
      <c r="AF96" s="877"/>
      <c r="AG96" s="879"/>
      <c r="AH96" s="877"/>
      <c r="AI96" s="886"/>
      <c r="AJ96" s="877"/>
      <c r="AK96" s="879"/>
      <c r="AL96" s="877"/>
      <c r="AM96" s="886"/>
      <c r="AN96" s="877"/>
      <c r="AO96" s="879"/>
      <c r="AP96" s="877"/>
      <c r="AQ96" s="886"/>
      <c r="AR96" s="877"/>
      <c r="AS96" s="879"/>
      <c r="AT96" s="877"/>
      <c r="AU96" s="886"/>
      <c r="AV96" s="877"/>
      <c r="AW96" s="879"/>
      <c r="AX96" s="877"/>
      <c r="AY96" s="886"/>
      <c r="AZ96" s="877"/>
      <c r="BA96" s="879"/>
      <c r="BB96" s="886"/>
    </row>
    <row r="97" spans="1:402">
      <c r="A97" s="359"/>
      <c r="B97" s="54"/>
      <c r="C97" s="55" t="s">
        <v>320</v>
      </c>
      <c r="D97" s="928">
        <f>SUM(H97:K97)</f>
        <v>7.516190033320924E-3</v>
      </c>
      <c r="E97" s="877">
        <f>SUM(G97:K97,N97:O97)</f>
        <v>9.4049994055591772E-3</v>
      </c>
      <c r="F97" s="878">
        <f>SUM(Q97:S97)/(1-'Common input data'!B$146)</f>
        <v>9.6151412010504946E-3</v>
      </c>
      <c r="G97" s="877">
        <f>'Input data dairy products'!$D$15*G17*'Common input data'!D$55</f>
        <v>1.8847700061268445E-3</v>
      </c>
      <c r="H97" s="877">
        <f>'Input data dairy products'!$D$15*H17*'Common input data'!D$55</f>
        <v>4.7639388908237712E-3</v>
      </c>
      <c r="I97" s="877">
        <f>'Input data dairy products'!$D$15*I17*'Common input data'!D$55</f>
        <v>2.5641968712712621E-3</v>
      </c>
      <c r="J97" s="877">
        <f>'Input data dairy products'!$D$15*J17*'Common input data'!D$55</f>
        <v>1.880542712258903E-4</v>
      </c>
      <c r="K97" s="877">
        <f>'Input data dairy products'!$D$15*K17*'Common input data'!D$55</f>
        <v>0</v>
      </c>
      <c r="L97" s="877">
        <f>'Input data dairy products'!$D$15*L17*'Common input data'!D$55</f>
        <v>0</v>
      </c>
      <c r="M97" s="877">
        <f>'Input data dairy products'!$D$15*M17*'Common input data'!D$55</f>
        <v>0</v>
      </c>
      <c r="N97" s="877">
        <f>'Input data dairy products'!$D$15*N17*'Common input data'!D$55</f>
        <v>0</v>
      </c>
      <c r="O97" s="877">
        <f>'Input data dairy products'!$D$15*O17*'Common input data'!D$55</f>
        <v>4.0393661114080262E-6</v>
      </c>
      <c r="P97" s="877">
        <v>0</v>
      </c>
      <c r="Q97" s="877">
        <f>SUM(G97:P97)</f>
        <v>9.4049994055591772E-3</v>
      </c>
      <c r="R97" s="877">
        <v>0</v>
      </c>
      <c r="S97" s="877">
        <v>0</v>
      </c>
      <c r="T97" s="18"/>
      <c r="U97" s="879"/>
      <c r="V97" s="877"/>
      <c r="W97" s="886"/>
      <c r="X97" s="877"/>
      <c r="Y97" s="879"/>
      <c r="Z97" s="877"/>
      <c r="AA97" s="886"/>
      <c r="AB97" s="877"/>
      <c r="AC97" s="879"/>
      <c r="AD97" s="877"/>
      <c r="AE97" s="886"/>
      <c r="AF97" s="877"/>
      <c r="AG97" s="879"/>
      <c r="AH97" s="877"/>
      <c r="AI97" s="886"/>
      <c r="AJ97" s="877"/>
      <c r="AK97" s="879"/>
      <c r="AL97" s="877"/>
      <c r="AM97" s="886"/>
      <c r="AN97" s="877"/>
      <c r="AO97" s="879"/>
      <c r="AP97" s="877"/>
      <c r="AQ97" s="886"/>
      <c r="AR97" s="877"/>
      <c r="AS97" s="879"/>
      <c r="AT97" s="877"/>
      <c r="AU97" s="886"/>
      <c r="AV97" s="877"/>
      <c r="AW97" s="879"/>
      <c r="AX97" s="877"/>
      <c r="AY97" s="886"/>
      <c r="AZ97" s="877"/>
      <c r="BA97" s="879"/>
      <c r="BB97" s="886"/>
    </row>
    <row r="98" spans="1:402" s="12" customFormat="1">
      <c r="A98" s="108" t="s">
        <v>125</v>
      </c>
      <c r="B98" s="390">
        <f>'Input data dairy products'!C16</f>
        <v>0.21799999999999986</v>
      </c>
      <c r="C98" s="355" t="s">
        <v>316</v>
      </c>
      <c r="D98" s="930">
        <f>SUMPRODUCT($BH$6:$BH$9,D99:D102)</f>
        <v>7.1604785824323365</v>
      </c>
      <c r="E98" s="872">
        <f>SUMPRODUCT($BH$6:$BH$9,E99:E102)</f>
        <v>10.814101013590747</v>
      </c>
      <c r="F98" s="873">
        <f>SUMPRODUCT($BH$6:$BH$9,F99:F102)</f>
        <v>12.014685571153988</v>
      </c>
      <c r="G98" s="884"/>
      <c r="H98" s="884"/>
      <c r="I98" s="884"/>
      <c r="J98" s="884"/>
      <c r="K98" s="884"/>
      <c r="L98" s="884"/>
      <c r="M98" s="884"/>
      <c r="N98" s="884"/>
      <c r="O98" s="884"/>
      <c r="P98" s="884"/>
      <c r="Q98" s="884"/>
      <c r="R98" s="884"/>
      <c r="S98" s="884"/>
      <c r="T98" s="18"/>
      <c r="U98" s="1220">
        <f>U$19*'Input data dairy products'!$D16*'Common input data'!$D$55</f>
        <v>21.853133291919214</v>
      </c>
      <c r="V98" s="877">
        <f>U98+U98*'Common input data'!$B$146</f>
        <v>22.33074007595409</v>
      </c>
      <c r="W98" s="886">
        <f>V98+V98*'Common input data'!$B$181</f>
        <v>23.893891881270875</v>
      </c>
      <c r="X98" s="877"/>
      <c r="Y98" s="1220">
        <f>Y$19*'Input data dairy products'!$D16*'Common input data'!$D$55</f>
        <v>24.087749369314171</v>
      </c>
      <c r="Z98" s="877">
        <f>Y98+Y98*'Common input data'!$B$146</f>
        <v>24.614194358105337</v>
      </c>
      <c r="AA98" s="886">
        <f>Z98+Z98*'Common input data'!$B$181</f>
        <v>26.33718796317271</v>
      </c>
      <c r="AB98" s="877"/>
      <c r="AC98" s="1220">
        <f>AC$19*'Input data dairy products'!$D16*'Common input data'!$D$55</f>
        <v>0.51228638383047143</v>
      </c>
      <c r="AD98" s="877">
        <f>AC98+AC98*'Common input data'!$B$146</f>
        <v>0.52348255643500141</v>
      </c>
      <c r="AE98" s="886">
        <f>AD98+AD98*'Common input data'!$B$181</f>
        <v>0.56012633538545153</v>
      </c>
      <c r="AF98" s="877"/>
      <c r="AG98" s="1220">
        <f>AG$19*'Input data dairy products'!$D16*'Common input data'!$D$55</f>
        <v>1.7049374475611067E-2</v>
      </c>
      <c r="AH98" s="877">
        <f>AG98+AG98*'Common input data'!$B$146</f>
        <v>1.7421993669587885E-2</v>
      </c>
      <c r="AI98" s="886">
        <f>AH98+AH98*'Common input data'!$B$181</f>
        <v>1.8641533226459037E-2</v>
      </c>
      <c r="AJ98" s="877"/>
      <c r="AK98" s="1220">
        <f>AK$19*'Input data dairy products'!$D16*'Common input data'!$D$55</f>
        <v>4.934755378638532E-2</v>
      </c>
      <c r="AL98" s="877">
        <f>AK98+AK98*'Common input data'!$B$146</f>
        <v>5.0426059378652896E-2</v>
      </c>
      <c r="AM98" s="886">
        <f>AL98+AL98*'Common input data'!$B$181</f>
        <v>5.3955883535158601E-2</v>
      </c>
      <c r="AN98" s="877"/>
      <c r="AO98" s="1220">
        <f>(AO$19*'Input data dairy products'!$D16*'Common input data'!$D$55)/$AP$2</f>
        <v>6.2469428249681529E-10</v>
      </c>
      <c r="AP98" s="877">
        <f>AO98+AO98*'Common input data'!$B$146</f>
        <v>6.3834716344906785E-10</v>
      </c>
      <c r="AQ98" s="886">
        <f>AP98+AP98*'Common input data'!$B$181</f>
        <v>6.8303146489050257E-10</v>
      </c>
      <c r="AR98" s="877"/>
      <c r="AS98" s="1220">
        <f>AS$19*'Input data dairy products'!$D16*'Common input data'!$D$55</f>
        <v>1.085923523916019E-3</v>
      </c>
      <c r="AT98" s="877">
        <f>AS98+AS98*'Common input data'!$B$146</f>
        <v>1.1096567083082604E-3</v>
      </c>
      <c r="AU98" s="886">
        <f>AT98+AT98*'Common input data'!$B$181</f>
        <v>1.1873326778898386E-3</v>
      </c>
      <c r="AV98" s="877"/>
      <c r="AW98" s="1220">
        <f>AW$19*'Input data dairy products'!$D16*'Common input data'!$D$55</f>
        <v>4.2567447836336321E-2</v>
      </c>
      <c r="AX98" s="877">
        <f>AW98+AW98*'Common input data'!$B$146</f>
        <v>4.3497772179033792E-2</v>
      </c>
      <c r="AY98" s="886">
        <f>AX98+AX98*'Common input data'!$B$181</f>
        <v>4.6542616231566157E-2</v>
      </c>
      <c r="AZ98" s="877"/>
      <c r="BA98" s="879">
        <f>('Common input data'!B214+'Common input data'!C214)+('Common input data'!B214+'Common input data'!C214)*'Common input data'!$B$146</f>
        <v>0.97093284421666648</v>
      </c>
      <c r="BB98" s="886">
        <f>BA98+BA98*'Common input data'!$B$181</f>
        <v>1.0388981433118332</v>
      </c>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row>
    <row r="99" spans="1:402" s="12" customFormat="1">
      <c r="A99" s="18"/>
      <c r="B99"/>
      <c r="C99" s="174" t="s">
        <v>317</v>
      </c>
      <c r="D99" s="928">
        <f>IF(AND($F$2="No",$F$3="No"),SUM(H99:K99),IF(AND($F$2="Yes", $F$3="No"), SUM(H99:K99)+M99, IF(AND($F$2="No", $F$3="Yes"),SUM(H99:K99)+L99, SUM(H99:K99)+M99+L99)))</f>
        <v>-0.20284281719547043</v>
      </c>
      <c r="E99" s="877">
        <f>IF(AND($F$2="No",$F$3="No"),SUM(G99:K99,N99:O99),IF(AND($F$2="Yes",$F$3="No"), SUM(G99:K99,N99:O99)+M99, IF(AND($F$2="No", $F$3="Yes"),SUM(G99:K99,N99:O99)+L99, SUM(G99:K99,N99:O99)+M99+L99)))</f>
        <v>2.8744921986431637</v>
      </c>
      <c r="F99" s="878">
        <f>SUM(Q99:S99)/(1-'Common input data'!B$146)</f>
        <v>3.8976771009883944</v>
      </c>
      <c r="G99" s="877">
        <f>'Input data dairy products'!$D$16*G14*'Common input data'!D$55</f>
        <v>1.8631918360168871</v>
      </c>
      <c r="H99" s="877">
        <f>'Input data dairy products'!$D$16*H14*'Common input data'!D$55</f>
        <v>0</v>
      </c>
      <c r="I99" s="877">
        <f>'Input data dairy products'!$D$16*I14*'Common input data'!D$55</f>
        <v>0</v>
      </c>
      <c r="J99" s="877">
        <f>'Input data dairy products'!$D$16*J14*'Common input data'!D$55</f>
        <v>0</v>
      </c>
      <c r="K99" s="877">
        <f>'Input data dairy products'!$D$16*K14*'Common input data'!D$55</f>
        <v>0</v>
      </c>
      <c r="L99" s="877">
        <f>'Input data dairy products'!$D$16*L14*'Common input data'!D$55</f>
        <v>-0.39021889915221847</v>
      </c>
      <c r="M99" s="877">
        <f>'Input data dairy products'!$D$16*M14*'Common input data'!D$55</f>
        <v>0.18737608195674804</v>
      </c>
      <c r="N99" s="877">
        <f>'Input data dairy products'!$D$16*N14*'Common input data'!D$55</f>
        <v>1.0573981404101715</v>
      </c>
      <c r="O99" s="877">
        <f>'Input data dairy products'!$D$16*O14*'Common input data'!D$55</f>
        <v>0.15674503941157508</v>
      </c>
      <c r="P99" s="877">
        <f>'Input data dairy products'!F$30*'Common input data'!D$55</f>
        <v>0.65799999999999992</v>
      </c>
      <c r="Q99" s="1185">
        <f>IF(AND($F$2="No",$F$3="No"),SUM(G99:K99,N99:P99),IF(AND($F$2="Yes",$F$3="No"), SUM(G99:K99,N99:P99)+M99, IF(AND($F$2="No", $F$3="Yes"),SUM(G99:K99,N99:P99)+L99, SUM(G99:K99,N99:P99)+M99+L99)))</f>
        <v>3.5324921986431637</v>
      </c>
      <c r="R99" s="877">
        <f>'Common input data'!B$108</f>
        <v>0.05</v>
      </c>
      <c r="S99" s="877">
        <f>'Common input data'!B$119+'Common input data'!C$119</f>
        <v>0.23000000000000004</v>
      </c>
      <c r="T99" s="18"/>
      <c r="U99" s="879"/>
      <c r="V99" s="877"/>
      <c r="W99" s="886"/>
      <c r="X99" s="877"/>
      <c r="Y99" s="879"/>
      <c r="Z99" s="877"/>
      <c r="AA99" s="886"/>
      <c r="AB99" s="877"/>
      <c r="AC99" s="879"/>
      <c r="AD99" s="877"/>
      <c r="AE99" s="886"/>
      <c r="AF99" s="877"/>
      <c r="AG99" s="879"/>
      <c r="AH99" s="877"/>
      <c r="AI99" s="886"/>
      <c r="AJ99" s="877"/>
      <c r="AK99" s="879"/>
      <c r="AL99" s="877"/>
      <c r="AM99" s="886"/>
      <c r="AN99" s="877"/>
      <c r="AO99" s="879"/>
      <c r="AP99" s="877"/>
      <c r="AQ99" s="886"/>
      <c r="AR99" s="877"/>
      <c r="AS99" s="879"/>
      <c r="AT99" s="877"/>
      <c r="AU99" s="886"/>
      <c r="AV99" s="877"/>
      <c r="AW99" s="879"/>
      <c r="AX99" s="877"/>
      <c r="AY99" s="886"/>
      <c r="AZ99" s="877"/>
      <c r="BA99" s="879"/>
      <c r="BB99" s="886"/>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row>
    <row r="100" spans="1:402">
      <c r="A100" s="68"/>
      <c r="B100" s="55"/>
      <c r="C100" s="174" t="s">
        <v>318</v>
      </c>
      <c r="D100" s="928">
        <f>SUM(H100:K100)</f>
        <v>0.19671857483448871</v>
      </c>
      <c r="E100" s="877">
        <f>SUM(G100:K100,N100:O100)</f>
        <v>0.19671857483448871</v>
      </c>
      <c r="F100" s="878">
        <f>SUM(Q100:S100)/(1-'Common input data'!B$146)</f>
        <v>0.20111398122843038</v>
      </c>
      <c r="G100" s="877">
        <v>0</v>
      </c>
      <c r="H100" s="877">
        <f>'Input data dairy products'!$D$16*H16*'Common input data'!D$55</f>
        <v>0</v>
      </c>
      <c r="I100" s="877">
        <f>'Input data dairy products'!$D$16*I15*'Common input data'!D$55</f>
        <v>1.1793948235181265E-2</v>
      </c>
      <c r="J100" s="877">
        <f>'Input data dairy products'!$D$16*J15*'Common input data'!D$55</f>
        <v>0</v>
      </c>
      <c r="K100" s="877">
        <f>'Input data dairy products'!$D$16*K15*'Common input data'!D$55</f>
        <v>0.18492462659930745</v>
      </c>
      <c r="L100" s="877">
        <f>'Input data dairy products'!$D$16*L15*'Common input data'!D$55</f>
        <v>0</v>
      </c>
      <c r="M100" s="877">
        <f>'Input data dairy products'!$D$16*M15*'Common input data'!D$55</f>
        <v>0</v>
      </c>
      <c r="N100" s="877">
        <f>'Input data dairy products'!$D$16*N15*'Common input data'!D$55</f>
        <v>0</v>
      </c>
      <c r="O100" s="877">
        <v>0</v>
      </c>
      <c r="P100" s="877">
        <v>0</v>
      </c>
      <c r="Q100" s="877">
        <f>SUM(G100:P100)</f>
        <v>0.19671857483448871</v>
      </c>
      <c r="R100" s="877">
        <v>0</v>
      </c>
      <c r="S100" s="877">
        <v>0</v>
      </c>
      <c r="T100" s="18"/>
      <c r="U100" s="879"/>
      <c r="V100" s="877"/>
      <c r="W100" s="886"/>
      <c r="X100" s="877"/>
      <c r="Y100" s="879"/>
      <c r="Z100" s="877"/>
      <c r="AA100" s="886"/>
      <c r="AB100" s="877"/>
      <c r="AC100" s="879"/>
      <c r="AD100" s="877"/>
      <c r="AE100" s="886"/>
      <c r="AF100" s="877"/>
      <c r="AG100" s="879"/>
      <c r="AH100" s="877"/>
      <c r="AI100" s="886"/>
      <c r="AJ100" s="877"/>
      <c r="AK100" s="879"/>
      <c r="AL100" s="877"/>
      <c r="AM100" s="886"/>
      <c r="AN100" s="877"/>
      <c r="AO100" s="879"/>
      <c r="AP100" s="877"/>
      <c r="AQ100" s="886"/>
      <c r="AR100" s="877"/>
      <c r="AS100" s="879"/>
      <c r="AT100" s="877"/>
      <c r="AU100" s="886"/>
      <c r="AV100" s="877"/>
      <c r="AW100" s="879"/>
      <c r="AX100" s="877"/>
      <c r="AY100" s="886"/>
      <c r="AZ100" s="877"/>
      <c r="BA100" s="879"/>
      <c r="BB100" s="886"/>
    </row>
    <row r="101" spans="1:402">
      <c r="A101" s="68"/>
      <c r="B101" s="55"/>
      <c r="C101" s="174" t="s">
        <v>319</v>
      </c>
      <c r="D101" s="928">
        <f>SUM(H101:K101)</f>
        <v>0</v>
      </c>
      <c r="E101" s="877">
        <f>SUM(G101:K101,N101:O101)</f>
        <v>2.0349817684139032E-3</v>
      </c>
      <c r="F101" s="878">
        <f>SUM(Q101:S101)/(1-'Common input data'!B$146)</f>
        <v>2.0804506413150351E-3</v>
      </c>
      <c r="G101" s="877">
        <f>'Input data dairy products'!$D$16*G16*'Common input data'!D$55</f>
        <v>1.9916512618552949E-3</v>
      </c>
      <c r="H101" s="877">
        <v>0</v>
      </c>
      <c r="I101" s="877">
        <v>0</v>
      </c>
      <c r="J101" s="877">
        <v>0</v>
      </c>
      <c r="K101" s="877">
        <v>0</v>
      </c>
      <c r="L101" s="877">
        <v>0</v>
      </c>
      <c r="M101" s="877">
        <v>0</v>
      </c>
      <c r="N101" s="877">
        <v>0</v>
      </c>
      <c r="O101" s="877">
        <f>'Input data dairy products'!$D$16*O16*'Common input data'!D$55</f>
        <v>4.333050655860815E-5</v>
      </c>
      <c r="P101" s="877">
        <v>0</v>
      </c>
      <c r="Q101" s="877">
        <f>SUM(G101:P101)</f>
        <v>2.0349817684139032E-3</v>
      </c>
      <c r="R101" s="877">
        <v>0</v>
      </c>
      <c r="S101" s="877">
        <v>0</v>
      </c>
      <c r="T101" s="18"/>
      <c r="U101" s="879"/>
      <c r="V101" s="877"/>
      <c r="W101" s="886"/>
      <c r="X101" s="877"/>
      <c r="Y101" s="879"/>
      <c r="Z101" s="877"/>
      <c r="AA101" s="886"/>
      <c r="AB101" s="877"/>
      <c r="AC101" s="879"/>
      <c r="AD101" s="877"/>
      <c r="AE101" s="886"/>
      <c r="AF101" s="877"/>
      <c r="AG101" s="879"/>
      <c r="AH101" s="877"/>
      <c r="AI101" s="886"/>
      <c r="AJ101" s="877"/>
      <c r="AK101" s="879"/>
      <c r="AL101" s="877"/>
      <c r="AM101" s="886"/>
      <c r="AN101" s="877"/>
      <c r="AO101" s="879"/>
      <c r="AP101" s="877"/>
      <c r="AQ101" s="886"/>
      <c r="AR101" s="877"/>
      <c r="AS101" s="879"/>
      <c r="AT101" s="877"/>
      <c r="AU101" s="886"/>
      <c r="AV101" s="877"/>
      <c r="AW101" s="879"/>
      <c r="AX101" s="877"/>
      <c r="AY101" s="886"/>
      <c r="AZ101" s="877"/>
      <c r="BA101" s="879"/>
      <c r="BB101" s="886"/>
    </row>
    <row r="102" spans="1:402">
      <c r="A102" s="68"/>
      <c r="B102" s="54"/>
      <c r="C102" s="55" t="s">
        <v>320</v>
      </c>
      <c r="D102" s="932">
        <f>SUM(H102:K102)</f>
        <v>7.516190033320924E-3</v>
      </c>
      <c r="E102" s="896">
        <f>SUM(G102:K102,N102:O102)</f>
        <v>9.4049994055591772E-3</v>
      </c>
      <c r="F102" s="933">
        <f>SUM(Q102:S102)/(1-'Common input data'!B$146)</f>
        <v>9.6151412010504946E-3</v>
      </c>
      <c r="G102" s="877">
        <f>'Input data dairy products'!$D$16*G17*'Common input data'!D$55</f>
        <v>1.8847700061268445E-3</v>
      </c>
      <c r="H102" s="877">
        <f>'Input data dairy products'!$D$16*H17*'Common input data'!D$55</f>
        <v>4.7639388908237712E-3</v>
      </c>
      <c r="I102" s="877">
        <f>'Input data dairy products'!$D$16*I17*'Common input data'!D$55</f>
        <v>2.5641968712712621E-3</v>
      </c>
      <c r="J102" s="877">
        <f>'Input data dairy products'!$D$16*J17*'Common input data'!D$55</f>
        <v>1.880542712258903E-4</v>
      </c>
      <c r="K102" s="877">
        <f>'Input data dairy products'!$D$16*K17*'Common input data'!D$55</f>
        <v>0</v>
      </c>
      <c r="L102" s="877">
        <f>'Input data dairy products'!$D$16*L17*'Common input data'!D$55</f>
        <v>0</v>
      </c>
      <c r="M102" s="877">
        <f>'Input data dairy products'!$D$16*M17*'Common input data'!D$55</f>
        <v>0</v>
      </c>
      <c r="N102" s="877">
        <f>'Input data dairy products'!$D$16*N17*'Common input data'!D$55</f>
        <v>0</v>
      </c>
      <c r="O102" s="877">
        <f>'Input data dairy products'!$D$16*O17*'Common input data'!D$55</f>
        <v>4.0393661114080262E-6</v>
      </c>
      <c r="P102" s="877">
        <v>0</v>
      </c>
      <c r="Q102" s="877">
        <f>SUM(G102:P102)</f>
        <v>9.4049994055591772E-3</v>
      </c>
      <c r="R102" s="1187">
        <v>0</v>
      </c>
      <c r="S102" s="877">
        <v>0</v>
      </c>
      <c r="T102" s="18"/>
      <c r="U102" s="879"/>
      <c r="V102" s="877"/>
      <c r="W102" s="886"/>
      <c r="X102" s="877"/>
      <c r="Y102" s="879"/>
      <c r="Z102" s="877"/>
      <c r="AA102" s="886"/>
      <c r="AB102" s="877"/>
      <c r="AC102" s="879"/>
      <c r="AD102" s="877"/>
      <c r="AE102" s="886"/>
      <c r="AF102" s="877"/>
      <c r="AG102" s="879"/>
      <c r="AH102" s="877"/>
      <c r="AI102" s="886"/>
      <c r="AJ102" s="877"/>
      <c r="AK102" s="879"/>
      <c r="AL102" s="877"/>
      <c r="AM102" s="886"/>
      <c r="AN102" s="877"/>
      <c r="AO102" s="879"/>
      <c r="AP102" s="877"/>
      <c r="AQ102" s="886"/>
      <c r="AR102" s="877"/>
      <c r="AS102" s="879"/>
      <c r="AT102" s="877"/>
      <c r="AU102" s="886"/>
      <c r="AV102" s="877"/>
      <c r="AW102" s="879"/>
      <c r="AX102" s="877"/>
      <c r="AY102" s="886"/>
      <c r="AZ102" s="877"/>
      <c r="BA102" s="879"/>
      <c r="BB102" s="886"/>
    </row>
    <row r="103" spans="1:402" s="368" customFormat="1">
      <c r="A103" s="362" t="s">
        <v>378</v>
      </c>
      <c r="B103" s="353"/>
      <c r="C103" s="364"/>
      <c r="D103" s="1182" t="s">
        <v>379</v>
      </c>
      <c r="E103" s="1183" t="s">
        <v>379</v>
      </c>
      <c r="F103" s="1184" t="s">
        <v>379</v>
      </c>
      <c r="G103" s="889"/>
      <c r="H103" s="889"/>
      <c r="I103" s="889"/>
      <c r="J103" s="889"/>
      <c r="K103" s="889"/>
      <c r="L103" s="889"/>
      <c r="M103" s="889"/>
      <c r="N103" s="889"/>
      <c r="O103" s="889"/>
      <c r="P103" s="889"/>
      <c r="Q103" s="889"/>
      <c r="R103" s="1188"/>
      <c r="S103" s="889"/>
      <c r="T103" s="18"/>
      <c r="U103" s="883">
        <f>U109*$B$109+U114*$B$114+U119*$B$119+U124*$B$124</f>
        <v>14.20453663974749</v>
      </c>
      <c r="V103" s="884">
        <f t="shared" ref="V103:BB103" si="26">V109*$B$109+V114*$B$114+V119*$B$119+V124*$B$124</f>
        <v>14.514981049370158</v>
      </c>
      <c r="W103" s="885">
        <f t="shared" si="26"/>
        <v>15.531029722826071</v>
      </c>
      <c r="X103" s="877"/>
      <c r="Y103" s="883">
        <f t="shared" si="26"/>
        <v>15.65703709005421</v>
      </c>
      <c r="Z103" s="884">
        <f t="shared" si="26"/>
        <v>15.999226332768469</v>
      </c>
      <c r="AA103" s="885">
        <f t="shared" si="26"/>
        <v>17.119172176062261</v>
      </c>
      <c r="AB103" s="877"/>
      <c r="AC103" s="883">
        <f t="shared" si="26"/>
        <v>0.33298614948980632</v>
      </c>
      <c r="AD103" s="884">
        <f t="shared" si="26"/>
        <v>0.34026366168275085</v>
      </c>
      <c r="AE103" s="885">
        <f t="shared" si="26"/>
        <v>0.36408211800054341</v>
      </c>
      <c r="AF103" s="877"/>
      <c r="AG103" s="883">
        <f t="shared" si="26"/>
        <v>1.1082093409147195E-2</v>
      </c>
      <c r="AH103" s="884">
        <f t="shared" si="26"/>
        <v>1.1324295885232127E-2</v>
      </c>
      <c r="AI103" s="885">
        <f t="shared" si="26"/>
        <v>1.2116996597198375E-2</v>
      </c>
      <c r="AJ103" s="877"/>
      <c r="AK103" s="883">
        <f t="shared" si="26"/>
        <v>3.2075909961150458E-2</v>
      </c>
      <c r="AL103" s="884">
        <f t="shared" si="26"/>
        <v>3.2776938596124384E-2</v>
      </c>
      <c r="AM103" s="885">
        <f t="shared" si="26"/>
        <v>3.507132429785309E-2</v>
      </c>
      <c r="AN103" s="877"/>
      <c r="AO103" s="883">
        <f t="shared" si="26"/>
        <v>4.0605128362292993E-10</v>
      </c>
      <c r="AP103" s="884">
        <f t="shared" si="26"/>
        <v>4.1492565624189409E-10</v>
      </c>
      <c r="AQ103" s="885">
        <f t="shared" si="26"/>
        <v>4.4397045217882667E-10</v>
      </c>
      <c r="AR103" s="877"/>
      <c r="AS103" s="883">
        <f t="shared" si="26"/>
        <v>7.0585029054541233E-4</v>
      </c>
      <c r="AT103" s="884">
        <f t="shared" si="26"/>
        <v>7.212768604003693E-4</v>
      </c>
      <c r="AU103" s="885">
        <f t="shared" si="26"/>
        <v>7.7176624062839504E-4</v>
      </c>
      <c r="AV103" s="877"/>
      <c r="AW103" s="883">
        <f t="shared" si="26"/>
        <v>2.7668841093618605E-2</v>
      </c>
      <c r="AX103" s="884">
        <f t="shared" si="26"/>
        <v>2.8273551916371965E-2</v>
      </c>
      <c r="AY103" s="885">
        <f t="shared" si="26"/>
        <v>3.0252700550518003E-2</v>
      </c>
      <c r="AZ103" s="877"/>
      <c r="BA103" s="883">
        <f t="shared" si="26"/>
        <v>0.42155284740135313</v>
      </c>
      <c r="BB103" s="885">
        <f t="shared" si="26"/>
        <v>0.45106154671944787</v>
      </c>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row>
    <row r="104" spans="1:402" s="12" customFormat="1">
      <c r="A104" s="108" t="s">
        <v>315</v>
      </c>
      <c r="B104" s="390">
        <f>SUM(B109:B124)</f>
        <v>1</v>
      </c>
      <c r="C104" s="355" t="s">
        <v>316</v>
      </c>
      <c r="D104" s="930">
        <f>SUMPRODUCT($BH$6:$BH$9,D105:D108)</f>
        <v>4.6543110785810189</v>
      </c>
      <c r="E104" s="872">
        <f>SUMPRODUCT($BH$6:$BH$9,E105:E108)</f>
        <v>6.566130185376104</v>
      </c>
      <c r="F104" s="873">
        <f>SUMPRODUCT($BH$6:$BH$9,F105:F108)</f>
        <v>7.2730120455348803</v>
      </c>
      <c r="G104" s="1178"/>
      <c r="H104" s="884"/>
      <c r="I104" s="884"/>
      <c r="J104" s="884"/>
      <c r="K104" s="884"/>
      <c r="L104" s="884"/>
      <c r="M104" s="884"/>
      <c r="N104" s="884"/>
      <c r="O104" s="884"/>
      <c r="P104" s="1178"/>
      <c r="Q104" s="1178"/>
      <c r="R104" s="872"/>
      <c r="S104" s="872"/>
      <c r="T104" s="18"/>
      <c r="U104" s="879"/>
      <c r="V104" s="877"/>
      <c r="W104" s="886"/>
      <c r="X104" s="877"/>
      <c r="Y104" s="879"/>
      <c r="Z104" s="877"/>
      <c r="AA104" s="886"/>
      <c r="AB104" s="877"/>
      <c r="AC104" s="879"/>
      <c r="AD104" s="877"/>
      <c r="AE104" s="886"/>
      <c r="AF104" s="877"/>
      <c r="AG104" s="879"/>
      <c r="AH104" s="877"/>
      <c r="AI104" s="886"/>
      <c r="AJ104" s="877"/>
      <c r="AK104" s="879"/>
      <c r="AL104" s="877"/>
      <c r="AM104" s="886"/>
      <c r="AN104" s="877"/>
      <c r="AO104" s="879"/>
      <c r="AP104" s="877"/>
      <c r="AQ104" s="886"/>
      <c r="AR104" s="877"/>
      <c r="AS104" s="879"/>
      <c r="AT104" s="877"/>
      <c r="AU104" s="886"/>
      <c r="AV104" s="877"/>
      <c r="AW104" s="879"/>
      <c r="AX104" s="877"/>
      <c r="AY104" s="886"/>
      <c r="AZ104" s="877"/>
      <c r="BA104" s="879"/>
      <c r="BB104" s="886"/>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row>
    <row r="105" spans="1:402" s="12" customFormat="1">
      <c r="A105" s="18"/>
      <c r="B105"/>
      <c r="C105" s="174" t="s">
        <v>317</v>
      </c>
      <c r="D105" s="928">
        <f t="shared" ref="D105:S105" si="27">$B$109*D110+$B$114*D115+$B$119*D120+$B$124*D125</f>
        <v>-0.13184783117705581</v>
      </c>
      <c r="E105" s="877">
        <f t="shared" si="27"/>
        <v>1.4451864548072757</v>
      </c>
      <c r="F105" s="878">
        <f t="shared" si="27"/>
        <v>2.037647860083764</v>
      </c>
      <c r="G105" s="877">
        <f t="shared" si="27"/>
        <v>1.2110746934109764</v>
      </c>
      <c r="H105" s="877">
        <f t="shared" si="27"/>
        <v>0</v>
      </c>
      <c r="I105" s="877">
        <f t="shared" si="27"/>
        <v>0</v>
      </c>
      <c r="J105" s="877">
        <f t="shared" si="27"/>
        <v>0</v>
      </c>
      <c r="K105" s="877">
        <f t="shared" si="27"/>
        <v>0</v>
      </c>
      <c r="L105" s="877">
        <f t="shared" si="27"/>
        <v>-0.25364228444894205</v>
      </c>
      <c r="M105" s="877">
        <f t="shared" si="27"/>
        <v>0.12179445327188623</v>
      </c>
      <c r="N105" s="877">
        <f t="shared" si="27"/>
        <v>0.31871446389802383</v>
      </c>
      <c r="O105" s="877">
        <f t="shared" si="27"/>
        <v>4.7245128675331469E-2</v>
      </c>
      <c r="P105" s="877">
        <f t="shared" si="27"/>
        <v>0.40532799999999991</v>
      </c>
      <c r="Q105" s="877">
        <f t="shared" si="27"/>
        <v>1.8505144548072758</v>
      </c>
      <c r="R105" s="877">
        <f t="shared" si="27"/>
        <v>4.9999999999999996E-2</v>
      </c>
      <c r="S105" s="877">
        <f t="shared" si="27"/>
        <v>9.2599999999999988E-2</v>
      </c>
      <c r="T105" s="18"/>
      <c r="U105" s="879"/>
      <c r="V105" s="877"/>
      <c r="W105" s="886"/>
      <c r="X105" s="877"/>
      <c r="Y105" s="879"/>
      <c r="Z105" s="877"/>
      <c r="AA105" s="886"/>
      <c r="AB105" s="877"/>
      <c r="AC105" s="879"/>
      <c r="AD105" s="877"/>
      <c r="AE105" s="886"/>
      <c r="AF105" s="877"/>
      <c r="AG105" s="879"/>
      <c r="AH105" s="877"/>
      <c r="AI105" s="886"/>
      <c r="AJ105" s="877"/>
      <c r="AK105" s="879"/>
      <c r="AL105" s="877"/>
      <c r="AM105" s="886"/>
      <c r="AN105" s="877"/>
      <c r="AO105" s="879"/>
      <c r="AP105" s="877"/>
      <c r="AQ105" s="886"/>
      <c r="AR105" s="877"/>
      <c r="AS105" s="879"/>
      <c r="AT105" s="877"/>
      <c r="AU105" s="886"/>
      <c r="AV105" s="877"/>
      <c r="AW105" s="879"/>
      <c r="AX105" s="877"/>
      <c r="AY105" s="886"/>
      <c r="AZ105" s="877"/>
      <c r="BA105" s="879"/>
      <c r="BB105" s="886"/>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row>
    <row r="106" spans="1:402">
      <c r="A106" s="195"/>
      <c r="B106" s="50"/>
      <c r="C106" s="174" t="s">
        <v>318</v>
      </c>
      <c r="D106" s="928">
        <f t="shared" ref="D106:S106" si="28">$B$109*D111+$B$114*D116+$B$119*D121+$B$124*D126</f>
        <v>0.12786707364241767</v>
      </c>
      <c r="E106" s="877">
        <f t="shared" si="28"/>
        <v>0.12786707364241767</v>
      </c>
      <c r="F106" s="878">
        <f t="shared" si="28"/>
        <v>0.13072408779847977</v>
      </c>
      <c r="G106" s="877">
        <f t="shared" si="28"/>
        <v>0</v>
      </c>
      <c r="H106" s="877">
        <f t="shared" si="28"/>
        <v>0</v>
      </c>
      <c r="I106" s="877">
        <f t="shared" si="28"/>
        <v>7.6660663528678227E-3</v>
      </c>
      <c r="J106" s="877">
        <f t="shared" si="28"/>
        <v>0</v>
      </c>
      <c r="K106" s="877">
        <f t="shared" si="28"/>
        <v>0.12020100728954985</v>
      </c>
      <c r="L106" s="877">
        <f t="shared" si="28"/>
        <v>0</v>
      </c>
      <c r="M106" s="877">
        <f t="shared" si="28"/>
        <v>0</v>
      </c>
      <c r="N106" s="877">
        <f t="shared" si="28"/>
        <v>0</v>
      </c>
      <c r="O106" s="877">
        <f t="shared" si="28"/>
        <v>0</v>
      </c>
      <c r="P106" s="877">
        <f t="shared" si="28"/>
        <v>0</v>
      </c>
      <c r="Q106" s="877">
        <f t="shared" si="28"/>
        <v>0.12786707364241767</v>
      </c>
      <c r="R106" s="877">
        <f t="shared" si="28"/>
        <v>0</v>
      </c>
      <c r="S106" s="877">
        <f t="shared" si="28"/>
        <v>0</v>
      </c>
      <c r="T106" s="18"/>
      <c r="U106" s="1220"/>
      <c r="V106" s="877"/>
      <c r="W106" s="886"/>
      <c r="X106" s="877"/>
      <c r="Y106" s="1220"/>
      <c r="Z106" s="877"/>
      <c r="AA106" s="886"/>
      <c r="AB106" s="877"/>
      <c r="AC106" s="1220"/>
      <c r="AD106" s="877"/>
      <c r="AE106" s="886"/>
      <c r="AF106" s="877"/>
      <c r="AG106" s="1220"/>
      <c r="AH106" s="877"/>
      <c r="AI106" s="886"/>
      <c r="AJ106" s="877"/>
      <c r="AK106" s="1220"/>
      <c r="AL106" s="877"/>
      <c r="AM106" s="886"/>
      <c r="AN106" s="877"/>
      <c r="AO106" s="1220"/>
      <c r="AP106" s="877"/>
      <c r="AQ106" s="886"/>
      <c r="AR106" s="877"/>
      <c r="AS106" s="1220"/>
      <c r="AT106" s="877"/>
      <c r="AU106" s="886"/>
      <c r="AV106" s="877"/>
      <c r="AW106" s="1220"/>
      <c r="AX106" s="877"/>
      <c r="AY106" s="886"/>
      <c r="AZ106" s="877"/>
      <c r="BA106" s="879"/>
      <c r="BB106" s="886"/>
    </row>
    <row r="107" spans="1:402">
      <c r="A107" s="195"/>
      <c r="B107" s="50"/>
      <c r="C107" s="174" t="s">
        <v>319</v>
      </c>
      <c r="D107" s="928">
        <f t="shared" ref="D107:S107" si="29">$B$109*D112+$B$114*D117+$B$119*D122+$B$124*D127</f>
        <v>0</v>
      </c>
      <c r="E107" s="877">
        <f t="shared" si="29"/>
        <v>0</v>
      </c>
      <c r="F107" s="878">
        <f t="shared" si="29"/>
        <v>0</v>
      </c>
      <c r="G107" s="877">
        <f t="shared" si="29"/>
        <v>1.2945733202059419E-3</v>
      </c>
      <c r="H107" s="877">
        <f t="shared" si="29"/>
        <v>0</v>
      </c>
      <c r="I107" s="877">
        <f t="shared" si="29"/>
        <v>0</v>
      </c>
      <c r="J107" s="877">
        <f t="shared" si="29"/>
        <v>0</v>
      </c>
      <c r="K107" s="877">
        <f t="shared" si="29"/>
        <v>0</v>
      </c>
      <c r="L107" s="877">
        <f t="shared" si="29"/>
        <v>0</v>
      </c>
      <c r="M107" s="877">
        <f t="shared" si="29"/>
        <v>0</v>
      </c>
      <c r="N107" s="877">
        <f t="shared" si="29"/>
        <v>0</v>
      </c>
      <c r="O107" s="877">
        <f t="shared" si="29"/>
        <v>1.3060415599841691E-5</v>
      </c>
      <c r="P107" s="877">
        <f t="shared" si="29"/>
        <v>0</v>
      </c>
      <c r="Q107" s="877">
        <f t="shared" si="29"/>
        <v>1.3076337358057834E-3</v>
      </c>
      <c r="R107" s="877">
        <f t="shared" si="29"/>
        <v>0</v>
      </c>
      <c r="S107" s="877">
        <f t="shared" si="29"/>
        <v>0</v>
      </c>
      <c r="T107" s="18"/>
      <c r="U107" s="879"/>
      <c r="V107" s="877"/>
      <c r="W107" s="886"/>
      <c r="X107" s="877"/>
      <c r="Y107" s="879"/>
      <c r="Z107" s="877"/>
      <c r="AA107" s="886"/>
      <c r="AB107" s="877"/>
      <c r="AC107" s="879"/>
      <c r="AD107" s="877"/>
      <c r="AE107" s="886"/>
      <c r="AF107" s="877"/>
      <c r="AG107" s="879"/>
      <c r="AH107" s="877"/>
      <c r="AI107" s="886"/>
      <c r="AJ107" s="877"/>
      <c r="AK107" s="879"/>
      <c r="AL107" s="877"/>
      <c r="AM107" s="886"/>
      <c r="AN107" s="877"/>
      <c r="AO107" s="879"/>
      <c r="AP107" s="877"/>
      <c r="AQ107" s="886"/>
      <c r="AR107" s="877"/>
      <c r="AS107" s="879"/>
      <c r="AT107" s="877"/>
      <c r="AU107" s="886"/>
      <c r="AV107" s="877"/>
      <c r="AW107" s="879"/>
      <c r="AX107" s="877"/>
      <c r="AY107" s="886"/>
      <c r="AZ107" s="877"/>
      <c r="BA107" s="879"/>
      <c r="BB107" s="886"/>
    </row>
    <row r="108" spans="1:402">
      <c r="A108" s="195"/>
      <c r="B108" s="54"/>
      <c r="C108" s="55" t="s">
        <v>320</v>
      </c>
      <c r="D108" s="928">
        <f t="shared" ref="D108:S108" si="30">$B$109*D113+$B$114*D118+$B$119*D123+$B$124*D128</f>
        <v>4.8855235216586001E-3</v>
      </c>
      <c r="E108" s="877">
        <f t="shared" si="30"/>
        <v>6.1118415466064127E-3</v>
      </c>
      <c r="F108" s="878">
        <f t="shared" si="30"/>
        <v>6.2484022523522451E-3</v>
      </c>
      <c r="G108" s="877">
        <f t="shared" si="30"/>
        <v>1.2251005039824489E-3</v>
      </c>
      <c r="H108" s="877">
        <f t="shared" si="30"/>
        <v>3.0965602790354514E-3</v>
      </c>
      <c r="I108" s="877">
        <f t="shared" si="30"/>
        <v>1.6667279663263204E-3</v>
      </c>
      <c r="J108" s="877">
        <f t="shared" si="30"/>
        <v>1.222352762968287E-4</v>
      </c>
      <c r="K108" s="877">
        <f t="shared" si="30"/>
        <v>0</v>
      </c>
      <c r="L108" s="877">
        <f t="shared" si="30"/>
        <v>0</v>
      </c>
      <c r="M108" s="877">
        <f t="shared" si="30"/>
        <v>0</v>
      </c>
      <c r="N108" s="877">
        <f t="shared" si="30"/>
        <v>0</v>
      </c>
      <c r="O108" s="877">
        <f t="shared" si="30"/>
        <v>1.21752096536302E-6</v>
      </c>
      <c r="P108" s="877">
        <f t="shared" si="30"/>
        <v>0</v>
      </c>
      <c r="Q108" s="877">
        <f t="shared" si="30"/>
        <v>6.1118415466064127E-3</v>
      </c>
      <c r="R108" s="877">
        <f t="shared" si="30"/>
        <v>0</v>
      </c>
      <c r="S108" s="877">
        <f t="shared" si="30"/>
        <v>0</v>
      </c>
      <c r="T108" s="18"/>
      <c r="U108" s="879"/>
      <c r="V108" s="877"/>
      <c r="W108" s="886"/>
      <c r="X108" s="877"/>
      <c r="Y108" s="879"/>
      <c r="Z108" s="877"/>
      <c r="AA108" s="886"/>
      <c r="AB108" s="877"/>
      <c r="AC108" s="879"/>
      <c r="AD108" s="877"/>
      <c r="AE108" s="886"/>
      <c r="AF108" s="877"/>
      <c r="AG108" s="879"/>
      <c r="AH108" s="877"/>
      <c r="AI108" s="886"/>
      <c r="AJ108" s="877"/>
      <c r="AK108" s="879"/>
      <c r="AL108" s="877"/>
      <c r="AM108" s="886"/>
      <c r="AN108" s="877"/>
      <c r="AO108" s="879"/>
      <c r="AP108" s="877"/>
      <c r="AQ108" s="886"/>
      <c r="AR108" s="877"/>
      <c r="AS108" s="879"/>
      <c r="AT108" s="877"/>
      <c r="AU108" s="886"/>
      <c r="AV108" s="877"/>
      <c r="AW108" s="879"/>
      <c r="AX108" s="877"/>
      <c r="AY108" s="886"/>
      <c r="AZ108" s="877"/>
      <c r="BA108" s="879"/>
      <c r="BB108" s="886"/>
    </row>
    <row r="109" spans="1:402" s="12" customFormat="1">
      <c r="A109" s="108" t="s">
        <v>122</v>
      </c>
      <c r="B109" s="390">
        <f>'Input data dairy products'!C17</f>
        <v>0.51200000000000012</v>
      </c>
      <c r="C109" s="355" t="s">
        <v>316</v>
      </c>
      <c r="D109" s="930">
        <f>SUMPRODUCT($BH$6:$BH$9,D110:D113)</f>
        <v>4.6543110785810189</v>
      </c>
      <c r="E109" s="872">
        <f>SUMPRODUCT($BH$6:$BH$9,E110:E113)</f>
        <v>6.359364317033819</v>
      </c>
      <c r="F109" s="873">
        <f>SUMPRODUCT($BH$6:$BH$9,F110:F113)</f>
        <v>6.871543972005183</v>
      </c>
      <c r="G109" s="884"/>
      <c r="H109" s="884"/>
      <c r="I109" s="884"/>
      <c r="J109" s="884"/>
      <c r="K109" s="884"/>
      <c r="L109" s="884"/>
      <c r="M109" s="884"/>
      <c r="N109" s="884"/>
      <c r="O109" s="884"/>
      <c r="P109" s="884"/>
      <c r="Q109" s="884"/>
      <c r="R109" s="884"/>
      <c r="S109" s="884"/>
      <c r="T109" s="18"/>
      <c r="U109" s="1220">
        <f>U$19*'Input data dairy products'!$D17*'Common input data'!$D$55</f>
        <v>14.20453663974749</v>
      </c>
      <c r="V109" s="877">
        <f>U109+U109*'Common input data'!$B$146</f>
        <v>14.51498104937016</v>
      </c>
      <c r="W109" s="886">
        <f>V109+V109*'Common input data'!$B$181</f>
        <v>15.531029722826071</v>
      </c>
      <c r="X109" s="877"/>
      <c r="Y109" s="1220">
        <f>Y$19*'Input data dairy products'!$D17*'Common input data'!$D$55</f>
        <v>15.65703709005421</v>
      </c>
      <c r="Z109" s="877">
        <f>Y109+Y109*'Common input data'!$B$146</f>
        <v>15.999226332768469</v>
      </c>
      <c r="AA109" s="886">
        <f>Z109+Z109*'Common input data'!$B$181</f>
        <v>17.119172176062261</v>
      </c>
      <c r="AB109" s="877"/>
      <c r="AC109" s="1220">
        <f>AC$19*'Input data dairy products'!$D17*'Common input data'!$D$55</f>
        <v>0.33298614948980637</v>
      </c>
      <c r="AD109" s="877">
        <f>AC109+AC109*'Common input data'!$B$146</f>
        <v>0.34026366168275085</v>
      </c>
      <c r="AE109" s="886">
        <f>AD109+AD109*'Common input data'!$B$181</f>
        <v>0.36408211800054341</v>
      </c>
      <c r="AF109" s="877"/>
      <c r="AG109" s="1220">
        <f>AG$19*'Input data dairy products'!$D17*'Common input data'!$D$55</f>
        <v>1.1082093409147195E-2</v>
      </c>
      <c r="AH109" s="877">
        <f>AG109+AG109*'Common input data'!$B$146</f>
        <v>1.1324295885232127E-2</v>
      </c>
      <c r="AI109" s="886">
        <f>AH109+AH109*'Common input data'!$B$181</f>
        <v>1.2116996597198375E-2</v>
      </c>
      <c r="AJ109" s="877"/>
      <c r="AK109" s="1220">
        <f>AK$19*'Input data dairy products'!$D17*'Common input data'!$D$55</f>
        <v>3.2075909961150458E-2</v>
      </c>
      <c r="AL109" s="877">
        <f>AK109+AK109*'Common input data'!$B$146</f>
        <v>3.2776938596124384E-2</v>
      </c>
      <c r="AM109" s="886">
        <f>AL109+AL109*'Common input data'!$B$181</f>
        <v>3.507132429785309E-2</v>
      </c>
      <c r="AN109" s="877"/>
      <c r="AO109" s="1220">
        <f>(AO$19*'Input data dairy products'!$D17*'Common input data'!$D$55)/$AP$2</f>
        <v>4.0605128362292993E-10</v>
      </c>
      <c r="AP109" s="877">
        <f>AO109+AO109*'Common input data'!$B$146</f>
        <v>4.1492565624189409E-10</v>
      </c>
      <c r="AQ109" s="886">
        <f>AP109+AP109*'Common input data'!$B$181</f>
        <v>4.4397045217882667E-10</v>
      </c>
      <c r="AR109" s="877"/>
      <c r="AS109" s="1220">
        <f>AS$19*'Input data dairy products'!$D17*'Common input data'!$D$55</f>
        <v>7.0585029054541233E-4</v>
      </c>
      <c r="AT109" s="877">
        <f>AS109+AS109*'Common input data'!$B$146</f>
        <v>7.212768604003693E-4</v>
      </c>
      <c r="AU109" s="886">
        <f>AT109+AT109*'Common input data'!$B$181</f>
        <v>7.7176624062839515E-4</v>
      </c>
      <c r="AV109" s="877"/>
      <c r="AW109" s="1220">
        <f>AW$19*'Input data dairy products'!$D17*'Common input data'!$D$55</f>
        <v>2.7668841093618609E-2</v>
      </c>
      <c r="AX109" s="877">
        <f>AW109+AW109*'Common input data'!$B$146</f>
        <v>2.8273551916371965E-2</v>
      </c>
      <c r="AY109" s="886">
        <f>AX109+AX109*'Common input data'!$B$181</f>
        <v>3.0252700550518003E-2</v>
      </c>
      <c r="AZ109" s="877"/>
      <c r="BA109" s="879">
        <f>'Common input data'!C202+'Common input data'!C202*'Common input data'!$B$146</f>
        <v>0.14632967895999996</v>
      </c>
      <c r="BB109" s="886">
        <f>BA109+BA109*'Common input data'!$B$181</f>
        <v>0.15657275648719995</v>
      </c>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row>
    <row r="110" spans="1:402" s="12" customFormat="1">
      <c r="A110" s="18"/>
      <c r="B110"/>
      <c r="C110" s="174" t="s">
        <v>317</v>
      </c>
      <c r="D110" s="928">
        <f>IF(AND($F$2="No",$F$3="No"),SUM(H110:K110),IF(AND($F$2="Yes", $F$3="No"), SUM(H110:K110)+M110, IF(AND($F$2="No", $F$3="Yes"),SUM(H110:K110)+L110, SUM(H110:K110)+M110+L110)))</f>
        <v>-0.13184783117705581</v>
      </c>
      <c r="E110" s="877">
        <f>IF(AND($F$2="No",$F$3="No"),SUM(G110:K110,N110:O110),IF(AND($F$2="Yes",$F$3="No"), SUM(G110:K110,N110:O110)+M110, IF(AND($F$2="No", $F$3="Yes"),SUM(G110:K110,N110:O110)+L110, SUM(G110:K110,N110:O110)+M110+L110)))</f>
        <v>1.2386082113936809</v>
      </c>
      <c r="F110" s="878">
        <f>SUM(Q110:S110)/(1-'Common input data'!B$146)</f>
        <v>1.6363716037041152</v>
      </c>
      <c r="G110" s="877">
        <f>'Input data dairy products'!$D$17*G9*'Common input data'!D$55</f>
        <v>1.2110746934109764</v>
      </c>
      <c r="H110" s="877">
        <f>'Input data dairy products'!$D$17*H9*'Common input data'!D$55</f>
        <v>0</v>
      </c>
      <c r="I110" s="877">
        <f>'Input data dairy products'!$D$17*I9*'Common input data'!D$55</f>
        <v>0</v>
      </c>
      <c r="J110" s="877">
        <f>'Input data dairy products'!$D$17*J9*'Common input data'!D$55</f>
        <v>0</v>
      </c>
      <c r="K110" s="877">
        <f>'Input data dairy products'!$D$17*K9*'Common input data'!D$55</f>
        <v>0</v>
      </c>
      <c r="L110" s="877">
        <f>'Input data dairy products'!$D$17*L9*'Common input data'!D$55</f>
        <v>-0.25364228444894205</v>
      </c>
      <c r="M110" s="877">
        <f>'Input data dairy products'!$D$17*M9*'Common input data'!D$55</f>
        <v>0.12179445327188623</v>
      </c>
      <c r="N110" s="877">
        <f>'Input data dairy products'!$D$17*N9*'Common input data'!D$55</f>
        <v>0.13880532792049899</v>
      </c>
      <c r="O110" s="877">
        <f>'Input data dairy products'!$D$17*O9*'Common input data'!D$55</f>
        <v>2.057602123926142E-2</v>
      </c>
      <c r="P110" s="877">
        <f>'Input data dairy products'!G$29*'Common input data'!D$55</f>
        <v>0.28199999999999997</v>
      </c>
      <c r="Q110" s="1185">
        <f>IF(AND($F$2="No",$F$3="No"),SUM(G110:K110,N110:P110),IF(AND($F$2="Yes",$F$3="No"), SUM(G110:K110,N110:P110)+M110, IF(AND($F$2="No", $F$3="Yes"),SUM(G110:K110,N110:P110)+L110, SUM(G110:K110,N110:P110)+M110+L110)))</f>
        <v>1.520608211393681</v>
      </c>
      <c r="R110" s="877">
        <f>'Common input data'!B$108</f>
        <v>0.05</v>
      </c>
      <c r="S110" s="877">
        <f>'Common input data'!C$115</f>
        <v>0.03</v>
      </c>
      <c r="T110" s="18"/>
      <c r="U110" s="879"/>
      <c r="V110" s="877"/>
      <c r="W110" s="886"/>
      <c r="X110" s="877"/>
      <c r="Y110" s="879"/>
      <c r="Z110" s="877"/>
      <c r="AA110" s="886"/>
      <c r="AB110" s="877"/>
      <c r="AC110" s="879"/>
      <c r="AD110" s="877"/>
      <c r="AE110" s="886"/>
      <c r="AF110" s="877"/>
      <c r="AG110" s="879"/>
      <c r="AH110" s="877"/>
      <c r="AI110" s="886"/>
      <c r="AJ110" s="877"/>
      <c r="AK110" s="879"/>
      <c r="AL110" s="877"/>
      <c r="AM110" s="886"/>
      <c r="AN110" s="877"/>
      <c r="AO110" s="879"/>
      <c r="AP110" s="877"/>
      <c r="AQ110" s="886"/>
      <c r="AR110" s="877"/>
      <c r="AS110" s="879"/>
      <c r="AT110" s="877"/>
      <c r="AU110" s="886"/>
      <c r="AV110" s="877"/>
      <c r="AW110" s="879"/>
      <c r="AX110" s="877"/>
      <c r="AY110" s="886"/>
      <c r="AZ110" s="877"/>
      <c r="BA110" s="879"/>
      <c r="BB110" s="886"/>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row>
    <row r="111" spans="1:402">
      <c r="A111" s="68"/>
      <c r="B111" s="50"/>
      <c r="C111" s="174" t="s">
        <v>318</v>
      </c>
      <c r="D111" s="928">
        <f>SUM(H111:K111)</f>
        <v>0.12786707364241767</v>
      </c>
      <c r="E111" s="877">
        <f>SUM(G111:K111,N111:O111)</f>
        <v>0.12786707364241767</v>
      </c>
      <c r="F111" s="878">
        <f>SUM(Q111:S111)/(1-'Common input data'!B$146)</f>
        <v>0.13072408779847977</v>
      </c>
      <c r="G111" s="877">
        <v>0</v>
      </c>
      <c r="H111" s="877">
        <f>'Input data dairy products'!$D$17*H10*'Common input data'!D$55</f>
        <v>0</v>
      </c>
      <c r="I111" s="877">
        <f>'Input data dairy products'!$D$17*I10*'Common input data'!D$55</f>
        <v>7.6660663528678227E-3</v>
      </c>
      <c r="J111" s="877">
        <f>'Input data dairy products'!$D$17*J10*'Common input data'!D$55</f>
        <v>0</v>
      </c>
      <c r="K111" s="877">
        <f>'Input data dairy products'!$D$17*K10*'Common input data'!D$55</f>
        <v>0.12020100728954985</v>
      </c>
      <c r="L111" s="877">
        <f>'Input data dairy products'!$D$17*L10*'Common input data'!D$55</f>
        <v>0</v>
      </c>
      <c r="M111" s="877">
        <f>'Input data dairy products'!$D$17*M10*'Common input data'!D$55</f>
        <v>0</v>
      </c>
      <c r="N111" s="877">
        <f>'Input data dairy products'!$D$17*N10*'Common input data'!D$55</f>
        <v>0</v>
      </c>
      <c r="O111" s="877">
        <v>0</v>
      </c>
      <c r="P111" s="877">
        <v>0</v>
      </c>
      <c r="Q111" s="877">
        <f>SUM(G111:P111)</f>
        <v>0.12786707364241767</v>
      </c>
      <c r="R111" s="877">
        <v>0</v>
      </c>
      <c r="S111" s="877">
        <v>0</v>
      </c>
      <c r="T111" s="18"/>
      <c r="U111" s="1220"/>
      <c r="V111" s="877"/>
      <c r="W111" s="886"/>
      <c r="X111" s="877"/>
      <c r="Y111" s="1220"/>
      <c r="Z111" s="877"/>
      <c r="AA111" s="886"/>
      <c r="AB111" s="877"/>
      <c r="AC111" s="1220"/>
      <c r="AD111" s="877"/>
      <c r="AE111" s="886"/>
      <c r="AF111" s="877"/>
      <c r="AG111" s="1220"/>
      <c r="AH111" s="877"/>
      <c r="AI111" s="886"/>
      <c r="AJ111" s="877"/>
      <c r="AK111" s="1220"/>
      <c r="AL111" s="877"/>
      <c r="AM111" s="886"/>
      <c r="AN111" s="877"/>
      <c r="AO111" s="1220"/>
      <c r="AP111" s="877"/>
      <c r="AQ111" s="886"/>
      <c r="AR111" s="877"/>
      <c r="AS111" s="1220"/>
      <c r="AT111" s="877"/>
      <c r="AU111" s="886"/>
      <c r="AV111" s="877"/>
      <c r="AW111" s="1220"/>
      <c r="AX111" s="877"/>
      <c r="AY111" s="886"/>
      <c r="AZ111" s="877"/>
      <c r="BA111" s="879"/>
      <c r="BB111" s="886"/>
    </row>
    <row r="112" spans="1:402">
      <c r="A112" s="68"/>
      <c r="B112" s="50"/>
      <c r="C112" s="174" t="s">
        <v>319</v>
      </c>
      <c r="D112" s="928"/>
      <c r="E112" s="877"/>
      <c r="F112" s="878"/>
      <c r="G112" s="877">
        <f>'Input data dairy products'!$D$17*G11*'Common input data'!D$55</f>
        <v>1.2945733202059419E-3</v>
      </c>
      <c r="H112" s="877">
        <v>0</v>
      </c>
      <c r="I112" s="877">
        <v>0</v>
      </c>
      <c r="J112" s="877">
        <v>0</v>
      </c>
      <c r="K112" s="877">
        <v>0</v>
      </c>
      <c r="L112" s="877">
        <v>0</v>
      </c>
      <c r="M112" s="877">
        <v>0</v>
      </c>
      <c r="N112" s="877">
        <v>0</v>
      </c>
      <c r="O112" s="877">
        <f>'Input data dairy products'!$D$17*O11*'Common input data'!D$55</f>
        <v>5.6880232165869616E-6</v>
      </c>
      <c r="P112" s="877">
        <v>0</v>
      </c>
      <c r="Q112" s="877">
        <f>SUM(G112:P112)</f>
        <v>1.3002613434225287E-3</v>
      </c>
      <c r="R112" s="877">
        <v>0</v>
      </c>
      <c r="S112" s="877">
        <v>0</v>
      </c>
      <c r="T112" s="18"/>
      <c r="U112" s="879"/>
      <c r="V112" s="877"/>
      <c r="W112" s="886"/>
      <c r="X112" s="877"/>
      <c r="Y112" s="879"/>
      <c r="Z112" s="877"/>
      <c r="AA112" s="886"/>
      <c r="AB112" s="877"/>
      <c r="AC112" s="879"/>
      <c r="AD112" s="877"/>
      <c r="AE112" s="886"/>
      <c r="AF112" s="877"/>
      <c r="AG112" s="879"/>
      <c r="AH112" s="877"/>
      <c r="AI112" s="886"/>
      <c r="AJ112" s="877"/>
      <c r="AK112" s="879"/>
      <c r="AL112" s="877"/>
      <c r="AM112" s="886"/>
      <c r="AN112" s="877"/>
      <c r="AO112" s="879"/>
      <c r="AP112" s="877"/>
      <c r="AQ112" s="886"/>
      <c r="AR112" s="877"/>
      <c r="AS112" s="879"/>
      <c r="AT112" s="877"/>
      <c r="AU112" s="886"/>
      <c r="AV112" s="877"/>
      <c r="AW112" s="879"/>
      <c r="AX112" s="877"/>
      <c r="AY112" s="886"/>
      <c r="AZ112" s="877"/>
      <c r="BA112" s="879"/>
      <c r="BB112" s="886"/>
    </row>
    <row r="113" spans="1:402">
      <c r="A113" s="359"/>
      <c r="B113" s="54"/>
      <c r="C113" s="55" t="s">
        <v>320</v>
      </c>
      <c r="D113" s="928">
        <f>SUM(H113:K113)</f>
        <v>4.8855235216586001E-3</v>
      </c>
      <c r="E113" s="877">
        <f>SUM(G113:K113,N113:O113)</f>
        <v>6.1111542758053514E-3</v>
      </c>
      <c r="F113" s="878">
        <f>SUM(Q113:S113)/(1-'Common input data'!B$146)</f>
        <v>6.2476996254289879E-3</v>
      </c>
      <c r="G113" s="877">
        <f>'Input data dairy products'!$D$17*G12*'Common input data'!D$55</f>
        <v>1.2251005039824489E-3</v>
      </c>
      <c r="H113" s="877">
        <f>'Input data dairy products'!$D$17*H12*'Common input data'!D$55</f>
        <v>3.0965602790354514E-3</v>
      </c>
      <c r="I113" s="877">
        <f>'Input data dairy products'!$D$17*I12*'Common input data'!D$55</f>
        <v>1.6667279663263204E-3</v>
      </c>
      <c r="J113" s="877">
        <f>'Input data dairy products'!$D$17*J12*'Common input data'!D$55</f>
        <v>1.222352762968287E-4</v>
      </c>
      <c r="K113" s="877">
        <f>'Input data dairy products'!$D$17*K12*'Common input data'!D$55</f>
        <v>0</v>
      </c>
      <c r="L113" s="877">
        <f>'Input data dairy products'!$D$17*L12*'Common input data'!D$55</f>
        <v>0</v>
      </c>
      <c r="M113" s="877">
        <f>'Input data dairy products'!$D$17*M12*'Common input data'!D$55</f>
        <v>0</v>
      </c>
      <c r="N113" s="877">
        <f>'Input data dairy products'!$D$17*N12*'Common input data'!D$55</f>
        <v>0</v>
      </c>
      <c r="O113" s="877">
        <f>'Input data dairy products'!$D$17*O12*'Common input data'!D$55</f>
        <v>5.3025016430182895E-7</v>
      </c>
      <c r="P113" s="877">
        <v>0</v>
      </c>
      <c r="Q113" s="877">
        <f>SUM(G113:P113)</f>
        <v>6.1111542758053514E-3</v>
      </c>
      <c r="R113" s="877">
        <v>0</v>
      </c>
      <c r="S113" s="877">
        <v>0</v>
      </c>
      <c r="T113" s="18"/>
      <c r="U113" s="879"/>
      <c r="V113" s="877"/>
      <c r="W113" s="886"/>
      <c r="X113" s="877"/>
      <c r="Y113" s="879"/>
      <c r="Z113" s="877"/>
      <c r="AA113" s="886"/>
      <c r="AB113" s="877"/>
      <c r="AC113" s="879"/>
      <c r="AD113" s="877"/>
      <c r="AE113" s="886"/>
      <c r="AF113" s="877"/>
      <c r="AG113" s="879"/>
      <c r="AH113" s="877"/>
      <c r="AI113" s="886"/>
      <c r="AJ113" s="877"/>
      <c r="AK113" s="879"/>
      <c r="AL113" s="877"/>
      <c r="AM113" s="886"/>
      <c r="AN113" s="877"/>
      <c r="AO113" s="879"/>
      <c r="AP113" s="877"/>
      <c r="AQ113" s="886"/>
      <c r="AR113" s="877"/>
      <c r="AS113" s="879"/>
      <c r="AT113" s="877"/>
      <c r="AU113" s="886"/>
      <c r="AV113" s="877"/>
      <c r="AW113" s="879"/>
      <c r="AX113" s="877"/>
      <c r="AY113" s="886"/>
      <c r="AZ113" s="877"/>
      <c r="BA113" s="879"/>
      <c r="BB113" s="886"/>
    </row>
    <row r="114" spans="1:402" s="12" customFormat="1">
      <c r="A114" s="108" t="s">
        <v>176</v>
      </c>
      <c r="B114" s="390">
        <f>'Input data dairy products'!C18</f>
        <v>0.16</v>
      </c>
      <c r="C114" s="355" t="s">
        <v>316</v>
      </c>
      <c r="D114" s="930">
        <f>SUMPRODUCT($BH$6:$BH$9,D115:D118)</f>
        <v>4.6543110785810189</v>
      </c>
      <c r="E114" s="872">
        <f>SUMPRODUCT($BH$6:$BH$9,E115:E118)</f>
        <v>6.359364317033819</v>
      </c>
      <c r="F114" s="873">
        <f>SUMPRODUCT($BH$6:$BH$9,F115:F118)</f>
        <v>6.9226611533383737</v>
      </c>
      <c r="G114" s="884"/>
      <c r="H114" s="884"/>
      <c r="I114" s="884"/>
      <c r="J114" s="884"/>
      <c r="K114" s="884"/>
      <c r="L114" s="884"/>
      <c r="M114" s="884"/>
      <c r="N114" s="884"/>
      <c r="O114" s="884"/>
      <c r="P114" s="884"/>
      <c r="Q114" s="884"/>
      <c r="R114" s="884"/>
      <c r="S114" s="884"/>
      <c r="T114" s="18"/>
      <c r="U114" s="1220">
        <f>U$19*'Input data dairy products'!$D18*'Common input data'!$D$55</f>
        <v>14.20453663974749</v>
      </c>
      <c r="V114" s="877">
        <f>U114+U114*'Common input data'!$B$146</f>
        <v>14.51498104937016</v>
      </c>
      <c r="W114" s="886">
        <f>V114+V114*'Common input data'!$B$181</f>
        <v>15.531029722826071</v>
      </c>
      <c r="X114" s="877"/>
      <c r="Y114" s="1220">
        <f>Y$19*'Input data dairy products'!$D18*'Common input data'!$D$55</f>
        <v>15.65703709005421</v>
      </c>
      <c r="Z114" s="877">
        <f>Y114+Y114*'Common input data'!$B$146</f>
        <v>15.999226332768469</v>
      </c>
      <c r="AA114" s="886">
        <f>Z114+Z114*'Common input data'!$B$181</f>
        <v>17.119172176062261</v>
      </c>
      <c r="AB114" s="877"/>
      <c r="AC114" s="1220">
        <f>AC$19*'Input data dairy products'!$D18*'Common input data'!$D$55</f>
        <v>0.33298614948980637</v>
      </c>
      <c r="AD114" s="877">
        <f>AC114+AC114*'Common input data'!$B$146</f>
        <v>0.34026366168275085</v>
      </c>
      <c r="AE114" s="886">
        <f>AD114+AD114*'Common input data'!$B$181</f>
        <v>0.36408211800054341</v>
      </c>
      <c r="AF114" s="877"/>
      <c r="AG114" s="1220">
        <f>AG$19*'Input data dairy products'!$D18*'Common input data'!$D$55</f>
        <v>1.1082093409147195E-2</v>
      </c>
      <c r="AH114" s="877">
        <f>AG114+AG114*'Common input data'!$B$146</f>
        <v>1.1324295885232127E-2</v>
      </c>
      <c r="AI114" s="886">
        <f>AH114+AH114*'Common input data'!$B$181</f>
        <v>1.2116996597198375E-2</v>
      </c>
      <c r="AJ114" s="877"/>
      <c r="AK114" s="1220">
        <f>AK$19*'Input data dairy products'!$D18*'Common input data'!$D$55</f>
        <v>3.2075909961150458E-2</v>
      </c>
      <c r="AL114" s="877">
        <f>AK114+AK114*'Common input data'!$B$146</f>
        <v>3.2776938596124384E-2</v>
      </c>
      <c r="AM114" s="886">
        <f>AL114+AL114*'Common input data'!$B$181</f>
        <v>3.507132429785309E-2</v>
      </c>
      <c r="AN114" s="877"/>
      <c r="AO114" s="1220">
        <f>(AO$19*'Input data dairy products'!$D18*'Common input data'!$D$55)/$AP$2</f>
        <v>4.0605128362292993E-10</v>
      </c>
      <c r="AP114" s="877">
        <f>AO114+AO114*'Common input data'!$B$146</f>
        <v>4.1492565624189409E-10</v>
      </c>
      <c r="AQ114" s="886">
        <f>AP114+AP114*'Common input data'!$B$181</f>
        <v>4.4397045217882667E-10</v>
      </c>
      <c r="AR114" s="877"/>
      <c r="AS114" s="1220">
        <f>AS$19*'Input data dairy products'!$D18*'Common input data'!$D$55</f>
        <v>7.0585029054541233E-4</v>
      </c>
      <c r="AT114" s="877">
        <f>AS114+AS114*'Common input data'!$B$146</f>
        <v>7.212768604003693E-4</v>
      </c>
      <c r="AU114" s="886">
        <f>AT114+AT114*'Common input data'!$B$181</f>
        <v>7.7176624062839515E-4</v>
      </c>
      <c r="AV114" s="877"/>
      <c r="AW114" s="1220">
        <f>AW$19*'Input data dairy products'!$D18*'Common input data'!$D$55</f>
        <v>2.7668841093618609E-2</v>
      </c>
      <c r="AX114" s="877">
        <f>AW114+AW114*'Common input data'!$B$146</f>
        <v>2.8273551916371965E-2</v>
      </c>
      <c r="AY114" s="886">
        <f>AX114+AX114*'Common input data'!$B$181</f>
        <v>3.0252700550518003E-2</v>
      </c>
      <c r="AZ114" s="877"/>
      <c r="BA114" s="879">
        <f>('Common input data'!B204+'Common input data'!C204)+('Common input data'!B204+'Common input data'!C204)*'Common input data'!$B$146</f>
        <v>0.37215970025999989</v>
      </c>
      <c r="BB114" s="886">
        <f>BA114+BA114*'Common input data'!$B$181</f>
        <v>0.39821087927819987</v>
      </c>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row>
    <row r="115" spans="1:402" s="12" customFormat="1">
      <c r="A115" s="18"/>
      <c r="B115"/>
      <c r="C115" s="174" t="s">
        <v>317</v>
      </c>
      <c r="D115" s="928">
        <f>IF(AND($F$2="No",$F$3="No"),SUM(H115:K115),IF(AND($F$2="Yes", $F$3="No"), SUM(H115:K115)+M115, IF(AND($F$2="No", $F$3="Yes"),SUM(H115:K115)+L115, SUM(H115:K115)+M115+L115)))</f>
        <v>-0.13184783117705581</v>
      </c>
      <c r="E115" s="877">
        <f>IF(AND($F$2="No",$F$3="No"),SUM(G115:K115,N115:O115),IF(AND($F$2="Yes",$F$3="No"), SUM(G115:K115,N115:O115)+M115, IF(AND($F$2="No", $F$3="Yes"),SUM(G115:K115,N115:O115)+L115, SUM(G115:K115,N115:O115)+M115+L115)))</f>
        <v>1.2386082113936809</v>
      </c>
      <c r="F115" s="878">
        <f>SUM(Q115:S115)/(1-'Common input data'!B$146)</f>
        <v>1.6874887850373066</v>
      </c>
      <c r="G115" s="877">
        <f>'Input data dairy products'!$D$18*G9*'Common input data'!D$55</f>
        <v>1.2110746934109764</v>
      </c>
      <c r="H115" s="877">
        <f>'Input data dairy products'!$D$18*H9*'Common input data'!D$55</f>
        <v>0</v>
      </c>
      <c r="I115" s="877">
        <f>'Input data dairy products'!$D$18*I9*'Common input data'!D$55</f>
        <v>0</v>
      </c>
      <c r="J115" s="877">
        <f>'Input data dairy products'!$D$18*J9*'Common input data'!D$55</f>
        <v>0</v>
      </c>
      <c r="K115" s="877">
        <f>'Input data dairy products'!$D$18*K9*'Common input data'!D$55</f>
        <v>0</v>
      </c>
      <c r="L115" s="877">
        <f>'Input data dairy products'!$D$18*L9*'Common input data'!D$55</f>
        <v>-0.25364228444894205</v>
      </c>
      <c r="M115" s="877">
        <f>'Input data dairy products'!$D$18*M9*'Common input data'!D$55</f>
        <v>0.12179445327188623</v>
      </c>
      <c r="N115" s="877">
        <f>'Input data dairy products'!$D$18*N9*'Common input data'!D$55</f>
        <v>0.13880532792049899</v>
      </c>
      <c r="O115" s="877">
        <f>'Input data dairy products'!$D$18*O9*'Common input data'!D$55</f>
        <v>2.057602123926142E-2</v>
      </c>
      <c r="P115" s="877">
        <f>'Input data dairy products'!G$29*'Common input data'!D$55</f>
        <v>0.28199999999999997</v>
      </c>
      <c r="Q115" s="1185">
        <f>IF(AND($F$2="No",$F$3="No"),SUM(G115:K115,N115:P115),IF(AND($F$2="Yes",$F$3="No"), SUM(G115:K115,N115:P115)+M115, IF(AND($F$2="No", $F$3="Yes"),SUM(G115:K115,N115:P115)+L115, SUM(G115:K115,N115:P115)+M115+L115)))</f>
        <v>1.520608211393681</v>
      </c>
      <c r="R115" s="877">
        <f>'Common input data'!B$108</f>
        <v>0.05</v>
      </c>
      <c r="S115" s="877">
        <f>'Common input data'!B$115+'Common input data'!C$115</f>
        <v>0.08</v>
      </c>
      <c r="T115" s="18"/>
      <c r="U115" s="879"/>
      <c r="V115" s="877"/>
      <c r="W115" s="886"/>
      <c r="X115" s="877"/>
      <c r="Y115" s="879"/>
      <c r="Z115" s="877"/>
      <c r="AA115" s="886"/>
      <c r="AB115" s="877"/>
      <c r="AC115" s="879"/>
      <c r="AD115" s="877"/>
      <c r="AE115" s="886"/>
      <c r="AF115" s="877"/>
      <c r="AG115" s="879"/>
      <c r="AH115" s="877"/>
      <c r="AI115" s="886"/>
      <c r="AJ115" s="877"/>
      <c r="AK115" s="879"/>
      <c r="AL115" s="877"/>
      <c r="AM115" s="886"/>
      <c r="AN115" s="877"/>
      <c r="AO115" s="879"/>
      <c r="AP115" s="877"/>
      <c r="AQ115" s="886"/>
      <c r="AR115" s="877"/>
      <c r="AS115" s="879"/>
      <c r="AT115" s="877"/>
      <c r="AU115" s="886"/>
      <c r="AV115" s="877"/>
      <c r="AW115" s="879"/>
      <c r="AX115" s="877"/>
      <c r="AY115" s="886"/>
      <c r="AZ115" s="877"/>
      <c r="BA115" s="879"/>
      <c r="BB115" s="886"/>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c r="MO115"/>
      <c r="MP115"/>
      <c r="MQ115"/>
      <c r="MR115"/>
      <c r="MS115"/>
      <c r="MT115"/>
      <c r="MU115"/>
      <c r="MV115"/>
      <c r="MW115"/>
      <c r="MX115"/>
      <c r="MY115"/>
      <c r="MZ115"/>
      <c r="NA115"/>
      <c r="NB115"/>
      <c r="NC115"/>
      <c r="ND115"/>
      <c r="NE115"/>
      <c r="NF115"/>
      <c r="NG115"/>
      <c r="NH115"/>
      <c r="NI115"/>
      <c r="NJ115"/>
      <c r="NK115"/>
      <c r="NL115"/>
      <c r="NM115"/>
      <c r="NN115"/>
      <c r="NO115"/>
      <c r="NP115"/>
      <c r="NQ115"/>
      <c r="NR115"/>
      <c r="NS115"/>
      <c r="NT115"/>
      <c r="NU115"/>
      <c r="NV115"/>
      <c r="NW115"/>
      <c r="NX115"/>
      <c r="NY115"/>
      <c r="NZ115"/>
      <c r="OA115"/>
      <c r="OB115"/>
      <c r="OC115"/>
      <c r="OD115"/>
      <c r="OE115"/>
      <c r="OF115"/>
      <c r="OG115"/>
      <c r="OH115"/>
      <c r="OI115"/>
      <c r="OJ115"/>
      <c r="OK115"/>
      <c r="OL115"/>
    </row>
    <row r="116" spans="1:402">
      <c r="A116" s="68"/>
      <c r="B116" s="55"/>
      <c r="C116" s="174" t="s">
        <v>318</v>
      </c>
      <c r="D116" s="928">
        <f>SUM(H116:K116)</f>
        <v>0.12786707364241767</v>
      </c>
      <c r="E116" s="877">
        <f>SUM(G116:K116,N116:O116)</f>
        <v>0.12786707364241767</v>
      </c>
      <c r="F116" s="878">
        <f>SUM(Q116:S116)/(1-'Common input data'!B$146)</f>
        <v>0.13072408779847977</v>
      </c>
      <c r="G116" s="877">
        <v>0</v>
      </c>
      <c r="H116" s="877">
        <f>'Input data dairy products'!$D$18*H10*'Common input data'!D$55</f>
        <v>0</v>
      </c>
      <c r="I116" s="877">
        <f>'Input data dairy products'!$D$18*I10*'Common input data'!D$55</f>
        <v>7.6660663528678227E-3</v>
      </c>
      <c r="J116" s="877">
        <f>'Input data dairy products'!$D$18*J10*'Common input data'!D$55</f>
        <v>0</v>
      </c>
      <c r="K116" s="877">
        <f>'Input data dairy products'!$D$18*K10*'Common input data'!D$55</f>
        <v>0.12020100728954985</v>
      </c>
      <c r="L116" s="877">
        <f>'Input data dairy products'!$D$18*L10*'Common input data'!D$55</f>
        <v>0</v>
      </c>
      <c r="M116" s="877">
        <f>'Input data dairy products'!$D$18*M10*'Common input data'!D$55</f>
        <v>0</v>
      </c>
      <c r="N116" s="877">
        <f>'Input data dairy products'!$D$18*N10*'Common input data'!D$55</f>
        <v>0</v>
      </c>
      <c r="O116" s="877">
        <v>0</v>
      </c>
      <c r="P116" s="877">
        <v>0</v>
      </c>
      <c r="Q116" s="877">
        <f>SUM(G116:P116)</f>
        <v>0.12786707364241767</v>
      </c>
      <c r="R116" s="877">
        <v>0</v>
      </c>
      <c r="S116" s="877">
        <v>0</v>
      </c>
      <c r="T116" s="18"/>
      <c r="U116" s="879"/>
      <c r="V116" s="877"/>
      <c r="W116" s="886"/>
      <c r="X116" s="877"/>
      <c r="Y116" s="879"/>
      <c r="Z116" s="877"/>
      <c r="AA116" s="886"/>
      <c r="AB116" s="877"/>
      <c r="AC116" s="879"/>
      <c r="AD116" s="877"/>
      <c r="AE116" s="886"/>
      <c r="AF116" s="877"/>
      <c r="AG116" s="879"/>
      <c r="AH116" s="877"/>
      <c r="AI116" s="886"/>
      <c r="AJ116" s="877"/>
      <c r="AK116" s="879"/>
      <c r="AL116" s="877"/>
      <c r="AM116" s="886"/>
      <c r="AN116" s="877"/>
      <c r="AO116" s="879"/>
      <c r="AP116" s="877"/>
      <c r="AQ116" s="886"/>
      <c r="AR116" s="877"/>
      <c r="AS116" s="879"/>
      <c r="AT116" s="877"/>
      <c r="AU116" s="886"/>
      <c r="AV116" s="877"/>
      <c r="AW116" s="879"/>
      <c r="AX116" s="877"/>
      <c r="AY116" s="886"/>
      <c r="AZ116" s="877"/>
      <c r="BA116" s="879"/>
      <c r="BB116" s="886"/>
    </row>
    <row r="117" spans="1:402">
      <c r="A117" s="68"/>
      <c r="B117" s="55"/>
      <c r="C117" s="174" t="s">
        <v>319</v>
      </c>
      <c r="D117" s="928"/>
      <c r="E117" s="877"/>
      <c r="F117" s="878"/>
      <c r="G117" s="877">
        <f>'Input data dairy products'!$D$18*G11*'Common input data'!D$55</f>
        <v>1.2945733202059419E-3</v>
      </c>
      <c r="H117" s="877">
        <v>0</v>
      </c>
      <c r="I117" s="877">
        <v>0</v>
      </c>
      <c r="J117" s="877">
        <v>0</v>
      </c>
      <c r="K117" s="877">
        <v>0</v>
      </c>
      <c r="L117" s="877">
        <v>0</v>
      </c>
      <c r="M117" s="877">
        <v>0</v>
      </c>
      <c r="N117" s="877">
        <v>0</v>
      </c>
      <c r="O117" s="877">
        <f>'Input data dairy products'!$D$18*O11*'Common input data'!D$55</f>
        <v>5.6880232165869616E-6</v>
      </c>
      <c r="P117" s="877">
        <v>0</v>
      </c>
      <c r="Q117" s="877">
        <f>SUM(G117:P117)</f>
        <v>1.3002613434225287E-3</v>
      </c>
      <c r="R117" s="877">
        <v>0</v>
      </c>
      <c r="S117" s="877">
        <v>0</v>
      </c>
      <c r="T117" s="18"/>
      <c r="U117" s="879"/>
      <c r="V117" s="877"/>
      <c r="W117" s="886"/>
      <c r="X117" s="877"/>
      <c r="Y117" s="879"/>
      <c r="Z117" s="877"/>
      <c r="AA117" s="886"/>
      <c r="AB117" s="877"/>
      <c r="AC117" s="879"/>
      <c r="AD117" s="877"/>
      <c r="AE117" s="886"/>
      <c r="AF117" s="877"/>
      <c r="AG117" s="879"/>
      <c r="AH117" s="877"/>
      <c r="AI117" s="886"/>
      <c r="AJ117" s="877"/>
      <c r="AK117" s="879"/>
      <c r="AL117" s="877"/>
      <c r="AM117" s="886"/>
      <c r="AN117" s="877"/>
      <c r="AO117" s="879"/>
      <c r="AP117" s="877"/>
      <c r="AQ117" s="886"/>
      <c r="AR117" s="877"/>
      <c r="AS117" s="879"/>
      <c r="AT117" s="877"/>
      <c r="AU117" s="886"/>
      <c r="AV117" s="877"/>
      <c r="AW117" s="879"/>
      <c r="AX117" s="877"/>
      <c r="AY117" s="886"/>
      <c r="AZ117" s="877"/>
      <c r="BA117" s="879"/>
      <c r="BB117" s="886"/>
    </row>
    <row r="118" spans="1:402">
      <c r="A118" s="68"/>
      <c r="B118" s="54"/>
      <c r="C118" s="55" t="s">
        <v>320</v>
      </c>
      <c r="D118" s="928">
        <f>SUM(H118:K118)</f>
        <v>4.8855235216586001E-3</v>
      </c>
      <c r="E118" s="877">
        <f>SUM(G118:K118,N118:O118)</f>
        <v>6.1111542758053514E-3</v>
      </c>
      <c r="F118" s="878">
        <f>SUM(Q118:S118)/(1-'Common input data'!B$146)</f>
        <v>6.2476996254289879E-3</v>
      </c>
      <c r="G118" s="877">
        <f>'Input data dairy products'!$D$18*G12*'Common input data'!D$55</f>
        <v>1.2251005039824489E-3</v>
      </c>
      <c r="H118" s="877">
        <f>'Input data dairy products'!$D$18*H12*'Common input data'!D$55</f>
        <v>3.0965602790354514E-3</v>
      </c>
      <c r="I118" s="877">
        <f>'Input data dairy products'!$D$18*I12*'Common input data'!D$55</f>
        <v>1.6667279663263204E-3</v>
      </c>
      <c r="J118" s="877">
        <f>'Input data dairy products'!$D$18*J12*'Common input data'!D$55</f>
        <v>1.222352762968287E-4</v>
      </c>
      <c r="K118" s="877">
        <f>'Input data dairy products'!$D$18*K12*'Common input data'!D$55</f>
        <v>0</v>
      </c>
      <c r="L118" s="877">
        <f>'Input data dairy products'!$D$18*L12*'Common input data'!D$55</f>
        <v>0</v>
      </c>
      <c r="M118" s="877">
        <f>'Input data dairy products'!$D$18*M12*'Common input data'!D$55</f>
        <v>0</v>
      </c>
      <c r="N118" s="877">
        <f>'Input data dairy products'!$D$18*N12*'Common input data'!D$55</f>
        <v>0</v>
      </c>
      <c r="O118" s="877">
        <f>'Input data dairy products'!$D$18*O12*'Common input data'!D$55</f>
        <v>5.3025016430182895E-7</v>
      </c>
      <c r="P118" s="877">
        <v>0</v>
      </c>
      <c r="Q118" s="877">
        <f>SUM(G118:P118)</f>
        <v>6.1111542758053514E-3</v>
      </c>
      <c r="R118" s="1187">
        <v>0</v>
      </c>
      <c r="S118" s="877">
        <v>0</v>
      </c>
      <c r="T118" s="18"/>
      <c r="U118" s="879"/>
      <c r="V118" s="877"/>
      <c r="W118" s="886"/>
      <c r="X118" s="877"/>
      <c r="Y118" s="879"/>
      <c r="Z118" s="877"/>
      <c r="AA118" s="886"/>
      <c r="AB118" s="877"/>
      <c r="AC118" s="879"/>
      <c r="AD118" s="877"/>
      <c r="AE118" s="886"/>
      <c r="AF118" s="877"/>
      <c r="AG118" s="879"/>
      <c r="AH118" s="877"/>
      <c r="AI118" s="886"/>
      <c r="AJ118" s="877"/>
      <c r="AK118" s="879"/>
      <c r="AL118" s="877"/>
      <c r="AM118" s="886"/>
      <c r="AN118" s="877"/>
      <c r="AO118" s="879"/>
      <c r="AP118" s="877"/>
      <c r="AQ118" s="886"/>
      <c r="AR118" s="877"/>
      <c r="AS118" s="879"/>
      <c r="AT118" s="877"/>
      <c r="AU118" s="886"/>
      <c r="AV118" s="877"/>
      <c r="AW118" s="879"/>
      <c r="AX118" s="877"/>
      <c r="AY118" s="886"/>
      <c r="AZ118" s="877"/>
      <c r="BA118" s="879"/>
      <c r="BB118" s="886"/>
    </row>
    <row r="119" spans="1:402" s="12" customFormat="1">
      <c r="A119" s="108" t="s">
        <v>148</v>
      </c>
      <c r="B119" s="390">
        <f>'Input data dairy products'!C19</f>
        <v>0.11</v>
      </c>
      <c r="C119" s="355" t="s">
        <v>316</v>
      </c>
      <c r="D119" s="930">
        <f>SUMPRODUCT($BH$6:$BH$9,D120:D123)</f>
        <v>4.6543110785810189</v>
      </c>
      <c r="E119" s="872">
        <f>SUMPRODUCT($BH$6:$BH$9,E120:E123)</f>
        <v>6.9897480619798085</v>
      </c>
      <c r="F119" s="873">
        <f>SUMPRODUCT($BH$6:$BH$9,F120:F123)</f>
        <v>8.0026483422951706</v>
      </c>
      <c r="G119" s="884"/>
      <c r="H119" s="884"/>
      <c r="I119" s="884"/>
      <c r="J119" s="884"/>
      <c r="K119" s="884"/>
      <c r="L119" s="884"/>
      <c r="M119" s="884"/>
      <c r="N119" s="884"/>
      <c r="O119" s="884"/>
      <c r="P119" s="884"/>
      <c r="Q119" s="884"/>
      <c r="R119" s="884"/>
      <c r="S119" s="884"/>
      <c r="T119" s="18"/>
      <c r="U119" s="1220">
        <f>U$19*'Input data dairy products'!$D19*'Common input data'!$D$55</f>
        <v>14.20453663974749</v>
      </c>
      <c r="V119" s="877">
        <f>U119+U119*'Common input data'!$B$146</f>
        <v>14.51498104937016</v>
      </c>
      <c r="W119" s="886">
        <f>V119+V119*'Common input data'!$B$181</f>
        <v>15.531029722826071</v>
      </c>
      <c r="X119" s="877"/>
      <c r="Y119" s="1220">
        <f>Y$19*'Input data dairy products'!$D19*'Common input data'!$D$55</f>
        <v>15.65703709005421</v>
      </c>
      <c r="Z119" s="877">
        <f>Y119+Y119*'Common input data'!$B$146</f>
        <v>15.999226332768469</v>
      </c>
      <c r="AA119" s="886">
        <f>Z119+Z119*'Common input data'!$B$181</f>
        <v>17.119172176062261</v>
      </c>
      <c r="AB119" s="877"/>
      <c r="AC119" s="1220">
        <f>AC$19*'Input data dairy products'!$D19*'Common input data'!$D$55</f>
        <v>0.33298614948980637</v>
      </c>
      <c r="AD119" s="877">
        <f>AC119+AC119*'Common input data'!$B$146</f>
        <v>0.34026366168275085</v>
      </c>
      <c r="AE119" s="886">
        <f>AD119+AD119*'Common input data'!$B$181</f>
        <v>0.36408211800054341</v>
      </c>
      <c r="AF119" s="877"/>
      <c r="AG119" s="1220">
        <f>AG$19*'Input data dairy products'!$D19*'Common input data'!$D$55</f>
        <v>1.1082093409147195E-2</v>
      </c>
      <c r="AH119" s="877">
        <f>AG119+AG119*'Common input data'!$B$146</f>
        <v>1.1324295885232127E-2</v>
      </c>
      <c r="AI119" s="886">
        <f>AH119+AH119*'Common input data'!$B$181</f>
        <v>1.2116996597198375E-2</v>
      </c>
      <c r="AJ119" s="877"/>
      <c r="AK119" s="1220">
        <f>AK$19*'Input data dairy products'!$D19*'Common input data'!$D$55</f>
        <v>3.2075909961150458E-2</v>
      </c>
      <c r="AL119" s="877">
        <f>AK119+AK119*'Common input data'!$B$146</f>
        <v>3.2776938596124384E-2</v>
      </c>
      <c r="AM119" s="886">
        <f>AL119+AL119*'Common input data'!$B$181</f>
        <v>3.507132429785309E-2</v>
      </c>
      <c r="AN119" s="877"/>
      <c r="AO119" s="1220">
        <f>(AO$19*'Input data dairy products'!$D19*'Common input data'!$D$55)/$AP$2</f>
        <v>4.0605128362292993E-10</v>
      </c>
      <c r="AP119" s="877">
        <f>AO119+AO119*'Common input data'!$B$146</f>
        <v>4.1492565624189409E-10</v>
      </c>
      <c r="AQ119" s="886">
        <f>AP119+AP119*'Common input data'!$B$181</f>
        <v>4.4397045217882667E-10</v>
      </c>
      <c r="AR119" s="877"/>
      <c r="AS119" s="1220">
        <f>AS$19*'Input data dairy products'!$D19*'Common input data'!$D$55</f>
        <v>7.0585029054541233E-4</v>
      </c>
      <c r="AT119" s="877">
        <f>AS119+AS119*'Common input data'!$B$146</f>
        <v>7.212768604003693E-4</v>
      </c>
      <c r="AU119" s="886">
        <f>AT119+AT119*'Common input data'!$B$181</f>
        <v>7.7176624062839515E-4</v>
      </c>
      <c r="AV119" s="877"/>
      <c r="AW119" s="1220">
        <f>AW$19*'Input data dairy products'!$D19*'Common input data'!$D$55</f>
        <v>2.7668841093618609E-2</v>
      </c>
      <c r="AX119" s="877">
        <f>AW119+AW119*'Common input data'!$B$146</f>
        <v>2.8273551916371965E-2</v>
      </c>
      <c r="AY119" s="886">
        <f>AX119+AX119*'Common input data'!$B$181</f>
        <v>3.0252700550518003E-2</v>
      </c>
      <c r="AZ119" s="877"/>
      <c r="BA119" s="879">
        <f>('Common input data'!B209+'Common input data'!C209)+('Common input data'!B209+'Common input data'!C209)*'Common input data'!$B$146</f>
        <v>0.68566490629999988</v>
      </c>
      <c r="BB119" s="886">
        <f>BA119+BA119*'Common input data'!$B$181</f>
        <v>0.73366144974099989</v>
      </c>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row>
    <row r="120" spans="1:402" s="12" customFormat="1">
      <c r="A120" s="18"/>
      <c r="B120"/>
      <c r="C120" s="174" t="s">
        <v>317</v>
      </c>
      <c r="D120" s="928">
        <f>IF(AND($F$2="No",$F$3="No"),SUM(H120:K120),IF(AND($F$2="Yes", $F$3="No"), SUM(H120:K120)+M120, IF(AND($F$2="No", $F$3="Yes"),SUM(H120:K120)+L120, SUM(H120:K120)+M120+L120)))</f>
        <v>-0.13184783117705581</v>
      </c>
      <c r="E120" s="877">
        <f>IF(AND($F$2="No",$F$3="No"),SUM(G120:K120,N120:O120),IF(AND($F$2="Yes",$F$3="No"), SUM(G120:K120,N120:O120)+M120, IF(AND($F$2="No", $F$3="Yes"),SUM(G120:K120,N120:O120)+L120, SUM(G120:K120,N120:O120)+M120+L120)))</f>
        <v>1.8684199291180559</v>
      </c>
      <c r="F120" s="878">
        <f>SUM(Q120:S120)/(1-'Common input data'!B$146)</f>
        <v>2.7668911656098074</v>
      </c>
      <c r="G120" s="877">
        <f>'Input data dairy products'!$D$19*G14*'Common input data'!D$55</f>
        <v>1.2110746934109764</v>
      </c>
      <c r="H120" s="877">
        <f>'Input data dairy products'!$D$19*H14*'Common input data'!D$55</f>
        <v>0</v>
      </c>
      <c r="I120" s="877">
        <f>'Input data dairy products'!$D$19*I14*'Common input data'!D$55</f>
        <v>0</v>
      </c>
      <c r="J120" s="877">
        <f>'Input data dairy products'!$D$19*J14*'Common input data'!D$55</f>
        <v>0</v>
      </c>
      <c r="K120" s="877">
        <f>'Input data dairy products'!$D$19*K14*'Common input data'!D$55</f>
        <v>0</v>
      </c>
      <c r="L120" s="877">
        <f>'Input data dairy products'!$D$19*L14*'Common input data'!D$55</f>
        <v>-0.25364228444894205</v>
      </c>
      <c r="M120" s="877">
        <f>'Input data dairy products'!$D$19*M14*'Common input data'!D$55</f>
        <v>0.12179445327188623</v>
      </c>
      <c r="N120" s="877">
        <f>'Input data dairy products'!$D$19*N14*'Common input data'!D$55</f>
        <v>0.68730879126661149</v>
      </c>
      <c r="O120" s="877">
        <f>'Input data dairy products'!$D$19*O14*'Common input data'!D$55</f>
        <v>0.10188427561752381</v>
      </c>
      <c r="P120" s="877">
        <f>'Input data dairy products'!G$30*'Common input data'!D$55</f>
        <v>0.65799999999999992</v>
      </c>
      <c r="Q120" s="1185">
        <f>IF(AND($F$2="No",$F$3="No"),SUM(G120:K120,N120:P120),IF(AND($F$2="Yes",$F$3="No"), SUM(G120:K120,N120:P120)+M120, IF(AND($F$2="No", $F$3="Yes"),SUM(G120:K120,N120:P120)+L120, SUM(G120:K120,N120:P120)+M120+L120)))</f>
        <v>2.526419929118056</v>
      </c>
      <c r="R120" s="877">
        <f>'Common input data'!B$108</f>
        <v>0.05</v>
      </c>
      <c r="S120" s="877">
        <f>'Common input data'!B$116+'Common input data'!C$116</f>
        <v>0.13</v>
      </c>
      <c r="T120" s="18"/>
      <c r="U120" s="1220"/>
      <c r="V120" s="877"/>
      <c r="W120" s="886"/>
      <c r="X120" s="877"/>
      <c r="Y120" s="1220"/>
      <c r="Z120" s="877"/>
      <c r="AA120" s="886"/>
      <c r="AB120" s="877"/>
      <c r="AC120" s="1220"/>
      <c r="AD120" s="877"/>
      <c r="AE120" s="886"/>
      <c r="AF120" s="877"/>
      <c r="AG120" s="1220"/>
      <c r="AH120" s="877"/>
      <c r="AI120" s="886"/>
      <c r="AJ120" s="877"/>
      <c r="AK120" s="1220"/>
      <c r="AL120" s="877"/>
      <c r="AM120" s="886"/>
      <c r="AN120" s="877"/>
      <c r="AO120" s="1220"/>
      <c r="AP120" s="877"/>
      <c r="AQ120" s="886"/>
      <c r="AR120" s="877"/>
      <c r="AS120" s="1220"/>
      <c r="AT120" s="877"/>
      <c r="AU120" s="886"/>
      <c r="AV120" s="877"/>
      <c r="AW120" s="1220"/>
      <c r="AX120" s="877"/>
      <c r="AY120" s="886"/>
      <c r="AZ120" s="877"/>
      <c r="BA120" s="879"/>
      <c r="BB120" s="886"/>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c r="MA120"/>
      <c r="MB120"/>
      <c r="MC120"/>
      <c r="MD120"/>
      <c r="ME120"/>
      <c r="MF120"/>
      <c r="MG120"/>
      <c r="MH120"/>
      <c r="MI120"/>
      <c r="MJ120"/>
      <c r="MK120"/>
      <c r="ML120"/>
      <c r="MM120"/>
      <c r="MN120"/>
      <c r="MO120"/>
      <c r="MP120"/>
      <c r="MQ120"/>
      <c r="MR120"/>
      <c r="MS120"/>
      <c r="MT120"/>
      <c r="MU120"/>
      <c r="MV120"/>
      <c r="MW120"/>
      <c r="MX120"/>
      <c r="MY120"/>
      <c r="MZ120"/>
      <c r="NA120"/>
      <c r="NB120"/>
      <c r="NC120"/>
      <c r="ND120"/>
      <c r="NE120"/>
      <c r="NF120"/>
      <c r="NG120"/>
      <c r="NH120"/>
      <c r="NI120"/>
      <c r="NJ120"/>
      <c r="NK120"/>
      <c r="NL120"/>
      <c r="NM120"/>
      <c r="NN120"/>
      <c r="NO120"/>
      <c r="NP120"/>
      <c r="NQ120"/>
      <c r="NR120"/>
      <c r="NS120"/>
      <c r="NT120"/>
      <c r="NU120"/>
      <c r="NV120"/>
      <c r="NW120"/>
      <c r="NX120"/>
      <c r="NY120"/>
      <c r="NZ120"/>
      <c r="OA120"/>
      <c r="OB120"/>
      <c r="OC120"/>
      <c r="OD120"/>
      <c r="OE120"/>
      <c r="OF120"/>
      <c r="OG120"/>
      <c r="OH120"/>
      <c r="OI120"/>
      <c r="OJ120"/>
      <c r="OK120"/>
      <c r="OL120"/>
    </row>
    <row r="121" spans="1:402">
      <c r="A121" s="68"/>
      <c r="B121" s="50"/>
      <c r="C121" s="174" t="s">
        <v>318</v>
      </c>
      <c r="D121" s="928">
        <f>SUM(H121:K121)</f>
        <v>0.12786707364241767</v>
      </c>
      <c r="E121" s="877">
        <f>SUM(G121:K121,N121:O121)</f>
        <v>0.12786707364241767</v>
      </c>
      <c r="F121" s="878">
        <f>SUM(Q121:S121)/(1-'Common input data'!B$146)</f>
        <v>0.13072408779847977</v>
      </c>
      <c r="G121" s="877">
        <v>0</v>
      </c>
      <c r="H121" s="877">
        <f>'Input data dairy products'!$D$19*H16*'Common input data'!D$55</f>
        <v>0</v>
      </c>
      <c r="I121" s="877">
        <f>'Input data dairy products'!$D$19*I15*'Common input data'!D$55</f>
        <v>7.6660663528678227E-3</v>
      </c>
      <c r="J121" s="877">
        <f>'Input data dairy products'!$D$19*J15*'Common input data'!D$55</f>
        <v>0</v>
      </c>
      <c r="K121" s="877">
        <f>'Input data dairy products'!$D$19*K15*'Common input data'!D$55</f>
        <v>0.12020100728954985</v>
      </c>
      <c r="L121" s="877">
        <f>'Input data dairy products'!$D$19*L15*'Common input data'!D$55</f>
        <v>0</v>
      </c>
      <c r="M121" s="877">
        <f>'Input data dairy products'!$D$19*M15*'Common input data'!D$55</f>
        <v>0</v>
      </c>
      <c r="N121" s="877">
        <f>'Input data dairy products'!$D$19*N15*'Common input data'!D$55</f>
        <v>0</v>
      </c>
      <c r="O121" s="877">
        <v>0</v>
      </c>
      <c r="P121" s="877">
        <v>0</v>
      </c>
      <c r="Q121" s="877">
        <f>SUM(G121:P121)</f>
        <v>0.12786707364241767</v>
      </c>
      <c r="R121" s="877">
        <v>0</v>
      </c>
      <c r="S121" s="877">
        <v>0</v>
      </c>
      <c r="T121" s="18"/>
      <c r="U121" s="879"/>
      <c r="V121" s="877"/>
      <c r="W121" s="886"/>
      <c r="X121" s="877"/>
      <c r="Y121" s="879"/>
      <c r="Z121" s="877"/>
      <c r="AA121" s="886"/>
      <c r="AB121" s="877"/>
      <c r="AC121" s="879"/>
      <c r="AD121" s="877"/>
      <c r="AE121" s="886"/>
      <c r="AF121" s="877"/>
      <c r="AG121" s="879"/>
      <c r="AH121" s="877"/>
      <c r="AI121" s="886"/>
      <c r="AJ121" s="877"/>
      <c r="AK121" s="879"/>
      <c r="AL121" s="877"/>
      <c r="AM121" s="886"/>
      <c r="AN121" s="877"/>
      <c r="AO121" s="879"/>
      <c r="AP121" s="877"/>
      <c r="AQ121" s="886"/>
      <c r="AR121" s="877"/>
      <c r="AS121" s="879"/>
      <c r="AT121" s="877"/>
      <c r="AU121" s="886"/>
      <c r="AV121" s="877"/>
      <c r="AW121" s="879"/>
      <c r="AX121" s="877"/>
      <c r="AY121" s="886"/>
      <c r="AZ121" s="877"/>
      <c r="BA121" s="879"/>
      <c r="BB121" s="886"/>
    </row>
    <row r="122" spans="1:402">
      <c r="A122" s="68"/>
      <c r="B122" s="50"/>
      <c r="C122" s="174" t="s">
        <v>319</v>
      </c>
      <c r="D122" s="928"/>
      <c r="E122" s="877"/>
      <c r="F122" s="878"/>
      <c r="G122" s="877">
        <f>'Input data dairy products'!$D$19*G16*'Common input data'!D$55</f>
        <v>1.2945733202059419E-3</v>
      </c>
      <c r="H122" s="877">
        <v>0</v>
      </c>
      <c r="I122" s="877">
        <v>0</v>
      </c>
      <c r="J122" s="877">
        <v>0</v>
      </c>
      <c r="K122" s="877">
        <v>0</v>
      </c>
      <c r="L122" s="877">
        <v>0</v>
      </c>
      <c r="M122" s="877">
        <v>0</v>
      </c>
      <c r="N122" s="877">
        <v>0</v>
      </c>
      <c r="O122" s="877">
        <f>'Input data dairy products'!$D$19*O16*'Common input data'!D$55</f>
        <v>2.8164829263095299E-5</v>
      </c>
      <c r="P122" s="877">
        <v>0</v>
      </c>
      <c r="Q122" s="877">
        <f>SUM(G122:P122)</f>
        <v>1.3227381494690371E-3</v>
      </c>
      <c r="R122" s="877">
        <v>0</v>
      </c>
      <c r="S122" s="877">
        <v>0</v>
      </c>
      <c r="T122" s="18"/>
      <c r="U122" s="879"/>
      <c r="V122" s="877"/>
      <c r="W122" s="886"/>
      <c r="X122" s="877"/>
      <c r="Y122" s="879"/>
      <c r="Z122" s="877"/>
      <c r="AA122" s="886"/>
      <c r="AB122" s="877"/>
      <c r="AC122" s="879"/>
      <c r="AD122" s="877"/>
      <c r="AE122" s="886"/>
      <c r="AF122" s="877"/>
      <c r="AG122" s="879"/>
      <c r="AH122" s="877"/>
      <c r="AI122" s="886"/>
      <c r="AJ122" s="877"/>
      <c r="AK122" s="879"/>
      <c r="AL122" s="877"/>
      <c r="AM122" s="886"/>
      <c r="AN122" s="877"/>
      <c r="AO122" s="879"/>
      <c r="AP122" s="877"/>
      <c r="AQ122" s="886"/>
      <c r="AR122" s="877"/>
      <c r="AS122" s="879"/>
      <c r="AT122" s="877"/>
      <c r="AU122" s="886"/>
      <c r="AV122" s="877"/>
      <c r="AW122" s="879"/>
      <c r="AX122" s="877"/>
      <c r="AY122" s="886"/>
      <c r="AZ122" s="877"/>
      <c r="BA122" s="879"/>
      <c r="BB122" s="886"/>
    </row>
    <row r="123" spans="1:402">
      <c r="A123" s="359"/>
      <c r="B123" s="54"/>
      <c r="C123" s="55" t="s">
        <v>320</v>
      </c>
      <c r="D123" s="928">
        <f>SUM(H123:K123)</f>
        <v>4.8855235216586001E-3</v>
      </c>
      <c r="E123" s="877">
        <f>SUM(G123:K123,N123:O123)</f>
        <v>6.113249613613465E-3</v>
      </c>
      <c r="F123" s="878">
        <f>SUM(Q123:S123)/(1-'Common input data'!B$146)</f>
        <v>6.2498417806828212E-3</v>
      </c>
      <c r="G123" s="877">
        <f>'Input data dairy products'!$D$19*G17*'Common input data'!D$55</f>
        <v>1.2251005039824489E-3</v>
      </c>
      <c r="H123" s="877">
        <f>'Input data dairy products'!$D$19*H17*'Common input data'!D$55</f>
        <v>3.0965602790354514E-3</v>
      </c>
      <c r="I123" s="877">
        <f>'Input data dairy products'!$D$19*I17*'Common input data'!D$55</f>
        <v>1.6667279663263204E-3</v>
      </c>
      <c r="J123" s="877">
        <f>'Input data dairy products'!$D$19*J17*'Common input data'!D$55</f>
        <v>1.222352762968287E-4</v>
      </c>
      <c r="K123" s="877">
        <f>'Input data dairy products'!$D$19*K17*'Common input data'!D$55</f>
        <v>0</v>
      </c>
      <c r="L123" s="877">
        <f>'Input data dairy products'!$D$19*L17*'Common input data'!D$55</f>
        <v>0</v>
      </c>
      <c r="M123" s="877">
        <f>'Input data dairy products'!$D$19*M17*'Common input data'!D$55</f>
        <v>0</v>
      </c>
      <c r="N123" s="877">
        <f>'Input data dairy products'!$D$19*N17*'Common input data'!D$55</f>
        <v>0</v>
      </c>
      <c r="O123" s="877">
        <f>'Input data dairy products'!$D$19*O17*'Common input data'!D$55</f>
        <v>2.6255879724152171E-6</v>
      </c>
      <c r="P123" s="877">
        <v>0</v>
      </c>
      <c r="Q123" s="877">
        <f>SUM(G123:P123)</f>
        <v>6.113249613613465E-3</v>
      </c>
      <c r="R123" s="877">
        <v>0</v>
      </c>
      <c r="S123" s="877">
        <v>0</v>
      </c>
      <c r="T123" s="18"/>
      <c r="U123" s="879"/>
      <c r="V123" s="877"/>
      <c r="W123" s="886"/>
      <c r="X123" s="877"/>
      <c r="Y123" s="879"/>
      <c r="Z123" s="877"/>
      <c r="AA123" s="886"/>
      <c r="AB123" s="877"/>
      <c r="AC123" s="879"/>
      <c r="AD123" s="877"/>
      <c r="AE123" s="886"/>
      <c r="AF123" s="877"/>
      <c r="AG123" s="879"/>
      <c r="AH123" s="877"/>
      <c r="AI123" s="886"/>
      <c r="AJ123" s="877"/>
      <c r="AK123" s="879"/>
      <c r="AL123" s="877"/>
      <c r="AM123" s="886"/>
      <c r="AN123" s="877"/>
      <c r="AO123" s="879"/>
      <c r="AP123" s="877"/>
      <c r="AQ123" s="886"/>
      <c r="AR123" s="877"/>
      <c r="AS123" s="879"/>
      <c r="AT123" s="877"/>
      <c r="AU123" s="886"/>
      <c r="AV123" s="877"/>
      <c r="AW123" s="879"/>
      <c r="AX123" s="877"/>
      <c r="AY123" s="886"/>
      <c r="AZ123" s="877"/>
      <c r="BA123" s="879"/>
      <c r="BB123" s="886"/>
    </row>
    <row r="124" spans="1:402" s="12" customFormat="1">
      <c r="A124" s="108" t="s">
        <v>125</v>
      </c>
      <c r="B124" s="390">
        <f>'Input data dairy products'!C20</f>
        <v>0.21799999999999986</v>
      </c>
      <c r="C124" s="355" t="s">
        <v>316</v>
      </c>
      <c r="D124" s="930">
        <f>SUMPRODUCT($BH$6:$BH$9,D125:D128)</f>
        <v>4.6543110785810189</v>
      </c>
      <c r="E124" s="872">
        <f>SUMPRODUCT($BH$6:$BH$9,E125:E128)</f>
        <v>6.9897480619798085</v>
      </c>
      <c r="F124" s="873">
        <f>SUMPRODUCT($BH$6:$BH$9,F125:F128)</f>
        <v>8.1048827049615539</v>
      </c>
      <c r="G124" s="884"/>
      <c r="H124" s="884"/>
      <c r="I124" s="884"/>
      <c r="J124" s="884"/>
      <c r="K124" s="884"/>
      <c r="L124" s="884"/>
      <c r="M124" s="884"/>
      <c r="N124" s="884"/>
      <c r="O124" s="884"/>
      <c r="P124" s="884"/>
      <c r="Q124" s="884"/>
      <c r="R124" s="884"/>
      <c r="S124" s="884"/>
      <c r="T124" s="18"/>
      <c r="U124" s="1220">
        <f>U$19*'Input data dairy products'!$D20*'Common input data'!$D$55</f>
        <v>14.20453663974749</v>
      </c>
      <c r="V124" s="877">
        <f>U124+U124*'Common input data'!$B$146</f>
        <v>14.51498104937016</v>
      </c>
      <c r="W124" s="886">
        <f>V124+V124*'Common input data'!$B$181</f>
        <v>15.531029722826071</v>
      </c>
      <c r="X124" s="877"/>
      <c r="Y124" s="1220">
        <f>Y$19*'Input data dairy products'!$D20*'Common input data'!$D$55</f>
        <v>15.65703709005421</v>
      </c>
      <c r="Z124" s="877">
        <f>Y124+Y124*'Common input data'!$B$146</f>
        <v>15.999226332768469</v>
      </c>
      <c r="AA124" s="886">
        <f>Z124+Z124*'Common input data'!$B$181</f>
        <v>17.119172176062261</v>
      </c>
      <c r="AB124" s="877"/>
      <c r="AC124" s="1220">
        <f>AC$19*'Input data dairy products'!$D20*'Common input data'!$D$55</f>
        <v>0.33298614948980637</v>
      </c>
      <c r="AD124" s="877">
        <f>AC124+AC124*'Common input data'!$B$146</f>
        <v>0.34026366168275085</v>
      </c>
      <c r="AE124" s="886">
        <f>AD124+AD124*'Common input data'!$B$181</f>
        <v>0.36408211800054341</v>
      </c>
      <c r="AF124" s="877"/>
      <c r="AG124" s="1220">
        <f>AG$19*'Input data dairy products'!$D20*'Common input data'!$D$55</f>
        <v>1.1082093409147195E-2</v>
      </c>
      <c r="AH124" s="877">
        <f>AG124+AG124*'Common input data'!$B$146</f>
        <v>1.1324295885232127E-2</v>
      </c>
      <c r="AI124" s="886">
        <f>AH124+AH124*'Common input data'!$B$181</f>
        <v>1.2116996597198375E-2</v>
      </c>
      <c r="AJ124" s="877"/>
      <c r="AK124" s="1220">
        <f>AK$19*'Input data dairy products'!$D20*'Common input data'!$D$55</f>
        <v>3.2075909961150458E-2</v>
      </c>
      <c r="AL124" s="877">
        <f>AK124+AK124*'Common input data'!$B$146</f>
        <v>3.2776938596124384E-2</v>
      </c>
      <c r="AM124" s="886">
        <f>AL124+AL124*'Common input data'!$B$181</f>
        <v>3.507132429785309E-2</v>
      </c>
      <c r="AN124" s="877"/>
      <c r="AO124" s="1220">
        <f>(AO$19*'Input data dairy products'!$D20*'Common input data'!$D$55)/$AP$2</f>
        <v>4.0605128362292993E-10</v>
      </c>
      <c r="AP124" s="877">
        <f>AO124+AO124*'Common input data'!$B$146</f>
        <v>4.1492565624189409E-10</v>
      </c>
      <c r="AQ124" s="886">
        <f>AP124+AP124*'Common input data'!$B$181</f>
        <v>4.4397045217882667E-10</v>
      </c>
      <c r="AR124" s="877"/>
      <c r="AS124" s="1220">
        <f>AS$19*'Input data dairy products'!$D20*'Common input data'!$D$55</f>
        <v>7.0585029054541233E-4</v>
      </c>
      <c r="AT124" s="877">
        <f>AS124+AS124*'Common input data'!$B$146</f>
        <v>7.212768604003693E-4</v>
      </c>
      <c r="AU124" s="886">
        <f>AT124+AT124*'Common input data'!$B$181</f>
        <v>7.7176624062839515E-4</v>
      </c>
      <c r="AV124" s="877"/>
      <c r="AW124" s="1220">
        <f>AW$19*'Input data dairy products'!$D20*'Common input data'!$D$55</f>
        <v>2.7668841093618609E-2</v>
      </c>
      <c r="AX124" s="877">
        <f>AW124+AW124*'Common input data'!$B$146</f>
        <v>2.8273551916371965E-2</v>
      </c>
      <c r="AY124" s="886">
        <f>AX124+AX124*'Common input data'!$B$181</f>
        <v>3.0252700550518003E-2</v>
      </c>
      <c r="AZ124" s="877"/>
      <c r="BA124" s="879">
        <f>('Common input data'!B214+'Common input data'!C214)+('Common input data'!B214+'Common input data'!C214)*'Common input data'!$B$146</f>
        <v>0.97093284421666648</v>
      </c>
      <c r="BB124" s="886">
        <f>BA124+BA124*'Common input data'!$B$181</f>
        <v>1.0388981433118332</v>
      </c>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row>
    <row r="125" spans="1:402" s="12" customFormat="1">
      <c r="A125" s="18"/>
      <c r="B125"/>
      <c r="C125" s="174" t="s">
        <v>317</v>
      </c>
      <c r="D125" s="928">
        <f>IF(AND($F$2="No",$F$3="No"),SUM(H125:K125),IF(AND($F$2="Yes", $F$3="No"), SUM(H125:K125)+M125, IF(AND($F$2="No", $F$3="Yes"),SUM(H125:K125)+L125, SUM(H125:K125)+M125+L125)))</f>
        <v>-0.13184783117705581</v>
      </c>
      <c r="E125" s="877">
        <f>IF(AND($F$2="No",$F$3="No"),SUM(G125:K125,N125:O125),IF(AND($F$2="Yes",$F$3="No"), SUM(G125:K125,N125:O125)+M125, IF(AND($F$2="No", $F$3="Yes"),SUM(G125:K125,N125:O125)+L125, SUM(G125:K125,N125:O125)+M125+L125)))</f>
        <v>1.8684199291180559</v>
      </c>
      <c r="F125" s="878">
        <f>SUM(Q125:S125)/(1-'Common input data'!B$146)</f>
        <v>2.8691255282761898</v>
      </c>
      <c r="G125" s="877">
        <f>'Input data dairy products'!$D$20*G14*'Common input data'!D$55</f>
        <v>1.2110746934109764</v>
      </c>
      <c r="H125" s="877">
        <f>'Input data dairy products'!$D$20*H14*'Common input data'!D$55</f>
        <v>0</v>
      </c>
      <c r="I125" s="877">
        <f>'Input data dairy products'!$D$20*I14*'Common input data'!D$55</f>
        <v>0</v>
      </c>
      <c r="J125" s="877">
        <f>'Input data dairy products'!$D$20*J14*'Common input data'!D$55</f>
        <v>0</v>
      </c>
      <c r="K125" s="877">
        <f>'Input data dairy products'!$D$20*K14*'Common input data'!D$55</f>
        <v>0</v>
      </c>
      <c r="L125" s="877">
        <f>'Input data dairy products'!$D$20*L14*'Common input data'!D$55</f>
        <v>-0.25364228444894205</v>
      </c>
      <c r="M125" s="877">
        <f>'Input data dairy products'!$D$20*M14*'Common input data'!D$55</f>
        <v>0.12179445327188623</v>
      </c>
      <c r="N125" s="877">
        <f>'Input data dairy products'!$D$20*N14*'Common input data'!D$55</f>
        <v>0.68730879126661149</v>
      </c>
      <c r="O125" s="877">
        <f>'Input data dairy products'!$D$20*O14*'Common input data'!D$55</f>
        <v>0.10188427561752381</v>
      </c>
      <c r="P125" s="877">
        <f>'Input data dairy products'!G$30*'Common input data'!D$55</f>
        <v>0.65799999999999992</v>
      </c>
      <c r="Q125" s="1185">
        <f>IF(AND($F$2="No",$F$3="No"),SUM(G125:K125,N125:P125),IF(AND($F$2="Yes",$F$3="No"), SUM(G125:K125,N125:P125)+M125, IF(AND($F$2="No", $F$3="Yes"),SUM(G125:K125,N125:P125)+L125, SUM(G125:K125,N125:P125)+M125+L125)))</f>
        <v>2.526419929118056</v>
      </c>
      <c r="R125" s="877">
        <f>'Common input data'!B$108</f>
        <v>0.05</v>
      </c>
      <c r="S125" s="877">
        <f>'Common input data'!B$119+'Common input data'!C$119</f>
        <v>0.23000000000000004</v>
      </c>
      <c r="T125" s="18"/>
      <c r="U125" s="879"/>
      <c r="V125" s="877"/>
      <c r="W125" s="886"/>
      <c r="X125" s="877"/>
      <c r="Y125" s="879"/>
      <c r="Z125" s="877"/>
      <c r="AA125" s="886"/>
      <c r="AB125" s="877"/>
      <c r="AC125" s="879"/>
      <c r="AD125" s="877"/>
      <c r="AE125" s="886"/>
      <c r="AF125" s="877"/>
      <c r="AG125" s="879"/>
      <c r="AH125" s="877"/>
      <c r="AI125" s="886"/>
      <c r="AJ125" s="877"/>
      <c r="AK125" s="879"/>
      <c r="AL125" s="877"/>
      <c r="AM125" s="886"/>
      <c r="AN125" s="877"/>
      <c r="AO125" s="879"/>
      <c r="AP125" s="877"/>
      <c r="AQ125" s="886"/>
      <c r="AR125" s="877"/>
      <c r="AS125" s="879"/>
      <c r="AT125" s="877"/>
      <c r="AU125" s="886"/>
      <c r="AV125" s="877"/>
      <c r="AW125" s="879"/>
      <c r="AX125" s="877"/>
      <c r="AY125" s="886"/>
      <c r="AZ125" s="877"/>
      <c r="BA125" s="879"/>
      <c r="BB125" s="886"/>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row>
    <row r="126" spans="1:402">
      <c r="A126" s="68"/>
      <c r="B126" s="55"/>
      <c r="C126" s="174" t="s">
        <v>318</v>
      </c>
      <c r="D126" s="928">
        <f>SUM(H126:K126)</f>
        <v>0.12786707364241767</v>
      </c>
      <c r="E126" s="877">
        <f>SUM(G126:K126,N126:O126)</f>
        <v>0.12786707364241767</v>
      </c>
      <c r="F126" s="878">
        <f>SUM(Q126:S126)/(1-'Common input data'!B$146)</f>
        <v>0.13072408779847977</v>
      </c>
      <c r="G126" s="877">
        <v>0</v>
      </c>
      <c r="H126" s="877">
        <f>'Input data dairy products'!$D$20*H16*'Common input data'!D$55</f>
        <v>0</v>
      </c>
      <c r="I126" s="877">
        <f>'Input data dairy products'!$D$20*I15*'Common input data'!D$55</f>
        <v>7.6660663528678227E-3</v>
      </c>
      <c r="J126" s="877">
        <f>'Input data dairy products'!$D$20*J15*'Common input data'!D$55</f>
        <v>0</v>
      </c>
      <c r="K126" s="877">
        <f>'Input data dairy products'!$D$20*K15*'Common input data'!D$55</f>
        <v>0.12020100728954985</v>
      </c>
      <c r="L126" s="877">
        <f>'Input data dairy products'!$D$20*L15*'Common input data'!D$55</f>
        <v>0</v>
      </c>
      <c r="M126" s="877">
        <f>'Input data dairy products'!$D$20*M15*'Common input data'!D$55</f>
        <v>0</v>
      </c>
      <c r="N126" s="877">
        <f>'Input data dairy products'!$D$20*N15*'Common input data'!D$55</f>
        <v>0</v>
      </c>
      <c r="O126" s="877">
        <v>0</v>
      </c>
      <c r="P126" s="877">
        <v>0</v>
      </c>
      <c r="Q126" s="877">
        <f>SUM(G126:P126)</f>
        <v>0.12786707364241767</v>
      </c>
      <c r="R126" s="877">
        <v>0</v>
      </c>
      <c r="S126" s="877">
        <v>0</v>
      </c>
      <c r="T126" s="18"/>
      <c r="U126" s="879"/>
      <c r="V126" s="877"/>
      <c r="W126" s="886"/>
      <c r="X126" s="877"/>
      <c r="Y126" s="879"/>
      <c r="Z126" s="877"/>
      <c r="AA126" s="886"/>
      <c r="AB126" s="877"/>
      <c r="AC126" s="879"/>
      <c r="AD126" s="877"/>
      <c r="AE126" s="886"/>
      <c r="AF126" s="877"/>
      <c r="AG126" s="879"/>
      <c r="AH126" s="877"/>
      <c r="AI126" s="886"/>
      <c r="AJ126" s="877"/>
      <c r="AK126" s="879"/>
      <c r="AL126" s="877"/>
      <c r="AM126" s="886"/>
      <c r="AN126" s="877"/>
      <c r="AO126" s="879"/>
      <c r="AP126" s="877"/>
      <c r="AQ126" s="886"/>
      <c r="AR126" s="877"/>
      <c r="AS126" s="879"/>
      <c r="AT126" s="877"/>
      <c r="AU126" s="886"/>
      <c r="AV126" s="877"/>
      <c r="AW126" s="879"/>
      <c r="AX126" s="877"/>
      <c r="AY126" s="886"/>
      <c r="AZ126" s="877"/>
      <c r="BA126" s="879"/>
      <c r="BB126" s="886"/>
    </row>
    <row r="127" spans="1:402">
      <c r="A127" s="68"/>
      <c r="B127" s="55"/>
      <c r="C127" s="174" t="s">
        <v>319</v>
      </c>
      <c r="D127" s="928"/>
      <c r="E127" s="877"/>
      <c r="F127" s="878"/>
      <c r="G127" s="877">
        <f>'Input data dairy products'!$D$20*G16*'Common input data'!D$55</f>
        <v>1.2945733202059419E-3</v>
      </c>
      <c r="H127" s="877">
        <v>0</v>
      </c>
      <c r="I127" s="877">
        <v>0</v>
      </c>
      <c r="J127" s="877">
        <v>0</v>
      </c>
      <c r="K127" s="877">
        <v>0</v>
      </c>
      <c r="L127" s="877">
        <v>0</v>
      </c>
      <c r="M127" s="877">
        <v>0</v>
      </c>
      <c r="N127" s="877">
        <v>0</v>
      </c>
      <c r="O127" s="877">
        <f>'Input data dairy products'!$D$20*O16*'Common input data'!D$55</f>
        <v>2.8164829263095299E-5</v>
      </c>
      <c r="P127" s="877">
        <v>0</v>
      </c>
      <c r="Q127" s="877">
        <f>SUM(G127:P127)</f>
        <v>1.3227381494690371E-3</v>
      </c>
      <c r="R127" s="877">
        <v>0</v>
      </c>
      <c r="S127" s="877">
        <v>0</v>
      </c>
      <c r="T127" s="18"/>
      <c r="U127" s="879"/>
      <c r="V127" s="877"/>
      <c r="W127" s="886"/>
      <c r="X127" s="877"/>
      <c r="Y127" s="879"/>
      <c r="Z127" s="877"/>
      <c r="AA127" s="886"/>
      <c r="AB127" s="877"/>
      <c r="AC127" s="879"/>
      <c r="AD127" s="877"/>
      <c r="AE127" s="886"/>
      <c r="AF127" s="877"/>
      <c r="AG127" s="879"/>
      <c r="AH127" s="877"/>
      <c r="AI127" s="886"/>
      <c r="AJ127" s="877"/>
      <c r="AK127" s="879"/>
      <c r="AL127" s="877"/>
      <c r="AM127" s="886"/>
      <c r="AN127" s="877"/>
      <c r="AO127" s="879"/>
      <c r="AP127" s="877"/>
      <c r="AQ127" s="886"/>
      <c r="AR127" s="877"/>
      <c r="AS127" s="879"/>
      <c r="AT127" s="877"/>
      <c r="AU127" s="886"/>
      <c r="AV127" s="877"/>
      <c r="AW127" s="879"/>
      <c r="AX127" s="877"/>
      <c r="AY127" s="886"/>
      <c r="AZ127" s="877"/>
      <c r="BA127" s="879"/>
      <c r="BB127" s="886"/>
    </row>
    <row r="128" spans="1:402">
      <c r="A128" s="68"/>
      <c r="B128" s="54"/>
      <c r="C128" s="55" t="s">
        <v>320</v>
      </c>
      <c r="D128" s="932">
        <f>SUM(H128:K128)</f>
        <v>4.8855235216586001E-3</v>
      </c>
      <c r="E128" s="896">
        <f>SUM(G128:K128,N128:O128)</f>
        <v>6.113249613613465E-3</v>
      </c>
      <c r="F128" s="933">
        <f>SUM(Q128:S128)/(1-'Common input data'!B$146)</f>
        <v>6.2498417806828212E-3</v>
      </c>
      <c r="G128" s="877">
        <f>'Input data dairy products'!$D$20*G17*'Common input data'!D$55</f>
        <v>1.2251005039824489E-3</v>
      </c>
      <c r="H128" s="877">
        <f>'Input data dairy products'!$D$20*H17*'Common input data'!D$55</f>
        <v>3.0965602790354514E-3</v>
      </c>
      <c r="I128" s="877">
        <f>'Input data dairy products'!$D$20*I17*'Common input data'!D$55</f>
        <v>1.6667279663263204E-3</v>
      </c>
      <c r="J128" s="877">
        <f>'Input data dairy products'!$D$20*J17*'Common input data'!D$55</f>
        <v>1.222352762968287E-4</v>
      </c>
      <c r="K128" s="877">
        <f>'Input data dairy products'!$D$20*K17*'Common input data'!D$55</f>
        <v>0</v>
      </c>
      <c r="L128" s="877">
        <f>'Input data dairy products'!$D$20*L17*'Common input data'!D$55</f>
        <v>0</v>
      </c>
      <c r="M128" s="877">
        <f>'Input data dairy products'!$D$20*M17*'Common input data'!D$55</f>
        <v>0</v>
      </c>
      <c r="N128" s="877">
        <f>'Input data dairy products'!$D$20*N17*'Common input data'!D$55</f>
        <v>0</v>
      </c>
      <c r="O128" s="877">
        <f>'Input data dairy products'!$D$20*O17*'Common input data'!D$55</f>
        <v>2.6255879724152171E-6</v>
      </c>
      <c r="P128" s="877">
        <v>0</v>
      </c>
      <c r="Q128" s="877">
        <f>SUM(G128:P128)</f>
        <v>6.113249613613465E-3</v>
      </c>
      <c r="R128" s="1187">
        <v>0</v>
      </c>
      <c r="S128" s="877">
        <v>0</v>
      </c>
      <c r="T128" s="18"/>
      <c r="U128" s="879"/>
      <c r="V128" s="877"/>
      <c r="W128" s="886"/>
      <c r="X128" s="877"/>
      <c r="Y128" s="879"/>
      <c r="Z128" s="877"/>
      <c r="AA128" s="886"/>
      <c r="AB128" s="877"/>
      <c r="AC128" s="879"/>
      <c r="AD128" s="877"/>
      <c r="AE128" s="886"/>
      <c r="AF128" s="877"/>
      <c r="AG128" s="879"/>
      <c r="AH128" s="877"/>
      <c r="AI128" s="886"/>
      <c r="AJ128" s="877"/>
      <c r="AK128" s="879"/>
      <c r="AL128" s="877"/>
      <c r="AM128" s="886"/>
      <c r="AN128" s="877"/>
      <c r="AO128" s="879"/>
      <c r="AP128" s="877"/>
      <c r="AQ128" s="886"/>
      <c r="AR128" s="877"/>
      <c r="AS128" s="879"/>
      <c r="AT128" s="877"/>
      <c r="AU128" s="886"/>
      <c r="AV128" s="877"/>
      <c r="AW128" s="879"/>
      <c r="AX128" s="877"/>
      <c r="AY128" s="886"/>
      <c r="AZ128" s="877"/>
      <c r="BA128" s="879"/>
      <c r="BB128" s="886"/>
    </row>
    <row r="129" spans="1:402" s="368" customFormat="1">
      <c r="A129" s="362" t="s">
        <v>380</v>
      </c>
      <c r="B129" s="353"/>
      <c r="C129" s="364"/>
      <c r="D129" s="1182" t="s">
        <v>381</v>
      </c>
      <c r="E129" s="1183" t="s">
        <v>381</v>
      </c>
      <c r="F129" s="1184" t="s">
        <v>381</v>
      </c>
      <c r="G129" s="889"/>
      <c r="H129" s="889"/>
      <c r="I129" s="889"/>
      <c r="J129" s="889"/>
      <c r="K129" s="889"/>
      <c r="L129" s="889"/>
      <c r="M129" s="889"/>
      <c r="N129" s="889"/>
      <c r="O129" s="889"/>
      <c r="P129" s="889"/>
      <c r="Q129" s="889"/>
      <c r="R129" s="1188"/>
      <c r="S129" s="889"/>
      <c r="T129" s="18"/>
      <c r="U129" s="883">
        <f>U135*$B$135+U140*$B$140</f>
        <v>10.078014129837213</v>
      </c>
      <c r="V129" s="884">
        <f t="shared" ref="V129:BB129" si="31">V135*$B$135+V140*$B$140</f>
        <v>10.298272152049043</v>
      </c>
      <c r="W129" s="885">
        <f t="shared" si="31"/>
        <v>11.019151202692477</v>
      </c>
      <c r="X129" s="877"/>
      <c r="Y129" s="883">
        <f t="shared" si="31"/>
        <v>11.108552501699675</v>
      </c>
      <c r="Z129" s="884">
        <f t="shared" si="31"/>
        <v>11.35133324919007</v>
      </c>
      <c r="AA129" s="885">
        <f t="shared" si="31"/>
        <v>12.145926576633375</v>
      </c>
      <c r="AB129" s="877"/>
      <c r="AC129" s="883">
        <f t="shared" si="31"/>
        <v>0.23625122062820145</v>
      </c>
      <c r="AD129" s="884">
        <f t="shared" si="31"/>
        <v>0.24141456193039693</v>
      </c>
      <c r="AE129" s="885">
        <f t="shared" si="31"/>
        <v>0.25831358126552473</v>
      </c>
      <c r="AF129" s="877"/>
      <c r="AG129" s="883">
        <f t="shared" si="31"/>
        <v>7.8626636544440413E-3</v>
      </c>
      <c r="AH129" s="884">
        <f t="shared" si="31"/>
        <v>8.0345045274110103E-3</v>
      </c>
      <c r="AI129" s="885">
        <f t="shared" si="31"/>
        <v>8.5969198443297812E-3</v>
      </c>
      <c r="AJ129" s="877"/>
      <c r="AK129" s="883">
        <f t="shared" si="31"/>
        <v>2.2757621879146844E-2</v>
      </c>
      <c r="AL129" s="884">
        <f t="shared" si="31"/>
        <v>2.3254996532602157E-2</v>
      </c>
      <c r="AM129" s="885">
        <f t="shared" si="31"/>
        <v>2.4882846289884308E-2</v>
      </c>
      <c r="AN129" s="877"/>
      <c r="AO129" s="883">
        <f t="shared" si="31"/>
        <v>2.8809039517273344E-10</v>
      </c>
      <c r="AP129" s="884">
        <f t="shared" si="31"/>
        <v>2.9438669718635201E-10</v>
      </c>
      <c r="AQ129" s="885">
        <f t="shared" si="31"/>
        <v>3.1499376598939666E-10</v>
      </c>
      <c r="AR129" s="877"/>
      <c r="AS129" s="883">
        <f t="shared" si="31"/>
        <v>5.0079558257190874E-4</v>
      </c>
      <c r="AT129" s="884">
        <f t="shared" si="31"/>
        <v>5.1174062026769246E-4</v>
      </c>
      <c r="AU129" s="885">
        <f t="shared" si="31"/>
        <v>5.4756246368643097E-4</v>
      </c>
      <c r="AV129" s="877"/>
      <c r="AW129" s="883">
        <f t="shared" si="31"/>
        <v>1.9630838975587019E-2</v>
      </c>
      <c r="AX129" s="884">
        <f t="shared" si="31"/>
        <v>2.0059876850650162E-2</v>
      </c>
      <c r="AY129" s="885">
        <f t="shared" si="31"/>
        <v>2.1464068230195674E-2</v>
      </c>
      <c r="AZ129" s="877"/>
      <c r="BA129" s="883">
        <f t="shared" si="31"/>
        <v>0.33763761329954656</v>
      </c>
      <c r="BB129" s="885">
        <f t="shared" si="31"/>
        <v>0.36127224623051485</v>
      </c>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row>
    <row r="130" spans="1:402" s="12" customFormat="1">
      <c r="A130" s="108" t="s">
        <v>315</v>
      </c>
      <c r="B130" s="390">
        <f>SUM(B135:B140)</f>
        <v>1</v>
      </c>
      <c r="C130" s="355" t="s">
        <v>316</v>
      </c>
      <c r="D130" s="930">
        <f>SUMPRODUCT($BH$6:$BH$9,D131:D134)</f>
        <v>3.302199431366402</v>
      </c>
      <c r="E130" s="872">
        <f>SUMPRODUCT($BH$6:$BH$9,E131:E134)</f>
        <v>4.6432862775061663</v>
      </c>
      <c r="F130" s="873">
        <f>SUMPRODUCT($BH$6:$BH$9,F131:F134)</f>
        <v>4.9465424466402226</v>
      </c>
      <c r="G130" s="1178"/>
      <c r="H130" s="884"/>
      <c r="I130" s="884"/>
      <c r="J130" s="884"/>
      <c r="K130" s="884"/>
      <c r="L130" s="884"/>
      <c r="M130" s="884"/>
      <c r="N130" s="884"/>
      <c r="O130" s="884"/>
      <c r="P130" s="1178"/>
      <c r="Q130" s="1178"/>
      <c r="R130" s="872"/>
      <c r="S130" s="872"/>
      <c r="T130" s="18"/>
      <c r="U130" s="879"/>
      <c r="V130" s="877"/>
      <c r="W130" s="886"/>
      <c r="X130" s="877"/>
      <c r="Y130" s="879"/>
      <c r="Z130" s="877"/>
      <c r="AA130" s="886"/>
      <c r="AB130" s="877"/>
      <c r="AC130" s="879"/>
      <c r="AD130" s="877"/>
      <c r="AE130" s="886"/>
      <c r="AF130" s="877"/>
      <c r="AG130" s="879"/>
      <c r="AH130" s="877"/>
      <c r="AI130" s="886"/>
      <c r="AJ130" s="877"/>
      <c r="AK130" s="879"/>
      <c r="AL130" s="877"/>
      <c r="AM130" s="886"/>
      <c r="AN130" s="877"/>
      <c r="AO130" s="879"/>
      <c r="AP130" s="877"/>
      <c r="AQ130" s="886"/>
      <c r="AR130" s="877"/>
      <c r="AS130" s="879"/>
      <c r="AT130" s="877"/>
      <c r="AU130" s="886"/>
      <c r="AV130" s="877"/>
      <c r="AW130" s="879"/>
      <c r="AX130" s="877"/>
      <c r="AY130" s="886"/>
      <c r="AZ130" s="877"/>
      <c r="BA130" s="879"/>
      <c r="BB130" s="886"/>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row>
    <row r="131" spans="1:402" s="12" customFormat="1">
      <c r="A131" s="18"/>
      <c r="B131"/>
      <c r="C131" s="174" t="s">
        <v>317</v>
      </c>
      <c r="D131" s="928">
        <f t="shared" ref="D131:S131" si="32">$B$135*D136+$B$140*D141</f>
        <v>-9.3545065164081329E-2</v>
      </c>
      <c r="E131" s="877">
        <f t="shared" si="32"/>
        <v>0.98245185550595204</v>
      </c>
      <c r="F131" s="878">
        <f t="shared" si="32"/>
        <v>1.2039117070367522</v>
      </c>
      <c r="G131" s="877">
        <f t="shared" si="32"/>
        <v>0.85924857543970268</v>
      </c>
      <c r="H131" s="877">
        <f t="shared" si="32"/>
        <v>0</v>
      </c>
      <c r="I131" s="877">
        <f t="shared" si="32"/>
        <v>0</v>
      </c>
      <c r="J131" s="877">
        <f t="shared" si="32"/>
        <v>0</v>
      </c>
      <c r="K131" s="877">
        <f t="shared" si="32"/>
        <v>0</v>
      </c>
      <c r="L131" s="877">
        <f t="shared" si="32"/>
        <v>-0.17995733274732631</v>
      </c>
      <c r="M131" s="877">
        <f t="shared" si="32"/>
        <v>8.6412267583244981E-2</v>
      </c>
      <c r="N131" s="877">
        <f t="shared" si="32"/>
        <v>0.18876628472861134</v>
      </c>
      <c r="O131" s="877">
        <f t="shared" si="32"/>
        <v>2.79820605017192E-2</v>
      </c>
      <c r="P131" s="877">
        <f t="shared" si="32"/>
        <v>6.8748000000000004E-2</v>
      </c>
      <c r="Q131" s="877">
        <f t="shared" si="32"/>
        <v>1.0511998555059519</v>
      </c>
      <c r="R131" s="877">
        <f t="shared" si="32"/>
        <v>0.05</v>
      </c>
      <c r="S131" s="877">
        <f t="shared" si="32"/>
        <v>7.6399999999999996E-2</v>
      </c>
      <c r="T131" s="18"/>
      <c r="U131" s="879"/>
      <c r="V131" s="877"/>
      <c r="W131" s="886"/>
      <c r="X131" s="877"/>
      <c r="Y131" s="879"/>
      <c r="Z131" s="877"/>
      <c r="AA131" s="886"/>
      <c r="AB131" s="877"/>
      <c r="AC131" s="879"/>
      <c r="AD131" s="877"/>
      <c r="AE131" s="886"/>
      <c r="AF131" s="877"/>
      <c r="AG131" s="879"/>
      <c r="AH131" s="877"/>
      <c r="AI131" s="886"/>
      <c r="AJ131" s="877"/>
      <c r="AK131" s="879"/>
      <c r="AL131" s="877"/>
      <c r="AM131" s="886"/>
      <c r="AN131" s="877"/>
      <c r="AO131" s="879"/>
      <c r="AP131" s="877"/>
      <c r="AQ131" s="886"/>
      <c r="AR131" s="877"/>
      <c r="AS131" s="879"/>
      <c r="AT131" s="877"/>
      <c r="AU131" s="886"/>
      <c r="AV131" s="877"/>
      <c r="AW131" s="879"/>
      <c r="AX131" s="877"/>
      <c r="AY131" s="886"/>
      <c r="AZ131" s="877"/>
      <c r="BA131" s="879"/>
      <c r="BB131" s="886"/>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row>
    <row r="132" spans="1:402">
      <c r="A132" s="195"/>
      <c r="B132" s="50"/>
      <c r="C132" s="174" t="s">
        <v>318</v>
      </c>
      <c r="D132" s="928">
        <f t="shared" ref="D132:F134" si="33">$B$135*D137+$B$140*D142</f>
        <v>9.0720747011437064E-2</v>
      </c>
      <c r="E132" s="877">
        <f t="shared" si="33"/>
        <v>9.0720747011437064E-2</v>
      </c>
      <c r="F132" s="878">
        <f t="shared" si="33"/>
        <v>9.2747777513324012E-2</v>
      </c>
      <c r="G132" s="877">
        <f>$B$135*G138+$B$140*G143</f>
        <v>9.1849023618539405E-4</v>
      </c>
      <c r="H132" s="877">
        <f t="shared" ref="H132:N134" si="34">$B$135*H137+$B$140*H142</f>
        <v>0</v>
      </c>
      <c r="I132" s="877">
        <f t="shared" si="34"/>
        <v>5.4390176169692326E-3</v>
      </c>
      <c r="J132" s="877">
        <f t="shared" si="34"/>
        <v>0</v>
      </c>
      <c r="K132" s="877">
        <f t="shared" si="34"/>
        <v>8.5281729394467848E-2</v>
      </c>
      <c r="L132" s="877">
        <f t="shared" si="34"/>
        <v>0</v>
      </c>
      <c r="M132" s="877">
        <f t="shared" si="34"/>
        <v>0</v>
      </c>
      <c r="N132" s="877">
        <f t="shared" si="34"/>
        <v>0</v>
      </c>
      <c r="O132" s="877">
        <f>$B$135*O138+$B$140*O143</f>
        <v>7.7353443569556224E-6</v>
      </c>
      <c r="P132" s="877">
        <f t="shared" ref="P132:S134" si="35">$B$135*P137+$B$140*P142</f>
        <v>0</v>
      </c>
      <c r="Q132" s="877">
        <f t="shared" si="35"/>
        <v>9.0720747011437064E-2</v>
      </c>
      <c r="R132" s="877">
        <f t="shared" si="35"/>
        <v>0</v>
      </c>
      <c r="S132" s="877">
        <f t="shared" si="35"/>
        <v>0</v>
      </c>
      <c r="T132" s="18"/>
      <c r="U132" s="879"/>
      <c r="V132" s="877"/>
      <c r="W132" s="886"/>
      <c r="X132" s="877"/>
      <c r="Y132" s="879"/>
      <c r="Z132" s="877"/>
      <c r="AA132" s="886"/>
      <c r="AB132" s="877"/>
      <c r="AC132" s="879"/>
      <c r="AD132" s="877"/>
      <c r="AE132" s="886"/>
      <c r="AF132" s="877"/>
      <c r="AG132" s="879"/>
      <c r="AH132" s="877"/>
      <c r="AI132" s="886"/>
      <c r="AJ132" s="877"/>
      <c r="AK132" s="879"/>
      <c r="AL132" s="877"/>
      <c r="AM132" s="886"/>
      <c r="AN132" s="877"/>
      <c r="AO132" s="879"/>
      <c r="AP132" s="877"/>
      <c r="AQ132" s="886"/>
      <c r="AR132" s="877"/>
      <c r="AS132" s="879"/>
      <c r="AT132" s="877"/>
      <c r="AU132" s="886"/>
      <c r="AV132" s="877"/>
      <c r="AW132" s="879"/>
      <c r="AX132" s="877"/>
      <c r="AY132" s="886"/>
      <c r="AZ132" s="877"/>
      <c r="BA132" s="879"/>
      <c r="BB132" s="886"/>
    </row>
    <row r="133" spans="1:402">
      <c r="A133" s="195"/>
      <c r="B133" s="50"/>
      <c r="C133" s="174" t="s">
        <v>319</v>
      </c>
      <c r="D133" s="928">
        <f t="shared" si="33"/>
        <v>0</v>
      </c>
      <c r="E133" s="877">
        <f t="shared" si="33"/>
        <v>9.2622558054234979E-4</v>
      </c>
      <c r="F133" s="878">
        <f t="shared" si="33"/>
        <v>9.4692081912047324E-4</v>
      </c>
      <c r="G133" s="877">
        <f>$B$135*G139+$B$140*G144</f>
        <v>8.6919978474041184E-4</v>
      </c>
      <c r="H133" s="877">
        <f t="shared" si="34"/>
        <v>0</v>
      </c>
      <c r="I133" s="877">
        <f t="shared" si="34"/>
        <v>0</v>
      </c>
      <c r="J133" s="877">
        <f t="shared" si="34"/>
        <v>0</v>
      </c>
      <c r="K133" s="877">
        <f t="shared" si="34"/>
        <v>0</v>
      </c>
      <c r="L133" s="877">
        <f t="shared" si="34"/>
        <v>0</v>
      </c>
      <c r="M133" s="877">
        <f t="shared" si="34"/>
        <v>0</v>
      </c>
      <c r="N133" s="877">
        <f t="shared" si="34"/>
        <v>0</v>
      </c>
      <c r="O133" s="877">
        <f>$B$135*O139+$B$140*O144</f>
        <v>7.2110599060952966E-7</v>
      </c>
      <c r="P133" s="877">
        <f t="shared" si="35"/>
        <v>0</v>
      </c>
      <c r="Q133" s="877">
        <f t="shared" si="35"/>
        <v>9.2622558054234979E-4</v>
      </c>
      <c r="R133" s="877">
        <f t="shared" si="35"/>
        <v>0</v>
      </c>
      <c r="S133" s="877">
        <f t="shared" si="35"/>
        <v>0</v>
      </c>
      <c r="T133" s="18"/>
      <c r="U133" s="879"/>
      <c r="V133" s="877"/>
      <c r="W133" s="886"/>
      <c r="X133" s="877"/>
      <c r="Y133" s="879"/>
      <c r="Z133" s="877"/>
      <c r="AA133" s="886"/>
      <c r="AB133" s="877"/>
      <c r="AC133" s="879"/>
      <c r="AD133" s="877"/>
      <c r="AE133" s="886"/>
      <c r="AF133" s="877"/>
      <c r="AG133" s="879"/>
      <c r="AH133" s="877"/>
      <c r="AI133" s="886"/>
      <c r="AJ133" s="877"/>
      <c r="AK133" s="879"/>
      <c r="AL133" s="877"/>
      <c r="AM133" s="886"/>
      <c r="AN133" s="877"/>
      <c r="AO133" s="879"/>
      <c r="AP133" s="877"/>
      <c r="AQ133" s="886"/>
      <c r="AR133" s="877"/>
      <c r="AS133" s="879"/>
      <c r="AT133" s="877"/>
      <c r="AU133" s="886"/>
      <c r="AV133" s="877"/>
      <c r="AW133" s="879"/>
      <c r="AX133" s="877"/>
      <c r="AY133" s="886"/>
      <c r="AZ133" s="877"/>
      <c r="BA133" s="879"/>
      <c r="BB133" s="886"/>
    </row>
    <row r="134" spans="1:402">
      <c r="A134" s="195"/>
      <c r="B134" s="54"/>
      <c r="C134" s="55" t="s">
        <v>320</v>
      </c>
      <c r="D134" s="928">
        <f t="shared" si="33"/>
        <v>3.4662429568559795E-3</v>
      </c>
      <c r="E134" s="877">
        <f t="shared" si="33"/>
        <v>4.3361638475870011E-3</v>
      </c>
      <c r="F134" s="878">
        <f t="shared" si="33"/>
        <v>4.4330494737506634E-3</v>
      </c>
      <c r="G134" s="877">
        <f>$B$135*G139+$B$140*G144</f>
        <v>8.6919978474041184E-4</v>
      </c>
      <c r="H134" s="877">
        <f t="shared" si="34"/>
        <v>2.196986711885218E-3</v>
      </c>
      <c r="I134" s="877">
        <f t="shared" si="34"/>
        <v>1.1825312166979705E-3</v>
      </c>
      <c r="J134" s="877">
        <f t="shared" si="34"/>
        <v>8.6725028272790908E-5</v>
      </c>
      <c r="K134" s="877">
        <f t="shared" si="34"/>
        <v>0</v>
      </c>
      <c r="L134" s="877">
        <f t="shared" si="34"/>
        <v>0</v>
      </c>
      <c r="M134" s="877">
        <f t="shared" si="34"/>
        <v>0</v>
      </c>
      <c r="N134" s="877">
        <f t="shared" si="34"/>
        <v>0</v>
      </c>
      <c r="O134" s="877">
        <f>$B$135*O139+$B$140*O144</f>
        <v>7.2110599060952966E-7</v>
      </c>
      <c r="P134" s="877">
        <f t="shared" si="35"/>
        <v>0</v>
      </c>
      <c r="Q134" s="877">
        <f t="shared" si="35"/>
        <v>4.3361638475870011E-3</v>
      </c>
      <c r="R134" s="877">
        <f t="shared" si="35"/>
        <v>0</v>
      </c>
      <c r="S134" s="877">
        <f t="shared" si="35"/>
        <v>0</v>
      </c>
      <c r="T134" s="18"/>
      <c r="U134" s="879"/>
      <c r="V134" s="877"/>
      <c r="W134" s="886"/>
      <c r="X134" s="877"/>
      <c r="Y134" s="879"/>
      <c r="Z134" s="877"/>
      <c r="AA134" s="886"/>
      <c r="AB134" s="877"/>
      <c r="AC134" s="879"/>
      <c r="AD134" s="877"/>
      <c r="AE134" s="886"/>
      <c r="AF134" s="877"/>
      <c r="AG134" s="879"/>
      <c r="AH134" s="877"/>
      <c r="AI134" s="886"/>
      <c r="AJ134" s="877"/>
      <c r="AK134" s="879"/>
      <c r="AL134" s="877"/>
      <c r="AM134" s="886"/>
      <c r="AN134" s="877"/>
      <c r="AO134" s="879"/>
      <c r="AP134" s="877"/>
      <c r="AQ134" s="886"/>
      <c r="AR134" s="877"/>
      <c r="AS134" s="879"/>
      <c r="AT134" s="877"/>
      <c r="AU134" s="886"/>
      <c r="AV134" s="877"/>
      <c r="AW134" s="879"/>
      <c r="AX134" s="877"/>
      <c r="AY134" s="886"/>
      <c r="AZ134" s="877"/>
      <c r="BA134" s="879"/>
      <c r="BB134" s="886"/>
    </row>
    <row r="135" spans="1:402" s="12" customFormat="1">
      <c r="A135" s="108" t="s">
        <v>122</v>
      </c>
      <c r="B135" s="390">
        <f>'Input data dairy products'!C21</f>
        <v>0.76800000000000002</v>
      </c>
      <c r="C135" s="355" t="s">
        <v>316</v>
      </c>
      <c r="D135" s="930">
        <f>SUMPRODUCT($BH$6:$BH$9,D136:D139)</f>
        <v>3.302199431366402</v>
      </c>
      <c r="E135" s="872">
        <f>SUMPRODUCT($BH$6:$BH$9,E136:E139)</f>
        <v>4.5394134166070303</v>
      </c>
      <c r="F135" s="873">
        <f>SUMPRODUCT($BH$6:$BH$9,F136:F139)</f>
        <v>4.7747673903534213</v>
      </c>
      <c r="G135" s="884"/>
      <c r="H135" s="884"/>
      <c r="I135" s="884"/>
      <c r="J135" s="884"/>
      <c r="K135" s="884"/>
      <c r="L135" s="884"/>
      <c r="M135" s="884"/>
      <c r="N135" s="884"/>
      <c r="O135" s="884"/>
      <c r="P135" s="884"/>
      <c r="Q135" s="884"/>
      <c r="R135" s="884"/>
      <c r="S135" s="884"/>
      <c r="T135" s="18"/>
      <c r="U135" s="1220">
        <f>U$19*'Input data dairy products'!$D21*'Common input data'!$D$56</f>
        <v>10.078014129837213</v>
      </c>
      <c r="V135" s="877">
        <f>U135+U135*'Common input data'!$B$146</f>
        <v>10.298272152049043</v>
      </c>
      <c r="W135" s="886">
        <f>V135+V135*'Common input data'!$B$181</f>
        <v>11.019151202692475</v>
      </c>
      <c r="X135" s="877"/>
      <c r="Y135" s="1220">
        <f>Y$19*'Input data dairy products'!$D21*'Common input data'!$D$56</f>
        <v>11.108552501699675</v>
      </c>
      <c r="Z135" s="877">
        <f>Y135+Y135*'Common input data'!$B$146</f>
        <v>11.35133324919007</v>
      </c>
      <c r="AA135" s="886">
        <f>Z135+Z135*'Common input data'!$B$181</f>
        <v>12.145926576633375</v>
      </c>
      <c r="AB135" s="877"/>
      <c r="AC135" s="1220">
        <f>AC$19*'Input data dairy products'!$D21*'Common input data'!$D$56</f>
        <v>0.23625122062820145</v>
      </c>
      <c r="AD135" s="877">
        <f>AC135+AC135*'Common input data'!$B$146</f>
        <v>0.24141456193039693</v>
      </c>
      <c r="AE135" s="886">
        <f>AD135+AD135*'Common input data'!$B$181</f>
        <v>0.25831358126552473</v>
      </c>
      <c r="AF135" s="877"/>
      <c r="AG135" s="1220">
        <f>AG$19*'Input data dairy products'!$D21*'Common input data'!$D$56</f>
        <v>7.8626636544440413E-3</v>
      </c>
      <c r="AH135" s="877">
        <f>AG135+AG135*'Common input data'!$B$146</f>
        <v>8.0345045274110103E-3</v>
      </c>
      <c r="AI135" s="886">
        <f>AH135+AH135*'Common input data'!$B$181</f>
        <v>8.5969198443297812E-3</v>
      </c>
      <c r="AJ135" s="877"/>
      <c r="AK135" s="1220">
        <f>AK$19*'Input data dairy products'!$D21*'Common input data'!$D$56</f>
        <v>2.2757621879146844E-2</v>
      </c>
      <c r="AL135" s="877">
        <f>AK135+AK135*'Common input data'!$B$146</f>
        <v>2.3254996532602157E-2</v>
      </c>
      <c r="AM135" s="886">
        <f>AL135+AL135*'Common input data'!$B$181</f>
        <v>2.4882846289884308E-2</v>
      </c>
      <c r="AN135" s="877"/>
      <c r="AO135" s="1220">
        <f>(AO$19*'Input data dairy products'!$D21*'Common input data'!$D$56)/$AP$2</f>
        <v>2.8809039517273344E-10</v>
      </c>
      <c r="AP135" s="877">
        <f>AO135+AO135*'Common input data'!$B$146</f>
        <v>2.9438669718635201E-10</v>
      </c>
      <c r="AQ135" s="886">
        <f>AP135+AP135*'Common input data'!$B$181</f>
        <v>3.1499376598939666E-10</v>
      </c>
      <c r="AR135" s="877"/>
      <c r="AS135" s="1220">
        <f>AS$19*'Input data dairy products'!$D21*'Common input data'!$D$56</f>
        <v>5.0079558257190874E-4</v>
      </c>
      <c r="AT135" s="877">
        <f>AS135+AS135*'Common input data'!$B$146</f>
        <v>5.1174062026769246E-4</v>
      </c>
      <c r="AU135" s="886">
        <f>AT135+AT135*'Common input data'!$B$181</f>
        <v>5.4756246368643097E-4</v>
      </c>
      <c r="AV135" s="877"/>
      <c r="AW135" s="1220">
        <f>AW$19*'Input data dairy products'!$D21*'Common input data'!$D$56</f>
        <v>1.9630838975587019E-2</v>
      </c>
      <c r="AX135" s="877">
        <f>AW135+AW135*'Common input data'!$B$146</f>
        <v>2.0059876850650162E-2</v>
      </c>
      <c r="AY135" s="886">
        <f>AX135+AX135*'Common input data'!$B$181</f>
        <v>2.1464068230195674E-2</v>
      </c>
      <c r="AZ135" s="877"/>
      <c r="BA135" s="879">
        <f>'Common input data'!C202+'Common input data'!C202*'Common input data'!$B$146</f>
        <v>0.14632967895999996</v>
      </c>
      <c r="BB135" s="886">
        <f>BA135+BA135*'Common input data'!$B$181</f>
        <v>0.15657275648719995</v>
      </c>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row>
    <row r="136" spans="1:402" s="12" customFormat="1">
      <c r="A136" s="18"/>
      <c r="B136"/>
      <c r="C136" s="174" t="s">
        <v>317</v>
      </c>
      <c r="D136" s="928">
        <f>IF(AND($F$2="No",$F$3="No"),SUM(H136:K136),IF(AND($F$2="Yes", $F$3="No"), SUM(H136:K136)+M136, IF(AND($F$2="No", $F$3="Yes"),SUM(H136:K136)+L136, SUM(H136:K136)+M136+L136)))</f>
        <v>-9.3545065164081329E-2</v>
      </c>
      <c r="E136" s="877">
        <f>IF(AND($F$2="No",$F$3="No"),SUM(G136:K136,N136:O136),IF(AND($F$2="Yes",$F$3="No"), SUM(G136:K136,N136:O136)+M136, IF(AND($F$2="No", $F$3="Yes"),SUM(G136:K136,N136:O136)+L136, SUM(G136:K136,N136:O136)+M136+L136)))</f>
        <v>0.87878340366474772</v>
      </c>
      <c r="F136" s="878">
        <f>SUM(Q136:S136)/(1-'Common input data'!B$146)</f>
        <v>1.0323456270475602</v>
      </c>
      <c r="G136" s="877">
        <f>'Input data dairy products'!$D$21*G9*'Common input data'!D$56</f>
        <v>0.85924857543970268</v>
      </c>
      <c r="H136" s="877">
        <f>'Input data dairy products'!$D$21*H9*'Common input data'!D$56</f>
        <v>0</v>
      </c>
      <c r="I136" s="877">
        <f>'Input data dairy products'!$D$21*I9*'Common input data'!D$56</f>
        <v>0</v>
      </c>
      <c r="J136" s="877">
        <f>'Input data dairy products'!$D$21*J9*'Common input data'!D$56</f>
        <v>0</v>
      </c>
      <c r="K136" s="877">
        <f>'Input data dairy products'!$D$21*K9*'Common input data'!D$56</f>
        <v>0</v>
      </c>
      <c r="L136" s="877">
        <f>'Input data dairy products'!$D$21*L9*'Common input data'!D$56</f>
        <v>-0.17995733274732631</v>
      </c>
      <c r="M136" s="877">
        <f>'Input data dairy products'!$D$21*M9*'Common input data'!D$56</f>
        <v>8.6412267583244981E-2</v>
      </c>
      <c r="N136" s="877">
        <f>'Input data dairy products'!$D$21*N9*'Common input data'!D$56</f>
        <v>9.8481357861761556E-2</v>
      </c>
      <c r="O136" s="877">
        <f>'Input data dairy products'!$D$21*O9*'Common input data'!D$56</f>
        <v>1.4598535527364689E-2</v>
      </c>
      <c r="P136" s="877">
        <f>'Input data dairy products'!H$29*'Common input data'!D$56</f>
        <v>5.1000000000000004E-2</v>
      </c>
      <c r="Q136" s="1185">
        <f>IF(AND($F$2="No",$F$3="No"),SUM(G136:K136,N136:P136),IF(AND($F$2="Yes",$F$3="No"), SUM(G136:K136,N136:P136)+M136, IF(AND($F$2="No", $F$3="Yes"),SUM(G136:K136,N136:P136)+L136, SUM(G136:K136,N136:P136)+M136+L136)))</f>
        <v>0.92978340366474765</v>
      </c>
      <c r="R136" s="877">
        <f>'Common input data'!B$108</f>
        <v>0.05</v>
      </c>
      <c r="S136" s="877">
        <f>'Common input data'!C$115</f>
        <v>0.03</v>
      </c>
      <c r="T136" s="18"/>
      <c r="U136" s="879"/>
      <c r="V136" s="877"/>
      <c r="W136" s="886"/>
      <c r="X136" s="877"/>
      <c r="Y136" s="879"/>
      <c r="Z136" s="877"/>
      <c r="AA136" s="886"/>
      <c r="AB136" s="877"/>
      <c r="AC136" s="879"/>
      <c r="AD136" s="877"/>
      <c r="AE136" s="886"/>
      <c r="AF136" s="877"/>
      <c r="AG136" s="879"/>
      <c r="AH136" s="877"/>
      <c r="AI136" s="886"/>
      <c r="AJ136" s="877"/>
      <c r="AK136" s="879"/>
      <c r="AL136" s="877"/>
      <c r="AM136" s="886"/>
      <c r="AN136" s="877"/>
      <c r="AO136" s="879"/>
      <c r="AP136" s="877"/>
      <c r="AQ136" s="886"/>
      <c r="AR136" s="877"/>
      <c r="AS136" s="879"/>
      <c r="AT136" s="877"/>
      <c r="AU136" s="886"/>
      <c r="AV136" s="877"/>
      <c r="AW136" s="879"/>
      <c r="AX136" s="877"/>
      <c r="AY136" s="886"/>
      <c r="AZ136" s="877"/>
      <c r="BA136" s="879"/>
      <c r="BB136" s="88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c r="OC136"/>
      <c r="OD136"/>
      <c r="OE136"/>
      <c r="OF136"/>
      <c r="OG136"/>
      <c r="OH136"/>
      <c r="OI136"/>
      <c r="OJ136"/>
      <c r="OK136"/>
      <c r="OL136"/>
    </row>
    <row r="137" spans="1:402">
      <c r="A137" s="68"/>
      <c r="B137" s="50"/>
      <c r="C137" s="174" t="s">
        <v>318</v>
      </c>
      <c r="D137" s="928">
        <f>SUM(H137:K137)</f>
        <v>9.0720747011437078E-2</v>
      </c>
      <c r="E137" s="877">
        <f>SUM(G137:K137,N137:O137)</f>
        <v>9.0720747011437078E-2</v>
      </c>
      <c r="F137" s="878">
        <f>SUM(Q137:S137)/(1-'Common input data'!B$146)</f>
        <v>9.2747777513324012E-2</v>
      </c>
      <c r="G137" s="877">
        <v>0</v>
      </c>
      <c r="H137" s="877">
        <f>'Input data dairy products'!$D$21*H10*'Common input data'!D$56</f>
        <v>0</v>
      </c>
      <c r="I137" s="877">
        <f>'Input data dairy products'!$D$21*I10*'Common input data'!D$56</f>
        <v>5.4390176169692326E-3</v>
      </c>
      <c r="J137" s="877">
        <f>'Input data dairy products'!$D$21*J10*'Common input data'!D$56</f>
        <v>0</v>
      </c>
      <c r="K137" s="877">
        <f>'Input data dairy products'!$D$21*K10*'Common input data'!D$56</f>
        <v>8.5281729394467848E-2</v>
      </c>
      <c r="L137" s="877">
        <f>'Input data dairy products'!$D$21*L10*'Common input data'!D$56</f>
        <v>0</v>
      </c>
      <c r="M137" s="877">
        <f>'Input data dairy products'!$D$21*M10*'Common input data'!D$56</f>
        <v>0</v>
      </c>
      <c r="N137" s="877">
        <f>'Input data dairy products'!$D$21*N10*'Common input data'!D$56</f>
        <v>0</v>
      </c>
      <c r="O137" s="877">
        <v>0</v>
      </c>
      <c r="P137" s="877">
        <v>0</v>
      </c>
      <c r="Q137" s="877">
        <f>SUM(G137:P137)</f>
        <v>9.0720747011437078E-2</v>
      </c>
      <c r="R137" s="877">
        <v>0</v>
      </c>
      <c r="S137" s="877">
        <v>0</v>
      </c>
      <c r="T137" s="18"/>
      <c r="U137" s="879"/>
      <c r="V137" s="877"/>
      <c r="W137" s="886"/>
      <c r="X137" s="877"/>
      <c r="Y137" s="879"/>
      <c r="Z137" s="877"/>
      <c r="AA137" s="886"/>
      <c r="AB137" s="877"/>
      <c r="AC137" s="879"/>
      <c r="AD137" s="877"/>
      <c r="AE137" s="886"/>
      <c r="AF137" s="877"/>
      <c r="AG137" s="879"/>
      <c r="AH137" s="877"/>
      <c r="AI137" s="886"/>
      <c r="AJ137" s="877"/>
      <c r="AK137" s="879"/>
      <c r="AL137" s="877"/>
      <c r="AM137" s="886"/>
      <c r="AN137" s="877"/>
      <c r="AO137" s="879"/>
      <c r="AP137" s="877"/>
      <c r="AQ137" s="886"/>
      <c r="AR137" s="877"/>
      <c r="AS137" s="879"/>
      <c r="AT137" s="877"/>
      <c r="AU137" s="886"/>
      <c r="AV137" s="877"/>
      <c r="AW137" s="879"/>
      <c r="AX137" s="877"/>
      <c r="AY137" s="886"/>
      <c r="AZ137" s="877"/>
      <c r="BA137" s="879"/>
      <c r="BB137" s="886"/>
    </row>
    <row r="138" spans="1:402">
      <c r="A138" s="68"/>
      <c r="B138" s="50"/>
      <c r="C138" s="174" t="s">
        <v>319</v>
      </c>
      <c r="D138" s="928">
        <f>SUM(H138:K138)</f>
        <v>0</v>
      </c>
      <c r="E138" s="877">
        <f>SUM(G138:K138,N138:O138)</f>
        <v>9.2252584676541126E-4</v>
      </c>
      <c r="F138" s="878">
        <f>SUM(Q138:S138)/(1-'Common input data'!B$146)</f>
        <v>9.4313841987326728E-4</v>
      </c>
      <c r="G138" s="877">
        <f>'Input data dairy products'!$D$21*G11*'Common input data'!D$56</f>
        <v>9.1849023618539416E-4</v>
      </c>
      <c r="H138" s="877">
        <v>0</v>
      </c>
      <c r="I138" s="877">
        <v>0</v>
      </c>
      <c r="J138" s="877">
        <v>0</v>
      </c>
      <c r="K138" s="877">
        <v>0</v>
      </c>
      <c r="L138" s="877">
        <v>0</v>
      </c>
      <c r="M138" s="877">
        <v>0</v>
      </c>
      <c r="N138" s="877">
        <v>0</v>
      </c>
      <c r="O138" s="877">
        <f>'Input data dairy products'!$D$21*O11*'Common input data'!D$56</f>
        <v>4.0356105800171005E-6</v>
      </c>
      <c r="P138" s="877">
        <v>0</v>
      </c>
      <c r="Q138" s="877">
        <f>SUM(G138:P138)</f>
        <v>9.2252584676541126E-4</v>
      </c>
      <c r="R138" s="877">
        <v>0</v>
      </c>
      <c r="S138" s="877">
        <v>0</v>
      </c>
      <c r="T138" s="18"/>
      <c r="U138" s="879"/>
      <c r="V138" s="877"/>
      <c r="W138" s="886"/>
      <c r="X138" s="877"/>
      <c r="Y138" s="879"/>
      <c r="Z138" s="877"/>
      <c r="AA138" s="886"/>
      <c r="AB138" s="877"/>
      <c r="AC138" s="879"/>
      <c r="AD138" s="877"/>
      <c r="AE138" s="886"/>
      <c r="AF138" s="877"/>
      <c r="AG138" s="879"/>
      <c r="AH138" s="877"/>
      <c r="AI138" s="886"/>
      <c r="AJ138" s="877"/>
      <c r="AK138" s="879"/>
      <c r="AL138" s="877"/>
      <c r="AM138" s="886"/>
      <c r="AN138" s="877"/>
      <c r="AO138" s="879"/>
      <c r="AP138" s="877"/>
      <c r="AQ138" s="886"/>
      <c r="AR138" s="877"/>
      <c r="AS138" s="879"/>
      <c r="AT138" s="877"/>
      <c r="AU138" s="886"/>
      <c r="AV138" s="877"/>
      <c r="AW138" s="879"/>
      <c r="AX138" s="877"/>
      <c r="AY138" s="886"/>
      <c r="AZ138" s="877"/>
      <c r="BA138" s="879"/>
      <c r="BB138" s="886"/>
    </row>
    <row r="139" spans="1:402">
      <c r="A139" s="359"/>
      <c r="B139" s="54"/>
      <c r="C139" s="55" t="s">
        <v>320</v>
      </c>
      <c r="D139" s="928">
        <f>SUM(H139:K139)</f>
        <v>3.4662429568559795E-3</v>
      </c>
      <c r="E139" s="877">
        <f>SUM(G139:K139,N139:O139)</f>
        <v>4.3358189501826842E-3</v>
      </c>
      <c r="F139" s="878">
        <f>SUM(Q139:S139)/(1-'Common input data'!B$146)</f>
        <v>4.4326968700875071E-3</v>
      </c>
      <c r="G139" s="877">
        <f>'Input data dairy products'!$D$21*G12*'Common input data'!D$56</f>
        <v>8.6919978474041184E-4</v>
      </c>
      <c r="H139" s="877">
        <f>'Input data dairy products'!$D$21*H12*'Common input data'!D$56</f>
        <v>2.196986711885218E-3</v>
      </c>
      <c r="I139" s="877">
        <f>'Input data dairy products'!$D$21*I12*'Common input data'!D$56</f>
        <v>1.1825312166979705E-3</v>
      </c>
      <c r="J139" s="877">
        <f>'Input data dairy products'!$D$21*J12*'Common input data'!D$56</f>
        <v>8.6725028272790908E-5</v>
      </c>
      <c r="K139" s="877">
        <f>'Input data dairy products'!$D$21*K12*'Common input data'!D$56</f>
        <v>0</v>
      </c>
      <c r="L139" s="877">
        <f>'Input data dairy products'!$D$21*L12*'Common input data'!D$56</f>
        <v>0</v>
      </c>
      <c r="M139" s="877">
        <f>'Input data dairy products'!$D$21*M12*'Common input data'!D$56</f>
        <v>0</v>
      </c>
      <c r="N139" s="877">
        <f>'Input data dairy products'!$D$21*N12*'Common input data'!D$56</f>
        <v>0</v>
      </c>
      <c r="O139" s="877">
        <f>'Input data dairy products'!$D$21*O12*'Common input data'!D$56</f>
        <v>3.7620858629270522E-7</v>
      </c>
      <c r="P139" s="877">
        <v>0</v>
      </c>
      <c r="Q139" s="877">
        <f>SUM(G139:P139)</f>
        <v>4.3358189501826842E-3</v>
      </c>
      <c r="R139" s="877">
        <v>0</v>
      </c>
      <c r="S139" s="877">
        <v>0</v>
      </c>
      <c r="T139" s="18"/>
      <c r="U139" s="879"/>
      <c r="V139" s="877"/>
      <c r="W139" s="886"/>
      <c r="X139" s="877"/>
      <c r="Y139" s="879"/>
      <c r="Z139" s="877"/>
      <c r="AA139" s="886"/>
      <c r="AB139" s="877"/>
      <c r="AC139" s="879"/>
      <c r="AD139" s="877"/>
      <c r="AE139" s="886"/>
      <c r="AF139" s="877"/>
      <c r="AG139" s="879"/>
      <c r="AH139" s="877"/>
      <c r="AI139" s="886"/>
      <c r="AJ139" s="877"/>
      <c r="AK139" s="879"/>
      <c r="AL139" s="877"/>
      <c r="AM139" s="886"/>
      <c r="AN139" s="877"/>
      <c r="AO139" s="879"/>
      <c r="AP139" s="877"/>
      <c r="AQ139" s="886"/>
      <c r="AR139" s="877"/>
      <c r="AS139" s="879"/>
      <c r="AT139" s="877"/>
      <c r="AU139" s="886"/>
      <c r="AV139" s="877"/>
      <c r="AW139" s="879"/>
      <c r="AX139" s="877"/>
      <c r="AY139" s="886"/>
      <c r="AZ139" s="877"/>
      <c r="BA139" s="879"/>
      <c r="BB139" s="886"/>
    </row>
    <row r="140" spans="1:402" s="12" customFormat="1">
      <c r="A140" s="108" t="s">
        <v>125</v>
      </c>
      <c r="B140" s="390">
        <f>'Input data dairy products'!C22</f>
        <v>0.23199999999999998</v>
      </c>
      <c r="C140" s="355" t="s">
        <v>316</v>
      </c>
      <c r="D140" s="930">
        <f>SUMPRODUCT($BH$6:$BH$9,D141:D144)</f>
        <v>3.302199431366402</v>
      </c>
      <c r="E140" s="872">
        <f>SUMPRODUCT($BH$6:$BH$9,E141:E144)</f>
        <v>4.9871412653102016</v>
      </c>
      <c r="F140" s="873">
        <f>SUMPRODUCT($BH$6:$BH$9,F141:F144)</f>
        <v>5.5151771157275613</v>
      </c>
      <c r="G140" s="884"/>
      <c r="H140" s="884"/>
      <c r="I140" s="884"/>
      <c r="J140" s="884"/>
      <c r="K140" s="884"/>
      <c r="L140" s="884"/>
      <c r="M140" s="884"/>
      <c r="N140" s="884"/>
      <c r="O140" s="884"/>
      <c r="P140" s="884"/>
      <c r="Q140" s="884"/>
      <c r="R140" s="884"/>
      <c r="S140" s="884"/>
      <c r="T140" s="18"/>
      <c r="U140" s="1220">
        <f>U$19*'Input data dairy products'!$D22*'Common input data'!$D$56</f>
        <v>10.078014129837213</v>
      </c>
      <c r="V140" s="877">
        <f>U140+U140*'Common input data'!$B$146</f>
        <v>10.298272152049043</v>
      </c>
      <c r="W140" s="886">
        <f>V140+V140*'Common input data'!$B$181</f>
        <v>11.019151202692475</v>
      </c>
      <c r="X140" s="877"/>
      <c r="Y140" s="1220">
        <f>Y$19*'Input data dairy products'!$D22*'Common input data'!$D$56</f>
        <v>11.108552501699675</v>
      </c>
      <c r="Z140" s="877">
        <f>Y140+Y140*'Common input data'!$B$146</f>
        <v>11.35133324919007</v>
      </c>
      <c r="AA140" s="886">
        <f>Z140+Z140*'Common input data'!$B$181</f>
        <v>12.145926576633375</v>
      </c>
      <c r="AB140" s="877"/>
      <c r="AC140" s="1220">
        <f>AC$19*'Input data dairy products'!$D22*'Common input data'!$D$56</f>
        <v>0.23625122062820145</v>
      </c>
      <c r="AD140" s="877">
        <f>AC140+AC140*'Common input data'!$B$146</f>
        <v>0.24141456193039693</v>
      </c>
      <c r="AE140" s="886">
        <f>AD140+AD140*'Common input data'!$B$181</f>
        <v>0.25831358126552473</v>
      </c>
      <c r="AF140" s="877"/>
      <c r="AG140" s="1220">
        <f>AG$19*'Input data dairy products'!$D22*'Common input data'!$D$56</f>
        <v>7.8626636544440413E-3</v>
      </c>
      <c r="AH140" s="877">
        <f>AG140+AG140*'Common input data'!$B$146</f>
        <v>8.0345045274110103E-3</v>
      </c>
      <c r="AI140" s="886">
        <f>AH140+AH140*'Common input data'!$B$181</f>
        <v>8.5969198443297812E-3</v>
      </c>
      <c r="AJ140" s="877"/>
      <c r="AK140" s="1220">
        <f>AK$19*'Input data dairy products'!$D22*'Common input data'!$D$56</f>
        <v>2.2757621879146844E-2</v>
      </c>
      <c r="AL140" s="877">
        <f>AK140+AK140*'Common input data'!$B$146</f>
        <v>2.3254996532602157E-2</v>
      </c>
      <c r="AM140" s="886">
        <f>AL140+AL140*'Common input data'!$B$181</f>
        <v>2.4882846289884308E-2</v>
      </c>
      <c r="AN140" s="877"/>
      <c r="AO140" s="1220">
        <f>(AO$19*'Input data dairy products'!$D22*'Common input data'!$D$56)/$AP$2</f>
        <v>2.8809039517273344E-10</v>
      </c>
      <c r="AP140" s="877">
        <f>AO140+AO140*'Common input data'!$B$146</f>
        <v>2.9438669718635201E-10</v>
      </c>
      <c r="AQ140" s="886">
        <f>AP140+AP140*'Common input data'!$B$181</f>
        <v>3.1499376598939666E-10</v>
      </c>
      <c r="AR140" s="877"/>
      <c r="AS140" s="1220">
        <f>AS$19*'Input data dairy products'!$D22*'Common input data'!$D$56</f>
        <v>5.0079558257190874E-4</v>
      </c>
      <c r="AT140" s="877">
        <f>AS140+AS140*'Common input data'!$B$146</f>
        <v>5.1174062026769246E-4</v>
      </c>
      <c r="AU140" s="886">
        <f>AT140+AT140*'Common input data'!$B$181</f>
        <v>5.4756246368643097E-4</v>
      </c>
      <c r="AV140" s="877"/>
      <c r="AW140" s="1220">
        <f>AW$19*'Input data dairy products'!$D22*'Common input data'!$D$56</f>
        <v>1.9630838975587019E-2</v>
      </c>
      <c r="AX140" s="877">
        <f>AW140+AW140*'Common input data'!$B$146</f>
        <v>2.0059876850650162E-2</v>
      </c>
      <c r="AY140" s="886">
        <f>AX140+AX140*'Common input data'!$B$181</f>
        <v>2.1464068230195674E-2</v>
      </c>
      <c r="AZ140" s="877"/>
      <c r="BA140" s="879">
        <f>('Common input data'!B214+'Common input data'!C214)+('Common input data'!B214+'Common input data'!C214)*'Common input data'!$B$146</f>
        <v>0.97093284421666648</v>
      </c>
      <c r="BB140" s="886">
        <f>BA140+BA140*'Common input data'!$B$181</f>
        <v>1.0388981433118332</v>
      </c>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row>
    <row r="141" spans="1:402" s="12" customFormat="1">
      <c r="A141" s="18"/>
      <c r="B141"/>
      <c r="C141" s="174" t="s">
        <v>317</v>
      </c>
      <c r="D141" s="928">
        <f>IF(AND($F$2="No",$F$3="No"),SUM(H141:K141),IF(AND($F$2="Yes", $F$3="No"), SUM(H141:K141)+M141, IF(AND($F$2="No", $F$3="Yes"),SUM(H141:K141)+L141, SUM(H141:K141)+M141+L141)))</f>
        <v>-9.3545065164081329E-2</v>
      </c>
      <c r="E141" s="877">
        <f>IF(AND($F$2="No",$F$3="No"),SUM(G141:K141,N141:O141),IF(AND($F$2="Yes",$F$3="No"), SUM(G141:K141,N141:O141)+M141, IF(AND($F$2="No", $F$3="Yes"),SUM(G141:K141,N141:O141)+L141, SUM(G141:K141,N141:O141)+M141+L141)))</f>
        <v>1.3256301788423526</v>
      </c>
      <c r="F141" s="878">
        <f>SUM(Q141:S141)/(1-'Common input data'!B$146)</f>
        <v>1.7718545925182156</v>
      </c>
      <c r="G141" s="877">
        <f>'Input data dairy products'!$D$22*G14*'Common input data'!D$56</f>
        <v>0.85924857543970268</v>
      </c>
      <c r="H141" s="877">
        <f>'Input data dairy products'!$D$22*H14*'Common input data'!D$56</f>
        <v>0</v>
      </c>
      <c r="I141" s="877">
        <f>'Input data dairy products'!$D$22*I14*'Common input data'!D$56</f>
        <v>0</v>
      </c>
      <c r="J141" s="877">
        <f>'Input data dairy products'!$D$22*J14*'Common input data'!D$56</f>
        <v>0</v>
      </c>
      <c r="K141" s="877">
        <f>'Input data dairy products'!$D$22*K14*'Common input data'!D$56</f>
        <v>0</v>
      </c>
      <c r="L141" s="877">
        <f>'Input data dairy products'!$D$22*L14*'Common input data'!D$56</f>
        <v>-0.17995733274732631</v>
      </c>
      <c r="M141" s="877">
        <f>'Input data dairy products'!$D$22*M14*'Common input data'!D$56</f>
        <v>8.6412267583244981E-2</v>
      </c>
      <c r="N141" s="877">
        <f>'Input data dairy products'!$D$22*N14*'Common input data'!D$56</f>
        <v>0.48764052539128661</v>
      </c>
      <c r="O141" s="877">
        <f>'Input data dairy products'!$D$22*O14*'Common input data'!D$56</f>
        <v>7.2286143175444489E-2</v>
      </c>
      <c r="P141" s="877">
        <f>'Input data dairy products'!H$30*'Common input data'!D$56</f>
        <v>0.1275</v>
      </c>
      <c r="Q141" s="1185">
        <f>IF(AND($F$2="No",$F$3="No"),SUM(G141:K141,N141:P141),IF(AND($F$2="Yes",$F$3="No"), SUM(G141:K141,N141:P141)+M141, IF(AND($F$2="No", $F$3="Yes"),SUM(G141:K141,N141:P141)+L141, SUM(G141:K141,N141:P141)+M141+L141)))</f>
        <v>1.4531301788423525</v>
      </c>
      <c r="R141" s="877">
        <f>'Common input data'!B$108</f>
        <v>0.05</v>
      </c>
      <c r="S141" s="877">
        <f>'Common input data'!B$119+'Common input data'!C$119</f>
        <v>0.23000000000000004</v>
      </c>
      <c r="T141" s="18"/>
      <c r="U141" s="879"/>
      <c r="V141" s="877"/>
      <c r="W141" s="886"/>
      <c r="X141" s="877"/>
      <c r="Y141" s="879"/>
      <c r="Z141" s="877"/>
      <c r="AA141" s="886"/>
      <c r="AB141" s="877"/>
      <c r="AC141" s="879"/>
      <c r="AD141" s="877"/>
      <c r="AE141" s="886"/>
      <c r="AF141" s="877"/>
      <c r="AG141" s="879"/>
      <c r="AH141" s="877"/>
      <c r="AI141" s="886"/>
      <c r="AJ141" s="877"/>
      <c r="AK141" s="879"/>
      <c r="AL141" s="877"/>
      <c r="AM141" s="886"/>
      <c r="AN141" s="877"/>
      <c r="AO141" s="879"/>
      <c r="AP141" s="877"/>
      <c r="AQ141" s="886"/>
      <c r="AR141" s="877"/>
      <c r="AS141" s="879"/>
      <c r="AT141" s="877"/>
      <c r="AU141" s="886"/>
      <c r="AV141" s="877"/>
      <c r="AW141" s="879"/>
      <c r="AX141" s="877"/>
      <c r="AY141" s="886"/>
      <c r="AZ141" s="877"/>
      <c r="BA141" s="879"/>
      <c r="BB141" s="886"/>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c r="MO141"/>
      <c r="MP141"/>
      <c r="MQ141"/>
      <c r="MR141"/>
      <c r="MS141"/>
      <c r="MT141"/>
      <c r="MU141"/>
      <c r="MV141"/>
      <c r="MW141"/>
      <c r="MX141"/>
      <c r="MY141"/>
      <c r="MZ141"/>
      <c r="NA141"/>
      <c r="NB141"/>
      <c r="NC141"/>
      <c r="ND141"/>
      <c r="NE141"/>
      <c r="NF141"/>
      <c r="NG141"/>
      <c r="NH141"/>
      <c r="NI141"/>
      <c r="NJ141"/>
      <c r="NK141"/>
      <c r="NL141"/>
      <c r="NM141"/>
      <c r="NN141"/>
      <c r="NO141"/>
      <c r="NP141"/>
      <c r="NQ141"/>
      <c r="NR141"/>
      <c r="NS141"/>
      <c r="NT141"/>
      <c r="NU141"/>
      <c r="NV141"/>
      <c r="NW141"/>
      <c r="NX141"/>
      <c r="NY141"/>
      <c r="NZ141"/>
      <c r="OA141"/>
      <c r="OB141"/>
      <c r="OC141"/>
      <c r="OD141"/>
      <c r="OE141"/>
      <c r="OF141"/>
      <c r="OG141"/>
      <c r="OH141"/>
      <c r="OI141"/>
      <c r="OJ141"/>
      <c r="OK141"/>
      <c r="OL141"/>
    </row>
    <row r="142" spans="1:402">
      <c r="A142" s="68"/>
      <c r="B142" s="55"/>
      <c r="C142" s="174" t="s">
        <v>318</v>
      </c>
      <c r="D142" s="928">
        <f>SUM(H142:K142)</f>
        <v>9.0720747011437078E-2</v>
      </c>
      <c r="E142" s="877">
        <f>SUM(G142:K142,N142:O142)</f>
        <v>9.0720747011437078E-2</v>
      </c>
      <c r="F142" s="878">
        <f>SUM(Q142:S142)/(1-'Common input data'!B$146)</f>
        <v>9.2747777513324012E-2</v>
      </c>
      <c r="G142" s="877">
        <v>0</v>
      </c>
      <c r="H142" s="877">
        <f>'Input data dairy products'!$D$22*H16*'Common input data'!D$56</f>
        <v>0</v>
      </c>
      <c r="I142" s="877">
        <f>'Input data dairy products'!$D$22*I15*'Common input data'!D$56</f>
        <v>5.4390176169692326E-3</v>
      </c>
      <c r="J142" s="877">
        <f>'Input data dairy products'!$D$22*J15*'Common input data'!D$56</f>
        <v>0</v>
      </c>
      <c r="K142" s="877">
        <f>'Input data dairy products'!$D$22*K15*'Common input data'!D$56</f>
        <v>8.5281729394467848E-2</v>
      </c>
      <c r="L142" s="877">
        <f>'Input data dairy products'!$D$22*L15*'Common input data'!D$56</f>
        <v>0</v>
      </c>
      <c r="M142" s="877">
        <f>'Input data dairy products'!$D$22*M15*'Common input data'!D$56</f>
        <v>0</v>
      </c>
      <c r="N142" s="877">
        <f>'Input data dairy products'!$D$22*N15*'Common input data'!D$56</f>
        <v>0</v>
      </c>
      <c r="O142" s="877">
        <v>0</v>
      </c>
      <c r="P142" s="877">
        <v>0</v>
      </c>
      <c r="Q142" s="877">
        <f>SUM(G142:P142)</f>
        <v>9.0720747011437078E-2</v>
      </c>
      <c r="R142" s="877">
        <v>0</v>
      </c>
      <c r="S142" s="877">
        <v>0</v>
      </c>
      <c r="T142" s="18"/>
      <c r="U142" s="879"/>
      <c r="V142" s="877"/>
      <c r="W142" s="886"/>
      <c r="X142" s="877"/>
      <c r="Y142" s="879"/>
      <c r="Z142" s="877"/>
      <c r="AA142" s="886"/>
      <c r="AB142" s="877"/>
      <c r="AC142" s="879"/>
      <c r="AD142" s="877"/>
      <c r="AE142" s="886"/>
      <c r="AF142" s="877"/>
      <c r="AG142" s="879"/>
      <c r="AH142" s="877"/>
      <c r="AI142" s="886"/>
      <c r="AJ142" s="877"/>
      <c r="AK142" s="879"/>
      <c r="AL142" s="877"/>
      <c r="AM142" s="886"/>
      <c r="AN142" s="877"/>
      <c r="AO142" s="879"/>
      <c r="AP142" s="877"/>
      <c r="AQ142" s="886"/>
      <c r="AR142" s="877"/>
      <c r="AS142" s="879"/>
      <c r="AT142" s="877"/>
      <c r="AU142" s="886"/>
      <c r="AV142" s="877"/>
      <c r="AW142" s="879"/>
      <c r="AX142" s="877"/>
      <c r="AY142" s="886"/>
      <c r="AZ142" s="877"/>
      <c r="BA142" s="879"/>
      <c r="BB142" s="886"/>
    </row>
    <row r="143" spans="1:402">
      <c r="A143" s="68"/>
      <c r="B143" s="55"/>
      <c r="C143" s="174" t="s">
        <v>319</v>
      </c>
      <c r="D143" s="928">
        <f>SUM(H143:K143)</f>
        <v>0</v>
      </c>
      <c r="E143" s="877">
        <f>SUM(G143:K143,N143:O143)</f>
        <v>9.3847297511428422E-4</v>
      </c>
      <c r="F143" s="878">
        <f>SUM(Q143:S143)/(1-'Common input data'!B$146)</f>
        <v>9.5944186490432763E-4</v>
      </c>
      <c r="G143" s="877">
        <f>'Input data dairy products'!$D$22*G16*'Common input data'!D$56</f>
        <v>9.1849023618539416E-4</v>
      </c>
      <c r="H143" s="877">
        <v>0</v>
      </c>
      <c r="I143" s="877">
        <v>0</v>
      </c>
      <c r="J143" s="877">
        <v>0</v>
      </c>
      <c r="K143" s="877">
        <v>0</v>
      </c>
      <c r="L143" s="877">
        <v>0</v>
      </c>
      <c r="M143" s="877">
        <v>0</v>
      </c>
      <c r="N143" s="877">
        <v>0</v>
      </c>
      <c r="O143" s="877">
        <f>'Input data dairy products'!$D$22*O16*'Common input data'!D$56</f>
        <v>1.998273892889004E-5</v>
      </c>
      <c r="P143" s="877">
        <v>0</v>
      </c>
      <c r="Q143" s="877">
        <f>SUM(G143:P143)</f>
        <v>9.3847297511428422E-4</v>
      </c>
      <c r="R143" s="877">
        <v>0</v>
      </c>
      <c r="S143" s="877">
        <v>0</v>
      </c>
      <c r="T143" s="18"/>
      <c r="U143" s="879"/>
      <c r="V143" s="877"/>
      <c r="W143" s="886"/>
      <c r="X143" s="877"/>
      <c r="Y143" s="879"/>
      <c r="Z143" s="877"/>
      <c r="AA143" s="886"/>
      <c r="AB143" s="877"/>
      <c r="AC143" s="879"/>
      <c r="AD143" s="877"/>
      <c r="AE143" s="886"/>
      <c r="AF143" s="877"/>
      <c r="AG143" s="879"/>
      <c r="AH143" s="877"/>
      <c r="AI143" s="886"/>
      <c r="AJ143" s="877"/>
      <c r="AK143" s="879"/>
      <c r="AL143" s="877"/>
      <c r="AM143" s="886"/>
      <c r="AN143" s="877"/>
      <c r="AO143" s="879"/>
      <c r="AP143" s="877"/>
      <c r="AQ143" s="886"/>
      <c r="AR143" s="877"/>
      <c r="AS143" s="879"/>
      <c r="AT143" s="877"/>
      <c r="AU143" s="886"/>
      <c r="AV143" s="877"/>
      <c r="AW143" s="879"/>
      <c r="AX143" s="877"/>
      <c r="AY143" s="886"/>
      <c r="AZ143" s="877"/>
      <c r="BA143" s="879"/>
      <c r="BB143" s="886"/>
    </row>
    <row r="144" spans="1:402">
      <c r="A144" s="68"/>
      <c r="B144" s="54"/>
      <c r="C144" s="55" t="s">
        <v>320</v>
      </c>
      <c r="D144" s="932">
        <f>SUM(H144:K144)</f>
        <v>3.4662429568559795E-3</v>
      </c>
      <c r="E144" s="896">
        <f>SUM(G144:K144,N144:O144)</f>
        <v>4.3373055769254289E-3</v>
      </c>
      <c r="F144" s="933">
        <f>SUM(Q144:S144)/(1-'Common input data'!B$146)</f>
        <v>4.4342167134631795E-3</v>
      </c>
      <c r="G144" s="877">
        <f>'Input data dairy products'!$D$22*G17*'Common input data'!D$56</f>
        <v>8.6919978474041184E-4</v>
      </c>
      <c r="H144" s="877">
        <f>'Input data dairy products'!$D$22*H17*'Common input data'!D$56</f>
        <v>2.196986711885218E-3</v>
      </c>
      <c r="I144" s="877">
        <f>'Input data dairy products'!$D$22*I17*'Common input data'!D$56</f>
        <v>1.1825312166979705E-3</v>
      </c>
      <c r="J144" s="877">
        <f>'Input data dairy products'!$D$22*J17*'Common input data'!D$56</f>
        <v>8.6725028272790908E-5</v>
      </c>
      <c r="K144" s="877">
        <f>'Input data dairy products'!$D$22*K17*'Common input data'!D$56</f>
        <v>0</v>
      </c>
      <c r="L144" s="877">
        <f>'Input data dairy products'!$D$22*L17*'Common input data'!D$56</f>
        <v>0</v>
      </c>
      <c r="M144" s="877">
        <f>'Input data dairy products'!$D$22*M17*'Common input data'!D$56</f>
        <v>0</v>
      </c>
      <c r="N144" s="877">
        <f>'Input data dairy products'!$D$22*N17*'Common input data'!D$56</f>
        <v>0</v>
      </c>
      <c r="O144" s="877">
        <f>'Input data dairy products'!$D$22*O17*'Common input data'!D$56</f>
        <v>1.862835329037638E-6</v>
      </c>
      <c r="P144" s="877">
        <v>0</v>
      </c>
      <c r="Q144" s="877">
        <f>SUM(G144:P144)</f>
        <v>4.3373055769254289E-3</v>
      </c>
      <c r="R144" s="1187">
        <v>0</v>
      </c>
      <c r="S144" s="877">
        <v>0</v>
      </c>
      <c r="T144" s="18"/>
      <c r="U144" s="879"/>
      <c r="V144" s="877"/>
      <c r="W144" s="886"/>
      <c r="X144" s="877"/>
      <c r="Y144" s="879"/>
      <c r="Z144" s="877"/>
      <c r="AA144" s="886"/>
      <c r="AB144" s="877"/>
      <c r="AC144" s="879"/>
      <c r="AD144" s="877"/>
      <c r="AE144" s="886"/>
      <c r="AF144" s="877"/>
      <c r="AG144" s="879"/>
      <c r="AH144" s="877"/>
      <c r="AI144" s="886"/>
      <c r="AJ144" s="877"/>
      <c r="AK144" s="879"/>
      <c r="AL144" s="877"/>
      <c r="AM144" s="886"/>
      <c r="AN144" s="877"/>
      <c r="AO144" s="879"/>
      <c r="AP144" s="877"/>
      <c r="AQ144" s="886"/>
      <c r="AR144" s="877"/>
      <c r="AS144" s="879"/>
      <c r="AT144" s="877"/>
      <c r="AU144" s="886"/>
      <c r="AV144" s="877"/>
      <c r="AW144" s="879"/>
      <c r="AX144" s="877"/>
      <c r="AY144" s="886"/>
      <c r="AZ144" s="877"/>
      <c r="BA144" s="879"/>
      <c r="BB144" s="886"/>
    </row>
    <row r="145" spans="1:402" s="368" customFormat="1">
      <c r="A145" s="362" t="s">
        <v>382</v>
      </c>
      <c r="B145" s="353"/>
      <c r="C145" s="364"/>
      <c r="D145" s="1182" t="s">
        <v>383</v>
      </c>
      <c r="E145" s="1183" t="s">
        <v>383</v>
      </c>
      <c r="F145" s="1184" t="s">
        <v>383</v>
      </c>
      <c r="G145" s="889"/>
      <c r="H145" s="889"/>
      <c r="I145" s="889"/>
      <c r="J145" s="889"/>
      <c r="K145" s="889"/>
      <c r="L145" s="889"/>
      <c r="M145" s="889"/>
      <c r="N145" s="889"/>
      <c r="O145" s="889"/>
      <c r="P145" s="889"/>
      <c r="Q145" s="889"/>
      <c r="R145" s="1188"/>
      <c r="S145" s="889"/>
      <c r="T145" s="18"/>
      <c r="U145" s="883">
        <f>U151*$B$151+U156*$B$156</f>
        <v>20.380376205682154</v>
      </c>
      <c r="V145" s="884">
        <f t="shared" ref="V145:BB145" si="36">V151*$B$151+V156*$B$156</f>
        <v>20.825795441770197</v>
      </c>
      <c r="W145" s="885">
        <f t="shared" si="36"/>
        <v>22.283601122694112</v>
      </c>
      <c r="X145" s="877"/>
      <c r="Y145" s="883">
        <f t="shared" si="36"/>
        <v>22.464393894322505</v>
      </c>
      <c r="Z145" s="884">
        <f t="shared" si="36"/>
        <v>22.955359962201086</v>
      </c>
      <c r="AA145" s="885">
        <f t="shared" si="36"/>
        <v>24.562235159555161</v>
      </c>
      <c r="AB145" s="877"/>
      <c r="AC145" s="883">
        <f t="shared" si="36"/>
        <v>0.47776165953164179</v>
      </c>
      <c r="AD145" s="884">
        <f t="shared" si="36"/>
        <v>0.48820328392920359</v>
      </c>
      <c r="AE145" s="885">
        <f t="shared" si="36"/>
        <v>0.5223775138042478</v>
      </c>
      <c r="AF145" s="877"/>
      <c r="AG145" s="883">
        <f t="shared" si="36"/>
        <v>1.5900359058030174E-2</v>
      </c>
      <c r="AH145" s="884">
        <f t="shared" si="36"/>
        <v>1.6247866175351136E-2</v>
      </c>
      <c r="AI145" s="885">
        <f t="shared" si="36"/>
        <v>1.7385216807625715E-2</v>
      </c>
      <c r="AJ145" s="877"/>
      <c r="AK145" s="883">
        <f t="shared" si="36"/>
        <v>4.6021854054611032E-2</v>
      </c>
      <c r="AL145" s="884">
        <f t="shared" si="36"/>
        <v>4.7027675481530765E-2</v>
      </c>
      <c r="AM145" s="885">
        <f t="shared" si="36"/>
        <v>5.0319612765237914E-2</v>
      </c>
      <c r="AN145" s="877"/>
      <c r="AO145" s="883">
        <f t="shared" si="36"/>
        <v>5.8259400703566823E-10</v>
      </c>
      <c r="AP145" s="884">
        <f t="shared" si="36"/>
        <v>5.953267738376348E-10</v>
      </c>
      <c r="AQ145" s="885">
        <f t="shared" si="36"/>
        <v>6.3699964800626918E-10</v>
      </c>
      <c r="AR145" s="877"/>
      <c r="AS145" s="883">
        <f t="shared" si="36"/>
        <v>1.0127394388882568E-3</v>
      </c>
      <c r="AT145" s="884">
        <f t="shared" si="36"/>
        <v>1.0348731631469911E-3</v>
      </c>
      <c r="AU145" s="885">
        <f t="shared" si="36"/>
        <v>1.1073142845672804E-3</v>
      </c>
      <c r="AV145" s="877"/>
      <c r="AW145" s="883">
        <f t="shared" si="36"/>
        <v>3.9698682538173213E-2</v>
      </c>
      <c r="AX145" s="884">
        <f t="shared" si="36"/>
        <v>4.0566309154649739E-2</v>
      </c>
      <c r="AY145" s="885">
        <f t="shared" si="36"/>
        <v>4.3405950795475219E-2</v>
      </c>
      <c r="AZ145" s="877"/>
      <c r="BA145" s="883">
        <f t="shared" si="36"/>
        <v>0.27826618540106657</v>
      </c>
      <c r="BB145" s="885">
        <f t="shared" si="36"/>
        <v>0.29774481837914119</v>
      </c>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row>
    <row r="146" spans="1:402" s="12" customFormat="1">
      <c r="A146" s="108" t="s">
        <v>315</v>
      </c>
      <c r="B146" s="390">
        <f>SUM(B151:B156)</f>
        <v>1</v>
      </c>
      <c r="C146" s="355" t="s">
        <v>316</v>
      </c>
      <c r="D146" s="930">
        <f>SUMPRODUCT($BH$6:$BH$9,D147:D150)</f>
        <v>6.677909541542193</v>
      </c>
      <c r="E146" s="872">
        <f>SUMPRODUCT($BH$6:$BH$9,E147:E150)</f>
        <v>9.3247469086633661</v>
      </c>
      <c r="F146" s="873">
        <f>SUMPRODUCT($BH$6:$BH$9,F147:F150)</f>
        <v>9.9174967759508021</v>
      </c>
      <c r="G146" s="1178"/>
      <c r="H146" s="884"/>
      <c r="I146" s="884"/>
      <c r="J146" s="884"/>
      <c r="K146" s="884"/>
      <c r="L146" s="884"/>
      <c r="M146" s="884"/>
      <c r="N146" s="884"/>
      <c r="O146" s="884"/>
      <c r="P146" s="1178"/>
      <c r="Q146" s="1178"/>
      <c r="R146" s="872"/>
      <c r="S146" s="872"/>
      <c r="T146" s="18"/>
      <c r="U146" s="879"/>
      <c r="V146" s="877"/>
      <c r="W146" s="886"/>
      <c r="X146" s="877"/>
      <c r="Y146" s="879"/>
      <c r="Z146" s="877"/>
      <c r="AA146" s="886"/>
      <c r="AB146" s="877"/>
      <c r="AC146" s="879"/>
      <c r="AD146" s="877"/>
      <c r="AE146" s="886"/>
      <c r="AF146" s="877"/>
      <c r="AG146" s="879"/>
      <c r="AH146" s="877"/>
      <c r="AI146" s="886"/>
      <c r="AJ146" s="877"/>
      <c r="AK146" s="879"/>
      <c r="AL146" s="877"/>
      <c r="AM146" s="886"/>
      <c r="AN146" s="877"/>
      <c r="AO146" s="879"/>
      <c r="AP146" s="877"/>
      <c r="AQ146" s="886"/>
      <c r="AR146" s="877"/>
      <c r="AS146" s="879"/>
      <c r="AT146" s="877"/>
      <c r="AU146" s="886"/>
      <c r="AV146" s="877"/>
      <c r="AW146" s="879"/>
      <c r="AX146" s="877"/>
      <c r="AY146" s="886"/>
      <c r="AZ146" s="877"/>
      <c r="BA146" s="879"/>
      <c r="BB146" s="88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row>
    <row r="147" spans="1:402" s="12" customFormat="1">
      <c r="A147" s="18"/>
      <c r="B147"/>
      <c r="C147" s="174" t="s">
        <v>317</v>
      </c>
      <c r="D147" s="928">
        <f t="shared" ref="D147:S147" si="37">$B$151*D152+$B$156*D157</f>
        <v>-0.18917254884418627</v>
      </c>
      <c r="E147" s="877">
        <f t="shared" si="37"/>
        <v>1.9217120537830303</v>
      </c>
      <c r="F147" s="878">
        <f t="shared" si="37"/>
        <v>2.3490512740937302</v>
      </c>
      <c r="G147" s="877">
        <f t="shared" si="37"/>
        <v>1.7376249919923923</v>
      </c>
      <c r="H147" s="877">
        <f t="shared" si="37"/>
        <v>0</v>
      </c>
      <c r="I147" s="877">
        <f t="shared" si="37"/>
        <v>0</v>
      </c>
      <c r="J147" s="877">
        <f t="shared" si="37"/>
        <v>0</v>
      </c>
      <c r="K147" s="877">
        <f t="shared" si="37"/>
        <v>0</v>
      </c>
      <c r="L147" s="877">
        <f t="shared" si="37"/>
        <v>-0.36392071841844864</v>
      </c>
      <c r="M147" s="877">
        <f t="shared" si="37"/>
        <v>0.17474816957426237</v>
      </c>
      <c r="N147" s="877">
        <f t="shared" si="37"/>
        <v>0.32507205470892908</v>
      </c>
      <c r="O147" s="877">
        <f t="shared" si="37"/>
        <v>4.8187555925895256E-2</v>
      </c>
      <c r="P147" s="877">
        <f t="shared" si="37"/>
        <v>0.26400000000000001</v>
      </c>
      <c r="Q147" s="877">
        <f t="shared" si="37"/>
        <v>2.1857120537830301</v>
      </c>
      <c r="R147" s="877">
        <f t="shared" si="37"/>
        <v>0.05</v>
      </c>
      <c r="S147" s="877">
        <f t="shared" si="37"/>
        <v>6.1999999999999986E-2</v>
      </c>
      <c r="T147" s="18"/>
      <c r="U147" s="879"/>
      <c r="V147" s="877"/>
      <c r="W147" s="886"/>
      <c r="X147" s="877"/>
      <c r="Y147" s="879"/>
      <c r="Z147" s="877"/>
      <c r="AA147" s="886"/>
      <c r="AB147" s="877"/>
      <c r="AC147" s="879"/>
      <c r="AD147" s="877"/>
      <c r="AE147" s="886"/>
      <c r="AF147" s="877"/>
      <c r="AG147" s="879"/>
      <c r="AH147" s="877"/>
      <c r="AI147" s="886"/>
      <c r="AJ147" s="877"/>
      <c r="AK147" s="879"/>
      <c r="AL147" s="877"/>
      <c r="AM147" s="886"/>
      <c r="AN147" s="877"/>
      <c r="AO147" s="879"/>
      <c r="AP147" s="877"/>
      <c r="AQ147" s="886"/>
      <c r="AR147" s="877"/>
      <c r="AS147" s="879"/>
      <c r="AT147" s="877"/>
      <c r="AU147" s="886"/>
      <c r="AV147" s="877"/>
      <c r="AW147" s="879"/>
      <c r="AX147" s="877"/>
      <c r="AY147" s="886"/>
      <c r="AZ147" s="877"/>
      <c r="BA147" s="879"/>
      <c r="BB147" s="886"/>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row>
    <row r="148" spans="1:402">
      <c r="A148" s="195"/>
      <c r="B148" s="50"/>
      <c r="C148" s="174" t="s">
        <v>318</v>
      </c>
      <c r="D148" s="928">
        <f t="shared" ref="D148:F150" si="38">$B$151*D153+$B$156*D158</f>
        <v>0.18346104003561939</v>
      </c>
      <c r="E148" s="877">
        <f t="shared" si="38"/>
        <v>0.18346104003561939</v>
      </c>
      <c r="F148" s="878">
        <f t="shared" si="38"/>
        <v>0.18756022502153244</v>
      </c>
      <c r="G148" s="877">
        <f>$B$151*G154+$B$156*G159</f>
        <v>1.8574270995794441E-3</v>
      </c>
      <c r="H148" s="877">
        <f t="shared" ref="H148:N150" si="39">$B$151*H153+$B$156*H158</f>
        <v>0</v>
      </c>
      <c r="I148" s="877">
        <f t="shared" si="39"/>
        <v>1.0999113892387082E-2</v>
      </c>
      <c r="J148" s="877">
        <f t="shared" si="39"/>
        <v>0</v>
      </c>
      <c r="K148" s="877">
        <f t="shared" si="39"/>
        <v>0.1724619261432323</v>
      </c>
      <c r="L148" s="877">
        <f t="shared" si="39"/>
        <v>0</v>
      </c>
      <c r="M148" s="877">
        <f t="shared" si="39"/>
        <v>0</v>
      </c>
      <c r="N148" s="877">
        <f t="shared" si="39"/>
        <v>0</v>
      </c>
      <c r="O148" s="877">
        <f>$B$151*O154+$B$156*O159</f>
        <v>1.3320939635019228E-5</v>
      </c>
      <c r="P148" s="877">
        <f t="shared" ref="P148:S150" si="40">$B$151*P153+$B$156*P158</f>
        <v>0</v>
      </c>
      <c r="Q148" s="877">
        <f t="shared" si="40"/>
        <v>0.18346104003561939</v>
      </c>
      <c r="R148" s="877">
        <f t="shared" si="40"/>
        <v>0</v>
      </c>
      <c r="S148" s="877">
        <f t="shared" si="40"/>
        <v>0</v>
      </c>
      <c r="T148" s="18"/>
      <c r="U148" s="879"/>
      <c r="V148" s="877"/>
      <c r="W148" s="886"/>
      <c r="X148" s="877"/>
      <c r="Y148" s="879"/>
      <c r="Z148" s="877"/>
      <c r="AA148" s="886"/>
      <c r="AB148" s="877"/>
      <c r="AC148" s="879"/>
      <c r="AD148" s="877"/>
      <c r="AE148" s="886"/>
      <c r="AF148" s="877"/>
      <c r="AG148" s="879"/>
      <c r="AH148" s="877"/>
      <c r="AI148" s="886"/>
      <c r="AJ148" s="877"/>
      <c r="AK148" s="879"/>
      <c r="AL148" s="877"/>
      <c r="AM148" s="886"/>
      <c r="AN148" s="877"/>
      <c r="AO148" s="879"/>
      <c r="AP148" s="877"/>
      <c r="AQ148" s="886"/>
      <c r="AR148" s="877"/>
      <c r="AS148" s="879"/>
      <c r="AT148" s="877"/>
      <c r="AU148" s="886"/>
      <c r="AV148" s="877"/>
      <c r="AW148" s="879"/>
      <c r="AX148" s="877"/>
      <c r="AY148" s="886"/>
      <c r="AZ148" s="877"/>
      <c r="BA148" s="879"/>
      <c r="BB148" s="886"/>
    </row>
    <row r="149" spans="1:402">
      <c r="A149" s="195"/>
      <c r="B149" s="50"/>
      <c r="C149" s="174" t="s">
        <v>319</v>
      </c>
      <c r="D149" s="928">
        <f t="shared" si="38"/>
        <v>0</v>
      </c>
      <c r="E149" s="877">
        <f t="shared" si="38"/>
        <v>1.870748039214463E-3</v>
      </c>
      <c r="F149" s="878">
        <f t="shared" si="38"/>
        <v>1.9125473349847549E-3</v>
      </c>
      <c r="G149" s="877">
        <f>$B$151*G155+$B$156*G160</f>
        <v>1.7577489357214939E-3</v>
      </c>
      <c r="H149" s="877">
        <f t="shared" si="39"/>
        <v>0</v>
      </c>
      <c r="I149" s="877">
        <f t="shared" si="39"/>
        <v>0</v>
      </c>
      <c r="J149" s="877">
        <f t="shared" si="39"/>
        <v>0</v>
      </c>
      <c r="K149" s="877">
        <f t="shared" si="39"/>
        <v>0</v>
      </c>
      <c r="L149" s="877">
        <f t="shared" si="39"/>
        <v>0</v>
      </c>
      <c r="M149" s="877">
        <f t="shared" si="39"/>
        <v>0</v>
      </c>
      <c r="N149" s="877">
        <f t="shared" si="39"/>
        <v>0</v>
      </c>
      <c r="O149" s="877">
        <f>$B$151*O155+$B$156*O160</f>
        <v>1.2418075948645701E-6</v>
      </c>
      <c r="P149" s="877">
        <f t="shared" si="40"/>
        <v>0</v>
      </c>
      <c r="Q149" s="877">
        <f t="shared" si="40"/>
        <v>1.870748039214463E-3</v>
      </c>
      <c r="R149" s="877">
        <f t="shared" si="40"/>
        <v>0</v>
      </c>
      <c r="S149" s="877">
        <f t="shared" si="40"/>
        <v>0</v>
      </c>
      <c r="T149" s="18"/>
      <c r="U149" s="879"/>
      <c r="V149" s="877"/>
      <c r="W149" s="886"/>
      <c r="X149" s="877"/>
      <c r="Y149" s="879"/>
      <c r="Z149" s="877"/>
      <c r="AA149" s="886"/>
      <c r="AB149" s="877"/>
      <c r="AC149" s="879"/>
      <c r="AD149" s="877"/>
      <c r="AE149" s="886"/>
      <c r="AF149" s="877"/>
      <c r="AG149" s="879"/>
      <c r="AH149" s="877"/>
      <c r="AI149" s="886"/>
      <c r="AJ149" s="877"/>
      <c r="AK149" s="879"/>
      <c r="AL149" s="877"/>
      <c r="AM149" s="886"/>
      <c r="AN149" s="877"/>
      <c r="AO149" s="879"/>
      <c r="AP149" s="877"/>
      <c r="AQ149" s="886"/>
      <c r="AR149" s="877"/>
      <c r="AS149" s="879"/>
      <c r="AT149" s="877"/>
      <c r="AU149" s="886"/>
      <c r="AV149" s="877"/>
      <c r="AW149" s="879"/>
      <c r="AX149" s="877"/>
      <c r="AY149" s="886"/>
      <c r="AZ149" s="877"/>
      <c r="BA149" s="879"/>
      <c r="BB149" s="886"/>
    </row>
    <row r="150" spans="1:402">
      <c r="A150" s="195"/>
      <c r="B150" s="54"/>
      <c r="C150" s="55" t="s">
        <v>320</v>
      </c>
      <c r="D150" s="928">
        <f t="shared" si="38"/>
        <v>7.0096483861709002E-3</v>
      </c>
      <c r="E150" s="877">
        <f t="shared" si="38"/>
        <v>8.7686391294872594E-3</v>
      </c>
      <c r="F150" s="878">
        <f t="shared" si="38"/>
        <v>8.9645623285463365E-3</v>
      </c>
      <c r="G150" s="877">
        <f>$B$151*G155+$B$156*G160</f>
        <v>1.7577489357214939E-3</v>
      </c>
      <c r="H150" s="877">
        <f t="shared" si="39"/>
        <v>4.4428808225761649E-3</v>
      </c>
      <c r="I150" s="877">
        <f t="shared" si="39"/>
        <v>2.3913869102361509E-3</v>
      </c>
      <c r="J150" s="877">
        <f t="shared" si="39"/>
        <v>1.7538065335858478E-4</v>
      </c>
      <c r="K150" s="877">
        <f t="shared" si="39"/>
        <v>0</v>
      </c>
      <c r="L150" s="877">
        <f t="shared" si="39"/>
        <v>0</v>
      </c>
      <c r="M150" s="877">
        <f t="shared" si="39"/>
        <v>0</v>
      </c>
      <c r="N150" s="877">
        <f t="shared" si="39"/>
        <v>0</v>
      </c>
      <c r="O150" s="877">
        <f>$B$151*O155+$B$156*O160</f>
        <v>1.2418075948645701E-6</v>
      </c>
      <c r="P150" s="877">
        <f t="shared" si="40"/>
        <v>0</v>
      </c>
      <c r="Q150" s="877">
        <f t="shared" si="40"/>
        <v>8.7686391294872594E-3</v>
      </c>
      <c r="R150" s="877">
        <f t="shared" si="40"/>
        <v>0</v>
      </c>
      <c r="S150" s="877">
        <f t="shared" si="40"/>
        <v>0</v>
      </c>
      <c r="T150" s="18"/>
      <c r="U150" s="879"/>
      <c r="V150" s="877"/>
      <c r="W150" s="886"/>
      <c r="X150" s="877"/>
      <c r="Y150" s="879"/>
      <c r="Z150" s="877"/>
      <c r="AA150" s="886"/>
      <c r="AB150" s="877"/>
      <c r="AC150" s="879"/>
      <c r="AD150" s="877"/>
      <c r="AE150" s="886"/>
      <c r="AF150" s="877"/>
      <c r="AG150" s="879"/>
      <c r="AH150" s="877"/>
      <c r="AI150" s="886"/>
      <c r="AJ150" s="877"/>
      <c r="AK150" s="879"/>
      <c r="AL150" s="877"/>
      <c r="AM150" s="886"/>
      <c r="AN150" s="877"/>
      <c r="AO150" s="879"/>
      <c r="AP150" s="877"/>
      <c r="AQ150" s="886"/>
      <c r="AR150" s="877"/>
      <c r="AS150" s="879"/>
      <c r="AT150" s="877"/>
      <c r="AU150" s="886"/>
      <c r="AV150" s="877"/>
      <c r="AW150" s="879"/>
      <c r="AX150" s="877"/>
      <c r="AY150" s="886"/>
      <c r="AZ150" s="877"/>
      <c r="BA150" s="879"/>
      <c r="BB150" s="886"/>
    </row>
    <row r="151" spans="1:402" s="12" customFormat="1">
      <c r="A151" s="108" t="s">
        <v>122</v>
      </c>
      <c r="B151" s="390">
        <f>'Input data dairy products'!C23</f>
        <v>0.84000000000000008</v>
      </c>
      <c r="C151" s="355" t="s">
        <v>316</v>
      </c>
      <c r="D151" s="930">
        <f>SUMPRODUCT($BH$6:$BH$9,D152:D155)</f>
        <v>6.677909541542193</v>
      </c>
      <c r="E151" s="872">
        <f>SUMPRODUCT($BH$6:$BH$9,E152:E155)</f>
        <v>9.1798792888839333</v>
      </c>
      <c r="F151" s="873">
        <f>SUMPRODUCT($BH$6:$BH$9,F152:F155)</f>
        <v>9.671247299999612</v>
      </c>
      <c r="G151" s="884"/>
      <c r="H151" s="884"/>
      <c r="I151" s="884"/>
      <c r="J151" s="884"/>
      <c r="K151" s="884"/>
      <c r="L151" s="884"/>
      <c r="M151" s="884"/>
      <c r="N151" s="884"/>
      <c r="O151" s="884"/>
      <c r="P151" s="884"/>
      <c r="Q151" s="884"/>
      <c r="R151" s="884"/>
      <c r="S151" s="884"/>
      <c r="T151" s="18"/>
      <c r="U151" s="1220">
        <f>U$19*'Input data dairy products'!$D23</f>
        <v>20.380376205682154</v>
      </c>
      <c r="V151" s="877">
        <f>U151+U151*'Common input data'!$B$146</f>
        <v>20.825795441770197</v>
      </c>
      <c r="W151" s="886">
        <f>V151+V151*'Common input data'!$B$181</f>
        <v>22.283601122694112</v>
      </c>
      <c r="X151" s="877"/>
      <c r="Y151" s="1220">
        <f>Y$19*'Input data dairy products'!$D23</f>
        <v>22.464393894322505</v>
      </c>
      <c r="Z151" s="877">
        <f>Y151+Y151*'Common input data'!$B$146</f>
        <v>22.955359962201086</v>
      </c>
      <c r="AA151" s="886">
        <f>Z151+Z151*'Common input data'!$B$181</f>
        <v>24.562235159555161</v>
      </c>
      <c r="AB151" s="877"/>
      <c r="AC151" s="1220">
        <f>AC$19*'Input data dairy products'!$D23</f>
        <v>0.47776165953164179</v>
      </c>
      <c r="AD151" s="877">
        <f>AC151+AC151*'Common input data'!$B$146</f>
        <v>0.48820328392920359</v>
      </c>
      <c r="AE151" s="886">
        <f>AD151+AD151*'Common input data'!$B$181</f>
        <v>0.5223775138042478</v>
      </c>
      <c r="AF151" s="877"/>
      <c r="AG151" s="1220">
        <f>AG$19*'Input data dairy products'!$D23</f>
        <v>1.5900359058030174E-2</v>
      </c>
      <c r="AH151" s="877">
        <f>AG151+AG151*'Common input data'!$B$146</f>
        <v>1.6247866175351136E-2</v>
      </c>
      <c r="AI151" s="886">
        <f>AH151+AH151*'Common input data'!$B$181</f>
        <v>1.7385216807625715E-2</v>
      </c>
      <c r="AJ151" s="877"/>
      <c r="AK151" s="1220">
        <f>AK$19*'Input data dairy products'!$D23</f>
        <v>4.6021854054611032E-2</v>
      </c>
      <c r="AL151" s="877">
        <f>AK151+AK151*'Common input data'!$B$146</f>
        <v>4.7027675481530765E-2</v>
      </c>
      <c r="AM151" s="886">
        <f>AL151+AL151*'Common input data'!$B$181</f>
        <v>5.0319612765237921E-2</v>
      </c>
      <c r="AN151" s="877"/>
      <c r="AO151" s="1220">
        <f>(AO$19*'Input data dairy products'!$D23)/$AP$2</f>
        <v>5.8259400703566823E-10</v>
      </c>
      <c r="AP151" s="877">
        <f>AO151+AO151*'Common input data'!$B$146</f>
        <v>5.953267738376348E-10</v>
      </c>
      <c r="AQ151" s="886">
        <f>AP151+AP151*'Common input data'!$B$181</f>
        <v>6.3699964800626928E-10</v>
      </c>
      <c r="AR151" s="877"/>
      <c r="AS151" s="1220">
        <f>AS$19*'Input data dairy products'!$D23</f>
        <v>1.0127394388882568E-3</v>
      </c>
      <c r="AT151" s="877">
        <f>AS151+AS151*'Common input data'!$B$146</f>
        <v>1.0348731631469911E-3</v>
      </c>
      <c r="AU151" s="886">
        <f>AT151+AT151*'Common input data'!$B$181</f>
        <v>1.1073142845672804E-3</v>
      </c>
      <c r="AV151" s="877"/>
      <c r="AW151" s="1220">
        <f>AW$19*'Input data dairy products'!$D23</f>
        <v>3.9698682538173213E-2</v>
      </c>
      <c r="AX151" s="877">
        <f>AW151+AW151*'Common input data'!$B$146</f>
        <v>4.0566309154649739E-2</v>
      </c>
      <c r="AY151" s="886">
        <f>AX151+AX151*'Common input data'!$B$181</f>
        <v>4.3405950795475219E-2</v>
      </c>
      <c r="AZ151" s="877"/>
      <c r="BA151" s="879">
        <f>'Common input data'!C202+'Common input data'!C202*'Common input data'!$B$146</f>
        <v>0.14632967895999996</v>
      </c>
      <c r="BB151" s="886">
        <f>BA151+BA151*'Common input data'!$B$181</f>
        <v>0.15657275648719995</v>
      </c>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row>
    <row r="152" spans="1:402" s="12" customFormat="1">
      <c r="A152" s="18"/>
      <c r="B152"/>
      <c r="C152" s="174" t="s">
        <v>317</v>
      </c>
      <c r="D152" s="928">
        <f>IF(AND($F$2="No",$F$3="No"),SUM(H152:K152),IF(AND($F$2="Yes", $F$3="No"), SUM(H152:K152)+M152, IF(AND($F$2="No", $F$3="Yes"),SUM(H152:K152)+L152, SUM(H152:K152)+M152+L152)))</f>
        <v>-0.18917254884418627</v>
      </c>
      <c r="E152" s="877">
        <f>IF(AND($F$2="No",$F$3="No"),SUM(G152:K152,N152:O152),IF(AND($F$2="Yes",$F$3="No"), SUM(G152:K152,N152:O152)+M152, IF(AND($F$2="No", $F$3="Yes"),SUM(G152:K152,N152:O152)+L152, SUM(G152:K152,N152:O152)+M152+L152)))</f>
        <v>1.7771295157220317</v>
      </c>
      <c r="F152" s="878">
        <f>SUM(Q152:S152)/(1-'Common input data'!B$146)</f>
        <v>2.1030932496204606</v>
      </c>
      <c r="G152" s="877">
        <f>'Input data dairy products'!$D$23*G9</f>
        <v>1.7376249919923923</v>
      </c>
      <c r="H152" s="877">
        <f>'Input data dairy products'!$D$23*H9</f>
        <v>0</v>
      </c>
      <c r="I152" s="877">
        <f>'Input data dairy products'!$D$23*I9</f>
        <v>0</v>
      </c>
      <c r="J152" s="877">
        <f>'Input data dairy products'!$D$23*J9</f>
        <v>0</v>
      </c>
      <c r="K152" s="877">
        <f>'Input data dairy products'!$D$23*K9</f>
        <v>0</v>
      </c>
      <c r="L152" s="877">
        <f>'Input data dairy products'!$D$23*L9</f>
        <v>-0.36392071841844864</v>
      </c>
      <c r="M152" s="877">
        <f>'Input data dairy products'!$D$23*M9</f>
        <v>0.17474816957426237</v>
      </c>
      <c r="N152" s="877">
        <f>'Input data dairy products'!$D$23*N9</f>
        <v>0.19915502167504245</v>
      </c>
      <c r="O152" s="877">
        <f>'Input data dairy products'!$D$23*O9</f>
        <v>2.9522050898783042E-2</v>
      </c>
      <c r="P152" s="877">
        <f>'Input data dairy products'!I$29</f>
        <v>0.2</v>
      </c>
      <c r="Q152" s="1185">
        <f>IF(AND($F$2="No",$F$3="No"),SUM(G152:K152,N152:P152),IF(AND($F$2="Yes",$F$3="No"), SUM(G152:K152,N152:P152)+M152, IF(AND($F$2="No", $F$3="Yes"),SUM(G152:K152,N152:P152)+L152, SUM(G152:K152,N152:P152)+M152+L152)))</f>
        <v>1.9771295157220314</v>
      </c>
      <c r="R152" s="877">
        <f>'Common input data'!B$108</f>
        <v>0.05</v>
      </c>
      <c r="S152" s="877">
        <f>'Common input data'!C$115</f>
        <v>0.03</v>
      </c>
      <c r="T152" s="18"/>
      <c r="U152" s="1220"/>
      <c r="V152" s="877"/>
      <c r="W152" s="886"/>
      <c r="X152" s="877"/>
      <c r="Y152" s="1220"/>
      <c r="Z152" s="877"/>
      <c r="AA152" s="886"/>
      <c r="AB152" s="877"/>
      <c r="AC152" s="1220"/>
      <c r="AD152" s="877"/>
      <c r="AE152" s="886"/>
      <c r="AF152" s="877"/>
      <c r="AG152" s="1220"/>
      <c r="AH152" s="877"/>
      <c r="AI152" s="886"/>
      <c r="AJ152" s="877"/>
      <c r="AK152" s="1220"/>
      <c r="AL152" s="877"/>
      <c r="AM152" s="886"/>
      <c r="AN152" s="877"/>
      <c r="AO152" s="1220"/>
      <c r="AP152" s="877"/>
      <c r="AQ152" s="886"/>
      <c r="AR152" s="877"/>
      <c r="AS152" s="1220"/>
      <c r="AT152" s="877"/>
      <c r="AU152" s="886"/>
      <c r="AV152" s="877"/>
      <c r="AW152" s="1220"/>
      <c r="AX152" s="877"/>
      <c r="AY152" s="886"/>
      <c r="AZ152" s="877"/>
      <c r="BA152" s="879"/>
      <c r="BB152" s="886"/>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c r="MA152"/>
      <c r="MB152"/>
      <c r="MC152"/>
      <c r="MD152"/>
      <c r="ME152"/>
      <c r="MF152"/>
      <c r="MG152"/>
      <c r="MH152"/>
      <c r="MI152"/>
      <c r="MJ152"/>
      <c r="MK152"/>
      <c r="ML152"/>
      <c r="MM152"/>
      <c r="MN152"/>
      <c r="MO152"/>
      <c r="MP152"/>
      <c r="MQ152"/>
      <c r="MR152"/>
      <c r="MS152"/>
      <c r="MT152"/>
      <c r="MU152"/>
      <c r="MV152"/>
      <c r="MW152"/>
      <c r="MX152"/>
      <c r="MY152"/>
      <c r="MZ152"/>
      <c r="NA152"/>
      <c r="NB152"/>
      <c r="NC152"/>
      <c r="ND152"/>
      <c r="NE152"/>
      <c r="NF152"/>
      <c r="NG152"/>
      <c r="NH152"/>
      <c r="NI152"/>
      <c r="NJ152"/>
      <c r="NK152"/>
      <c r="NL152"/>
      <c r="NM152"/>
      <c r="NN152"/>
      <c r="NO152"/>
      <c r="NP152"/>
      <c r="NQ152"/>
      <c r="NR152"/>
      <c r="NS152"/>
      <c r="NT152"/>
      <c r="NU152"/>
      <c r="NV152"/>
      <c r="NW152"/>
      <c r="NX152"/>
      <c r="NY152"/>
      <c r="NZ152"/>
      <c r="OA152"/>
      <c r="OB152"/>
      <c r="OC152"/>
      <c r="OD152"/>
      <c r="OE152"/>
      <c r="OF152"/>
      <c r="OG152"/>
      <c r="OH152"/>
      <c r="OI152"/>
      <c r="OJ152"/>
      <c r="OK152"/>
      <c r="OL152"/>
    </row>
    <row r="153" spans="1:402">
      <c r="A153" s="68"/>
      <c r="B153" s="50"/>
      <c r="C153" s="174" t="s">
        <v>318</v>
      </c>
      <c r="D153" s="928">
        <f>SUM(H153:K153)</f>
        <v>0.18346104003561939</v>
      </c>
      <c r="E153" s="877">
        <f>SUM(G153:K153,N153:O153)</f>
        <v>0.18346104003561939</v>
      </c>
      <c r="F153" s="878">
        <f>SUM(Q153:S153)/(1-'Common input data'!B$146)</f>
        <v>0.18756022502153244</v>
      </c>
      <c r="G153" s="877">
        <v>0</v>
      </c>
      <c r="H153" s="877">
        <f>'Input data dairy products'!$D$23*H10</f>
        <v>0</v>
      </c>
      <c r="I153" s="877">
        <f>'Input data dairy products'!$D$23*I10</f>
        <v>1.0999113892387082E-2</v>
      </c>
      <c r="J153" s="877">
        <f>'Input data dairy products'!$D$23*J10</f>
        <v>0</v>
      </c>
      <c r="K153" s="877">
        <f>'Input data dairy products'!$D$23*K10</f>
        <v>0.1724619261432323</v>
      </c>
      <c r="L153" s="877">
        <f>'Input data dairy products'!$D$23*L10</f>
        <v>0</v>
      </c>
      <c r="M153" s="877">
        <f>'Input data dairy products'!$D$23*M10</f>
        <v>0</v>
      </c>
      <c r="N153" s="877">
        <f>'Input data dairy products'!$D$23*N10</f>
        <v>0</v>
      </c>
      <c r="O153" s="877">
        <v>0</v>
      </c>
      <c r="P153" s="877">
        <v>0</v>
      </c>
      <c r="Q153" s="877">
        <f t="shared" ref="Q153:Q160" si="41">SUM(G153:P153)</f>
        <v>0.18346104003561939</v>
      </c>
      <c r="R153" s="877">
        <v>0</v>
      </c>
      <c r="S153" s="877">
        <v>0</v>
      </c>
      <c r="T153" s="18"/>
      <c r="U153" s="879"/>
      <c r="V153" s="877"/>
      <c r="W153" s="886"/>
      <c r="X153" s="877"/>
      <c r="Y153" s="879"/>
      <c r="Z153" s="877"/>
      <c r="AA153" s="886"/>
      <c r="AB153" s="877"/>
      <c r="AC153" s="879"/>
      <c r="AD153" s="877"/>
      <c r="AE153" s="886"/>
      <c r="AF153" s="877"/>
      <c r="AG153" s="879"/>
      <c r="AH153" s="877"/>
      <c r="AI153" s="886"/>
      <c r="AJ153" s="877"/>
      <c r="AK153" s="879"/>
      <c r="AL153" s="877"/>
      <c r="AM153" s="886"/>
      <c r="AN153" s="877"/>
      <c r="AO153" s="879"/>
      <c r="AP153" s="877"/>
      <c r="AQ153" s="886"/>
      <c r="AR153" s="877"/>
      <c r="AS153" s="879"/>
      <c r="AT153" s="877"/>
      <c r="AU153" s="886"/>
      <c r="AV153" s="877"/>
      <c r="AW153" s="879"/>
      <c r="AX153" s="877"/>
      <c r="AY153" s="886"/>
      <c r="AZ153" s="877"/>
      <c r="BA153" s="879"/>
      <c r="BB153" s="886"/>
    </row>
    <row r="154" spans="1:402">
      <c r="A154" s="68"/>
      <c r="B154" s="50"/>
      <c r="C154" s="174" t="s">
        <v>319</v>
      </c>
      <c r="D154" s="928">
        <f>SUM(H154:K154)</f>
        <v>0</v>
      </c>
      <c r="E154" s="877">
        <f>SUM(G154:K154,N154:O154)</f>
        <v>1.8655881579765418E-3</v>
      </c>
      <c r="F154" s="878">
        <f>SUM(Q154:S154)/(1-'Common input data'!B$146)</f>
        <v>1.907272163286824E-3</v>
      </c>
      <c r="G154" s="877">
        <f>'Input data dairy products'!$D$23*G11</f>
        <v>1.8574270995794439E-3</v>
      </c>
      <c r="H154" s="877">
        <v>0</v>
      </c>
      <c r="I154" s="877">
        <v>0</v>
      </c>
      <c r="J154" s="877">
        <v>0</v>
      </c>
      <c r="K154" s="877">
        <v>0</v>
      </c>
      <c r="L154" s="877">
        <v>0</v>
      </c>
      <c r="M154" s="877">
        <v>0</v>
      </c>
      <c r="N154" s="877">
        <v>0</v>
      </c>
      <c r="O154" s="877">
        <f>'Input data dairy products'!$D$23*O11</f>
        <v>8.1610583970979385E-6</v>
      </c>
      <c r="P154" s="877">
        <v>0</v>
      </c>
      <c r="Q154" s="877">
        <f t="shared" si="41"/>
        <v>1.8655881579765418E-3</v>
      </c>
      <c r="R154" s="877">
        <v>0</v>
      </c>
      <c r="S154" s="877">
        <v>0</v>
      </c>
      <c r="T154" s="18"/>
      <c r="U154" s="879"/>
      <c r="V154" s="877"/>
      <c r="W154" s="886"/>
      <c r="X154" s="877"/>
      <c r="Y154" s="879"/>
      <c r="Z154" s="877"/>
      <c r="AA154" s="886"/>
      <c r="AB154" s="877"/>
      <c r="AC154" s="879"/>
      <c r="AD154" s="877"/>
      <c r="AE154" s="886"/>
      <c r="AF154" s="877"/>
      <c r="AG154" s="879"/>
      <c r="AH154" s="877"/>
      <c r="AI154" s="886"/>
      <c r="AJ154" s="877"/>
      <c r="AK154" s="879"/>
      <c r="AL154" s="877"/>
      <c r="AM154" s="886"/>
      <c r="AN154" s="877"/>
      <c r="AO154" s="879"/>
      <c r="AP154" s="877"/>
      <c r="AQ154" s="886"/>
      <c r="AR154" s="877"/>
      <c r="AS154" s="879"/>
      <c r="AT154" s="877"/>
      <c r="AU154" s="886"/>
      <c r="AV154" s="877"/>
      <c r="AW154" s="879"/>
      <c r="AX154" s="877"/>
      <c r="AY154" s="886"/>
      <c r="AZ154" s="877"/>
      <c r="BA154" s="879"/>
      <c r="BB154" s="886"/>
    </row>
    <row r="155" spans="1:402">
      <c r="A155" s="359"/>
      <c r="B155" s="54"/>
      <c r="C155" s="55" t="s">
        <v>320</v>
      </c>
      <c r="D155" s="928">
        <f>SUM(H155:K155)</f>
        <v>7.0096483861709002E-3</v>
      </c>
      <c r="E155" s="877">
        <f>SUM(G155:K155,N155:O155)</f>
        <v>8.7681581138918576E-3</v>
      </c>
      <c r="F155" s="878">
        <f>SUM(Q155:S155)/(1-'Common input data'!B$146)</f>
        <v>8.9640705653180521E-3</v>
      </c>
      <c r="G155" s="877">
        <f>'Input data dairy products'!$D$23*G12</f>
        <v>1.7577489357214939E-3</v>
      </c>
      <c r="H155" s="877">
        <f>'Input data dairy products'!$D$23*H12</f>
        <v>4.4428808225761649E-3</v>
      </c>
      <c r="I155" s="877">
        <f>'Input data dairy products'!$D$23*I12</f>
        <v>2.3913869102361509E-3</v>
      </c>
      <c r="J155" s="877">
        <f>'Input data dairy products'!$D$23*J12</f>
        <v>1.7538065335858478E-4</v>
      </c>
      <c r="K155" s="877">
        <f>'Input data dairy products'!$D$23*K12</f>
        <v>0</v>
      </c>
      <c r="L155" s="877">
        <f>'Input data dairy products'!$D$23*L12</f>
        <v>0</v>
      </c>
      <c r="M155" s="877">
        <f>'Input data dairy products'!$D$23*M12</f>
        <v>0</v>
      </c>
      <c r="N155" s="877">
        <f>'Input data dairy products'!$D$23*N12</f>
        <v>0</v>
      </c>
      <c r="O155" s="877">
        <f>'Input data dairy products'!$D$23*O12</f>
        <v>7.6079199946279664E-7</v>
      </c>
      <c r="P155" s="877">
        <v>0</v>
      </c>
      <c r="Q155" s="877">
        <f t="shared" si="41"/>
        <v>8.7681581138918576E-3</v>
      </c>
      <c r="R155" s="877">
        <v>0</v>
      </c>
      <c r="S155" s="877">
        <v>0</v>
      </c>
      <c r="T155" s="18"/>
      <c r="U155" s="879"/>
      <c r="V155" s="877"/>
      <c r="W155" s="886"/>
      <c r="X155" s="877"/>
      <c r="Y155" s="879"/>
      <c r="Z155" s="877"/>
      <c r="AA155" s="886"/>
      <c r="AB155" s="877"/>
      <c r="AC155" s="879"/>
      <c r="AD155" s="877"/>
      <c r="AE155" s="886"/>
      <c r="AF155" s="877"/>
      <c r="AG155" s="879"/>
      <c r="AH155" s="877"/>
      <c r="AI155" s="886"/>
      <c r="AJ155" s="877"/>
      <c r="AK155" s="879"/>
      <c r="AL155" s="877"/>
      <c r="AM155" s="886"/>
      <c r="AN155" s="877"/>
      <c r="AO155" s="879"/>
      <c r="AP155" s="877"/>
      <c r="AQ155" s="886"/>
      <c r="AR155" s="877"/>
      <c r="AS155" s="879"/>
      <c r="AT155" s="877"/>
      <c r="AU155" s="886"/>
      <c r="AV155" s="877"/>
      <c r="AW155" s="879"/>
      <c r="AX155" s="877"/>
      <c r="AY155" s="886"/>
      <c r="AZ155" s="877"/>
      <c r="BA155" s="879"/>
      <c r="BB155" s="886"/>
    </row>
    <row r="156" spans="1:402" s="12" customFormat="1">
      <c r="A156" s="108" t="s">
        <v>125</v>
      </c>
      <c r="B156" s="390">
        <f>'Input data dairy products'!C24</f>
        <v>0.15999999999999992</v>
      </c>
      <c r="C156" s="355" t="s">
        <v>316</v>
      </c>
      <c r="D156" s="930">
        <f>SUMPRODUCT($BH$6:$BH$9,D157:D160)</f>
        <v>6.677909541542193</v>
      </c>
      <c r="E156" s="872">
        <f>SUMPRODUCT($BH$6:$BH$9,E157:E160)</f>
        <v>10.085301912505393</v>
      </c>
      <c r="F156" s="873">
        <f>SUMPRODUCT($BH$6:$BH$9,F157:F160)</f>
        <v>11.210306524694548</v>
      </c>
      <c r="G156" s="884"/>
      <c r="H156" s="884"/>
      <c r="I156" s="884"/>
      <c r="J156" s="884"/>
      <c r="K156" s="884"/>
      <c r="L156" s="884"/>
      <c r="M156" s="884"/>
      <c r="N156" s="884"/>
      <c r="O156" s="884"/>
      <c r="P156" s="884"/>
      <c r="Q156" s="884"/>
      <c r="R156" s="884"/>
      <c r="S156" s="884"/>
      <c r="T156" s="18"/>
      <c r="U156" s="1220">
        <f>U$19*'Input data dairy products'!$D24</f>
        <v>20.380376205682154</v>
      </c>
      <c r="V156" s="877">
        <f>U156+U156*'Common input data'!$B$146</f>
        <v>20.825795441770197</v>
      </c>
      <c r="W156" s="886">
        <f>V156+V156*'Common input data'!$B$181</f>
        <v>22.283601122694112</v>
      </c>
      <c r="X156" s="877"/>
      <c r="Y156" s="1220">
        <f>Y$19*'Input data dairy products'!$D24</f>
        <v>22.464393894322505</v>
      </c>
      <c r="Z156" s="877">
        <f>Y156+Y156*'Common input data'!$B$146</f>
        <v>22.955359962201086</v>
      </c>
      <c r="AA156" s="886">
        <f>Z156+Z156*'Common input data'!$B$181</f>
        <v>24.562235159555161</v>
      </c>
      <c r="AB156" s="877"/>
      <c r="AC156" s="1220">
        <f>AC$19*'Input data dairy products'!$D24</f>
        <v>0.47776165953164179</v>
      </c>
      <c r="AD156" s="877">
        <f>AC156+AC156*'Common input data'!$B$146</f>
        <v>0.48820328392920359</v>
      </c>
      <c r="AE156" s="886">
        <f>AD156+AD156*'Common input data'!$B$181</f>
        <v>0.5223775138042478</v>
      </c>
      <c r="AF156" s="877"/>
      <c r="AG156" s="1220">
        <f>AG$19*'Input data dairy products'!$D24</f>
        <v>1.5900359058030174E-2</v>
      </c>
      <c r="AH156" s="877">
        <f>AG156+AG156*'Common input data'!$B$146</f>
        <v>1.6247866175351136E-2</v>
      </c>
      <c r="AI156" s="886">
        <f>AH156+AH156*'Common input data'!$B$181</f>
        <v>1.7385216807625715E-2</v>
      </c>
      <c r="AJ156" s="877"/>
      <c r="AK156" s="1220">
        <f>AK$19*'Input data dairy products'!$D24</f>
        <v>4.6021854054611032E-2</v>
      </c>
      <c r="AL156" s="877">
        <f>AK156+AK156*'Common input data'!$B$146</f>
        <v>4.7027675481530765E-2</v>
      </c>
      <c r="AM156" s="886">
        <f>AL156+AL156*'Common input data'!$B$181</f>
        <v>5.0319612765237921E-2</v>
      </c>
      <c r="AN156" s="877"/>
      <c r="AO156" s="1220">
        <f>(AO$19*'Input data dairy products'!$D24)/$AP$2</f>
        <v>5.8259400703566823E-10</v>
      </c>
      <c r="AP156" s="877">
        <f>AO156+AO156*'Common input data'!$B$146</f>
        <v>5.953267738376348E-10</v>
      </c>
      <c r="AQ156" s="886">
        <f>AP156+AP156*'Common input data'!$B$181</f>
        <v>6.3699964800626928E-10</v>
      </c>
      <c r="AR156" s="877"/>
      <c r="AS156" s="1220">
        <f>AS$19*'Input data dairy products'!$D24</f>
        <v>1.0127394388882568E-3</v>
      </c>
      <c r="AT156" s="877">
        <f>AS156+AS156*'Common input data'!$B$146</f>
        <v>1.0348731631469911E-3</v>
      </c>
      <c r="AU156" s="886">
        <f>AT156+AT156*'Common input data'!$B$181</f>
        <v>1.1073142845672804E-3</v>
      </c>
      <c r="AV156" s="877"/>
      <c r="AW156" s="1220">
        <f>AW$19*'Input data dairy products'!$D24</f>
        <v>3.9698682538173213E-2</v>
      </c>
      <c r="AX156" s="877">
        <f>AW156+AW156*'Common input data'!$B$146</f>
        <v>4.0566309154649739E-2</v>
      </c>
      <c r="AY156" s="886">
        <f>AX156+AX156*'Common input data'!$B$181</f>
        <v>4.3405950795475219E-2</v>
      </c>
      <c r="AZ156" s="877"/>
      <c r="BA156" s="879">
        <f>('Common input data'!B214+'Common input data'!C214)+('Common input data'!B214+'Common input data'!C214)*'Common input data'!$B$146</f>
        <v>0.97093284421666648</v>
      </c>
      <c r="BB156" s="886">
        <f>BA156+BA156*'Common input data'!$B$181</f>
        <v>1.0388981433118332</v>
      </c>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row>
    <row r="157" spans="1:402" s="12" customFormat="1">
      <c r="A157" s="18"/>
      <c r="B157"/>
      <c r="C157" s="174" t="s">
        <v>317</v>
      </c>
      <c r="D157" s="928">
        <f>IF(AND($F$2="No",$F$3="No"),SUM(H157:K157),IF(AND($F$2="Yes", $F$3="No"), SUM(H157:K157)+M157, IF(AND($F$2="No", $F$3="Yes"),SUM(H157:K157)+L157, SUM(H157:K157)+M157+L157)))</f>
        <v>-0.18917254884418627</v>
      </c>
      <c r="E157" s="877">
        <f>IF(AND($F$2="No",$F$3="No"),SUM(G157:K157,N157:O157),IF(AND($F$2="Yes",$F$3="No"), SUM(G157:K157,N157:O157)+M157, IF(AND($F$2="No", $F$3="Yes"),SUM(G157:K157,N157:O157)+L157, SUM(G157:K157,N157:O157)+M157+L157)))</f>
        <v>2.6807703786032748</v>
      </c>
      <c r="F157" s="878">
        <f>SUM(Q157:S157)/(1-'Common input data'!B$146)</f>
        <v>3.6403309025783956</v>
      </c>
      <c r="G157" s="877">
        <f>'Input data dairy products'!$D$24*G14</f>
        <v>1.7376249919923923</v>
      </c>
      <c r="H157" s="877">
        <f>'Input data dairy products'!$D$24*H14</f>
        <v>0</v>
      </c>
      <c r="I157" s="877">
        <f>'Input data dairy products'!$D$24*I14</f>
        <v>0</v>
      </c>
      <c r="J157" s="877">
        <f>'Input data dairy products'!$D$24*J14</f>
        <v>0</v>
      </c>
      <c r="K157" s="877">
        <f>'Input data dairy products'!$D$24*K14</f>
        <v>0</v>
      </c>
      <c r="L157" s="877">
        <f>'Input data dairy products'!$D$24*L14</f>
        <v>-0.36392071841844864</v>
      </c>
      <c r="M157" s="877">
        <f>'Input data dairy products'!$D$24*M14</f>
        <v>0.17474816957426237</v>
      </c>
      <c r="N157" s="877">
        <f>'Input data dairy products'!$D$24*N14</f>
        <v>0.98613647813683425</v>
      </c>
      <c r="O157" s="877">
        <f>'Input data dairy products'!$D$24*O14</f>
        <v>0.14618145731823443</v>
      </c>
      <c r="P157" s="877">
        <f>'Input data dairy products'!I$30</f>
        <v>0.6</v>
      </c>
      <c r="Q157" s="1185">
        <f>IF(AND($F$2="No",$F$3="No"),SUM(G157:K157,N157:P157),IF(AND($F$2="Yes",$F$3="No"), SUM(G157:K157,N157:P157)+M157, IF(AND($F$2="No", $F$3="Yes"),SUM(G157:K157,N157:P157)+L157, SUM(G157:K157,N157:P157)+M157+L157)))</f>
        <v>3.2807703786032749</v>
      </c>
      <c r="R157" s="877">
        <f>'Common input data'!B$108</f>
        <v>0.05</v>
      </c>
      <c r="S157" s="877">
        <f>'Common input data'!B$119+'Common input data'!C$119</f>
        <v>0.23000000000000004</v>
      </c>
      <c r="T157" s="18"/>
      <c r="U157" s="879"/>
      <c r="V157" s="877"/>
      <c r="W157" s="886"/>
      <c r="X157" s="877"/>
      <c r="Y157" s="879"/>
      <c r="Z157" s="877"/>
      <c r="AA157" s="886"/>
      <c r="AB157" s="877"/>
      <c r="AC157" s="879"/>
      <c r="AD157" s="877"/>
      <c r="AE157" s="886"/>
      <c r="AF157" s="877"/>
      <c r="AG157" s="879"/>
      <c r="AH157" s="877"/>
      <c r="AI157" s="886"/>
      <c r="AJ157" s="877"/>
      <c r="AK157" s="879"/>
      <c r="AL157" s="877"/>
      <c r="AM157" s="886"/>
      <c r="AN157" s="877"/>
      <c r="AO157" s="879"/>
      <c r="AP157" s="877"/>
      <c r="AQ157" s="886"/>
      <c r="AR157" s="877"/>
      <c r="AS157" s="879"/>
      <c r="AT157" s="877"/>
      <c r="AU157" s="886"/>
      <c r="AV157" s="877"/>
      <c r="AW157" s="879"/>
      <c r="AX157" s="877"/>
      <c r="AY157" s="886"/>
      <c r="AZ157" s="877"/>
      <c r="BA157" s="879"/>
      <c r="BB157" s="886"/>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row>
    <row r="158" spans="1:402">
      <c r="A158" s="68"/>
      <c r="B158" s="55"/>
      <c r="C158" s="174" t="s">
        <v>318</v>
      </c>
      <c r="D158" s="928">
        <f>SUM(H158:K158)</f>
        <v>0.18346104003561939</v>
      </c>
      <c r="E158" s="877">
        <f>SUM(G158:K158,N158:O158)</f>
        <v>0.18346104003561939</v>
      </c>
      <c r="F158" s="878">
        <f>SUM(Q158:S158)/(1-'Common input data'!B$146)</f>
        <v>0.18756022502153244</v>
      </c>
      <c r="G158" s="877">
        <v>0</v>
      </c>
      <c r="H158" s="877">
        <f>'Input data dairy products'!$D$24*H16</f>
        <v>0</v>
      </c>
      <c r="I158" s="877">
        <f>'Input data dairy products'!$D$24*I15</f>
        <v>1.0999113892387082E-2</v>
      </c>
      <c r="J158" s="877">
        <f>'Input data dairy products'!$D$24*J15</f>
        <v>0</v>
      </c>
      <c r="K158" s="877">
        <f>'Input data dairy products'!$D$24*K15</f>
        <v>0.1724619261432323</v>
      </c>
      <c r="L158" s="877">
        <f>'Input data dairy products'!$D$24*L15</f>
        <v>0</v>
      </c>
      <c r="M158" s="877">
        <f>'Input data dairy products'!$D$24*M15</f>
        <v>0</v>
      </c>
      <c r="N158" s="877">
        <f>'Input data dairy products'!$D$24*N15</f>
        <v>0</v>
      </c>
      <c r="O158" s="877">
        <v>0</v>
      </c>
      <c r="P158" s="877">
        <v>0</v>
      </c>
      <c r="Q158" s="877">
        <f t="shared" si="41"/>
        <v>0.18346104003561939</v>
      </c>
      <c r="R158" s="877">
        <v>0</v>
      </c>
      <c r="S158" s="877">
        <v>0</v>
      </c>
      <c r="T158" s="18"/>
      <c r="U158" s="879"/>
      <c r="V158" s="877"/>
      <c r="W158" s="886"/>
      <c r="X158" s="877"/>
      <c r="Y158" s="879"/>
      <c r="Z158" s="877"/>
      <c r="AA158" s="886"/>
      <c r="AB158" s="877"/>
      <c r="AC158" s="879"/>
      <c r="AD158" s="877"/>
      <c r="AE158" s="886"/>
      <c r="AF158" s="877"/>
      <c r="AG158" s="879"/>
      <c r="AH158" s="877"/>
      <c r="AI158" s="886"/>
      <c r="AJ158" s="877"/>
      <c r="AK158" s="879"/>
      <c r="AL158" s="877"/>
      <c r="AM158" s="886"/>
      <c r="AN158" s="877"/>
      <c r="AO158" s="879"/>
      <c r="AP158" s="877"/>
      <c r="AQ158" s="886"/>
      <c r="AR158" s="877"/>
      <c r="AS158" s="879"/>
      <c r="AT158" s="877"/>
      <c r="AU158" s="886"/>
      <c r="AV158" s="877"/>
      <c r="AW158" s="879"/>
      <c r="AX158" s="877"/>
      <c r="AY158" s="886"/>
      <c r="BA158" s="879"/>
      <c r="BB158" s="886"/>
    </row>
    <row r="159" spans="1:402">
      <c r="A159" s="68"/>
      <c r="B159" s="55"/>
      <c r="C159" s="174" t="s">
        <v>319</v>
      </c>
      <c r="D159" s="928">
        <f>SUM(H159:K159)</f>
        <v>0</v>
      </c>
      <c r="E159" s="877">
        <f>SUM(G159:K159,N159:O159)</f>
        <v>1.8978374157135498E-3</v>
      </c>
      <c r="F159" s="878">
        <f>SUM(Q159:S159)/(1-'Common input data'!B$146)</f>
        <v>1.9402419863988932E-3</v>
      </c>
      <c r="G159" s="877">
        <f>'Input data dairy products'!$D$24*G16</f>
        <v>1.8574270995794439E-3</v>
      </c>
      <c r="H159" s="877">
        <v>0</v>
      </c>
      <c r="I159" s="877">
        <v>0</v>
      </c>
      <c r="J159" s="877">
        <v>0</v>
      </c>
      <c r="K159" s="877">
        <v>0</v>
      </c>
      <c r="L159" s="877">
        <v>0</v>
      </c>
      <c r="M159" s="877">
        <v>0</v>
      </c>
      <c r="N159" s="877">
        <v>0</v>
      </c>
      <c r="O159" s="877">
        <f>'Input data dairy products'!$D$24*O16</f>
        <v>4.0410316134106009E-5</v>
      </c>
      <c r="P159" s="877">
        <v>0</v>
      </c>
      <c r="Q159" s="877">
        <f t="shared" si="41"/>
        <v>1.8978374157135498E-3</v>
      </c>
      <c r="R159" s="877">
        <v>0</v>
      </c>
      <c r="S159" s="877">
        <v>0</v>
      </c>
      <c r="T159" s="18"/>
      <c r="U159" s="879"/>
      <c r="V159" s="877"/>
      <c r="W159" s="886"/>
      <c r="X159" s="877"/>
      <c r="Y159" s="879"/>
      <c r="Z159" s="877"/>
      <c r="AA159" s="886"/>
      <c r="AB159" s="877"/>
      <c r="AC159" s="879"/>
      <c r="AD159" s="877"/>
      <c r="AE159" s="886"/>
      <c r="AF159" s="877"/>
      <c r="AG159" s="879"/>
      <c r="AH159" s="877"/>
      <c r="AI159" s="886"/>
      <c r="AJ159" s="877"/>
      <c r="AK159" s="879"/>
      <c r="AL159" s="877"/>
      <c r="AM159" s="886"/>
      <c r="AN159" s="877"/>
      <c r="AO159" s="879"/>
      <c r="AP159" s="877"/>
      <c r="AQ159" s="886"/>
      <c r="AR159" s="877"/>
      <c r="AS159" s="879"/>
      <c r="AT159" s="877"/>
      <c r="AU159" s="886"/>
      <c r="AV159" s="877"/>
      <c r="AW159" s="879"/>
      <c r="AX159" s="877"/>
      <c r="AY159" s="886"/>
      <c r="BA159" s="879"/>
      <c r="BB159" s="886"/>
    </row>
    <row r="160" spans="1:402" ht="15.75" thickBot="1">
      <c r="A160" s="71"/>
      <c r="B160" s="81"/>
      <c r="C160" s="56" t="s">
        <v>320</v>
      </c>
      <c r="D160" s="1048">
        <f>SUM(H160:K160)</f>
        <v>7.0096483861709002E-3</v>
      </c>
      <c r="E160" s="894">
        <f>SUM(G160:K160,N160:O160)</f>
        <v>8.7711644613631175E-3</v>
      </c>
      <c r="F160" s="895">
        <f>SUM(Q160:S160)/(1-'Common input data'!B$146)</f>
        <v>8.9671440854948315E-3</v>
      </c>
      <c r="G160" s="896">
        <f>'Input data dairy products'!$D$24*G17</f>
        <v>1.7577489357214939E-3</v>
      </c>
      <c r="H160" s="896">
        <f>'Input data dairy products'!$D$24*H17</f>
        <v>4.4428808225761649E-3</v>
      </c>
      <c r="I160" s="896">
        <f>'Input data dairy products'!$D$24*I17</f>
        <v>2.3913869102361509E-3</v>
      </c>
      <c r="J160" s="896">
        <f>'Input data dairy products'!$D$24*J17</f>
        <v>1.7538065335858478E-4</v>
      </c>
      <c r="K160" s="896">
        <f>'Input data dairy products'!$D$24*K17</f>
        <v>0</v>
      </c>
      <c r="L160" s="896">
        <f>'Input data dairy products'!$D$24*L17</f>
        <v>0</v>
      </c>
      <c r="M160" s="896">
        <f>'Input data dairy products'!$D$24*M17</f>
        <v>0</v>
      </c>
      <c r="N160" s="896">
        <f>'Input data dairy products'!$D$24*N17</f>
        <v>0</v>
      </c>
      <c r="O160" s="896">
        <f>'Input data dairy products'!$D$24*O17</f>
        <v>3.7671394707238821E-6</v>
      </c>
      <c r="P160" s="896">
        <v>0</v>
      </c>
      <c r="Q160" s="896">
        <f t="shared" si="41"/>
        <v>8.7711644613631175E-3</v>
      </c>
      <c r="R160" s="1189">
        <v>0</v>
      </c>
      <c r="S160" s="896">
        <v>0</v>
      </c>
      <c r="T160" s="18"/>
      <c r="U160" s="86"/>
      <c r="V160" s="65"/>
      <c r="W160" s="84"/>
      <c r="Y160" s="86"/>
      <c r="Z160" s="65"/>
      <c r="AA160" s="84"/>
      <c r="AC160" s="86"/>
      <c r="AD160" s="65"/>
      <c r="AE160" s="84"/>
      <c r="AG160" s="86"/>
      <c r="AH160" s="65"/>
      <c r="AI160" s="84"/>
      <c r="AK160" s="86"/>
      <c r="AL160" s="65"/>
      <c r="AM160" s="84"/>
      <c r="AO160" s="86"/>
      <c r="AP160" s="65"/>
      <c r="AQ160" s="84"/>
      <c r="AS160" s="86"/>
      <c r="AT160" s="65"/>
      <c r="AU160" s="84"/>
      <c r="AW160" s="86"/>
      <c r="AX160" s="65"/>
      <c r="AY160" s="84"/>
      <c r="BA160" s="86"/>
      <c r="BB160" s="84"/>
    </row>
  </sheetData>
  <dataValidations count="2">
    <dataValidation type="list" allowBlank="1" showInputMessage="1" showErrorMessage="1" sqref="F2:F3" xr:uid="{00000000-0002-0000-0500-000000000000}">
      <formula1>"Yes, No"</formula1>
    </dataValidation>
    <dataValidation type="list" allowBlank="1" showInputMessage="1" showErrorMessage="1" sqref="AP2" xr:uid="{00000000-0002-0000-0500-000001000000}">
      <formula1>"1,20,100,500"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'Common input data'!$A$5:$A$15</xm:f>
          </x14:formula1>
          <xm:sqref>F1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LR169"/>
  <sheetViews>
    <sheetView tabSelected="1" topLeftCell="X2" zoomScale="85" zoomScaleNormal="85" workbookViewId="0">
      <pane ySplit="3750" topLeftCell="A12" activePane="bottomLeft"/>
      <selection activeCell="AM2" sqref="AM2"/>
      <selection pane="bottomLeft" activeCell="AL14" sqref="AL14"/>
    </sheetView>
  </sheetViews>
  <sheetFormatPr defaultColWidth="8.7109375" defaultRowHeight="15"/>
  <cols>
    <col min="1" max="1" width="54.7109375" customWidth="1"/>
    <col min="2" max="2" width="37.42578125" customWidth="1"/>
    <col min="3" max="3" width="19.7109375" bestFit="1" customWidth="1"/>
    <col min="4" max="4" width="28" customWidth="1"/>
    <col min="5" max="5" width="43.42578125" bestFit="1" customWidth="1"/>
    <col min="6" max="7" width="38.7109375" customWidth="1"/>
    <col min="8" max="8" width="48.42578125" bestFit="1" customWidth="1"/>
    <col min="9" max="9" width="35.42578125" bestFit="1" customWidth="1"/>
    <col min="10" max="10" width="22.42578125" customWidth="1"/>
    <col min="11" max="11" width="33" customWidth="1"/>
    <col min="12" max="12" width="22.42578125" bestFit="1" customWidth="1"/>
    <col min="13" max="13" width="20.42578125" bestFit="1" customWidth="1"/>
    <col min="14" max="14" width="22.42578125" bestFit="1" customWidth="1"/>
    <col min="15" max="15" width="31.42578125" bestFit="1" customWidth="1"/>
    <col min="16" max="17" width="28.42578125" customWidth="1"/>
    <col min="18" max="18" width="32.42578125" bestFit="1" customWidth="1"/>
    <col min="19" max="19" width="16.42578125" bestFit="1" customWidth="1"/>
    <col min="20" max="20" width="22.42578125" bestFit="1" customWidth="1"/>
    <col min="22" max="54" width="16.7109375" customWidth="1"/>
    <col min="56" max="57" width="8.7109375" customWidth="1"/>
  </cols>
  <sheetData>
    <row r="1" spans="1:330" ht="31.5">
      <c r="A1" s="326" t="s">
        <v>13</v>
      </c>
      <c r="E1" s="327" t="s">
        <v>269</v>
      </c>
      <c r="F1" s="328" t="s">
        <v>251</v>
      </c>
    </row>
    <row r="2" spans="1:330" ht="31.5">
      <c r="B2" s="415"/>
      <c r="E2" s="327" t="s">
        <v>271</v>
      </c>
      <c r="F2" s="328" t="s">
        <v>272</v>
      </c>
      <c r="G2" s="328"/>
      <c r="I2" s="135"/>
      <c r="J2" s="149"/>
      <c r="K2" s="135"/>
      <c r="L2" s="135"/>
      <c r="M2" s="135"/>
      <c r="N2" s="135"/>
      <c r="O2" s="135"/>
      <c r="P2" s="135"/>
      <c r="Q2" s="135"/>
      <c r="R2" s="135"/>
      <c r="S2" s="135"/>
      <c r="T2" s="135"/>
      <c r="U2" s="135"/>
      <c r="AL2" s="1168" t="s">
        <v>274</v>
      </c>
      <c r="AM2" s="1169">
        <v>100</v>
      </c>
    </row>
    <row r="3" spans="1:330" ht="51.75">
      <c r="E3" s="330" t="s">
        <v>273</v>
      </c>
      <c r="F3" s="328" t="s">
        <v>2471</v>
      </c>
      <c r="G3" s="416"/>
    </row>
    <row r="4" spans="1:330" ht="18" thickBot="1">
      <c r="H4" s="6"/>
      <c r="I4" s="1373"/>
      <c r="J4" s="1374"/>
      <c r="V4" s="1257" t="s">
        <v>276</v>
      </c>
      <c r="W4" s="1258"/>
      <c r="X4" s="1259"/>
      <c r="Y4" s="406"/>
      <c r="Z4" s="1257" t="s">
        <v>278</v>
      </c>
      <c r="AA4" s="1258"/>
      <c r="AB4" s="1259"/>
      <c r="AC4" s="838"/>
      <c r="AD4" s="1257" t="s">
        <v>279</v>
      </c>
      <c r="AE4" s="1258"/>
      <c r="AF4" s="1259"/>
      <c r="AG4" s="838"/>
      <c r="AH4" s="1257" t="s">
        <v>280</v>
      </c>
      <c r="AI4" s="1258"/>
      <c r="AJ4" s="1259"/>
      <c r="AK4" s="838"/>
      <c r="AL4" s="1257" t="s">
        <v>281</v>
      </c>
      <c r="AM4" s="1258"/>
      <c r="AN4" s="1259"/>
      <c r="AO4" s="838"/>
      <c r="AP4" s="1257" t="s">
        <v>282</v>
      </c>
      <c r="AQ4" s="1258"/>
      <c r="AR4" s="1259"/>
      <c r="AS4" s="406"/>
      <c r="AT4" s="1257" t="s">
        <v>283</v>
      </c>
      <c r="AU4" s="1258"/>
      <c r="AV4" s="1259"/>
      <c r="AW4" s="406"/>
      <c r="AX4" s="1257" t="s">
        <v>284</v>
      </c>
      <c r="AY4" s="1259"/>
      <c r="AZ4" s="406"/>
    </row>
    <row r="5" spans="1:330" ht="17.25">
      <c r="A5" s="331"/>
      <c r="B5" s="417"/>
      <c r="C5" s="332"/>
      <c r="D5" s="332"/>
      <c r="E5" s="333" t="s">
        <v>287</v>
      </c>
      <c r="F5" s="334"/>
      <c r="G5" s="335"/>
      <c r="H5" s="402"/>
      <c r="I5" s="418" t="s">
        <v>384</v>
      </c>
      <c r="J5" s="419"/>
      <c r="K5" s="89"/>
      <c r="L5" s="89"/>
      <c r="M5" s="89"/>
      <c r="N5" s="89"/>
      <c r="O5" s="89"/>
      <c r="P5" s="89"/>
      <c r="Q5" s="89"/>
      <c r="R5" s="89"/>
      <c r="S5" s="89"/>
      <c r="T5" s="90"/>
      <c r="V5" s="1260" t="s">
        <v>286</v>
      </c>
      <c r="W5" s="1256"/>
      <c r="X5" s="1261"/>
      <c r="Y5" s="406"/>
      <c r="Z5" s="1260" t="s">
        <v>286</v>
      </c>
      <c r="AA5" s="1256"/>
      <c r="AB5" s="1261"/>
      <c r="AC5" s="838"/>
      <c r="AD5" s="1260" t="s">
        <v>286</v>
      </c>
      <c r="AE5" s="1256"/>
      <c r="AF5" s="1261"/>
      <c r="AG5" s="838"/>
      <c r="AH5" s="1260" t="s">
        <v>286</v>
      </c>
      <c r="AI5" s="1256"/>
      <c r="AJ5" s="1261"/>
      <c r="AK5" s="838"/>
      <c r="AL5" s="1260" t="s">
        <v>286</v>
      </c>
      <c r="AM5" s="1256"/>
      <c r="AN5" s="1261"/>
      <c r="AO5" s="838"/>
      <c r="AP5" s="1260" t="s">
        <v>286</v>
      </c>
      <c r="AQ5" s="1256"/>
      <c r="AR5" s="1261"/>
      <c r="AS5" s="406"/>
      <c r="AT5" s="1260" t="s">
        <v>286</v>
      </c>
      <c r="AU5" s="1256"/>
      <c r="AV5" s="1261"/>
      <c r="AW5" s="406"/>
      <c r="AX5" s="1260" t="s">
        <v>286</v>
      </c>
      <c r="AY5" s="1261"/>
      <c r="AZ5" s="406"/>
    </row>
    <row r="6" spans="1:330" s="406" customFormat="1" ht="86.25" customHeight="1">
      <c r="A6" s="420"/>
      <c r="B6" s="421" t="s">
        <v>107</v>
      </c>
      <c r="C6" s="345" t="s">
        <v>385</v>
      </c>
      <c r="D6" s="345" t="s">
        <v>360</v>
      </c>
      <c r="E6" s="344" t="s">
        <v>295</v>
      </c>
      <c r="F6" s="345" t="s">
        <v>386</v>
      </c>
      <c r="G6" s="346" t="s">
        <v>296</v>
      </c>
      <c r="H6" s="421" t="s">
        <v>387</v>
      </c>
      <c r="I6" s="422" t="s">
        <v>388</v>
      </c>
      <c r="J6" s="423" t="s">
        <v>298</v>
      </c>
      <c r="K6" s="421" t="s">
        <v>302</v>
      </c>
      <c r="L6" s="421" t="s">
        <v>303</v>
      </c>
      <c r="M6" s="345" t="s">
        <v>389</v>
      </c>
      <c r="N6" s="345" t="s">
        <v>390</v>
      </c>
      <c r="O6" s="421" t="s">
        <v>391</v>
      </c>
      <c r="P6" s="421" t="s">
        <v>392</v>
      </c>
      <c r="Q6" s="345" t="s">
        <v>393</v>
      </c>
      <c r="R6" s="421" t="s">
        <v>306</v>
      </c>
      <c r="S6" s="421" t="s">
        <v>307</v>
      </c>
      <c r="T6" s="424" t="s">
        <v>308</v>
      </c>
      <c r="V6" s="403" t="s">
        <v>290</v>
      </c>
      <c r="W6" s="867" t="s">
        <v>291</v>
      </c>
      <c r="X6" s="868" t="s">
        <v>292</v>
      </c>
      <c r="Z6" s="403" t="s">
        <v>290</v>
      </c>
      <c r="AA6" s="867" t="s">
        <v>291</v>
      </c>
      <c r="AB6" s="868" t="s">
        <v>292</v>
      </c>
      <c r="AC6" s="1016"/>
      <c r="AD6" s="403" t="s">
        <v>290</v>
      </c>
      <c r="AE6" s="867" t="s">
        <v>291</v>
      </c>
      <c r="AF6" s="868" t="s">
        <v>292</v>
      </c>
      <c r="AH6" s="403" t="s">
        <v>290</v>
      </c>
      <c r="AI6" s="867" t="s">
        <v>291</v>
      </c>
      <c r="AJ6" s="868" t="s">
        <v>292</v>
      </c>
      <c r="AK6" s="1015"/>
      <c r="AL6" s="403" t="s">
        <v>290</v>
      </c>
      <c r="AM6" s="867" t="s">
        <v>291</v>
      </c>
      <c r="AN6" s="868" t="s">
        <v>292</v>
      </c>
      <c r="AO6" s="1015"/>
      <c r="AP6" s="403" t="s">
        <v>290</v>
      </c>
      <c r="AQ6" s="867" t="s">
        <v>291</v>
      </c>
      <c r="AR6" s="868" t="s">
        <v>292</v>
      </c>
      <c r="AS6" s="1015"/>
      <c r="AT6" s="403" t="s">
        <v>290</v>
      </c>
      <c r="AU6" s="867" t="s">
        <v>291</v>
      </c>
      <c r="AV6" s="868" t="s">
        <v>292</v>
      </c>
      <c r="AX6" s="1324" t="s">
        <v>291</v>
      </c>
      <c r="AY6" s="868" t="s">
        <v>292</v>
      </c>
    </row>
    <row r="7" spans="1:330" s="332" customFormat="1" ht="17.25">
      <c r="A7" s="362" t="s">
        <v>394</v>
      </c>
      <c r="B7" s="363"/>
      <c r="C7" s="353"/>
      <c r="D7" s="364"/>
      <c r="E7" s="425" t="s">
        <v>395</v>
      </c>
      <c r="F7" s="426" t="s">
        <v>395</v>
      </c>
      <c r="G7" s="427" t="s">
        <v>396</v>
      </c>
      <c r="H7" s="353"/>
      <c r="I7" s="353"/>
      <c r="J7" s="353"/>
      <c r="K7" s="368"/>
      <c r="L7" s="368"/>
      <c r="M7" s="428"/>
      <c r="N7" s="368"/>
      <c r="O7" s="368"/>
      <c r="P7" s="368"/>
      <c r="Q7" s="368"/>
      <c r="R7" s="368"/>
      <c r="S7" s="368"/>
      <c r="T7" s="429"/>
      <c r="U7" s="406"/>
      <c r="V7" s="1262"/>
      <c r="W7" s="1170"/>
      <c r="X7" s="1171"/>
      <c r="Y7" s="1170"/>
      <c r="Z7" s="1262"/>
      <c r="AA7" s="1170"/>
      <c r="AB7" s="1171"/>
      <c r="AC7" s="1170"/>
      <c r="AD7" s="1262"/>
      <c r="AE7" s="1170"/>
      <c r="AF7" s="1171"/>
      <c r="AG7" s="1170"/>
      <c r="AH7" s="1262"/>
      <c r="AI7" s="1170"/>
      <c r="AJ7" s="1171"/>
      <c r="AK7" s="1170"/>
      <c r="AL7" s="1262"/>
      <c r="AM7" s="1170"/>
      <c r="AN7" s="1171"/>
      <c r="AO7" s="1170"/>
      <c r="AP7" s="1262"/>
      <c r="AQ7" s="1170"/>
      <c r="AR7" s="1171"/>
      <c r="AS7" s="1170"/>
      <c r="AT7" s="1262"/>
      <c r="AU7" s="1170"/>
      <c r="AV7" s="1171"/>
      <c r="AW7" s="406"/>
      <c r="AX7" s="1263"/>
      <c r="AY7" s="1171"/>
      <c r="AZ7" s="406"/>
      <c r="BA7" s="406"/>
      <c r="BB7" s="406"/>
      <c r="BC7" s="406"/>
      <c r="BD7" t="s">
        <v>252</v>
      </c>
      <c r="BE7"/>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6"/>
      <c r="CH7" s="406"/>
      <c r="CI7" s="406"/>
      <c r="CJ7" s="406"/>
      <c r="CK7" s="406"/>
      <c r="CL7" s="406"/>
      <c r="CM7" s="406"/>
      <c r="CN7" s="406"/>
      <c r="CO7" s="406"/>
      <c r="CP7" s="406"/>
      <c r="CQ7" s="406"/>
      <c r="CR7" s="406"/>
      <c r="CS7" s="406"/>
      <c r="CT7" s="406"/>
      <c r="CU7" s="406"/>
      <c r="CV7" s="406"/>
      <c r="CW7" s="406"/>
      <c r="CX7" s="406"/>
      <c r="CY7" s="406"/>
      <c r="CZ7" s="406"/>
      <c r="DA7" s="406"/>
      <c r="DB7" s="406"/>
      <c r="DC7" s="406"/>
      <c r="DD7" s="406"/>
      <c r="DE7" s="406"/>
      <c r="DF7" s="406"/>
      <c r="DG7" s="406"/>
      <c r="DH7" s="406"/>
      <c r="DI7" s="406"/>
      <c r="DJ7" s="406"/>
      <c r="DK7" s="406"/>
      <c r="DL7" s="406"/>
      <c r="DM7" s="406"/>
      <c r="DN7" s="406"/>
      <c r="DO7" s="406"/>
      <c r="DP7" s="406"/>
      <c r="DQ7" s="406"/>
      <c r="DR7" s="406"/>
      <c r="DS7" s="406"/>
      <c r="DT7" s="406"/>
      <c r="DU7" s="406"/>
      <c r="DV7" s="406"/>
      <c r="DW7" s="406"/>
      <c r="DX7" s="406"/>
      <c r="DY7" s="406"/>
      <c r="DZ7" s="406"/>
      <c r="EA7" s="406"/>
      <c r="EB7" s="406"/>
      <c r="EC7" s="406"/>
      <c r="ED7" s="406"/>
      <c r="EE7" s="406"/>
      <c r="EF7" s="406"/>
      <c r="EG7" s="406"/>
      <c r="EH7" s="406"/>
      <c r="EI7" s="406"/>
      <c r="EJ7" s="406"/>
      <c r="EK7" s="406"/>
      <c r="EL7" s="406"/>
      <c r="EM7" s="406"/>
      <c r="EN7" s="406"/>
      <c r="EO7" s="406"/>
      <c r="EP7" s="406"/>
      <c r="EQ7" s="406"/>
      <c r="ER7" s="406"/>
      <c r="ES7" s="406"/>
      <c r="ET7" s="406"/>
      <c r="EU7" s="406"/>
      <c r="EV7" s="406"/>
      <c r="EW7" s="406"/>
      <c r="EX7" s="406"/>
      <c r="EY7" s="406"/>
      <c r="EZ7" s="406"/>
      <c r="FA7" s="406"/>
      <c r="FB7" s="406"/>
      <c r="FC7" s="406"/>
      <c r="FD7" s="406"/>
      <c r="FE7" s="406"/>
      <c r="FF7" s="406"/>
      <c r="FG7" s="406"/>
      <c r="FH7" s="406"/>
      <c r="FI7" s="406"/>
      <c r="FJ7" s="406"/>
      <c r="FK7" s="406"/>
      <c r="FL7" s="406"/>
      <c r="FM7" s="406"/>
      <c r="FN7" s="406"/>
      <c r="FO7" s="406"/>
      <c r="FP7" s="406"/>
      <c r="FQ7" s="406"/>
      <c r="FR7" s="406"/>
      <c r="FS7" s="406"/>
      <c r="FT7" s="406"/>
      <c r="FU7" s="406"/>
      <c r="FV7" s="406"/>
      <c r="FW7" s="406"/>
      <c r="FX7" s="406"/>
      <c r="FY7" s="406"/>
      <c r="FZ7" s="406"/>
      <c r="GA7" s="406"/>
      <c r="GB7" s="406"/>
      <c r="GC7" s="406"/>
      <c r="GD7" s="406"/>
      <c r="GE7" s="406"/>
      <c r="GF7" s="406"/>
      <c r="GG7" s="406"/>
      <c r="GH7" s="406"/>
      <c r="GI7" s="406"/>
      <c r="GJ7" s="406"/>
      <c r="GK7" s="406"/>
      <c r="GL7" s="406"/>
      <c r="GM7" s="406"/>
      <c r="GN7" s="406"/>
      <c r="GO7" s="406"/>
      <c r="GP7" s="406"/>
      <c r="GQ7" s="406"/>
      <c r="GR7" s="406"/>
      <c r="GS7" s="406"/>
      <c r="GT7" s="406"/>
      <c r="GU7" s="406"/>
      <c r="GV7" s="406"/>
      <c r="GW7" s="406"/>
      <c r="GX7" s="406"/>
      <c r="GY7" s="406"/>
      <c r="GZ7" s="406"/>
      <c r="HA7" s="406"/>
      <c r="HB7" s="406"/>
      <c r="HC7" s="406"/>
      <c r="HD7" s="406"/>
      <c r="HE7" s="406"/>
      <c r="HF7" s="406"/>
      <c r="HG7" s="406"/>
      <c r="HH7" s="406"/>
      <c r="HI7" s="406"/>
      <c r="HJ7" s="406"/>
      <c r="HK7" s="406"/>
      <c r="HL7" s="406"/>
      <c r="HM7" s="406"/>
      <c r="HN7" s="406"/>
      <c r="HO7" s="406"/>
      <c r="HP7" s="406"/>
      <c r="HQ7" s="406"/>
      <c r="HR7" s="406"/>
      <c r="HS7" s="406"/>
      <c r="HT7" s="406"/>
      <c r="HU7" s="406"/>
      <c r="HV7" s="406"/>
      <c r="HW7" s="406"/>
      <c r="HX7" s="406"/>
      <c r="HY7" s="406"/>
      <c r="HZ7" s="406"/>
      <c r="IA7" s="406"/>
      <c r="IB7" s="406"/>
      <c r="IC7" s="406"/>
      <c r="ID7" s="406"/>
      <c r="IE7" s="406"/>
      <c r="IF7" s="406"/>
      <c r="IG7" s="406"/>
      <c r="IH7" s="406"/>
      <c r="II7" s="406"/>
      <c r="IJ7" s="406"/>
      <c r="IK7" s="406"/>
      <c r="IL7" s="406"/>
      <c r="IM7" s="406"/>
      <c r="IN7" s="406"/>
      <c r="IO7" s="406"/>
      <c r="IP7" s="406"/>
      <c r="IQ7" s="406"/>
      <c r="IR7" s="406"/>
      <c r="IS7" s="406"/>
      <c r="IT7" s="406"/>
      <c r="IU7" s="406"/>
      <c r="IV7" s="406"/>
      <c r="IW7" s="406"/>
      <c r="IX7" s="406"/>
      <c r="IY7" s="406"/>
      <c r="IZ7" s="406"/>
      <c r="JA7" s="406"/>
      <c r="JB7" s="406"/>
      <c r="JC7" s="406"/>
      <c r="JD7" s="406"/>
      <c r="JE7" s="406"/>
      <c r="JF7" s="406"/>
      <c r="JG7" s="406"/>
      <c r="JH7" s="406"/>
      <c r="JI7" s="406"/>
      <c r="JJ7" s="406"/>
      <c r="JK7" s="406"/>
      <c r="JL7" s="406"/>
      <c r="JM7" s="406"/>
      <c r="JN7" s="406"/>
      <c r="JO7" s="406"/>
      <c r="JP7" s="406"/>
      <c r="JQ7" s="406"/>
      <c r="JR7" s="406"/>
      <c r="JS7" s="406"/>
      <c r="JT7" s="406"/>
      <c r="JU7" s="406"/>
      <c r="JV7" s="406"/>
      <c r="JW7" s="406"/>
      <c r="JX7" s="406"/>
      <c r="JY7" s="406"/>
      <c r="JZ7" s="406"/>
      <c r="KA7" s="406"/>
      <c r="KB7" s="406"/>
      <c r="KC7" s="406"/>
      <c r="KD7" s="406"/>
      <c r="KE7" s="406"/>
      <c r="KF7" s="406"/>
      <c r="KG7" s="406"/>
      <c r="KH7" s="406"/>
      <c r="KI7" s="406"/>
      <c r="KJ7" s="406"/>
      <c r="KK7" s="406"/>
      <c r="KL7" s="406"/>
      <c r="KM7" s="406"/>
      <c r="KN7" s="406"/>
      <c r="KO7" s="406"/>
      <c r="KP7" s="406"/>
      <c r="KQ7" s="406"/>
      <c r="KR7" s="406"/>
      <c r="KS7" s="406"/>
      <c r="KT7" s="406"/>
    </row>
    <row r="8" spans="1:330" s="406" customFormat="1" ht="17.25">
      <c r="A8" s="108"/>
      <c r="B8" s="93"/>
      <c r="C8" s="354"/>
      <c r="D8" s="355" t="s">
        <v>316</v>
      </c>
      <c r="E8" s="430">
        <f>SUMPRODUCT($BE$8:$BE$11,E9:E12)</f>
        <v>0.37309579367897833</v>
      </c>
      <c r="F8" s="431">
        <f>SUMPRODUCT($BE$8:$BE$11,F9:F12)</f>
        <v>2.1988214123881811</v>
      </c>
      <c r="G8" s="432">
        <f>SUMPRODUCT($BE$8:$BE$11,G9:G12)</f>
        <v>4.8253442741017842</v>
      </c>
      <c r="H8" s="385"/>
      <c r="I8" s="211"/>
      <c r="J8" s="211"/>
      <c r="K8" s="358"/>
      <c r="L8" s="358"/>
      <c r="M8" s="358"/>
      <c r="N8" s="358"/>
      <c r="O8" s="358"/>
      <c r="P8" s="358"/>
      <c r="Q8" s="358"/>
      <c r="R8" s="358"/>
      <c r="S8" s="358"/>
      <c r="T8" s="433"/>
      <c r="V8" s="1265"/>
      <c r="W8" s="1266"/>
      <c r="X8" s="1267"/>
      <c r="Y8" s="1170"/>
      <c r="Z8" s="1265"/>
      <c r="AA8" s="1266"/>
      <c r="AB8" s="1267"/>
      <c r="AC8" s="1170"/>
      <c r="AD8" s="1265"/>
      <c r="AE8" s="1266"/>
      <c r="AF8" s="1267"/>
      <c r="AG8" s="1170"/>
      <c r="AH8" s="1265"/>
      <c r="AI8" s="1266"/>
      <c r="AJ8" s="1267"/>
      <c r="AK8" s="1170"/>
      <c r="AL8" s="1265"/>
      <c r="AM8" s="1266"/>
      <c r="AN8" s="1267"/>
      <c r="AO8" s="1170"/>
      <c r="AP8" s="1265"/>
      <c r="AQ8" s="1266"/>
      <c r="AR8" s="1267"/>
      <c r="AS8" s="1170"/>
      <c r="AT8" s="1265"/>
      <c r="AU8" s="1266"/>
      <c r="AV8" s="1267"/>
      <c r="AX8" s="1265"/>
      <c r="AY8" s="1267"/>
      <c r="BD8" t="s">
        <v>253</v>
      </c>
      <c r="BE8">
        <v>1</v>
      </c>
    </row>
    <row r="9" spans="1:330" s="406" customFormat="1" ht="17.25">
      <c r="A9" s="68"/>
      <c r="B9" s="55"/>
      <c r="C9"/>
      <c r="D9" s="174" t="s">
        <v>317</v>
      </c>
      <c r="E9" s="434">
        <f>'Input data fish and seafood'!$B$5*E15+'Input data fish and seafood'!$B$7*E21+'Input data fish and seafood'!$B$9*E53+'Input data fish and seafood'!$B$11*E69+'Input data fish and seafood'!$B$14*E90+'Input data fish and seafood'!$B$18*E116+'Input data fish and seafood'!$B$20*E122+'Input data fish and seafood'!$B$22*E128+'Input data fish and seafood'!$B$24*E37+'Input data fish and seafood'!$B$26*E134+'Input data fish and seafood'!$B$28*E140+'Input data fish and seafood'!$B$30*E156+'Input data fish and seafood'!$B$32*AVERAGE(E21,E53,E69,E90,E116,E122,E37,E140,E156)+'Input data fish and seafood'!$B$34*AVERAGE(E15,E128,E134)</f>
        <v>4.1662652833753588E-2</v>
      </c>
      <c r="F9" s="435">
        <f>'Input data fish and seafood'!$B$5*F15+'Input data fish and seafood'!$B$7*F21+'Input data fish and seafood'!$B$9*F53+'Input data fish and seafood'!$B$11*F69+'Input data fish and seafood'!$B$14*F90+'Input data fish and seafood'!$B$18*F116+'Input data fish and seafood'!$B$20*F122+'Input data fish and seafood'!$B$22*F128+'Input data fish and seafood'!$B$24*F37+'Input data fish and seafood'!$B$26*F134+'Input data fish and seafood'!$B$28*F140+'Input data fish and seafood'!$B$30*F156+'Input data fish and seafood'!$B$32*AVERAGE(F21,F53,F69,F90,F116,F122,F37,F140,F156)+'Input data fish and seafood'!$B$34*AVERAGE(F15,F128,F134)</f>
        <v>1.5530852415510381</v>
      </c>
      <c r="G9" s="436">
        <f>'Input data fish and seafood'!$B$5*G15+'Input data fish and seafood'!$B$7*G21+'Input data fish and seafood'!$B$9*G53+'Input data fish and seafood'!$B$11*G69+'Input data fish and seafood'!$B$14*G90+'Input data fish and seafood'!$B$18*G116+'Input data fish and seafood'!$B$20*G122+'Input data fish and seafood'!$B$22*G128+'Input data fish and seafood'!$B$24*G37+'Input data fish and seafood'!$B$26*G134+'Input data fish and seafood'!$B$28*G140+'Input data fish and seafood'!$B$30*G156+'Input data fish and seafood'!$B$32*AVERAGE(G21,G53,G69,G90,G116,G122,G37,G140,G156)+'Input data fish and seafood'!$B$34*AVERAGE(G15,G128,G134)</f>
        <v>3.6249653166832205</v>
      </c>
      <c r="H9" s="186">
        <f>'Input data fish and seafood'!$B$5*H15+'Input data fish and seafood'!$B$7*H21+'Input data fish and seafood'!$B$9*H53+'Input data fish and seafood'!$B$11*H69+'Input data fish and seafood'!$B$14*H90+'Input data fish and seafood'!$B$18*H116+'Input data fish and seafood'!$B$20*H122+'Input data fish and seafood'!$B$22*H128+'Input data fish and seafood'!$B$24*H37+'Input data fish and seafood'!$B$26*H134+'Input data fish and seafood'!$B$28*H140+'Input data fish and seafood'!$B$30*H156+'Input data fish and seafood'!$B$32*AVERAGE(H21,H53,H69,H90,H116,H122,H37,H140,H156)+'Input data fish and seafood'!$B$34*AVERAGE(H15,H128,H134)</f>
        <v>3.6733333333333333E-2</v>
      </c>
      <c r="I9" s="186">
        <f>'Input data fish and seafood'!$B$5*I15+'Input data fish and seafood'!$B$7*I21+'Input data fish and seafood'!$B$9*I53+'Input data fish and seafood'!$B$11*I69+'Input data fish and seafood'!$B$14*I90+'Input data fish and seafood'!$B$18*I116+'Input data fish and seafood'!$B$20*I122+'Input data fish and seafood'!$B$22*I128+'Input data fish and seafood'!$B$24*I37+'Input data fish and seafood'!$B$26*I134+'Input data fish and seafood'!$B$28*I140+'Input data fish and seafood'!$B$30*I156+'Input data fish and seafood'!$B$32*AVERAGE(I21,I53,I69,I90,I116,I122,I37,I140,I156)+'Input data fish and seafood'!$B$34*AVERAGE(I15,I128,I134)</f>
        <v>0.49761008471430668</v>
      </c>
      <c r="J9" s="186">
        <f>'Input data fish and seafood'!$B$5*J15+'Input data fish and seafood'!$B$7*J21+'Input data fish and seafood'!$B$9*J53+'Input data fish and seafood'!$B$11*J69+'Input data fish and seafood'!$B$14*J90+'Input data fish and seafood'!$B$18*J116+'Input data fish and seafood'!$B$20*J122+'Input data fish and seafood'!$B$22*J128+'Input data fish and seafood'!$B$24*J37+'Input data fish and seafood'!$B$26*J134+'Input data fish and seafood'!$B$28*J140+'Input data fish and seafood'!$B$30*J156+'Input data fish and seafood'!$B$32*AVERAGE(J21,J53,J69,J90,J116,J122,J37,J140,J156)+'Input data fish and seafood'!$B$34*AVERAGE(J15,J128,J134)</f>
        <v>0</v>
      </c>
      <c r="K9" s="186">
        <f>'Input data fish and seafood'!$B$5*K15+'Input data fish and seafood'!$B$7*K21+'Input data fish and seafood'!$B$9*K53+'Input data fish and seafood'!$B$11*K69+'Input data fish and seafood'!$B$14*K90+'Input data fish and seafood'!$B$18*K116+'Input data fish and seafood'!$B$20*K122+'Input data fish and seafood'!$B$22*K128+'Input data fish and seafood'!$B$24*K37+'Input data fish and seafood'!$B$26*K134+'Input data fish and seafood'!$B$28*K140+'Input data fish and seafood'!$B$30*K156+'Input data fish and seafood'!$B$32*AVERAGE(K21,K53,K69,K90,K116,K122,K37,K140,K156)+'Input data fish and seafood'!$B$34*AVERAGE(K15,K128,K134)</f>
        <v>5.8980902443094903E-2</v>
      </c>
      <c r="L9" s="186">
        <f>'Input data fish and seafood'!$B$5*L15+'Input data fish and seafood'!$B$7*L21+'Input data fish and seafood'!$B$9*L53+'Input data fish and seafood'!$B$11*L69+'Input data fish and seafood'!$B$14*L90+'Input data fish and seafood'!$B$18*L116+'Input data fish and seafood'!$B$20*L122+'Input data fish and seafood'!$B$22*L128+'Input data fish and seafood'!$B$24*L37+'Input data fish and seafood'!$B$26*L134+'Input data fish and seafood'!$B$28*L140+'Input data fish and seafood'!$B$30*L156+'Input data fish and seafood'!$B$32*AVERAGE(L21,L53,L69,L90,L116,L122,L37,L140,L156)+'Input data fish and seafood'!$B$34*AVERAGE(L15,L128,L134)</f>
        <v>4.1662652833753588E-2</v>
      </c>
      <c r="M9" s="186">
        <f>'Input data fish and seafood'!$B$5*M15+'Input data fish and seafood'!$B$7*M21+'Input data fish and seafood'!$B$9*M53+'Input data fish and seafood'!$B$11*M69+'Input data fish and seafood'!$B$14*M90+'Input data fish and seafood'!$B$18*M116+'Input data fish and seafood'!$B$20*M122+'Input data fish and seafood'!$B$22*M128+'Input data fish and seafood'!$B$24*M37+'Input data fish and seafood'!$B$26*M134+'Input data fish and seafood'!$B$28*M140+'Input data fish and seafood'!$B$30*M156+'Input data fish and seafood'!$B$32*AVERAGE(M21,M53,M69,M90,M116,M122,M37,M140,M156)+'Input data fish and seafood'!$B$34*AVERAGE(M15,M128,M134)</f>
        <v>1.5599999999999998E-2</v>
      </c>
      <c r="N9" s="186">
        <f>'Input data fish and seafood'!$B$5*N15+'Input data fish and seafood'!$B$7*N21+'Input data fish and seafood'!$B$9*N53+'Input data fish and seafood'!$B$11*N69+'Input data fish and seafood'!$B$14*N90+'Input data fish and seafood'!$B$18*N116+'Input data fish and seafood'!$B$20*N122+'Input data fish and seafood'!$B$22*N128+'Input data fish and seafood'!$B$24*N37+'Input data fish and seafood'!$B$26*N134+'Input data fish and seafood'!$B$28*N140+'Input data fish and seafood'!$B$30*N156+'Input data fish and seafood'!$B$32*AVERAGE(N21,N53,N69,N90,N116,N122,N37,N140,N156)+'Input data fish and seafood'!$B$34*AVERAGE(N15,N128,N134)</f>
        <v>4.4600000000000001E-2</v>
      </c>
      <c r="O9" s="186">
        <f>'Input data fish and seafood'!$B$5*O15+'Input data fish and seafood'!$B$7*O21+'Input data fish and seafood'!$B$9*O53+'Input data fish and seafood'!$B$11*O69+'Input data fish and seafood'!$B$14*O90+'Input data fish and seafood'!$B$18*O116+'Input data fish and seafood'!$B$20*O122+'Input data fish and seafood'!$B$22*O128+'Input data fish and seafood'!$B$24*O37+'Input data fish and seafood'!$B$26*O134+'Input data fish and seafood'!$B$28*O140+'Input data fish and seafood'!$B$30*O156+'Input data fish and seafood'!$B$32*AVERAGE(O21,O53,O69,O90,O116,O122,O37,O140,O156)+'Input data fish and seafood'!$B$34*AVERAGE(O15,O128,O134)</f>
        <v>0.91687917066964464</v>
      </c>
      <c r="P9" s="186">
        <f>'Input data fish and seafood'!$B$5*P15+'Input data fish and seafood'!$B$7*P21+'Input data fish and seafood'!$B$9*P53+'Input data fish and seafood'!$B$11*P69+'Input data fish and seafood'!$B$14*P90+'Input data fish and seafood'!$B$18*P116+'Input data fish and seafood'!$B$20*P122+'Input data fish and seafood'!$B$22*P128+'Input data fish and seafood'!$B$24*P37+'Input data fish and seafood'!$B$26*P134+'Input data fish and seafood'!$B$28*P140+'Input data fish and seafood'!$B$30*P156+'Input data fish and seafood'!$B$32*AVERAGE(P21,P53,P69,P90,P116,P122,P37,P140,P156)+'Input data fish and seafood'!$B$34*AVERAGE(P15,P128,P134)</f>
        <v>0</v>
      </c>
      <c r="Q9" s="186">
        <f>'Input data fish and seafood'!$B$5*Q15+'Input data fish and seafood'!$B$7*Q21+'Input data fish and seafood'!$B$9*Q53+'Input data fish and seafood'!$B$11*Q69+'Input data fish and seafood'!$B$14*Q90+'Input data fish and seafood'!$B$18*Q116+'Input data fish and seafood'!$B$20*Q122+'Input data fish and seafood'!$B$22*Q128+'Input data fish and seafood'!$B$24*Q37+'Input data fish and seafood'!$B$26*Q134+'Input data fish and seafood'!$B$28*Q140+'Input data fish and seafood'!$B$30*Q156+'Input data fish and seafood'!$B$32*AVERAGE(Q21,Q53,Q69,Q90,Q116,Q122,Q37,Q140,Q156)+'Input data fish and seafood'!$B$34*AVERAGE(Q15,Q128,Q134)</f>
        <v>0.10195033036202918</v>
      </c>
      <c r="R9" s="186">
        <f>'Input data fish and seafood'!$B$5*R15+'Input data fish and seafood'!$B$7*R21+'Input data fish and seafood'!$B$9*R53+'Input data fish and seafood'!$B$11*R69+'Input data fish and seafood'!$B$14*R90+'Input data fish and seafood'!$B$18*R116+'Input data fish and seafood'!$B$20*R122+'Input data fish and seafood'!$B$22*R128+'Input data fish and seafood'!$B$24*R37+'Input data fish and seafood'!$B$26*R134+'Input data fish and seafood'!$B$28*R140+'Input data fish and seafood'!$B$30*R156+'Input data fish and seafood'!$B$32*AVERAGE(R21,R53,R69,R90,R116,R122,R37,R140,R156)+'Input data fish and seafood'!$B$34*AVERAGE(R15,R128,R134)</f>
        <v>3.3605919833498867</v>
      </c>
      <c r="S9" s="186">
        <f>'Input data fish and seafood'!$B$5*S15+'Input data fish and seafood'!$B$7*S21+'Input data fish and seafood'!$B$9*S53+'Input data fish and seafood'!$B$11*S69+'Input data fish and seafood'!$B$14*S90+'Input data fish and seafood'!$B$18*S116+'Input data fish and seafood'!$B$20*S122+'Input data fish and seafood'!$B$22*S128+'Input data fish and seafood'!$B$24*S37+'Input data fish and seafood'!$B$26*S134+'Input data fish and seafood'!$B$28*S140+'Input data fish and seafood'!$B$30*S156+'Input data fish and seafood'!$B$32*AVERAGE(S21,S53,S69,S90,S116,S122,S37,S140,S156)+'Input data fish and seafood'!$B$34*AVERAGE(S15,S128,S134)</f>
        <v>0.14600000000000002</v>
      </c>
      <c r="T9" s="200">
        <f>'Input data fish and seafood'!$B$5*T15+'Input data fish and seafood'!$B$7*T21+'Input data fish and seafood'!$B$9*T53+'Input data fish and seafood'!$B$11*T69+'Input data fish and seafood'!$B$14*T90+'Input data fish and seafood'!$B$18*T116+'Input data fish and seafood'!$B$20*T122+'Input data fish and seafood'!$B$22*T128+'Input data fish and seafood'!$B$24*T37+'Input data fish and seafood'!$B$26*T134+'Input data fish and seafood'!$B$28*T140+'Input data fish and seafood'!$B$30*T156+'Input data fish and seafood'!$B$32*AVERAGE(T21,T53,T69,T90,T116,T122,T37,T140,T156)+'Input data fish and seafood'!$B$34*AVERAGE(T15,T128,T134)</f>
        <v>0.11837333333333334</v>
      </c>
      <c r="V9" s="1263"/>
      <c r="W9" s="1170"/>
      <c r="X9" s="1171"/>
      <c r="Y9" s="1170"/>
      <c r="Z9" s="1263"/>
      <c r="AA9" s="1170"/>
      <c r="AB9" s="1171"/>
      <c r="AC9" s="1170"/>
      <c r="AD9" s="1263"/>
      <c r="AE9" s="1170"/>
      <c r="AF9" s="1171"/>
      <c r="AG9" s="1170"/>
      <c r="AH9" s="1263"/>
      <c r="AI9" s="1170"/>
      <c r="AJ9" s="1171"/>
      <c r="AK9" s="1170"/>
      <c r="AL9" s="1263"/>
      <c r="AM9" s="1170"/>
      <c r="AN9" s="1171"/>
      <c r="AO9" s="1170"/>
      <c r="AP9" s="1263"/>
      <c r="AQ9" s="1170"/>
      <c r="AR9" s="1171"/>
      <c r="AS9" s="1170"/>
      <c r="AT9" s="1263"/>
      <c r="AU9" s="1170"/>
      <c r="AV9" s="1171"/>
      <c r="AX9" s="1263"/>
      <c r="AY9" s="1171"/>
      <c r="BD9" t="s">
        <v>397</v>
      </c>
      <c r="BE9" s="150">
        <f>INDEX('Common input data'!A5:F15,MATCH(F1,'Common input data'!A5:A15,0),3)</f>
        <v>27</v>
      </c>
    </row>
    <row r="10" spans="1:330" s="406" customFormat="1" ht="17.25">
      <c r="A10" s="68"/>
      <c r="B10" s="55"/>
      <c r="C10" s="50"/>
      <c r="D10" s="174" t="s">
        <v>367</v>
      </c>
      <c r="E10" s="434">
        <f>'Input data fish and seafood'!$B$5*E16+'Input data fish and seafood'!$B$7*E22+'Input data fish and seafood'!$B$9*E54+'Input data fish and seafood'!$B$11*E70+'Input data fish and seafood'!$B$14*E91+'Input data fish and seafood'!$B$18*E117+'Input data fish and seafood'!$B$20*E123+'Input data fish and seafood'!$B$22*E129+'Input data fish and seafood'!$B$24*E38+'Input data fish and seafood'!$B$26*E135+'Input data fish and seafood'!$B$28*E141+'Input data fish and seafood'!$B$30*E157+'Input data fish and seafood'!$B$32*AVERAGE(E22,E54,E70,E91,E117,E123,E38,E141,E157)+'Input data fish and seafood'!$B$34*AVERAGE(E16,E129,E135)</f>
        <v>0</v>
      </c>
      <c r="F10" s="435">
        <f>'Input data fish and seafood'!$B$5*F16+'Input data fish and seafood'!$B$7*F22+'Input data fish and seafood'!$B$9*F54+'Input data fish and seafood'!$B$11*F70+'Input data fish and seafood'!$B$14*F91+'Input data fish and seafood'!$B$18*F117+'Input data fish and seafood'!$B$20*F123+'Input data fish and seafood'!$B$22*F129+'Input data fish and seafood'!$B$24*F38+'Input data fish and seafood'!$B$26*F135+'Input data fish and seafood'!$B$28*F141+'Input data fish and seafood'!$B$30*F157+'Input data fish and seafood'!$B$32*AVERAGE(F22,F54,F70,F91,F117,F123,F38,F141,F157)+'Input data fish and seafood'!$B$34*AVERAGE(F16,F129,F135)</f>
        <v>5.200321364990431E-4</v>
      </c>
      <c r="G10" s="436">
        <f>'Input data fish and seafood'!$B$5*G16+'Input data fish and seafood'!$B$7*G22+'Input data fish and seafood'!$B$9*G54+'Input data fish and seafood'!$B$11*G70+'Input data fish and seafood'!$B$14*G91+'Input data fish and seafood'!$B$18*G117+'Input data fish and seafood'!$B$20*G123+'Input data fish and seafood'!$B$22*G129+'Input data fish and seafood'!$B$24*G38+'Input data fish and seafood'!$B$26*G135+'Input data fish and seafood'!$B$28*G141+'Input data fish and seafood'!$B$30*G157+'Input data fish and seafood'!$B$32*AVERAGE(G22,G54,G70,G91,G117,G123,G38,G141,G157)+'Input data fish and seafood'!$B$34*AVERAGE(G16,G129,G135)</f>
        <v>1.1089795147183883E-3</v>
      </c>
      <c r="H10" s="186">
        <f>'Input data fish and seafood'!$B$5*H16+'Input data fish and seafood'!$B$7*H22+'Input data fish and seafood'!$B$9*H54+'Input data fish and seafood'!$B$11*H70+'Input data fish and seafood'!$B$14*H91+'Input data fish and seafood'!$B$18*H117+'Input data fish and seafood'!$B$20*H123+'Input data fish and seafood'!$B$22*H129+'Input data fish and seafood'!$B$24*H38+'Input data fish and seafood'!$B$26*H135+'Input data fish and seafood'!$B$28*H141+'Input data fish and seafood'!$B$30*H157+'Input data fish and seafood'!$B$32*AVERAGE(H22,H54,H70,H91,H117,H123,H38,H141,H157)+'Input data fish and seafood'!$B$34*AVERAGE(H16,H129,H135)</f>
        <v>0</v>
      </c>
      <c r="I10" s="186">
        <f>'Input data fish and seafood'!$B$5*I16+'Input data fish and seafood'!$B$7*I22+'Input data fish and seafood'!$B$9*I54+'Input data fish and seafood'!$B$11*I70+'Input data fish and seafood'!$B$14*I91+'Input data fish and seafood'!$B$18*I117+'Input data fish and seafood'!$B$20*I123+'Input data fish and seafood'!$B$22*I129+'Input data fish and seafood'!$B$24*I38+'Input data fish and seafood'!$B$26*I135+'Input data fish and seafood'!$B$28*I141+'Input data fish and seafood'!$B$30*I157+'Input data fish and seafood'!$B$32*AVERAGE(I22,I54,I70,I91,I117,I123,I38,I141,I157)+'Input data fish and seafood'!$B$34*AVERAGE(I16,I129,I135)</f>
        <v>1.1388558078750264E-4</v>
      </c>
      <c r="J10" s="186">
        <f>'Input data fish and seafood'!$B$5*J16+'Input data fish and seafood'!$B$7*J22+'Input data fish and seafood'!$B$9*J54+'Input data fish and seafood'!$B$11*J70+'Input data fish and seafood'!$B$14*J91+'Input data fish and seafood'!$B$18*J117+'Input data fish and seafood'!$B$20*J123+'Input data fish and seafood'!$B$22*J129+'Input data fish and seafood'!$B$24*J38+'Input data fish and seafood'!$B$26*J135+'Input data fish and seafood'!$B$28*J141+'Input data fish and seafood'!$B$30*J157+'Input data fish and seafood'!$B$32*AVERAGE(J22,J54,J70,J91,J117,J123,J38,J141,J157)+'Input data fish and seafood'!$B$34*AVERAGE(J16,J129,J135)</f>
        <v>0</v>
      </c>
      <c r="K10" s="186">
        <f>'Input data fish and seafood'!$B$5*K16+'Input data fish and seafood'!$B$7*K22+'Input data fish and seafood'!$B$9*K54+'Input data fish and seafood'!$B$11*K70+'Input data fish and seafood'!$B$14*K91+'Input data fish and seafood'!$B$18*K117+'Input data fish and seafood'!$B$20*K123+'Input data fish and seafood'!$B$22*K129+'Input data fish and seafood'!$B$24*K38+'Input data fish and seafood'!$B$26*K135+'Input data fish and seafood'!$B$28*K141+'Input data fish and seafood'!$B$30*K157+'Input data fish and seafood'!$B$32*AVERAGE(K22,K54,K70,K91,K117,K123,K38,K141,K157)+'Input data fish and seafood'!$B$34*AVERAGE(K16,K129,K135)</f>
        <v>0</v>
      </c>
      <c r="L10" s="186">
        <f>'Input data fish and seafood'!$B$5*L16+'Input data fish and seafood'!$B$7*L22+'Input data fish and seafood'!$B$9*L54+'Input data fish and seafood'!$B$11*L70+'Input data fish and seafood'!$B$14*L91+'Input data fish and seafood'!$B$18*L117+'Input data fish and seafood'!$B$20*L123+'Input data fish and seafood'!$B$22*L129+'Input data fish and seafood'!$B$24*L38+'Input data fish and seafood'!$B$26*L135+'Input data fish and seafood'!$B$28*L141+'Input data fish and seafood'!$B$30*L157+'Input data fish and seafood'!$B$32*AVERAGE(L22,L54,L70,L91,L117,L123,L38,L141,L157)+'Input data fish and seafood'!$B$34*AVERAGE(L16,L129,L135)</f>
        <v>0</v>
      </c>
      <c r="M10" s="186">
        <f>'Input data fish and seafood'!$B$5*M16+'Input data fish and seafood'!$B$7*M22+'Input data fish and seafood'!$B$9*M54+'Input data fish and seafood'!$B$11*M70+'Input data fish and seafood'!$B$14*M91+'Input data fish and seafood'!$B$18*M117+'Input data fish and seafood'!$B$20*M123+'Input data fish and seafood'!$B$22*M129+'Input data fish and seafood'!$B$24*M38+'Input data fish and seafood'!$B$26*M135+'Input data fish and seafood'!$B$28*M141+'Input data fish and seafood'!$B$30*M157+'Input data fish and seafood'!$B$32*AVERAGE(M22,M54,M70,M91,M117,M123,M38,M141,M157)+'Input data fish and seafood'!$B$34*AVERAGE(M16,M129,M135)</f>
        <v>0</v>
      </c>
      <c r="N10" s="186">
        <f>'Input data fish and seafood'!$B$5*N16+'Input data fish and seafood'!$B$7*N22+'Input data fish and seafood'!$B$9*N54+'Input data fish and seafood'!$B$11*N70+'Input data fish and seafood'!$B$14*N91+'Input data fish and seafood'!$B$18*N117+'Input data fish and seafood'!$B$20*N123+'Input data fish and seafood'!$B$22*N129+'Input data fish and seafood'!$B$24*N38+'Input data fish and seafood'!$B$26*N135+'Input data fish and seafood'!$B$28*N141+'Input data fish and seafood'!$B$30*N157+'Input data fish and seafood'!$B$32*AVERAGE(N22,N54,N70,N91,N117,N123,N38,N141,N157)+'Input data fish and seafood'!$B$34*AVERAGE(N16,N129,N135)</f>
        <v>0</v>
      </c>
      <c r="O10" s="186">
        <f>'Input data fish and seafood'!$B$5*O16+'Input data fish and seafood'!$B$7*O22+'Input data fish and seafood'!$B$9*O54+'Input data fish and seafood'!$B$11*O70+'Input data fish and seafood'!$B$14*O91+'Input data fish and seafood'!$B$18*O117+'Input data fish and seafood'!$B$20*O123+'Input data fish and seafood'!$B$22*O129+'Input data fish and seafood'!$B$24*O38+'Input data fish and seafood'!$B$26*O135+'Input data fish and seafood'!$B$28*O141+'Input data fish and seafood'!$B$30*O157+'Input data fish and seafood'!$B$32*AVERAGE(O22,O54,O70,O91,O117,O123,O38,O141,O157)+'Input data fish and seafood'!$B$34*AVERAGE(O16,O129,O135)</f>
        <v>4.0614655571154034E-4</v>
      </c>
      <c r="P10" s="186">
        <f>'Input data fish and seafood'!$B$5*P16+'Input data fish and seafood'!$B$7*P22+'Input data fish and seafood'!$B$9*P54+'Input data fish and seafood'!$B$11*P70+'Input data fish and seafood'!$B$14*P91+'Input data fish and seafood'!$B$18*P117+'Input data fish and seafood'!$B$20*P123+'Input data fish and seafood'!$B$22*P129+'Input data fish and seafood'!$B$24*P38+'Input data fish and seafood'!$B$26*P135+'Input data fish and seafood'!$B$28*P141+'Input data fish and seafood'!$B$30*P157+'Input data fish and seafood'!$B$32*AVERAGE(P22,P54,P70,P91,P117,P123,P38,P141,P157)+'Input data fish and seafood'!$B$34*AVERAGE(P16,P129,P135)</f>
        <v>0</v>
      </c>
      <c r="Q10" s="186">
        <f>'Input data fish and seafood'!$B$5*Q16+'Input data fish and seafood'!$B$7*Q22+'Input data fish and seafood'!$B$9*Q54+'Input data fish and seafood'!$B$11*Q70+'Input data fish and seafood'!$B$14*Q91+'Input data fish and seafood'!$B$18*Q117+'Input data fish and seafood'!$B$20*Q123+'Input data fish and seafood'!$B$22*Q129+'Input data fish and seafood'!$B$24*Q38+'Input data fish and seafood'!$B$26*Q135+'Input data fish and seafood'!$B$28*Q141+'Input data fish and seafood'!$B$30*Q157+'Input data fish and seafood'!$B$32*AVERAGE(Q22,Q54,Q70,Q91,Q117,Q123,Q38,Q141,Q157)+'Input data fish and seafood'!$B$34*AVERAGE(Q16,Q129,Q135)</f>
        <v>0</v>
      </c>
      <c r="R10" s="186">
        <f>'Input data fish and seafood'!$B$5*R16+'Input data fish and seafood'!$B$7*R22+'Input data fish and seafood'!$B$9*R54+'Input data fish and seafood'!$B$11*R70+'Input data fish and seafood'!$B$14*R91+'Input data fish and seafood'!$B$18*R117+'Input data fish and seafood'!$B$20*R123+'Input data fish and seafood'!$B$22*R129+'Input data fish and seafood'!$B$24*R38+'Input data fish and seafood'!$B$26*R135+'Input data fish and seafood'!$B$28*R141+'Input data fish and seafood'!$B$30*R157+'Input data fish and seafood'!$B$32*AVERAGE(R22,R54,R70,R91,R117,R123,R38,R141,R157)+'Input data fish and seafood'!$B$34*AVERAGE(R16,R129,R135)</f>
        <v>1.1089795147183883E-3</v>
      </c>
      <c r="S10" s="186">
        <f>'Input data fish and seafood'!$B$5*S16+'Input data fish and seafood'!$B$7*S22+'Input data fish and seafood'!$B$9*S54+'Input data fish and seafood'!$B$11*S70+'Input data fish and seafood'!$B$14*S91+'Input data fish and seafood'!$B$18*S117+'Input data fish and seafood'!$B$20*S123+'Input data fish and seafood'!$B$22*S129+'Input data fish and seafood'!$B$24*S38+'Input data fish and seafood'!$B$26*S135+'Input data fish and seafood'!$B$28*S141+'Input data fish and seafood'!$B$30*S157+'Input data fish and seafood'!$B$32*AVERAGE(S22,S54,S70,S91,S117,S123,S38,S141,S157)+'Input data fish and seafood'!$B$34*AVERAGE(S16,S129,S135)</f>
        <v>0</v>
      </c>
      <c r="T10" s="200">
        <f>'Input data fish and seafood'!$B$5*T16+'Input data fish and seafood'!$B$7*T22+'Input data fish and seafood'!$B$9*T54+'Input data fish and seafood'!$B$11*T70+'Input data fish and seafood'!$B$14*T91+'Input data fish and seafood'!$B$18*T117+'Input data fish and seafood'!$B$20*T123+'Input data fish and seafood'!$B$22*T129+'Input data fish and seafood'!$B$24*T38+'Input data fish and seafood'!$B$26*T135+'Input data fish and seafood'!$B$28*T141+'Input data fish and seafood'!$B$30*T157+'Input data fish and seafood'!$B$32*AVERAGE(T22,T54,T70,T91,T117,T123,T38,T141,T157)+'Input data fish and seafood'!$B$34*AVERAGE(T16,T129,T135)</f>
        <v>0</v>
      </c>
      <c r="V10" s="1263"/>
      <c r="W10" s="1170"/>
      <c r="X10" s="1171"/>
      <c r="Y10" s="1170"/>
      <c r="Z10" s="1263"/>
      <c r="AA10" s="1170"/>
      <c r="AB10" s="1171"/>
      <c r="AC10" s="1170"/>
      <c r="AD10" s="1263"/>
      <c r="AE10" s="1170"/>
      <c r="AF10" s="1171"/>
      <c r="AG10" s="1170"/>
      <c r="AH10" s="1263"/>
      <c r="AI10" s="1170"/>
      <c r="AJ10" s="1171"/>
      <c r="AK10" s="1170"/>
      <c r="AL10" s="1263"/>
      <c r="AM10" s="1170"/>
      <c r="AN10" s="1171"/>
      <c r="AO10" s="1170"/>
      <c r="AP10" s="1263"/>
      <c r="AQ10" s="1170"/>
      <c r="AR10" s="1171"/>
      <c r="AS10" s="1170"/>
      <c r="AT10" s="1263"/>
      <c r="AU10" s="1170"/>
      <c r="AV10" s="1171"/>
      <c r="AX10" s="1263"/>
      <c r="AY10" s="1171"/>
      <c r="BD10" t="s">
        <v>256</v>
      </c>
      <c r="BE10" s="2">
        <f>INDEX('Common input data'!A5:F15,MATCH(F1,'Common input data'!A5:A15,0),5)</f>
        <v>273</v>
      </c>
    </row>
    <row r="11" spans="1:330" s="406" customFormat="1" ht="20.65" customHeight="1">
      <c r="A11" s="359"/>
      <c r="B11" s="360"/>
      <c r="C11" s="54"/>
      <c r="D11" s="55" t="s">
        <v>320</v>
      </c>
      <c r="E11" s="434">
        <f>'Input data fish and seafood'!$B$5*E17+'Input data fish and seafood'!$B$7*E23+'Input data fish and seafood'!$B$9*E55+'Input data fish and seafood'!$B$11*E71+'Input data fish and seafood'!$B$14*E92+'Input data fish and seafood'!$B$18*E118+'Input data fish and seafood'!$B$20*E124+'Input data fish and seafood'!$B$22*E130+'Input data fish and seafood'!$B$24*E39+'Input data fish and seafood'!$B$26*E136+'Input data fish and seafood'!$B$28*E142+'Input data fish and seafood'!$B$30*E158+'Input data fish and seafood'!$B$32*AVERAGE(E23,E55,E71,E92,E118,E124,E39,E142,E158)+'Input data fish and seafood'!$B$34*AVERAGE(E17,E130,E136)</f>
        <v>1.2140408089568672E-3</v>
      </c>
      <c r="F11" s="435">
        <f>'Input data fish and seafood'!$B$5*F17+'Input data fish and seafood'!$B$7*F23+'Input data fish and seafood'!$B$9*F55+'Input data fish and seafood'!$B$11*F71+'Input data fish and seafood'!$B$14*F92+'Input data fish and seafood'!$B$18*F118+'Input data fish and seafood'!$B$20*F124+'Input data fish and seafood'!$B$22*F130+'Input data fish and seafood'!$B$24*F39+'Input data fish and seafood'!$B$26*F136+'Input data fish and seafood'!$B$28*F142+'Input data fish and seafood'!$B$30*F158+'Input data fish and seafood'!$B$32*AVERAGE(F23,F55,F71,F92,F118,F124,F39,F142,F158)+'Input data fish and seafood'!$B$34*AVERAGE(F17,F130,F136)</f>
        <v>1.7189919529365149E-3</v>
      </c>
      <c r="G11" s="436">
        <f>'Input data fish and seafood'!$B$5*G17+'Input data fish and seafood'!$B$7*G23+'Input data fish and seafood'!$B$9*G55+'Input data fish and seafood'!$B$11*G71+'Input data fish and seafood'!$B$14*G92+'Input data fish and seafood'!$B$18*G118+'Input data fish and seafood'!$B$20*G124+'Input data fish and seafood'!$B$22*G130+'Input data fish and seafood'!$B$24*G39+'Input data fish and seafood'!$B$26*G136+'Input data fish and seafood'!$B$28*G142+'Input data fish and seafood'!$B$30*G158+'Input data fish and seafood'!$B$32*AVERAGE(G23,G55,G71,G92,G118,G124,G39,G142,G158)+'Input data fish and seafood'!$B$34*AVERAGE(G17,G130,G136)</f>
        <v>2.9318338537724291E-3</v>
      </c>
      <c r="H11" s="186">
        <f>'Input data fish and seafood'!$B$5*H17+'Input data fish and seafood'!$B$7*H23+'Input data fish and seafood'!$B$9*H55+'Input data fish and seafood'!$B$11*H71+'Input data fish and seafood'!$B$14*H92+'Input data fish and seafood'!$B$18*H118+'Input data fish and seafood'!$B$20*H124+'Input data fish and seafood'!$B$22*H130+'Input data fish and seafood'!$B$24*H39+'Input data fish and seafood'!$B$26*H136+'Input data fish and seafood'!$B$28*H142+'Input data fish and seafood'!$B$30*H158+'Input data fish and seafood'!$B$32*AVERAGE(H23,H55,H71,H92,H118,H124,H39,H142,H158)+'Input data fish and seafood'!$B$34*AVERAGE(H17,H130,H136)</f>
        <v>0</v>
      </c>
      <c r="I11" s="186">
        <f>'Input data fish and seafood'!$B$5*I17+'Input data fish and seafood'!$B$7*I23+'Input data fish and seafood'!$B$9*I55+'Input data fish and seafood'!$B$11*I71+'Input data fish and seafood'!$B$14*I92+'Input data fish and seafood'!$B$18*I118+'Input data fish and seafood'!$B$20*I124+'Input data fish and seafood'!$B$22*I130+'Input data fish and seafood'!$B$24*I39+'Input data fish and seafood'!$B$26*I136+'Input data fish and seafood'!$B$28*I142+'Input data fish and seafood'!$B$30*I158+'Input data fish and seafood'!$B$32*AVERAGE(I23,I55,I71,I92,I118,I124,I39,I142,I158)+'Input data fish and seafood'!$B$34*AVERAGE(I17,I130,I136)</f>
        <v>4.8031424318715484E-4</v>
      </c>
      <c r="J11" s="186">
        <f>'Input data fish and seafood'!$B$5*J17+'Input data fish and seafood'!$B$7*J23+'Input data fish and seafood'!$B$9*J55+'Input data fish and seafood'!$B$11*J71+'Input data fish and seafood'!$B$14*J92+'Input data fish and seafood'!$B$18*J118+'Input data fish and seafood'!$B$20*J124+'Input data fish and seafood'!$B$22*J130+'Input data fish and seafood'!$B$24*J39+'Input data fish and seafood'!$B$26*J136+'Input data fish and seafood'!$B$28*J142+'Input data fish and seafood'!$B$30*J158+'Input data fish and seafood'!$B$32*AVERAGE(J23,J55,J71,J92,J118,J124,J39,J142,J158)+'Input data fish and seafood'!$B$34*AVERAGE(J17,J130,J136)</f>
        <v>1.2140408089568672E-3</v>
      </c>
      <c r="K11" s="186">
        <f>'Input data fish and seafood'!$B$5*K17+'Input data fish and seafood'!$B$7*K23+'Input data fish and seafood'!$B$9*K55+'Input data fish and seafood'!$B$11*K71+'Input data fish and seafood'!$B$14*K92+'Input data fish and seafood'!$B$18*K118+'Input data fish and seafood'!$B$20*K124+'Input data fish and seafood'!$B$22*K130+'Input data fish and seafood'!$B$24*K39+'Input data fish and seafood'!$B$26*K136+'Input data fish and seafood'!$B$28*K142+'Input data fish and seafood'!$B$30*K158+'Input data fish and seafood'!$B$32*AVERAGE(K23,K55,K71,K92,K118,K124,K39,K142,K158)+'Input data fish and seafood'!$B$34*AVERAGE(K17,K130,K136)</f>
        <v>0</v>
      </c>
      <c r="L11" s="186">
        <f>'Input data fish and seafood'!$B$5*L17+'Input data fish and seafood'!$B$7*L23+'Input data fish and seafood'!$B$9*L55+'Input data fish and seafood'!$B$11*L71+'Input data fish and seafood'!$B$14*L92+'Input data fish and seafood'!$B$18*L118+'Input data fish and seafood'!$B$20*L124+'Input data fish and seafood'!$B$22*L130+'Input data fish and seafood'!$B$24*L39+'Input data fish and seafood'!$B$26*L136+'Input data fish and seafood'!$B$28*L142+'Input data fish and seafood'!$B$30*L158+'Input data fish and seafood'!$B$32*AVERAGE(L23,L55,L71,L92,L118,L124,L39,L142,L158)+'Input data fish and seafood'!$B$34*AVERAGE(L17,L130,L136)</f>
        <v>0</v>
      </c>
      <c r="M11" s="186">
        <f>'Input data fish and seafood'!$B$5*M17+'Input data fish and seafood'!$B$7*M23+'Input data fish and seafood'!$B$9*M55+'Input data fish and seafood'!$B$11*M71+'Input data fish and seafood'!$B$14*M92+'Input data fish and seafood'!$B$18*M118+'Input data fish and seafood'!$B$20*M124+'Input data fish and seafood'!$B$22*M130+'Input data fish and seafood'!$B$24*M39+'Input data fish and seafood'!$B$26*M136+'Input data fish and seafood'!$B$28*M142+'Input data fish and seafood'!$B$30*M158+'Input data fish and seafood'!$B$32*AVERAGE(M23,M55,M71,M92,M118,M124,M39,M142,M158)+'Input data fish and seafood'!$B$34*AVERAGE(M17,M130,M136)</f>
        <v>0</v>
      </c>
      <c r="N11" s="186">
        <f>'Input data fish and seafood'!$B$5*N17+'Input data fish and seafood'!$B$7*N23+'Input data fish and seafood'!$B$9*N55+'Input data fish and seafood'!$B$11*N71+'Input data fish and seafood'!$B$14*N92+'Input data fish and seafood'!$B$18*N118+'Input data fish and seafood'!$B$20*N124+'Input data fish and seafood'!$B$22*N130+'Input data fish and seafood'!$B$24*N39+'Input data fish and seafood'!$B$26*N136+'Input data fish and seafood'!$B$28*N142+'Input data fish and seafood'!$B$30*N158+'Input data fish and seafood'!$B$32*AVERAGE(N23,N55,N71,N92,N118,N124,N39,N142,N158)+'Input data fish and seafood'!$B$34*AVERAGE(N17,N130,N136)</f>
        <v>0</v>
      </c>
      <c r="O11" s="186">
        <f>'Input data fish and seafood'!$B$5*O17+'Input data fish and seafood'!$B$7*O23+'Input data fish and seafood'!$B$9*O55+'Input data fish and seafood'!$B$11*O71+'Input data fish and seafood'!$B$14*O92+'Input data fish and seafood'!$B$18*O118+'Input data fish and seafood'!$B$20*O124+'Input data fish and seafood'!$B$22*O130+'Input data fish and seafood'!$B$24*O39+'Input data fish and seafood'!$B$26*O136+'Input data fish and seafood'!$B$28*O142+'Input data fish and seafood'!$B$30*O158+'Input data fish and seafood'!$B$32*AVERAGE(O23,O55,O71,O92,O118,O124,O39,O142,O158)+'Input data fish and seafood'!$B$34*AVERAGE(O17,O130,O136)</f>
        <v>2.4636900792493087E-5</v>
      </c>
      <c r="P11" s="186">
        <f>'Input data fish and seafood'!$B$5*P17+'Input data fish and seafood'!$B$7*P23+'Input data fish and seafood'!$B$9*P55+'Input data fish and seafood'!$B$11*P71+'Input data fish and seafood'!$B$14*P92+'Input data fish and seafood'!$B$18*P118+'Input data fish and seafood'!$B$20*P124+'Input data fish and seafood'!$B$22*P130+'Input data fish and seafood'!$B$24*P39+'Input data fish and seafood'!$B$26*P136+'Input data fish and seafood'!$B$28*P142+'Input data fish and seafood'!$B$30*P158+'Input data fish and seafood'!$B$32*AVERAGE(P23,P55,P71,P92,P118,P124,P39,P142,P158)+'Input data fish and seafood'!$B$34*AVERAGE(P17,P130,P136)</f>
        <v>0</v>
      </c>
      <c r="Q11" s="186">
        <f>'Input data fish and seafood'!$B$5*Q17+'Input data fish and seafood'!$B$7*Q23+'Input data fish and seafood'!$B$9*Q55+'Input data fish and seafood'!$B$11*Q71+'Input data fish and seafood'!$B$14*Q92+'Input data fish and seafood'!$B$18*Q118+'Input data fish and seafood'!$B$20*Q124+'Input data fish and seafood'!$B$22*Q130+'Input data fish and seafood'!$B$24*Q39+'Input data fish and seafood'!$B$26*Q136+'Input data fish and seafood'!$B$28*Q142+'Input data fish and seafood'!$B$30*Q158+'Input data fish and seafood'!$B$32*AVERAGE(Q23,Q55,Q71,Q92,Q118,Q124,Q39,Q142,Q158)+'Input data fish and seafood'!$B$34*AVERAGE(Q17,Q130,Q136)</f>
        <v>0</v>
      </c>
      <c r="R11" s="186">
        <f>'Input data fish and seafood'!$B$5*R17+'Input data fish and seafood'!$B$7*R23+'Input data fish and seafood'!$B$9*R55+'Input data fish and seafood'!$B$11*R71+'Input data fish and seafood'!$B$14*R92+'Input data fish and seafood'!$B$18*R118+'Input data fish and seafood'!$B$20*R124+'Input data fish and seafood'!$B$22*R130+'Input data fish and seafood'!$B$24*R39+'Input data fish and seafood'!$B$26*R136+'Input data fish and seafood'!$B$28*R142+'Input data fish and seafood'!$B$30*R158+'Input data fish and seafood'!$B$32*AVERAGE(R23,R55,R71,R92,R118,R124,R39,R142,R158)+'Input data fish and seafood'!$B$34*AVERAGE(R17,R130,R136)</f>
        <v>2.9318338537724291E-3</v>
      </c>
      <c r="S11" s="186">
        <f>'Input data fish and seafood'!$B$5*S17+'Input data fish and seafood'!$B$7*S23+'Input data fish and seafood'!$B$9*S55+'Input data fish and seafood'!$B$11*S71+'Input data fish and seafood'!$B$14*S92+'Input data fish and seafood'!$B$18*S118+'Input data fish and seafood'!$B$20*S124+'Input data fish and seafood'!$B$22*S130+'Input data fish and seafood'!$B$24*S39+'Input data fish and seafood'!$B$26*S136+'Input data fish and seafood'!$B$28*S142+'Input data fish and seafood'!$B$30*S158+'Input data fish and seafood'!$B$32*AVERAGE(S23,S55,S71,S92,S118,S124,S39,S142,S158)+'Input data fish and seafood'!$B$34*AVERAGE(S17,S130,S136)</f>
        <v>0</v>
      </c>
      <c r="T11" s="200">
        <f>'Input data fish and seafood'!$B$5*T17+'Input data fish and seafood'!$B$7*T23+'Input data fish and seafood'!$B$9*T55+'Input data fish and seafood'!$B$11*T71+'Input data fish and seafood'!$B$14*T92+'Input data fish and seafood'!$B$18*T118+'Input data fish and seafood'!$B$20*T124+'Input data fish and seafood'!$B$22*T130+'Input data fish and seafood'!$B$24*T39+'Input data fish and seafood'!$B$26*T136+'Input data fish and seafood'!$B$28*T142+'Input data fish and seafood'!$B$30*T158+'Input data fish and seafood'!$B$32*AVERAGE(T23,T55,T71,T92,T118,T124,T39,T142,T158)+'Input data fish and seafood'!$B$34*AVERAGE(T17,T130,T136)</f>
        <v>0</v>
      </c>
      <c r="V11" s="495"/>
      <c r="X11" s="1264"/>
      <c r="Z11" s="495"/>
      <c r="AB11" s="1264"/>
      <c r="AD11" s="495"/>
      <c r="AF11" s="1264"/>
      <c r="AH11" s="495"/>
      <c r="AJ11" s="1264"/>
      <c r="AL11" s="495"/>
      <c r="AN11" s="1264"/>
      <c r="AP11" s="495"/>
      <c r="AR11" s="1264"/>
      <c r="AT11" s="495"/>
      <c r="AV11" s="1264"/>
      <c r="AX11" s="495"/>
      <c r="AY11" s="1264"/>
      <c r="AZ11"/>
      <c r="BD11" t="s">
        <v>257</v>
      </c>
      <c r="BE11">
        <f>INDEX('Common input data'!A5:F15,MATCH(F1,'Common input data'!A5:A15,0),6)</f>
        <v>1960</v>
      </c>
    </row>
    <row r="12" spans="1:330" s="406" customFormat="1" ht="17.25">
      <c r="A12" s="437"/>
      <c r="B12" s="438"/>
      <c r="C12" s="81"/>
      <c r="D12" s="56" t="s">
        <v>398</v>
      </c>
      <c r="E12" s="439">
        <f>'Input data fish and seafood'!$B$5*E18+'Input data fish and seafood'!$B$7*E24+'Input data fish and seafood'!$B$9*E56+'Input data fish and seafood'!$B$11*E72+'Input data fish and seafood'!$B$14*E93+'Input data fish and seafood'!$B$18*E119+'Input data fish and seafood'!$B$20*E125+'Input data fish and seafood'!$B$22*E131+'Input data fish and seafood'!$B$24*E40+'Input data fish and seafood'!$B$26*E137+'Input data fish and seafood'!$B$28*E143+'Input data fish and seafood'!$B$30*E159+'Input data fish and seafood'!$B$32*AVERAGE(E24,E56,E72,E93,E119,E125,E40,E143,E159)+'Input data fish and seafood'!$B$34*AVERAGE(E18,E131,E137)</f>
        <v>0</v>
      </c>
      <c r="F12" s="440">
        <f>'Input data fish and seafood'!$B$5*F18+'Input data fish and seafood'!$B$7*F24+'Input data fish and seafood'!$B$9*F56+'Input data fish and seafood'!$B$11*F72+'Input data fish and seafood'!$B$14*F93+'Input data fish and seafood'!$B$18*F119+'Input data fish and seafood'!$B$20*F125+'Input data fish and seafood'!$B$22*F131+'Input data fish and seafood'!$B$24*F40+'Input data fish and seafood'!$B$26*F137+'Input data fish and seafood'!$B$28*F143+'Input data fish and seafood'!$B$30*F159+'Input data fish and seafood'!$B$32*AVERAGE(F24,F56,F72,F93,F119,F125,F40,F143,F159)+'Input data fish and seafood'!$B$34*AVERAGE(F18,F131,F137)</f>
        <v>8.2862500000000002E-5</v>
      </c>
      <c r="G12" s="441">
        <f>'Input data fish and seafood'!$B$5*G18+'Input data fish and seafood'!$B$7*G24+'Input data fish and seafood'!$B$9*G56+'Input data fish and seafood'!$B$11*G72+'Input data fish and seafood'!$B$14*G93+'Input data fish and seafood'!$B$18*G119+'Input data fish and seafood'!$B$20*G125+'Input data fish and seafood'!$B$22*G131+'Input data fish and seafood'!$B$24*G40+'Input data fish and seafood'!$B$26*G137+'Input data fish and seafood'!$B$28*G143+'Input data fish and seafood'!$B$30*G159+'Input data fish and seafood'!$B$32*AVERAGE(G24,G56,G72,G93,G119,G125,G40,G143,G159)+'Input data fish and seafood'!$B$34*AVERAGE(G18,G131,G137)</f>
        <v>1.8879891247004787E-4</v>
      </c>
      <c r="H12" s="442">
        <f>'Input data fish and seafood'!$B$5*H18+'Input data fish and seafood'!$B$7*H24+'Input data fish and seafood'!$B$9*H56+'Input data fish and seafood'!$B$11*H72+'Input data fish and seafood'!$B$14*H93+'Input data fish and seafood'!$B$18*H119+'Input data fish and seafood'!$B$20*H125+'Input data fish and seafood'!$B$22*H131+'Input data fish and seafood'!$B$24*H40+'Input data fish and seafood'!$B$26*H137+'Input data fish and seafood'!$B$28*H143+'Input data fish and seafood'!$B$30*H159+'Input data fish and seafood'!$B$32*AVERAGE(H24,H56,H72,H93,H119,H125,H40,H143,H159)+'Input data fish and seafood'!$B$34*AVERAGE(H18,H131,H137)</f>
        <v>0</v>
      </c>
      <c r="I12" s="442">
        <f>'Input data fish and seafood'!$B$5*I18+'Input data fish and seafood'!$B$7*I24+'Input data fish and seafood'!$B$9*I56+'Input data fish and seafood'!$B$11*I72+'Input data fish and seafood'!$B$14*I93+'Input data fish and seafood'!$B$18*I119+'Input data fish and seafood'!$B$20*I125+'Input data fish and seafood'!$B$22*I131+'Input data fish and seafood'!$B$24*I40+'Input data fish and seafood'!$B$26*I137+'Input data fish and seafood'!$B$28*I143+'Input data fish and seafood'!$B$30*I159+'Input data fish and seafood'!$B$32*AVERAGE(I24,I56,I72,I93,I119,I125,I40,I143,I159)+'Input data fish and seafood'!$B$34*AVERAGE(I18,I131,I137)</f>
        <v>0</v>
      </c>
      <c r="J12" s="442">
        <f>'Input data fish and seafood'!$B$5*J18+'Input data fish and seafood'!$B$7*J24+'Input data fish and seafood'!$B$9*J56+'Input data fish and seafood'!$B$11*J72+'Input data fish and seafood'!$B$14*J93+'Input data fish and seafood'!$B$18*J119+'Input data fish and seafood'!$B$20*J125+'Input data fish and seafood'!$B$22*J131+'Input data fish and seafood'!$B$24*J40+'Input data fish and seafood'!$B$26*J137+'Input data fish and seafood'!$B$28*J143+'Input data fish and seafood'!$B$30*J159+'Input data fish and seafood'!$B$32*AVERAGE(J24,J56,J72,J93,J119,J125,J40,J143,J159)+'Input data fish and seafood'!$B$34*AVERAGE(J18,J131,J137)</f>
        <v>0</v>
      </c>
      <c r="K12" s="442">
        <f>'Input data fish and seafood'!$B$5*K18+'Input data fish and seafood'!$B$7*K24+'Input data fish and seafood'!$B$9*K56+'Input data fish and seafood'!$B$11*K72+'Input data fish and seafood'!$B$14*K93+'Input data fish and seafood'!$B$18*K119+'Input data fish and seafood'!$B$20*K125+'Input data fish and seafood'!$B$22*K131+'Input data fish and seafood'!$B$24*K40+'Input data fish and seafood'!$B$26*K137+'Input data fish and seafood'!$B$28*K143+'Input data fish and seafood'!$B$30*K159+'Input data fish and seafood'!$B$32*AVERAGE(K24,K56,K72,K93,K119,K125,K40,K143,K159)+'Input data fish and seafood'!$B$34*AVERAGE(K18,K131,K137)</f>
        <v>0</v>
      </c>
      <c r="L12" s="442">
        <f>'Input data fish and seafood'!$B$5*L18+'Input data fish and seafood'!$B$7*L24+'Input data fish and seafood'!$B$9*L56+'Input data fish and seafood'!$B$11*L72+'Input data fish and seafood'!$B$14*L93+'Input data fish and seafood'!$B$18*L119+'Input data fish and seafood'!$B$20*L125+'Input data fish and seafood'!$B$22*L131+'Input data fish and seafood'!$B$24*L40+'Input data fish and seafood'!$B$26*L137+'Input data fish and seafood'!$B$28*L143+'Input data fish and seafood'!$B$30*L159+'Input data fish and seafood'!$B$32*AVERAGE(L24,L56,L72,L93,L119,L125,L40,L143,L159)+'Input data fish and seafood'!$B$34*AVERAGE(L18,L131,L137)</f>
        <v>0</v>
      </c>
      <c r="M12" s="442">
        <f>'Input data fish and seafood'!$B$5*M18+'Input data fish and seafood'!$B$7*M24+'Input data fish and seafood'!$B$9*M56+'Input data fish and seafood'!$B$11*M72+'Input data fish and seafood'!$B$14*M93+'Input data fish and seafood'!$B$18*M119+'Input data fish and seafood'!$B$20*M125+'Input data fish and seafood'!$B$22*M131+'Input data fish and seafood'!$B$24*M40+'Input data fish and seafood'!$B$26*M137+'Input data fish and seafood'!$B$28*M143+'Input data fish and seafood'!$B$30*M159+'Input data fish and seafood'!$B$32*AVERAGE(M24,M56,M72,M93,M119,M125,M40,M143,M159)+'Input data fish and seafood'!$B$34*AVERAGE(M18,M131,M137)</f>
        <v>0</v>
      </c>
      <c r="N12" s="442">
        <f>'Input data fish and seafood'!$B$5*N18+'Input data fish and seafood'!$B$7*N24+'Input data fish and seafood'!$B$9*N56+'Input data fish and seafood'!$B$11*N72+'Input data fish and seafood'!$B$14*N93+'Input data fish and seafood'!$B$18*N119+'Input data fish and seafood'!$B$20*N125+'Input data fish and seafood'!$B$22*N131+'Input data fish and seafood'!$B$24*N40+'Input data fish and seafood'!$B$26*N137+'Input data fish and seafood'!$B$28*N143+'Input data fish and seafood'!$B$30*N159+'Input data fish and seafood'!$B$32*AVERAGE(N24,N56,N72,N93,N119,N125,N40,N143,N159)+'Input data fish and seafood'!$B$34*AVERAGE(N18,N131,N137)</f>
        <v>0</v>
      </c>
      <c r="O12" s="442">
        <f>'Input data fish and seafood'!$B$5*O18+'Input data fish and seafood'!$B$7*O24+'Input data fish and seafood'!$B$9*O56+'Input data fish and seafood'!$B$11*O72+'Input data fish and seafood'!$B$14*O93+'Input data fish and seafood'!$B$18*O119+'Input data fish and seafood'!$B$20*O125+'Input data fish and seafood'!$B$22*O131+'Input data fish and seafood'!$B$24*O40+'Input data fish and seafood'!$B$26*O137+'Input data fish and seafood'!$B$28*O143+'Input data fish and seafood'!$B$30*O159+'Input data fish and seafood'!$B$32*AVERAGE(O24,O56,O72,O93,O119,O125,O40,O143,O159)+'Input data fish and seafood'!$B$34*AVERAGE(O18,O131,O137)</f>
        <v>0</v>
      </c>
      <c r="P12" s="442">
        <f>'Input data fish and seafood'!$B$5*P18+'Input data fish and seafood'!$B$7*P24+'Input data fish and seafood'!$B$9*P56+'Input data fish and seafood'!$B$11*P72+'Input data fish and seafood'!$B$14*P93+'Input data fish and seafood'!$B$18*P119+'Input data fish and seafood'!$B$20*P125+'Input data fish and seafood'!$B$22*P131+'Input data fish and seafood'!$B$24*P40+'Input data fish and seafood'!$B$26*P137+'Input data fish and seafood'!$B$28*P143+'Input data fish and seafood'!$B$30*P159+'Input data fish and seafood'!$B$32*AVERAGE(P24,P56,P72,P93,P119,P125,P40,P143,P159)+'Input data fish and seafood'!$B$34*AVERAGE(P18,P131,P137)</f>
        <v>8.2862500000000002E-5</v>
      </c>
      <c r="Q12" s="442">
        <f>'Input data fish and seafood'!$B$5*Q18+'Input data fish and seafood'!$B$7*Q24+'Input data fish and seafood'!$B$9*Q56+'Input data fish and seafood'!$B$11*Q72+'Input data fish and seafood'!$B$14*Q93+'Input data fish and seafood'!$B$18*Q119+'Input data fish and seafood'!$B$20*Q125+'Input data fish and seafood'!$B$22*Q131+'Input data fish and seafood'!$B$24*Q40+'Input data fish and seafood'!$B$26*Q137+'Input data fish and seafood'!$B$28*Q143+'Input data fish and seafood'!$B$30*Q159+'Input data fish and seafood'!$B$32*AVERAGE(Q24,Q56,Q72,Q93,Q119,Q125,Q40,Q143,Q159)+'Input data fish and seafood'!$B$34*AVERAGE(Q18,Q131,Q137)</f>
        <v>0</v>
      </c>
      <c r="R12" s="442">
        <f>'Input data fish and seafood'!$B$5*R18+'Input data fish and seafood'!$B$7*R24+'Input data fish and seafood'!$B$9*R56+'Input data fish and seafood'!$B$11*R72+'Input data fish and seafood'!$B$14*R93+'Input data fish and seafood'!$B$18*R119+'Input data fish and seafood'!$B$20*R125+'Input data fish and seafood'!$B$22*R131+'Input data fish and seafood'!$B$24*R40+'Input data fish and seafood'!$B$26*R137+'Input data fish and seafood'!$B$28*R143+'Input data fish and seafood'!$B$30*R159+'Input data fish and seafood'!$B$32*AVERAGE(R24,R56,R72,R93,R119,R125,R40,R143,R159)+'Input data fish and seafood'!$B$34*AVERAGE(R18,R131,R137)</f>
        <v>1.8879891247004787E-4</v>
      </c>
      <c r="S12" s="442">
        <f>'Input data fish and seafood'!$B$5*S18+'Input data fish and seafood'!$B$7*S24+'Input data fish and seafood'!$B$9*S56+'Input data fish and seafood'!$B$11*S72+'Input data fish and seafood'!$B$14*S93+'Input data fish and seafood'!$B$18*S119+'Input data fish and seafood'!$B$20*S125+'Input data fish and seafood'!$B$22*S131+'Input data fish and seafood'!$B$24*S40+'Input data fish and seafood'!$B$26*S137+'Input data fish and seafood'!$B$28*S143+'Input data fish and seafood'!$B$30*S159+'Input data fish and seafood'!$B$32*AVERAGE(S24,S56,S72,S93,S119,S125,S40,S143,S159)+'Input data fish and seafood'!$B$34*AVERAGE(S18,S131,S137)</f>
        <v>0</v>
      </c>
      <c r="T12" s="201">
        <f>'Input data fish and seafood'!$B$5*T18+'Input data fish and seafood'!$B$7*T24+'Input data fish and seafood'!$B$9*T56+'Input data fish and seafood'!$B$11*T72+'Input data fish and seafood'!$B$14*T93+'Input data fish and seafood'!$B$18*T119+'Input data fish and seafood'!$B$20*T125+'Input data fish and seafood'!$B$22*T131+'Input data fish and seafood'!$B$24*T40+'Input data fish and seafood'!$B$26*T137+'Input data fish and seafood'!$B$28*T143+'Input data fish and seafood'!$B$30*T159+'Input data fish and seafood'!$B$32*AVERAGE(T24,T56,T72,T93,T119,T125,T40,T143,T159)+'Input data fish and seafood'!$B$34*AVERAGE(T18,T131,T137)</f>
        <v>0</v>
      </c>
      <c r="V12" s="495"/>
      <c r="X12" s="1264"/>
      <c r="Z12" s="495"/>
      <c r="AB12" s="1264"/>
      <c r="AD12" s="495"/>
      <c r="AF12" s="1264"/>
      <c r="AH12" s="495"/>
      <c r="AJ12" s="1264"/>
      <c r="AL12" s="495"/>
      <c r="AN12" s="1264"/>
      <c r="AP12" s="495"/>
      <c r="AR12" s="1264"/>
      <c r="AT12" s="495"/>
      <c r="AV12" s="1264"/>
      <c r="AX12" s="495"/>
      <c r="AY12" s="1264"/>
      <c r="AZ12"/>
    </row>
    <row r="13" spans="1:330" s="450" customFormat="1">
      <c r="A13" s="374" t="s">
        <v>399</v>
      </c>
      <c r="B13" s="375"/>
      <c r="C13" s="376"/>
      <c r="D13" s="377"/>
      <c r="E13" s="443" t="s">
        <v>395</v>
      </c>
      <c r="F13" s="444" t="s">
        <v>395</v>
      </c>
      <c r="G13" s="445" t="s">
        <v>396</v>
      </c>
      <c r="H13" s="446"/>
      <c r="I13" s="446"/>
      <c r="J13" s="446"/>
      <c r="K13" s="447"/>
      <c r="L13" s="447"/>
      <c r="M13" s="448"/>
      <c r="N13" s="447"/>
      <c r="O13" s="447"/>
      <c r="P13" s="447"/>
      <c r="Q13" s="447"/>
      <c r="R13" s="447"/>
      <c r="S13" s="447"/>
      <c r="T13" s="449"/>
      <c r="U13"/>
      <c r="V13" s="18"/>
      <c r="W13"/>
      <c r="X13" s="64"/>
      <c r="Y13"/>
      <c r="Z13" s="18"/>
      <c r="AA13"/>
      <c r="AB13" s="64"/>
      <c r="AC13"/>
      <c r="AD13" s="18"/>
      <c r="AE13"/>
      <c r="AF13" s="64"/>
      <c r="AG13"/>
      <c r="AH13" s="18"/>
      <c r="AI13"/>
      <c r="AJ13" s="64"/>
      <c r="AK13"/>
      <c r="AL13" s="18"/>
      <c r="AM13"/>
      <c r="AN13" s="64"/>
      <c r="AO13"/>
      <c r="AP13" s="18"/>
      <c r="AQ13"/>
      <c r="AR13" s="64"/>
      <c r="AS13"/>
      <c r="AT13" s="18"/>
      <c r="AU13"/>
      <c r="AV13" s="64"/>
      <c r="AW13"/>
      <c r="AX13" s="18"/>
      <c r="AY13" s="64"/>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row>
    <row r="14" spans="1:330" s="95" customFormat="1" ht="17.25">
      <c r="A14" s="381" t="s">
        <v>217</v>
      </c>
      <c r="B14" s="382" t="s">
        <v>218</v>
      </c>
      <c r="C14" s="383">
        <v>1</v>
      </c>
      <c r="D14" s="384" t="s">
        <v>316</v>
      </c>
      <c r="E14" s="430">
        <f>SUMPRODUCT($BE$8:$BE$11,E15:E18)</f>
        <v>0.88200579701186288</v>
      </c>
      <c r="F14" s="431">
        <f>SUMPRODUCT($BE$8:$BE$11,F15:F18)</f>
        <v>2.6247087790126482</v>
      </c>
      <c r="G14" s="432">
        <f>SUMPRODUCT($BE$8:$BE$11,G15:G18)</f>
        <v>4.5038012564720136</v>
      </c>
      <c r="H14" s="451"/>
      <c r="I14" s="432">
        <f t="shared" ref="I14:T14" si="0">SUMPRODUCT($BE$8:$BE$11,I15:I18)</f>
        <v>1.5067029820007849</v>
      </c>
      <c r="J14" s="432">
        <f t="shared" si="0"/>
        <v>0.79038109899497144</v>
      </c>
      <c r="K14" s="432">
        <f t="shared" si="0"/>
        <v>0.13956599918307658</v>
      </c>
      <c r="L14" s="432">
        <f t="shared" si="0"/>
        <v>9.1624698016891465E-2</v>
      </c>
      <c r="M14" s="432">
        <f t="shared" si="0"/>
        <v>3.5999999999999997E-2</v>
      </c>
      <c r="N14" s="432">
        <f t="shared" si="0"/>
        <v>0.11</v>
      </c>
      <c r="O14" s="432">
        <f t="shared" si="0"/>
        <v>0</v>
      </c>
      <c r="P14" s="432">
        <f t="shared" si="0"/>
        <v>0</v>
      </c>
      <c r="Q14" s="432">
        <f t="shared" si="0"/>
        <v>5.6048000000000008E-2</v>
      </c>
      <c r="R14" s="432">
        <f t="shared" si="0"/>
        <v>4.3238012564720139</v>
      </c>
      <c r="S14" s="432">
        <f t="shared" si="0"/>
        <v>0.1</v>
      </c>
      <c r="T14" s="432">
        <f t="shared" si="0"/>
        <v>0.08</v>
      </c>
      <c r="U14"/>
      <c r="V14" s="1265">
        <f>'Input data fish and seafood'!$I5*(SUMPRODUCT('Input data fish and seafood'!$B91:$B102,'Input data fish and seafood'!B$76:B$87))</f>
        <v>2.8332171597697324</v>
      </c>
      <c r="W14" s="1266">
        <f>V14+V14*'Common input data'!$B$144</f>
        <v>2.8332171597697324</v>
      </c>
      <c r="X14" s="1267">
        <f>W14+W14*'Common input data'!$B$180</f>
        <v>3.1448710473444028</v>
      </c>
      <c r="Y14" s="1170"/>
      <c r="Z14" s="1265">
        <f>'Input data fish and seafood'!$I5*(SUMPRODUCT('Input data fish and seafood'!$B91:$B102,'Input data fish and seafood'!C$76:C$87))</f>
        <v>4.2438679790919503E-2</v>
      </c>
      <c r="AA14" s="1266">
        <f>Z14+Z14*'Common input data'!$B$144</f>
        <v>4.2438679790919503E-2</v>
      </c>
      <c r="AB14" s="1267">
        <f>AA14+AA14*'Common input data'!$B$180</f>
        <v>4.7106934567920651E-2</v>
      </c>
      <c r="AC14" s="1170"/>
      <c r="AD14" s="1265">
        <f>'Input data fish and seafood'!$I5*(SUMPRODUCT('Input data fish and seafood'!$B91:$B102,'Input data fish and seafood'!D$76:D$87))</f>
        <v>5.5661960206732945E-3</v>
      </c>
      <c r="AE14" s="1266">
        <f>AD14+AD14*'Common input data'!$B$144</f>
        <v>5.5661960206732945E-3</v>
      </c>
      <c r="AF14" s="1267">
        <f>AE14+AE14*'Common input data'!$B$180</f>
        <v>6.178477582947357E-3</v>
      </c>
      <c r="AG14" s="1170"/>
      <c r="AH14" s="1265">
        <f>'Input data fish and seafood'!$I5*(SUMPRODUCT('Input data fish and seafood'!$B91:$B102,'Input data fish and seafood'!E$76:E$87))</f>
        <v>2.3996015180623873E-2</v>
      </c>
      <c r="AI14" s="1266">
        <f>AH14+AH14*'Common input data'!$B$144</f>
        <v>2.3996015180623873E-2</v>
      </c>
      <c r="AJ14" s="1267">
        <f>AI14+AI14*'Common input data'!$B$180</f>
        <v>2.6635576850492497E-2</v>
      </c>
      <c r="AK14" s="1170"/>
      <c r="AL14" s="1265">
        <f>('Input data fish and seafood'!$I5*(SUMPRODUCT('Input data fish and seafood'!$B91:$B102,'Input data fish and seafood'!G$76:G$87)))/$AM$2</f>
        <v>2.9220177723439461E-12</v>
      </c>
      <c r="AM14" s="1266">
        <f>AL14+AL14*'Common input data'!$B$144</f>
        <v>2.9220177723439461E-12</v>
      </c>
      <c r="AN14" s="1267">
        <f>AM14+AM14*'Common input data'!$B$180</f>
        <v>3.2434397273017803E-12</v>
      </c>
      <c r="AO14" s="1170"/>
      <c r="AP14" s="1265">
        <f>'Input data fish and seafood'!$I5*(SUMPRODUCT('Input data fish and seafood'!$B91:$B102,'Input data fish and seafood'!I$76:I$87))</f>
        <v>3.1325260312868228E-4</v>
      </c>
      <c r="AQ14" s="1266">
        <f>AP14+AP14*'Common input data'!$B$144</f>
        <v>3.1325260312868228E-4</v>
      </c>
      <c r="AR14" s="1267">
        <f>AQ14+AQ14*'Common input data'!$B$180</f>
        <v>3.4771038947283733E-4</v>
      </c>
      <c r="AS14" s="1170"/>
      <c r="AT14" s="1265">
        <f>'Input data fish and seafood'!$I5*(SUMPRODUCT('Input data fish and seafood'!$B91:$B102,'Input data fish and seafood'!J$76:J$87))</f>
        <v>1.2965686416043197E-3</v>
      </c>
      <c r="AU14" s="1266">
        <f>AT14+AT14*'Common input data'!$B$144</f>
        <v>1.2965686416043197E-3</v>
      </c>
      <c r="AV14" s="1267">
        <f>AU14+AU14*'Common input data'!$B$180</f>
        <v>1.439191192180795E-3</v>
      </c>
      <c r="AW14" s="406"/>
      <c r="AX14" s="1265">
        <f>('Common input data'!$B$203+'Common input data'!$C$203)+('Common input data'!$B$203+'Common input data'!$C$203)*'Common input data'!$B$144</f>
        <v>0.32030000000000003</v>
      </c>
      <c r="AY14" s="1267">
        <f>AX14+AX14*'Common input data'!$B$180</f>
        <v>0.35553300000000004</v>
      </c>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row>
    <row r="15" spans="1:330">
      <c r="A15" s="68"/>
      <c r="B15" s="55"/>
      <c r="D15" s="174" t="s">
        <v>317</v>
      </c>
      <c r="E15" s="455">
        <f>IF(AND($F$2="No",$F$3="No"),SUM(J15),IF(AND($F$2="Yes", $F$3="No"), SUM(J15)+L15, IF(AND($F$2="No", $F$3="Yes"),SUM(J15)+K15, SUM(J15)+L15+K15)))</f>
        <v>9.1624698016891465E-2</v>
      </c>
      <c r="F15" s="17">
        <f>IF(AND($F$2="No",$F$3="No"),SUM(H15:J15,M15:P15),IF(AND($F$2="Yes", $F$3="No"), SUM(H15:J15,M15:P15)+L15, IF(AND($F$2="No", $F$3="Yes"),SUM(H15:J15,M15:P15)+K15, SUM(H15:J15,M15:P15)+L15+K15)))</f>
        <v>1.5142942164134896</v>
      </c>
      <c r="G15" s="456">
        <f>SUM(R15:T15)/(1-'Common input data'!B144)</f>
        <v>2.7128100264733708</v>
      </c>
      <c r="H15" s="186">
        <f>'Input data fish and seafood'!B56</f>
        <v>0.09</v>
      </c>
      <c r="I15" s="186">
        <f>'Input data fish and seafood'!B65*'Input data fish and seafood'!I5</f>
        <v>1.1866695183965978</v>
      </c>
      <c r="J15" s="186">
        <f>'Input data fish and seafood'!B69*'Input data fish and seafood'!I5</f>
        <v>0</v>
      </c>
      <c r="K15" s="186">
        <f>'Input data fish and seafood'!I5*('Input data fish and seafood'!B93*'Common input data'!C19*'Common input data'!G44/'Common input data'!F44+'Input data fish and seafood'!B94*'Common input data'!B19*'Common input data'!G42/'Common input data'!F42+'Input data fish and seafood'!B95*'Common input data'!D19*'Common input data'!G40/'Common input data'!F40+'Input data fish and seafood'!B96*'Common input data'!C19+'Input data fish and seafood'!B97*'Common input data'!D19*'Common input data'!D40/'Common input data'!C40)</f>
        <v>0.13956599918307658</v>
      </c>
      <c r="L15" s="186">
        <f>'Common input data'!AR27*'Input data fish and seafood'!B93*'Input data fish and seafood'!I5*'Common input data'!G44/'Common input data'!F44</f>
        <v>9.1624698016891465E-2</v>
      </c>
      <c r="M15" s="186">
        <f>'Input data fish and seafood'!I5*'Common input data'!B98</f>
        <v>3.5999999999999997E-2</v>
      </c>
      <c r="N15" s="186">
        <f>'Input data fish and seafood'!B57</f>
        <v>0.11</v>
      </c>
      <c r="O15" s="189">
        <v>0</v>
      </c>
      <c r="P15" s="189">
        <v>0</v>
      </c>
      <c r="Q15" s="186">
        <f>'Input data fish and seafood'!B107*'Input data fish and seafood'!B111*'Common input data'!B80</f>
        <v>5.6048000000000008E-2</v>
      </c>
      <c r="R15" s="186">
        <f>(F15+Q15)/'Input data fish and seafood'!$H$5</f>
        <v>2.5328100264733706</v>
      </c>
      <c r="S15" s="186">
        <f>'Common input data'!B111</f>
        <v>0.1</v>
      </c>
      <c r="T15" s="200">
        <f>'Input data fish and seafood'!B125*'Common input data'!B115+'Common input data'!C115</f>
        <v>0.08</v>
      </c>
      <c r="V15" s="1263"/>
      <c r="W15" s="1170"/>
      <c r="X15" s="1171"/>
      <c r="Y15" s="1170"/>
      <c r="Z15" s="1263"/>
      <c r="AA15" s="1170"/>
      <c r="AB15" s="1171"/>
      <c r="AC15" s="1170"/>
      <c r="AD15" s="1263"/>
      <c r="AE15" s="1170"/>
      <c r="AF15" s="1171"/>
      <c r="AG15" s="1170"/>
      <c r="AH15" s="1263"/>
      <c r="AI15" s="1170"/>
      <c r="AJ15" s="1171"/>
      <c r="AK15" s="1170"/>
      <c r="AL15" s="1263"/>
      <c r="AM15" s="1170"/>
      <c r="AN15" s="1171"/>
      <c r="AO15" s="1170"/>
      <c r="AP15" s="1263"/>
      <c r="AQ15" s="1170"/>
      <c r="AR15" s="1171"/>
      <c r="AS15" s="1170"/>
      <c r="AT15" s="1263"/>
      <c r="AU15" s="1170"/>
      <c r="AV15" s="1171"/>
      <c r="AX15" s="1263"/>
      <c r="AY15" s="1171"/>
    </row>
    <row r="16" spans="1:330">
      <c r="A16" s="68"/>
      <c r="B16" s="55"/>
      <c r="C16" s="50"/>
      <c r="D16" s="174" t="s">
        <v>367</v>
      </c>
      <c r="E16" s="455">
        <f>J16</f>
        <v>0</v>
      </c>
      <c r="F16" s="17">
        <f>SUM(H16:J16,M16:P16)</f>
        <v>2.7158723558227976E-4</v>
      </c>
      <c r="G16" s="456">
        <f>SUM(R16:T16)/(1-'Common input data'!B144)</f>
        <v>4.3804392835851576E-4</v>
      </c>
      <c r="H16" s="186">
        <v>0</v>
      </c>
      <c r="I16" s="186">
        <f>'Input data fish and seafood'!B66*'Input data fish and seafood'!I5</f>
        <v>2.7158723558227976E-4</v>
      </c>
      <c r="J16" s="186">
        <f>'Input data fish and seafood'!B70*'Input data fish and seafood'!I5</f>
        <v>0</v>
      </c>
      <c r="K16" s="186">
        <v>0</v>
      </c>
      <c r="L16" s="186">
        <v>0</v>
      </c>
      <c r="M16" s="186">
        <v>0</v>
      </c>
      <c r="N16" s="186">
        <v>0</v>
      </c>
      <c r="O16" s="189">
        <v>0</v>
      </c>
      <c r="P16" s="189">
        <v>0</v>
      </c>
      <c r="Q16" s="186">
        <v>0</v>
      </c>
      <c r="R16" s="186">
        <f>(F16+Q16)/'Input data fish and seafood'!$H$5</f>
        <v>4.3804392835851576E-4</v>
      </c>
      <c r="S16" s="186">
        <v>0</v>
      </c>
      <c r="T16" s="200">
        <v>0</v>
      </c>
      <c r="V16" s="1263"/>
      <c r="W16" s="1170"/>
      <c r="X16" s="1171"/>
      <c r="Y16" s="1170"/>
      <c r="Z16" s="1263"/>
      <c r="AA16" s="1170"/>
      <c r="AB16" s="1171"/>
      <c r="AC16" s="1170"/>
      <c r="AD16" s="1263"/>
      <c r="AE16" s="1170"/>
      <c r="AF16" s="1171"/>
      <c r="AG16" s="1170"/>
      <c r="AH16" s="1263"/>
      <c r="AI16" s="1170"/>
      <c r="AJ16" s="1171"/>
      <c r="AK16" s="1170"/>
      <c r="AL16" s="1263"/>
      <c r="AM16" s="1170"/>
      <c r="AN16" s="1171"/>
      <c r="AO16" s="1170"/>
      <c r="AP16" s="1263"/>
      <c r="AQ16" s="1170"/>
      <c r="AR16" s="1171"/>
      <c r="AS16" s="1170"/>
      <c r="AT16" s="1263"/>
      <c r="AU16" s="1170"/>
      <c r="AV16" s="1171"/>
      <c r="AX16" s="1263"/>
      <c r="AY16" s="1171"/>
    </row>
    <row r="17" spans="1:330">
      <c r="A17" s="359"/>
      <c r="B17" s="360"/>
      <c r="C17" s="54"/>
      <c r="D17" s="55" t="s">
        <v>320</v>
      </c>
      <c r="E17" s="455">
        <f>J17</f>
        <v>2.8951688607874414E-3</v>
      </c>
      <c r="F17" s="17">
        <f>SUM(H17:J17,M17:P17)</f>
        <v>4.0405923342067291E-3</v>
      </c>
      <c r="G17" s="456">
        <f>SUM(R17:T17)/(1-'Common input data'!B144)</f>
        <v>6.5170844100108536E-3</v>
      </c>
      <c r="H17" s="186">
        <v>0</v>
      </c>
      <c r="I17" s="186">
        <f>'Input data fish and seafood'!B67*'Input data fish and seafood'!I5</f>
        <v>1.1454234734192882E-3</v>
      </c>
      <c r="J17" s="186">
        <f>'Input data fish and seafood'!B71*'Input data fish and seafood'!I5</f>
        <v>2.8951688607874414E-3</v>
      </c>
      <c r="K17" s="186">
        <v>0</v>
      </c>
      <c r="L17" s="186">
        <v>0</v>
      </c>
      <c r="M17" s="186">
        <v>0</v>
      </c>
      <c r="N17" s="186">
        <v>0</v>
      </c>
      <c r="O17" s="189">
        <v>0</v>
      </c>
      <c r="P17" s="189">
        <v>0</v>
      </c>
      <c r="Q17" s="186">
        <v>0</v>
      </c>
      <c r="R17" s="186">
        <f>(F17+Q17)/'Input data fish and seafood'!$H$5</f>
        <v>6.5170844100108536E-3</v>
      </c>
      <c r="S17" s="186">
        <v>0</v>
      </c>
      <c r="T17" s="200">
        <v>0</v>
      </c>
      <c r="V17" s="1263"/>
      <c r="W17" s="1170"/>
      <c r="X17" s="1171"/>
      <c r="Y17" s="1170"/>
      <c r="Z17" s="1263"/>
      <c r="AA17" s="1170"/>
      <c r="AB17" s="1171"/>
      <c r="AC17" s="1170"/>
      <c r="AD17" s="1263"/>
      <c r="AE17" s="1170"/>
      <c r="AF17" s="1171"/>
      <c r="AG17" s="1170"/>
      <c r="AH17" s="1263"/>
      <c r="AI17" s="1170"/>
      <c r="AJ17" s="1171"/>
      <c r="AK17" s="1170"/>
      <c r="AL17" s="1263"/>
      <c r="AM17" s="1170"/>
      <c r="AN17" s="1171"/>
      <c r="AO17" s="1170"/>
      <c r="AP17" s="1263"/>
      <c r="AQ17" s="1170"/>
      <c r="AR17" s="1171"/>
      <c r="AS17" s="1170"/>
      <c r="AT17" s="1263"/>
      <c r="AU17" s="1170"/>
      <c r="AV17" s="1171"/>
      <c r="AX17" s="1263"/>
      <c r="AY17" s="1171"/>
    </row>
    <row r="18" spans="1:330">
      <c r="A18" s="437"/>
      <c r="B18" s="438"/>
      <c r="C18" s="81"/>
      <c r="D18" s="56" t="s">
        <v>398</v>
      </c>
      <c r="E18" s="457">
        <f>J18</f>
        <v>0</v>
      </c>
      <c r="F18" s="137">
        <f>SUM(H18:J18,M18:P18)</f>
        <v>0</v>
      </c>
      <c r="G18" s="458">
        <v>0</v>
      </c>
      <c r="H18" s="442">
        <v>0</v>
      </c>
      <c r="I18" s="442">
        <v>0</v>
      </c>
      <c r="J18" s="442">
        <v>0</v>
      </c>
      <c r="K18" s="442">
        <v>0</v>
      </c>
      <c r="L18" s="442">
        <v>0</v>
      </c>
      <c r="M18" s="442">
        <v>0</v>
      </c>
      <c r="N18" s="442">
        <v>0</v>
      </c>
      <c r="O18" s="210">
        <v>0</v>
      </c>
      <c r="P18" s="210">
        <v>0</v>
      </c>
      <c r="Q18" s="442">
        <v>0</v>
      </c>
      <c r="R18" s="442">
        <f>(F18+Q18)/'Input data fish and seafood'!$H$5</f>
        <v>0</v>
      </c>
      <c r="S18" s="442">
        <v>0</v>
      </c>
      <c r="T18" s="201">
        <v>0</v>
      </c>
      <c r="V18" s="1263"/>
      <c r="W18" s="1170"/>
      <c r="X18" s="1171"/>
      <c r="Y18" s="1170"/>
      <c r="Z18" s="1263"/>
      <c r="AA18" s="1170"/>
      <c r="AB18" s="1171"/>
      <c r="AC18" s="1170"/>
      <c r="AD18" s="1263"/>
      <c r="AE18" s="1170"/>
      <c r="AF18" s="1171"/>
      <c r="AG18" s="1170"/>
      <c r="AH18" s="1263"/>
      <c r="AI18" s="1170"/>
      <c r="AJ18" s="1171"/>
      <c r="AK18" s="1170"/>
      <c r="AL18" s="1263"/>
      <c r="AM18" s="1170"/>
      <c r="AN18" s="1171"/>
      <c r="AO18" s="1170"/>
      <c r="AP18" s="1263"/>
      <c r="AQ18" s="1170"/>
      <c r="AR18" s="1171"/>
      <c r="AS18" s="1170"/>
      <c r="AT18" s="1263"/>
      <c r="AU18" s="1170"/>
      <c r="AV18" s="1171"/>
      <c r="AX18" s="1263"/>
      <c r="AY18" s="1171"/>
    </row>
    <row r="19" spans="1:330" s="450" customFormat="1">
      <c r="A19" s="459" t="s">
        <v>400</v>
      </c>
      <c r="B19" s="460"/>
      <c r="C19" s="461"/>
      <c r="D19" s="462"/>
      <c r="E19" s="443" t="s">
        <v>395</v>
      </c>
      <c r="F19" s="444" t="s">
        <v>395</v>
      </c>
      <c r="G19" s="445" t="s">
        <v>396</v>
      </c>
      <c r="H19" s="446"/>
      <c r="I19" s="446"/>
      <c r="J19" s="446"/>
      <c r="K19" s="447"/>
      <c r="L19" s="447"/>
      <c r="M19" s="448"/>
      <c r="N19" s="447"/>
      <c r="O19" s="447"/>
      <c r="P19" s="447"/>
      <c r="Q19" s="447"/>
      <c r="R19" s="447"/>
      <c r="S19" s="447"/>
      <c r="T19" s="449"/>
      <c r="U19"/>
      <c r="V19" s="1263"/>
      <c r="W19" s="1170"/>
      <c r="X19" s="1171"/>
      <c r="Y19" s="1170"/>
      <c r="Z19" s="1263"/>
      <c r="AA19" s="1170"/>
      <c r="AB19" s="1171"/>
      <c r="AC19" s="1170"/>
      <c r="AD19" s="1263"/>
      <c r="AE19" s="1170"/>
      <c r="AF19" s="1171"/>
      <c r="AG19" s="1170"/>
      <c r="AH19" s="1263"/>
      <c r="AI19" s="1170"/>
      <c r="AJ19" s="1171"/>
      <c r="AK19" s="1170"/>
      <c r="AL19" s="1263"/>
      <c r="AM19" s="1170"/>
      <c r="AN19" s="1171"/>
      <c r="AO19" s="1170"/>
      <c r="AP19" s="1263"/>
      <c r="AQ19" s="1170"/>
      <c r="AR19" s="1171"/>
      <c r="AS19" s="1170"/>
      <c r="AT19" s="1263"/>
      <c r="AU19" s="1170"/>
      <c r="AV19" s="1171"/>
      <c r="AW19"/>
      <c r="AX19" s="1263"/>
      <c r="AY19" s="1171"/>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row>
    <row r="20" spans="1:330" s="12" customFormat="1" ht="13.35" customHeight="1">
      <c r="A20" s="381" t="s">
        <v>315</v>
      </c>
      <c r="B20" s="382"/>
      <c r="C20" s="383">
        <f>SUM(C25:C34)</f>
        <v>1</v>
      </c>
      <c r="D20" s="384" t="s">
        <v>316</v>
      </c>
      <c r="E20" s="430">
        <f>SUMPRODUCT($BE$8:$BE$11,E21:E24)</f>
        <v>0</v>
      </c>
      <c r="F20" s="431">
        <f>SUMPRODUCT($BE$8:$BE$11,F21:F24)</f>
        <v>2.4759771419676806</v>
      </c>
      <c r="G20" s="432">
        <f>SUMPRODUCT($BE$8:$BE$11,G21:G24)</f>
        <v>6.1156498512729787</v>
      </c>
      <c r="H20" s="451"/>
      <c r="I20" s="463"/>
      <c r="J20" s="463"/>
      <c r="K20" s="464"/>
      <c r="L20" s="464"/>
      <c r="M20" s="452"/>
      <c r="N20" s="464"/>
      <c r="O20" s="464"/>
      <c r="P20" s="464"/>
      <c r="Q20" s="464"/>
      <c r="R20" s="464"/>
      <c r="S20" s="464"/>
      <c r="T20" s="465"/>
      <c r="U20" s="149"/>
      <c r="V20" s="1265"/>
      <c r="W20" s="1266"/>
      <c r="X20" s="1267"/>
      <c r="Y20" s="1170"/>
      <c r="Z20" s="1265"/>
      <c r="AA20" s="1266"/>
      <c r="AB20" s="1267"/>
      <c r="AC20" s="1170"/>
      <c r="AD20" s="1265"/>
      <c r="AE20" s="1266"/>
      <c r="AF20" s="1267"/>
      <c r="AG20" s="1170"/>
      <c r="AH20" s="1265"/>
      <c r="AI20" s="1266"/>
      <c r="AJ20" s="1267"/>
      <c r="AK20" s="1170"/>
      <c r="AL20" s="1265"/>
      <c r="AM20" s="1266"/>
      <c r="AN20" s="1267"/>
      <c r="AO20" s="1170"/>
      <c r="AP20" s="1265"/>
      <c r="AQ20" s="1266"/>
      <c r="AR20" s="1267"/>
      <c r="AS20" s="1170"/>
      <c r="AT20" s="1265"/>
      <c r="AU20" s="1266"/>
      <c r="AV20" s="1267"/>
      <c r="AW20"/>
      <c r="AX20" s="1265"/>
      <c r="AY20" s="1267"/>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row>
    <row r="21" spans="1:330">
      <c r="A21" s="19"/>
      <c r="B21" s="24"/>
      <c r="C21" s="24"/>
      <c r="D21" s="174" t="s">
        <v>317</v>
      </c>
      <c r="E21" s="356">
        <f>$C$25*E26+$C$30*E31</f>
        <v>0</v>
      </c>
      <c r="F21" s="54">
        <f t="shared" ref="F21:T24" si="1">$C$25*F26+$C$30*F31</f>
        <v>1.9676107042829436</v>
      </c>
      <c r="G21" s="357">
        <f t="shared" si="1"/>
        <v>4.9739285373238058</v>
      </c>
      <c r="H21" s="189">
        <f t="shared" si="1"/>
        <v>0</v>
      </c>
      <c r="I21" s="189">
        <f t="shared" si="1"/>
        <v>0</v>
      </c>
      <c r="J21" s="189">
        <f t="shared" si="1"/>
        <v>0</v>
      </c>
      <c r="K21" s="189">
        <f t="shared" si="1"/>
        <v>0</v>
      </c>
      <c r="L21" s="189">
        <f t="shared" si="1"/>
        <v>0</v>
      </c>
      <c r="M21" s="189">
        <f t="shared" si="1"/>
        <v>0</v>
      </c>
      <c r="N21" s="189">
        <f t="shared" si="1"/>
        <v>0</v>
      </c>
      <c r="O21" s="189">
        <f>$C$25*O26+$C$30*O31</f>
        <v>1.9676107042829436</v>
      </c>
      <c r="P21" s="189">
        <f t="shared" si="1"/>
        <v>0</v>
      </c>
      <c r="Q21" s="189">
        <f t="shared" si="1"/>
        <v>0.13756168654649853</v>
      </c>
      <c r="R21" s="189">
        <f t="shared" si="1"/>
        <v>4.7279285373238062</v>
      </c>
      <c r="S21" s="189">
        <f t="shared" si="1"/>
        <v>0.1</v>
      </c>
      <c r="T21" s="199">
        <f t="shared" si="1"/>
        <v>0.14600000000000002</v>
      </c>
      <c r="V21" s="1263"/>
      <c r="W21" s="1170"/>
      <c r="X21" s="1171"/>
      <c r="Y21" s="1170"/>
      <c r="Z21" s="1263"/>
      <c r="AA21" s="1170"/>
      <c r="AB21" s="1171"/>
      <c r="AC21" s="1170"/>
      <c r="AD21" s="1263"/>
      <c r="AE21" s="1170"/>
      <c r="AF21" s="1171"/>
      <c r="AG21" s="1170"/>
      <c r="AH21" s="1263"/>
      <c r="AI21" s="1170"/>
      <c r="AJ21" s="1171"/>
      <c r="AK21" s="1170"/>
      <c r="AL21" s="1263"/>
      <c r="AM21" s="1170"/>
      <c r="AN21" s="1171"/>
      <c r="AO21" s="1170"/>
      <c r="AP21" s="1263"/>
      <c r="AQ21" s="1170"/>
      <c r="AR21" s="1171"/>
      <c r="AS21" s="1170"/>
      <c r="AT21" s="1263"/>
      <c r="AU21" s="1170"/>
      <c r="AV21" s="1171"/>
      <c r="AX21" s="1263"/>
      <c r="AY21" s="1171"/>
    </row>
    <row r="22" spans="1:330">
      <c r="A22" s="195"/>
      <c r="B22" s="135"/>
      <c r="C22" s="50"/>
      <c r="D22" s="174" t="s">
        <v>367</v>
      </c>
      <c r="E22" s="356">
        <f>$C$25*E27+$C$30*E32</f>
        <v>0</v>
      </c>
      <c r="F22" s="54">
        <f t="shared" si="1"/>
        <v>8.7158519474493418E-4</v>
      </c>
      <c r="G22" s="357">
        <f t="shared" si="1"/>
        <v>1.9574608392616726E-3</v>
      </c>
      <c r="H22" s="189">
        <f t="shared" si="1"/>
        <v>0</v>
      </c>
      <c r="I22" s="189">
        <f t="shared" si="1"/>
        <v>0</v>
      </c>
      <c r="J22" s="189">
        <f t="shared" si="1"/>
        <v>0</v>
      </c>
      <c r="K22" s="189">
        <f t="shared" si="1"/>
        <v>0</v>
      </c>
      <c r="L22" s="189">
        <f t="shared" si="1"/>
        <v>0</v>
      </c>
      <c r="M22" s="189">
        <f t="shared" si="1"/>
        <v>0</v>
      </c>
      <c r="N22" s="189">
        <f t="shared" si="1"/>
        <v>0</v>
      </c>
      <c r="O22" s="189">
        <f t="shared" si="1"/>
        <v>8.7158519474493418E-4</v>
      </c>
      <c r="P22" s="189">
        <f t="shared" si="1"/>
        <v>0</v>
      </c>
      <c r="Q22" s="189">
        <f t="shared" si="1"/>
        <v>0</v>
      </c>
      <c r="R22" s="189">
        <f t="shared" si="1"/>
        <v>1.9574608392616726E-3</v>
      </c>
      <c r="S22" s="189">
        <f t="shared" si="1"/>
        <v>0</v>
      </c>
      <c r="T22" s="199">
        <f t="shared" si="1"/>
        <v>0</v>
      </c>
      <c r="V22" s="1263"/>
      <c r="W22" s="1170"/>
      <c r="X22" s="1171"/>
      <c r="Y22" s="1170"/>
      <c r="Z22" s="1263"/>
      <c r="AA22" s="1170"/>
      <c r="AB22" s="1171"/>
      <c r="AC22" s="1170"/>
      <c r="AD22" s="1263"/>
      <c r="AE22" s="1170"/>
      <c r="AF22" s="1171"/>
      <c r="AG22" s="1255"/>
      <c r="AH22" s="1263"/>
      <c r="AI22" s="1170"/>
      <c r="AJ22" s="1171"/>
      <c r="AK22" s="1170"/>
      <c r="AL22" s="1263"/>
      <c r="AM22" s="1170"/>
      <c r="AN22" s="1171"/>
      <c r="AO22" s="1170"/>
      <c r="AP22" s="1263"/>
      <c r="AQ22" s="1170"/>
      <c r="AR22" s="1171"/>
      <c r="AS22" s="1170"/>
      <c r="AT22" s="1263"/>
      <c r="AU22" s="1170"/>
      <c r="AV22" s="1171"/>
      <c r="AX22" s="1263"/>
      <c r="AY22" s="1171"/>
    </row>
    <row r="23" spans="1:330">
      <c r="A23" s="195"/>
      <c r="B23" s="135"/>
      <c r="C23" s="54"/>
      <c r="D23" s="55" t="s">
        <v>320</v>
      </c>
      <c r="E23" s="356">
        <f>$C$25*E28+$C$30*E33</f>
        <v>0</v>
      </c>
      <c r="F23" s="54">
        <f t="shared" si="1"/>
        <v>5.2870466764188688E-5</v>
      </c>
      <c r="G23" s="357">
        <f t="shared" si="1"/>
        <v>1.1873981897394623E-4</v>
      </c>
      <c r="H23" s="189">
        <f t="shared" si="1"/>
        <v>0</v>
      </c>
      <c r="I23" s="189">
        <f t="shared" si="1"/>
        <v>0</v>
      </c>
      <c r="J23" s="189">
        <f t="shared" si="1"/>
        <v>0</v>
      </c>
      <c r="K23" s="189">
        <f t="shared" si="1"/>
        <v>0</v>
      </c>
      <c r="L23" s="189">
        <f t="shared" si="1"/>
        <v>0</v>
      </c>
      <c r="M23" s="189">
        <f t="shared" si="1"/>
        <v>0</v>
      </c>
      <c r="N23" s="189">
        <f t="shared" si="1"/>
        <v>0</v>
      </c>
      <c r="O23" s="189">
        <f t="shared" si="1"/>
        <v>5.2870466764188688E-5</v>
      </c>
      <c r="P23" s="189">
        <f t="shared" si="1"/>
        <v>0</v>
      </c>
      <c r="Q23" s="189">
        <f t="shared" si="1"/>
        <v>0</v>
      </c>
      <c r="R23" s="189">
        <f t="shared" si="1"/>
        <v>1.1873981897394623E-4</v>
      </c>
      <c r="S23" s="189">
        <f t="shared" si="1"/>
        <v>0</v>
      </c>
      <c r="T23" s="199">
        <f t="shared" si="1"/>
        <v>0</v>
      </c>
      <c r="V23" s="1263"/>
      <c r="W23" s="1170"/>
      <c r="X23" s="1171"/>
      <c r="Y23" s="1170"/>
      <c r="Z23" s="1263"/>
      <c r="AA23" s="1170"/>
      <c r="AB23" s="1171"/>
      <c r="AC23" s="1170"/>
      <c r="AD23" s="1263"/>
      <c r="AE23" s="1170"/>
      <c r="AF23" s="1171"/>
      <c r="AG23" s="1170"/>
      <c r="AH23" s="1263"/>
      <c r="AI23" s="1170"/>
      <c r="AJ23" s="1171"/>
      <c r="AK23" s="1170"/>
      <c r="AL23" s="1263"/>
      <c r="AM23" s="1170"/>
      <c r="AN23" s="1171"/>
      <c r="AO23" s="1170"/>
      <c r="AP23" s="1263"/>
      <c r="AQ23" s="1170"/>
      <c r="AR23" s="1171"/>
      <c r="AS23" s="1170"/>
      <c r="AT23" s="1263"/>
      <c r="AU23" s="1170"/>
      <c r="AV23" s="1171"/>
      <c r="AX23" s="1263"/>
      <c r="AY23" s="1171"/>
    </row>
    <row r="24" spans="1:330">
      <c r="A24" s="195"/>
      <c r="B24" s="135"/>
      <c r="C24" s="54"/>
      <c r="D24" s="55" t="s">
        <v>398</v>
      </c>
      <c r="E24" s="356">
        <f>$C$25*E29+$C$30*E34</f>
        <v>0</v>
      </c>
      <c r="F24" s="54">
        <f t="shared" si="1"/>
        <v>2.4000000000000001E-4</v>
      </c>
      <c r="G24" s="357">
        <f t="shared" si="1"/>
        <v>5.3900709219858165E-4</v>
      </c>
      <c r="H24" s="189">
        <f t="shared" si="1"/>
        <v>0</v>
      </c>
      <c r="I24" s="189">
        <f t="shared" si="1"/>
        <v>0</v>
      </c>
      <c r="J24" s="189">
        <f t="shared" si="1"/>
        <v>0</v>
      </c>
      <c r="K24" s="189">
        <f t="shared" si="1"/>
        <v>0</v>
      </c>
      <c r="L24" s="189">
        <f t="shared" si="1"/>
        <v>0</v>
      </c>
      <c r="M24" s="189">
        <f t="shared" si="1"/>
        <v>0</v>
      </c>
      <c r="N24" s="189">
        <f t="shared" si="1"/>
        <v>0</v>
      </c>
      <c r="O24" s="189">
        <f t="shared" si="1"/>
        <v>0</v>
      </c>
      <c r="P24" s="189">
        <f t="shared" si="1"/>
        <v>2.4000000000000001E-4</v>
      </c>
      <c r="Q24" s="189">
        <f t="shared" si="1"/>
        <v>0</v>
      </c>
      <c r="R24" s="189">
        <f t="shared" si="1"/>
        <v>5.3900709219858165E-4</v>
      </c>
      <c r="S24" s="189">
        <f t="shared" si="1"/>
        <v>0</v>
      </c>
      <c r="T24" s="199">
        <f t="shared" si="1"/>
        <v>0</v>
      </c>
      <c r="V24" s="1263"/>
      <c r="W24" s="1170"/>
      <c r="X24" s="1171"/>
      <c r="Y24" s="1170"/>
      <c r="Z24" s="1263"/>
      <c r="AA24" s="1170"/>
      <c r="AB24" s="1171"/>
      <c r="AC24" s="1170"/>
      <c r="AD24" s="1263"/>
      <c r="AE24" s="1170"/>
      <c r="AF24" s="1171"/>
      <c r="AG24" s="1170"/>
      <c r="AH24" s="1263"/>
      <c r="AI24" s="1170"/>
      <c r="AJ24" s="1171"/>
      <c r="AK24" s="1170"/>
      <c r="AL24" s="1263"/>
      <c r="AM24" s="1170"/>
      <c r="AN24" s="1171"/>
      <c r="AO24" s="1170"/>
      <c r="AP24" s="1263"/>
      <c r="AQ24" s="1170"/>
      <c r="AR24" s="1171"/>
      <c r="AS24" s="1170"/>
      <c r="AT24" s="1263"/>
      <c r="AU24" s="1170"/>
      <c r="AV24" s="1171"/>
      <c r="AX24" s="1263"/>
      <c r="AY24" s="1171"/>
    </row>
    <row r="25" spans="1:330" s="12" customFormat="1">
      <c r="A25" s="466" t="s">
        <v>219</v>
      </c>
      <c r="B25" s="75" t="s">
        <v>220</v>
      </c>
      <c r="C25" s="354">
        <f>'Input data fish and seafood'!E7</f>
        <v>0.5</v>
      </c>
      <c r="D25" s="355" t="s">
        <v>316</v>
      </c>
      <c r="E25" s="467">
        <f>SUMPRODUCT($BE$8:$BE$11,E26:E29)</f>
        <v>0</v>
      </c>
      <c r="F25" s="468">
        <f>SUMPRODUCT($BE$8:$BE$11,F26:F29)</f>
        <v>3.1335434180226582</v>
      </c>
      <c r="G25" s="469">
        <f>SUMPRODUCT($BE$8:$BE$11,G26:G29)</f>
        <v>7.5924535445406587</v>
      </c>
      <c r="H25" s="385"/>
      <c r="I25" s="211"/>
      <c r="J25" s="211"/>
      <c r="K25" s="470"/>
      <c r="L25" s="470"/>
      <c r="M25" s="470"/>
      <c r="N25" s="470"/>
      <c r="O25" s="470"/>
      <c r="P25" s="470"/>
      <c r="Q25" s="470"/>
      <c r="R25" s="470"/>
      <c r="S25" s="470"/>
      <c r="T25" s="471"/>
      <c r="U25"/>
      <c r="V25" s="1263"/>
      <c r="W25" s="1170"/>
      <c r="X25" s="1171"/>
      <c r="Y25" s="1170"/>
      <c r="Z25" s="1263"/>
      <c r="AA25" s="1170"/>
      <c r="AB25" s="1171"/>
      <c r="AC25" s="1170"/>
      <c r="AD25" s="1263"/>
      <c r="AE25" s="1170"/>
      <c r="AF25" s="1171"/>
      <c r="AG25" s="1170"/>
      <c r="AH25" s="1263"/>
      <c r="AI25" s="1170"/>
      <c r="AJ25" s="1171"/>
      <c r="AK25" s="1170"/>
      <c r="AL25" s="1263"/>
      <c r="AM25" s="1170"/>
      <c r="AN25" s="1171"/>
      <c r="AO25" s="1170"/>
      <c r="AP25" s="1263"/>
      <c r="AQ25" s="1170"/>
      <c r="AR25" s="1171"/>
      <c r="AS25" s="1170"/>
      <c r="AT25" s="1263"/>
      <c r="AU25" s="1170"/>
      <c r="AV25" s="1171"/>
      <c r="AW25"/>
      <c r="AX25" s="1263"/>
      <c r="AY25" s="1171"/>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row>
    <row r="26" spans="1:330">
      <c r="A26" s="68"/>
      <c r="B26" s="55"/>
      <c r="C26" s="24"/>
      <c r="D26" s="174" t="s">
        <v>317</v>
      </c>
      <c r="E26" s="455">
        <f>IF(AND($F$2="No",$F$3="No"),SUM(J26),IF(AND($F$2="Yes", $F$3="No"), SUM(J26)+L26, IF(AND($F$2="No", $F$3="Yes"),SUM(J26)+K26, SUM(J26)+L26+K26)))</f>
        <v>0</v>
      </c>
      <c r="F26" s="17">
        <f>IF(AND($F$2="No",$F$3="No"),SUM(H26:J26,M26:P26),IF(AND($F$2="Yes", $F$3="No"), SUM(H26:J26,M26:P26)+L26, IF(AND($F$2="No", $F$3="Yes"),SUM(H26:J26,M26:P26)+K26, SUM(H26:J26,M26:P26)+L26+K26)))</f>
        <v>2.6127289679822696</v>
      </c>
      <c r="G26" s="456">
        <f>SUM(R26:T26)/(1-'Common input data'!$B$144)</f>
        <v>6.4227757016603535</v>
      </c>
      <c r="H26" s="189">
        <v>0</v>
      </c>
      <c r="I26" s="189">
        <v>0</v>
      </c>
      <c r="J26" s="189">
        <v>0</v>
      </c>
      <c r="K26" s="189">
        <v>0</v>
      </c>
      <c r="L26" s="189">
        <v>0</v>
      </c>
      <c r="M26" s="189">
        <v>0</v>
      </c>
      <c r="N26" s="189">
        <v>0</v>
      </c>
      <c r="O26" s="186">
        <f>'Input data fish and seafood'!G7*'Input data fish and seafood'!B42</f>
        <v>2.6127289679822696</v>
      </c>
      <c r="P26" s="186">
        <v>0</v>
      </c>
      <c r="Q26" s="186">
        <f>'Input data fish and seafood'!B107*('Input data fish and seafood'!B112*'Common input data'!B80+'Input data fish and seafood'!C112*'Common input data'!C80+'Input data fish and seafood'!D112*'Common input data'!E80)</f>
        <v>0.13756168654649853</v>
      </c>
      <c r="R26" s="186">
        <f>(F26+Q26)/'Common input data'!$C$57/'Input data fish and seafood'!$H$7*'Common input data'!$D$57</f>
        <v>6.1767757016603539</v>
      </c>
      <c r="S26" s="186">
        <f>'Common input data'!B111</f>
        <v>0.1</v>
      </c>
      <c r="T26" s="200">
        <f>'Input data fish and seafood'!B126*'Common input data'!B115+'Input data fish and seafood'!C126*'Common input data'!B119+'Input data fish and seafood'!D126*'Common input data'!B126+'Common input data'!C115</f>
        <v>0.14600000000000002</v>
      </c>
      <c r="V26" s="1263"/>
      <c r="W26" s="1170"/>
      <c r="X26" s="1171"/>
      <c r="Y26" s="1170"/>
      <c r="Z26" s="1263"/>
      <c r="AA26" s="1170"/>
      <c r="AB26" s="1171"/>
      <c r="AC26" s="1170"/>
      <c r="AD26" s="1263"/>
      <c r="AE26" s="1170"/>
      <c r="AF26" s="1171"/>
      <c r="AG26" s="1170"/>
      <c r="AH26" s="1263"/>
      <c r="AI26" s="1170"/>
      <c r="AJ26" s="1171"/>
      <c r="AK26" s="1170"/>
      <c r="AL26" s="1263"/>
      <c r="AM26" s="1170"/>
      <c r="AN26" s="1171"/>
      <c r="AO26" s="1170"/>
      <c r="AP26" s="1263"/>
      <c r="AQ26" s="1170"/>
      <c r="AR26" s="1171"/>
      <c r="AS26" s="1170"/>
      <c r="AT26" s="1263"/>
      <c r="AU26" s="1170"/>
      <c r="AV26" s="1171"/>
      <c r="AX26" s="1263"/>
      <c r="AY26" s="1171"/>
    </row>
    <row r="27" spans="1:330">
      <c r="A27" s="472"/>
      <c r="B27" s="29"/>
      <c r="C27" s="473"/>
      <c r="D27" s="174" t="s">
        <v>367</v>
      </c>
      <c r="E27" s="455">
        <v>0</v>
      </c>
      <c r="F27" s="17">
        <f>SUM(H27:J27,M27:P27)</f>
        <v>1.157350832366224E-3</v>
      </c>
      <c r="G27" s="456">
        <f>SUM(R27:T27)/(1-'Common input data'!$B$144)</f>
        <v>2.5992512783638601E-3</v>
      </c>
      <c r="H27" s="189">
        <v>0</v>
      </c>
      <c r="I27" s="189">
        <v>0</v>
      </c>
      <c r="J27" s="189">
        <v>0</v>
      </c>
      <c r="K27" s="189">
        <v>0</v>
      </c>
      <c r="L27" s="189">
        <v>0</v>
      </c>
      <c r="M27" s="189">
        <v>0</v>
      </c>
      <c r="N27" s="189">
        <v>0</v>
      </c>
      <c r="O27" s="186">
        <f>'Input data fish and seafood'!G7*'Input data fish and seafood'!B43</f>
        <v>1.157350832366224E-3</v>
      </c>
      <c r="P27" s="186">
        <v>0</v>
      </c>
      <c r="Q27" s="186">
        <v>0</v>
      </c>
      <c r="R27" s="186">
        <f>(F27+Q27)/'Common input data'!$C$57/'Input data fish and seafood'!$H$7*'Common input data'!$D$57</f>
        <v>2.5992512783638601E-3</v>
      </c>
      <c r="S27" s="186">
        <v>0</v>
      </c>
      <c r="T27" s="200">
        <v>0</v>
      </c>
      <c r="V27" s="1263"/>
      <c r="W27" s="1170"/>
      <c r="X27" s="1171"/>
      <c r="Y27" s="1170"/>
      <c r="Z27" s="1263"/>
      <c r="AA27" s="1170"/>
      <c r="AB27" s="1171"/>
      <c r="AC27" s="1170"/>
      <c r="AD27" s="1263"/>
      <c r="AE27" s="1170"/>
      <c r="AF27" s="1171"/>
      <c r="AG27" s="1170"/>
      <c r="AH27" s="1263"/>
      <c r="AI27" s="1170"/>
      <c r="AJ27" s="1171"/>
      <c r="AK27" s="1170"/>
      <c r="AL27" s="1263"/>
      <c r="AM27" s="1170"/>
      <c r="AN27" s="1171"/>
      <c r="AO27" s="1170"/>
      <c r="AP27" s="1263"/>
      <c r="AQ27" s="1170"/>
      <c r="AR27" s="1171"/>
      <c r="AS27" s="1170"/>
      <c r="AT27" s="1263"/>
      <c r="AU27" s="1170"/>
      <c r="AV27" s="1171"/>
      <c r="AX27" s="1263"/>
      <c r="AY27" s="1171"/>
    </row>
    <row r="28" spans="1:330">
      <c r="A28" s="359"/>
      <c r="B28" s="360"/>
      <c r="C28" s="54"/>
      <c r="D28" s="55" t="s">
        <v>320</v>
      </c>
      <c r="E28" s="455">
        <v>0</v>
      </c>
      <c r="F28" s="17">
        <f>SUM(H28:J28,M28:P28)</f>
        <v>7.0205046031135808E-5</v>
      </c>
      <c r="G28" s="456">
        <f>SUM(R28:T28)/(1-'Common input data'!$B$144)</f>
        <v>1.5767090716212534E-4</v>
      </c>
      <c r="H28" s="189">
        <v>0</v>
      </c>
      <c r="I28" s="189">
        <v>0</v>
      </c>
      <c r="J28" s="189">
        <v>0</v>
      </c>
      <c r="K28" s="189">
        <v>0</v>
      </c>
      <c r="L28" s="189">
        <v>0</v>
      </c>
      <c r="M28" s="189">
        <v>0</v>
      </c>
      <c r="N28" s="189">
        <v>0</v>
      </c>
      <c r="O28" s="186">
        <f>'Input data fish and seafood'!G7*'Input data fish and seafood'!B44</f>
        <v>7.0205046031135808E-5</v>
      </c>
      <c r="P28" s="186">
        <v>0</v>
      </c>
      <c r="Q28" s="186">
        <v>0</v>
      </c>
      <c r="R28" s="186">
        <f>(F28+Q28)/'Common input data'!$C$57/'Input data fish and seafood'!$H$7*'Common input data'!$D$57</f>
        <v>1.5767090716212534E-4</v>
      </c>
      <c r="S28" s="186">
        <v>0</v>
      </c>
      <c r="T28" s="200">
        <v>0</v>
      </c>
      <c r="V28" s="1263"/>
      <c r="W28" s="1170"/>
      <c r="X28" s="1171"/>
      <c r="Y28" s="1170"/>
      <c r="Z28" s="1263"/>
      <c r="AA28" s="1170"/>
      <c r="AB28" s="1171"/>
      <c r="AC28" s="1170"/>
      <c r="AD28" s="1263"/>
      <c r="AE28" s="1170"/>
      <c r="AF28" s="1171"/>
      <c r="AG28" s="1170"/>
      <c r="AH28" s="1263"/>
      <c r="AI28" s="1170"/>
      <c r="AJ28" s="1171"/>
      <c r="AK28" s="1170"/>
      <c r="AL28" s="1263"/>
      <c r="AM28" s="1170"/>
      <c r="AN28" s="1171"/>
      <c r="AO28" s="1170"/>
      <c r="AP28" s="1263"/>
      <c r="AQ28" s="1170"/>
      <c r="AR28" s="1171"/>
      <c r="AS28" s="1170"/>
      <c r="AT28" s="1263"/>
      <c r="AU28" s="1170"/>
      <c r="AV28" s="1171"/>
      <c r="AX28" s="1263"/>
      <c r="AY28" s="1171"/>
    </row>
    <row r="29" spans="1:330">
      <c r="A29" s="359"/>
      <c r="B29" s="360"/>
      <c r="C29" s="54"/>
      <c r="D29" s="55" t="s">
        <v>398</v>
      </c>
      <c r="E29" s="455">
        <v>0</v>
      </c>
      <c r="F29" s="17">
        <f>SUM(H29:J29,M29:P29)</f>
        <v>2.4000000000000001E-4</v>
      </c>
      <c r="G29" s="456">
        <f>SUM(R29:T29)/(1-'Common input data'!$B$144)</f>
        <v>5.3900709219858165E-4</v>
      </c>
      <c r="H29" s="189">
        <v>0</v>
      </c>
      <c r="I29" s="189">
        <v>0</v>
      </c>
      <c r="J29" s="189">
        <v>0</v>
      </c>
      <c r="K29" s="189">
        <v>0</v>
      </c>
      <c r="L29" s="189">
        <v>0</v>
      </c>
      <c r="M29" s="189">
        <v>0</v>
      </c>
      <c r="N29" s="189">
        <v>0</v>
      </c>
      <c r="O29" s="186">
        <v>0</v>
      </c>
      <c r="P29" s="186">
        <f>'Input data fish and seafood'!C49</f>
        <v>2.4000000000000001E-4</v>
      </c>
      <c r="Q29" s="186">
        <v>0</v>
      </c>
      <c r="R29" s="186">
        <f>(F29+Q29)/'Common input data'!$C$57/'Input data fish and seafood'!$H$7*'Common input data'!$D$57</f>
        <v>5.3900709219858165E-4</v>
      </c>
      <c r="S29" s="186">
        <v>0</v>
      </c>
      <c r="T29" s="200">
        <v>0</v>
      </c>
      <c r="V29" s="1263"/>
      <c r="W29" s="1170"/>
      <c r="X29" s="1171"/>
      <c r="Y29" s="1170"/>
      <c r="Z29" s="1263"/>
      <c r="AA29" s="1170"/>
      <c r="AB29" s="1171"/>
      <c r="AC29" s="1170"/>
      <c r="AD29" s="1263"/>
      <c r="AE29" s="1170"/>
      <c r="AF29" s="1171"/>
      <c r="AG29" s="1170"/>
      <c r="AH29" s="1263"/>
      <c r="AI29" s="1170"/>
      <c r="AJ29" s="1171"/>
      <c r="AK29" s="1170"/>
      <c r="AL29" s="1263"/>
      <c r="AM29" s="1170"/>
      <c r="AN29" s="1171"/>
      <c r="AO29" s="1170"/>
      <c r="AP29" s="1263"/>
      <c r="AQ29" s="1170"/>
      <c r="AR29" s="1171"/>
      <c r="AS29" s="1170"/>
      <c r="AT29" s="1263"/>
      <c r="AU29" s="1170"/>
      <c r="AV29" s="1171"/>
      <c r="AX29" s="1263"/>
      <c r="AY29" s="1171"/>
    </row>
    <row r="30" spans="1:330" s="12" customFormat="1">
      <c r="A30" s="466" t="s">
        <v>219</v>
      </c>
      <c r="B30" s="75" t="s">
        <v>221</v>
      </c>
      <c r="C30" s="354">
        <f>'Input data fish and seafood'!E8</f>
        <v>0.5</v>
      </c>
      <c r="D30" s="355" t="s">
        <v>316</v>
      </c>
      <c r="E30" s="467">
        <f>SUMPRODUCT($BE$8:$BE$11,E31:E34)</f>
        <v>0</v>
      </c>
      <c r="F30" s="468">
        <f>SUMPRODUCT($BE$8:$BE$11,F31:F34)</f>
        <v>1.8184108659127032</v>
      </c>
      <c r="G30" s="469">
        <f>SUMPRODUCT($BE$8:$BE$11,G31:G34)</f>
        <v>4.6388461580052995</v>
      </c>
      <c r="H30" s="385"/>
      <c r="I30" s="211"/>
      <c r="J30" s="211"/>
      <c r="K30" s="470"/>
      <c r="L30" s="470"/>
      <c r="M30" s="470"/>
      <c r="N30" s="470"/>
      <c r="O30" s="470"/>
      <c r="P30" s="470"/>
      <c r="Q30" s="470"/>
      <c r="R30" s="470"/>
      <c r="S30" s="470"/>
      <c r="T30" s="471"/>
      <c r="U30"/>
      <c r="V30" s="1263"/>
      <c r="W30" s="1170"/>
      <c r="X30" s="1171"/>
      <c r="Y30" s="1170"/>
      <c r="Z30" s="1263"/>
      <c r="AA30" s="1170"/>
      <c r="AB30" s="1171"/>
      <c r="AC30" s="1170"/>
      <c r="AD30" s="1263"/>
      <c r="AE30" s="1170"/>
      <c r="AF30" s="1171"/>
      <c r="AG30" s="1170"/>
      <c r="AH30" s="1263"/>
      <c r="AI30" s="1170"/>
      <c r="AJ30" s="1171"/>
      <c r="AK30" s="1170"/>
      <c r="AL30" s="1263"/>
      <c r="AM30" s="1170"/>
      <c r="AN30" s="1171"/>
      <c r="AO30" s="1170"/>
      <c r="AP30" s="1263"/>
      <c r="AQ30" s="1170"/>
      <c r="AR30" s="1171"/>
      <c r="AS30" s="1170"/>
      <c r="AT30" s="1263"/>
      <c r="AU30" s="1170"/>
      <c r="AV30" s="1171"/>
      <c r="AW30"/>
      <c r="AX30" s="1263"/>
      <c r="AY30" s="1171"/>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row>
    <row r="31" spans="1:330">
      <c r="A31" s="68"/>
      <c r="B31" s="55"/>
      <c r="C31" s="24"/>
      <c r="D31" s="174" t="s">
        <v>317</v>
      </c>
      <c r="E31" s="455">
        <f>IF(AND($F$2="No",$F$3="No"),SUM(J31),IF(AND($F$2="Yes", $F$3="No"), SUM(J31)+L31, IF(AND($F$2="No", $F$3="Yes"),SUM(J31)+K31, SUM(J31)+L31+K31)))</f>
        <v>0</v>
      </c>
      <c r="F31" s="17">
        <f>IF(AND($F$2="No",$F$3="No"),SUM(H31:J31,M31:P31),IF(AND($F$2="Yes", $F$3="No"), SUM(H31:J31,M31:P31)+L31, IF(AND($F$2="No", $F$3="Yes"),SUM(H31:J31,M31:P31)+K31, SUM(H31:J31,M31:P31)+L31+K31)))</f>
        <v>1.3224924405836178</v>
      </c>
      <c r="G31" s="456">
        <f>SUM(R31:T31)/(1-'Common input data'!$B$144)</f>
        <v>3.525081372987259</v>
      </c>
      <c r="H31" s="189">
        <v>0</v>
      </c>
      <c r="I31" s="189">
        <v>0</v>
      </c>
      <c r="J31" s="189">
        <v>0</v>
      </c>
      <c r="K31" s="189">
        <v>0</v>
      </c>
      <c r="L31" s="189">
        <v>0</v>
      </c>
      <c r="M31" s="189">
        <v>0</v>
      </c>
      <c r="N31" s="189">
        <v>0</v>
      </c>
      <c r="O31" s="474">
        <f>'Input data fish and seafood'!G8*'Input data fish and seafood'!B42</f>
        <v>1.3224924405836178</v>
      </c>
      <c r="P31" s="186">
        <v>0</v>
      </c>
      <c r="Q31" s="186">
        <f>'Input data fish and seafood'!B107*('Input data fish and seafood'!B112*'Common input data'!B80+'Input data fish and seafood'!C112*'Common input data'!C80+'Input data fish and seafood'!D112*'Common input data'!E80)</f>
        <v>0.13756168654649853</v>
      </c>
      <c r="R31" s="186">
        <f>(F31+Q31)/'Common input data'!$C$57/'Input data fish and seafood'!$H$7*'Common input data'!$D$57</f>
        <v>3.279081372987259</v>
      </c>
      <c r="S31" s="186">
        <f>'Common input data'!B111</f>
        <v>0.1</v>
      </c>
      <c r="T31" s="200">
        <f>'Input data fish and seafood'!B126*'Common input data'!B115+'Input data fish and seafood'!C126*'Common input data'!B119+'Input data fish and seafood'!D126*'Common input data'!B126+'Common input data'!C115</f>
        <v>0.14600000000000002</v>
      </c>
      <c r="V31" s="1263"/>
      <c r="W31" s="1170"/>
      <c r="X31" s="1171"/>
      <c r="Y31" s="1170"/>
      <c r="Z31" s="1263"/>
      <c r="AA31" s="1170"/>
      <c r="AB31" s="1171"/>
      <c r="AC31" s="1170"/>
      <c r="AD31" s="1263"/>
      <c r="AE31" s="1170"/>
      <c r="AF31" s="1171"/>
      <c r="AG31" s="1170"/>
      <c r="AH31" s="1263"/>
      <c r="AI31" s="1170"/>
      <c r="AJ31" s="1171"/>
      <c r="AK31" s="1170"/>
      <c r="AL31" s="1263"/>
      <c r="AM31" s="1170"/>
      <c r="AN31" s="1171"/>
      <c r="AO31" s="1170"/>
      <c r="AP31" s="1263"/>
      <c r="AQ31" s="1170"/>
      <c r="AR31" s="1171"/>
      <c r="AS31" s="1170"/>
      <c r="AT31" s="1263"/>
      <c r="AU31" s="1170"/>
      <c r="AV31" s="1171"/>
      <c r="AX31" s="1263"/>
      <c r="AY31" s="1171"/>
    </row>
    <row r="32" spans="1:330">
      <c r="A32" s="68"/>
      <c r="B32" s="55"/>
      <c r="C32" s="55"/>
      <c r="D32" s="174" t="s">
        <v>367</v>
      </c>
      <c r="E32" s="455">
        <v>0</v>
      </c>
      <c r="F32" s="17">
        <f>SUM(H32:J32,M32:P32)</f>
        <v>5.8581955712364421E-4</v>
      </c>
      <c r="G32" s="456">
        <f>SUM(R32:T32)/(1-'Common input data'!$B$144)</f>
        <v>1.3156704001594847E-3</v>
      </c>
      <c r="H32" s="189">
        <v>0</v>
      </c>
      <c r="I32" s="189">
        <v>0</v>
      </c>
      <c r="J32" s="189">
        <v>0</v>
      </c>
      <c r="K32" s="189">
        <v>0</v>
      </c>
      <c r="L32" s="189">
        <v>0</v>
      </c>
      <c r="M32" s="189">
        <v>0</v>
      </c>
      <c r="N32" s="189">
        <v>0</v>
      </c>
      <c r="O32" s="476">
        <f>'Input data fish and seafood'!G8*'Input data fish and seafood'!B43</f>
        <v>5.8581955712364421E-4</v>
      </c>
      <c r="P32" s="186">
        <v>0</v>
      </c>
      <c r="Q32" s="186">
        <v>0</v>
      </c>
      <c r="R32" s="186">
        <f>(F32+Q32)/'Common input data'!$C$57/'Input data fish and seafood'!$H$7*'Common input data'!$D$57</f>
        <v>1.3156704001594847E-3</v>
      </c>
      <c r="S32" s="186">
        <v>0</v>
      </c>
      <c r="T32" s="200">
        <v>0</v>
      </c>
      <c r="V32" s="1263"/>
      <c r="W32" s="1170"/>
      <c r="X32" s="1171"/>
      <c r="Y32" s="1170"/>
      <c r="Z32" s="1263"/>
      <c r="AA32" s="1170"/>
      <c r="AB32" s="1171"/>
      <c r="AC32" s="1170"/>
      <c r="AD32" s="1263"/>
      <c r="AE32" s="1170"/>
      <c r="AF32" s="1171"/>
      <c r="AG32" s="1170"/>
      <c r="AH32" s="1263"/>
      <c r="AI32" s="1170"/>
      <c r="AJ32" s="1171"/>
      <c r="AK32" s="1170"/>
      <c r="AL32" s="1263"/>
      <c r="AM32" s="1170"/>
      <c r="AN32" s="1171"/>
      <c r="AO32" s="1170"/>
      <c r="AP32" s="1263"/>
      <c r="AQ32" s="1170"/>
      <c r="AR32" s="1171"/>
      <c r="AS32" s="1170"/>
      <c r="AT32" s="1263"/>
      <c r="AU32" s="1170"/>
      <c r="AV32" s="1171"/>
      <c r="AX32" s="1263"/>
      <c r="AY32" s="1171"/>
    </row>
    <row r="33" spans="1:51">
      <c r="A33" s="68"/>
      <c r="B33" s="55"/>
      <c r="C33" s="54"/>
      <c r="D33" s="55" t="s">
        <v>320</v>
      </c>
      <c r="E33" s="455">
        <v>0</v>
      </c>
      <c r="F33" s="17">
        <f>SUM(H33:J33,M33:P33)</f>
        <v>3.5535887497241575E-5</v>
      </c>
      <c r="G33" s="456">
        <f>SUM(R33:T33)/(1-'Common input data'!$B$144)</f>
        <v>7.9808730785767124E-5</v>
      </c>
      <c r="H33" s="189">
        <v>0</v>
      </c>
      <c r="I33" s="189">
        <v>0</v>
      </c>
      <c r="J33" s="189">
        <v>0</v>
      </c>
      <c r="K33" s="189">
        <v>0</v>
      </c>
      <c r="L33" s="189">
        <v>0</v>
      </c>
      <c r="M33" s="189">
        <v>0</v>
      </c>
      <c r="N33" s="189">
        <v>0</v>
      </c>
      <c r="O33" s="186">
        <f>'Input data fish and seafood'!G8*'Input data fish and seafood'!B44</f>
        <v>3.5535887497241575E-5</v>
      </c>
      <c r="P33" s="186">
        <v>0</v>
      </c>
      <c r="Q33" s="477">
        <v>0</v>
      </c>
      <c r="R33" s="186">
        <f>(F33+Q33)/'Common input data'!$C$57/'Input data fish and seafood'!$H$7*'Common input data'!$D$57</f>
        <v>7.9808730785767124E-5</v>
      </c>
      <c r="S33" s="478">
        <v>0</v>
      </c>
      <c r="T33" s="200">
        <v>0</v>
      </c>
      <c r="V33" s="1263"/>
      <c r="W33" s="1170"/>
      <c r="X33" s="1171"/>
      <c r="Y33" s="1170"/>
      <c r="Z33" s="1263"/>
      <c r="AA33" s="1170"/>
      <c r="AB33" s="1171"/>
      <c r="AC33" s="1170"/>
      <c r="AD33" s="1263"/>
      <c r="AE33" s="1170"/>
      <c r="AF33" s="1171"/>
      <c r="AG33" s="1170"/>
      <c r="AH33" s="1263"/>
      <c r="AI33" s="1170"/>
      <c r="AJ33" s="1171"/>
      <c r="AK33" s="1170"/>
      <c r="AL33" s="1263"/>
      <c r="AM33" s="1170"/>
      <c r="AN33" s="1171"/>
      <c r="AO33" s="1170"/>
      <c r="AP33" s="1263"/>
      <c r="AQ33" s="1170"/>
      <c r="AR33" s="1171"/>
      <c r="AS33" s="1170"/>
      <c r="AT33" s="1263"/>
      <c r="AU33" s="1170"/>
      <c r="AV33" s="1171"/>
      <c r="AX33" s="1263"/>
      <c r="AY33" s="1171"/>
    </row>
    <row r="34" spans="1:51">
      <c r="A34" s="71"/>
      <c r="B34" s="56"/>
      <c r="C34" s="81"/>
      <c r="D34" s="56" t="s">
        <v>398</v>
      </c>
      <c r="E34" s="457">
        <v>0</v>
      </c>
      <c r="F34" s="137">
        <f>SUM(H34:J34,M34:P34)</f>
        <v>2.4000000000000001E-4</v>
      </c>
      <c r="G34" s="458">
        <f>SUM(R34:T34)/(1-'Common input data'!$B$144)</f>
        <v>5.3900709219858165E-4</v>
      </c>
      <c r="H34" s="210">
        <v>0</v>
      </c>
      <c r="I34" s="210">
        <v>0</v>
      </c>
      <c r="J34" s="210">
        <v>0</v>
      </c>
      <c r="K34" s="210">
        <v>0</v>
      </c>
      <c r="L34" s="210">
        <v>0</v>
      </c>
      <c r="M34" s="210">
        <v>0</v>
      </c>
      <c r="N34" s="210">
        <v>0</v>
      </c>
      <c r="O34" s="442">
        <v>0</v>
      </c>
      <c r="P34" s="442">
        <f>'Input data fish and seafood'!C49</f>
        <v>2.4000000000000001E-4</v>
      </c>
      <c r="Q34" s="442">
        <v>0</v>
      </c>
      <c r="R34" s="442">
        <f>(F34+Q34)/'Common input data'!$C$57/'Input data fish and seafood'!$H$7*'Common input data'!$D$57</f>
        <v>5.3900709219858165E-4</v>
      </c>
      <c r="S34" s="442">
        <v>0</v>
      </c>
      <c r="T34" s="201">
        <v>0</v>
      </c>
      <c r="V34" s="1263"/>
      <c r="W34" s="1170"/>
      <c r="X34" s="1171"/>
      <c r="Y34" s="1170"/>
      <c r="Z34" s="1263"/>
      <c r="AA34" s="1170"/>
      <c r="AB34" s="1171"/>
      <c r="AC34" s="1170"/>
      <c r="AD34" s="1263"/>
      <c r="AE34" s="1170"/>
      <c r="AF34" s="1171"/>
      <c r="AG34" s="1170"/>
      <c r="AH34" s="1263"/>
      <c r="AI34" s="1170"/>
      <c r="AJ34" s="1171"/>
      <c r="AK34" s="1170"/>
      <c r="AL34" s="1263"/>
      <c r="AM34" s="1170"/>
      <c r="AN34" s="1171"/>
      <c r="AO34" s="1170"/>
      <c r="AP34" s="1263"/>
      <c r="AQ34" s="1170"/>
      <c r="AR34" s="1171"/>
      <c r="AS34" s="1170"/>
      <c r="AT34" s="1263"/>
      <c r="AU34" s="1170"/>
      <c r="AV34" s="1171"/>
      <c r="AX34" s="1263"/>
      <c r="AY34" s="1171"/>
    </row>
    <row r="35" spans="1:51">
      <c r="A35" s="374" t="s">
        <v>401</v>
      </c>
      <c r="B35" s="375"/>
      <c r="C35" s="376"/>
      <c r="D35" s="377"/>
      <c r="E35" s="443"/>
      <c r="F35" s="444"/>
      <c r="G35" s="445" t="s">
        <v>396</v>
      </c>
      <c r="H35" s="378"/>
      <c r="I35" s="378"/>
      <c r="J35" s="378"/>
      <c r="K35" s="379"/>
      <c r="L35" s="379"/>
      <c r="M35" s="380"/>
      <c r="N35" s="379"/>
      <c r="O35" s="379"/>
      <c r="P35" s="379"/>
      <c r="Q35" s="379"/>
      <c r="R35" s="379"/>
      <c r="S35" s="379"/>
      <c r="T35" s="479"/>
      <c r="V35" s="1263"/>
      <c r="W35" s="1170"/>
      <c r="X35" s="1171"/>
      <c r="Y35" s="1170"/>
      <c r="Z35" s="1263"/>
      <c r="AA35" s="1170"/>
      <c r="AB35" s="1171"/>
      <c r="AC35" s="1170"/>
      <c r="AD35" s="1263"/>
      <c r="AE35" s="1170"/>
      <c r="AF35" s="1171"/>
      <c r="AG35" s="1170"/>
      <c r="AH35" s="1263"/>
      <c r="AI35" s="1170"/>
      <c r="AJ35" s="1171"/>
      <c r="AK35" s="1170"/>
      <c r="AL35" s="1263"/>
      <c r="AM35" s="1170"/>
      <c r="AN35" s="1171"/>
      <c r="AO35" s="1170"/>
      <c r="AP35" s="1263"/>
      <c r="AQ35" s="1170"/>
      <c r="AR35" s="1171"/>
      <c r="AS35" s="1170"/>
      <c r="AT35" s="1263"/>
      <c r="AU35" s="1170"/>
      <c r="AV35" s="1171"/>
      <c r="AX35" s="1263"/>
      <c r="AY35" s="1171"/>
    </row>
    <row r="36" spans="1:51">
      <c r="A36" s="381" t="s">
        <v>315</v>
      </c>
      <c r="B36" s="382"/>
      <c r="C36" s="383">
        <f>SUM(C41:C50)</f>
        <v>1</v>
      </c>
      <c r="D36" s="384" t="s">
        <v>316</v>
      </c>
      <c r="E36" s="430"/>
      <c r="F36" s="431"/>
      <c r="G36" s="432">
        <f>SUMPRODUCT($BE$8:$BE$11,G37:G40)</f>
        <v>1.6867694142570897</v>
      </c>
      <c r="H36" s="451"/>
      <c r="I36" s="463"/>
      <c r="J36" s="463"/>
      <c r="K36" s="464"/>
      <c r="L36" s="464"/>
      <c r="M36" s="452"/>
      <c r="N36" s="464"/>
      <c r="O36" s="464"/>
      <c r="P36" s="464"/>
      <c r="Q36" s="464"/>
      <c r="R36" s="480" t="s">
        <v>402</v>
      </c>
      <c r="S36" s="464"/>
      <c r="T36" s="465"/>
      <c r="V36" s="1265"/>
      <c r="W36" s="1266"/>
      <c r="X36" s="1267"/>
      <c r="Y36" s="1170"/>
      <c r="Z36" s="1265"/>
      <c r="AA36" s="1266"/>
      <c r="AB36" s="1267"/>
      <c r="AC36" s="1170"/>
      <c r="AD36" s="1265"/>
      <c r="AE36" s="1266"/>
      <c r="AF36" s="1267"/>
      <c r="AG36" s="1170"/>
      <c r="AH36" s="1265"/>
      <c r="AI36" s="1266"/>
      <c r="AJ36" s="1267"/>
      <c r="AK36" s="1170"/>
      <c r="AL36" s="1265"/>
      <c r="AM36" s="1266"/>
      <c r="AN36" s="1267"/>
      <c r="AO36" s="1170"/>
      <c r="AP36" s="1265"/>
      <c r="AQ36" s="1266"/>
      <c r="AR36" s="1267"/>
      <c r="AS36" s="1170"/>
      <c r="AT36" s="1265"/>
      <c r="AU36" s="1266"/>
      <c r="AV36" s="1267"/>
      <c r="AX36" s="1265"/>
      <c r="AY36" s="1267"/>
    </row>
    <row r="37" spans="1:51">
      <c r="A37" s="19"/>
      <c r="B37" s="24"/>
      <c r="C37" s="24"/>
      <c r="D37" s="174" t="s">
        <v>317</v>
      </c>
      <c r="E37" s="356"/>
      <c r="F37" s="54"/>
      <c r="G37" s="357">
        <f>$C$41*G42+$C$46*G47</f>
        <v>1.4325861954147212</v>
      </c>
      <c r="H37" s="189"/>
      <c r="I37" s="189"/>
      <c r="J37" s="189"/>
      <c r="K37" s="189"/>
      <c r="L37" s="189"/>
      <c r="M37" s="189"/>
      <c r="N37" s="189"/>
      <c r="O37" s="189"/>
      <c r="P37" s="189"/>
      <c r="Q37" s="189"/>
      <c r="R37" s="189">
        <f>$C$41*R42+$C$46*R47</f>
        <v>1.0525861954147211</v>
      </c>
      <c r="S37" s="189">
        <f t="shared" ref="R37:T40" si="2">$C$41*S42+$C$46*S47</f>
        <v>0.3</v>
      </c>
      <c r="T37" s="199">
        <f t="shared" si="2"/>
        <v>0.08</v>
      </c>
      <c r="V37" s="1263"/>
      <c r="W37" s="1170"/>
      <c r="X37" s="1171"/>
      <c r="Y37" s="1170"/>
      <c r="Z37" s="1263"/>
      <c r="AA37" s="1170"/>
      <c r="AB37" s="1171"/>
      <c r="AC37" s="1170"/>
      <c r="AD37" s="1263"/>
      <c r="AE37" s="1170"/>
      <c r="AF37" s="1171"/>
      <c r="AG37" s="1170"/>
      <c r="AH37" s="1263"/>
      <c r="AI37" s="1170"/>
      <c r="AJ37" s="1171"/>
      <c r="AK37" s="1170"/>
      <c r="AL37" s="1263"/>
      <c r="AM37" s="1170"/>
      <c r="AN37" s="1171"/>
      <c r="AO37" s="1170"/>
      <c r="AP37" s="1263"/>
      <c r="AQ37" s="1170"/>
      <c r="AR37" s="1171"/>
      <c r="AS37" s="1170"/>
      <c r="AT37" s="1263"/>
      <c r="AU37" s="1170"/>
      <c r="AV37" s="1171"/>
      <c r="AX37" s="1263"/>
      <c r="AY37" s="1171"/>
    </row>
    <row r="38" spans="1:51">
      <c r="A38" s="195"/>
      <c r="B38" s="135"/>
      <c r="C38" s="50"/>
      <c r="D38" s="174" t="s">
        <v>367</v>
      </c>
      <c r="E38" s="356"/>
      <c r="F38" s="54"/>
      <c r="G38" s="357">
        <f>$C$41*G43+$C$46*G48</f>
        <v>4.3579259737246709E-4</v>
      </c>
      <c r="H38" s="189"/>
      <c r="I38" s="189"/>
      <c r="J38" s="189"/>
      <c r="K38" s="189"/>
      <c r="L38" s="189"/>
      <c r="M38" s="189"/>
      <c r="N38" s="189"/>
      <c r="O38" s="189"/>
      <c r="P38" s="189"/>
      <c r="Q38" s="189"/>
      <c r="R38" s="189">
        <f t="shared" si="2"/>
        <v>4.3579259737246709E-4</v>
      </c>
      <c r="S38" s="189">
        <f t="shared" si="2"/>
        <v>0</v>
      </c>
      <c r="T38" s="199">
        <f t="shared" si="2"/>
        <v>0</v>
      </c>
      <c r="V38" s="1263"/>
      <c r="W38" s="1170"/>
      <c r="X38" s="1171"/>
      <c r="Y38" s="1170"/>
      <c r="Z38" s="1263"/>
      <c r="AA38" s="1170"/>
      <c r="AB38" s="1171"/>
      <c r="AC38" s="1170"/>
      <c r="AD38" s="1263"/>
      <c r="AE38" s="1170"/>
      <c r="AF38" s="1171"/>
      <c r="AG38" s="1170"/>
      <c r="AH38" s="1263"/>
      <c r="AI38" s="1170"/>
      <c r="AJ38" s="1171"/>
      <c r="AK38" s="1170"/>
      <c r="AL38" s="1263"/>
      <c r="AM38" s="1170"/>
      <c r="AN38" s="1171"/>
      <c r="AO38" s="1170"/>
      <c r="AP38" s="1263"/>
      <c r="AQ38" s="1170"/>
      <c r="AR38" s="1171"/>
      <c r="AS38" s="1170"/>
      <c r="AT38" s="1263"/>
      <c r="AU38" s="1170"/>
      <c r="AV38" s="1171"/>
      <c r="AX38" s="1263"/>
      <c r="AY38" s="1171"/>
    </row>
    <row r="39" spans="1:51">
      <c r="A39" s="195"/>
      <c r="B39" s="135"/>
      <c r="C39" s="54"/>
      <c r="D39" s="55" t="s">
        <v>320</v>
      </c>
      <c r="E39" s="356"/>
      <c r="F39" s="54"/>
      <c r="G39" s="357">
        <f>$C$41*G44+$C$46*G49</f>
        <v>2.6435233382094344E-5</v>
      </c>
      <c r="H39" s="189"/>
      <c r="I39" s="189"/>
      <c r="J39" s="189"/>
      <c r="K39" s="189"/>
      <c r="L39" s="189"/>
      <c r="M39" s="189"/>
      <c r="N39" s="189"/>
      <c r="O39" s="189"/>
      <c r="P39" s="189"/>
      <c r="Q39" s="189"/>
      <c r="R39" s="189">
        <f>$C$41*R44+$C$46*R49</f>
        <v>2.6435233382094344E-5</v>
      </c>
      <c r="S39" s="189">
        <f t="shared" si="2"/>
        <v>0</v>
      </c>
      <c r="T39" s="199">
        <f t="shared" si="2"/>
        <v>0</v>
      </c>
      <c r="V39" s="1263"/>
      <c r="W39" s="1170"/>
      <c r="X39" s="1171"/>
      <c r="Y39" s="1170"/>
      <c r="Z39" s="1263"/>
      <c r="AA39" s="1170"/>
      <c r="AB39" s="1171"/>
      <c r="AC39" s="1170"/>
      <c r="AD39" s="1263"/>
      <c r="AE39" s="1170"/>
      <c r="AF39" s="1171"/>
      <c r="AG39" s="1170"/>
      <c r="AH39" s="1263"/>
      <c r="AI39" s="1170"/>
      <c r="AJ39" s="1171"/>
      <c r="AK39" s="1170"/>
      <c r="AL39" s="1263"/>
      <c r="AM39" s="1170"/>
      <c r="AN39" s="1171"/>
      <c r="AO39" s="1170"/>
      <c r="AP39" s="1263"/>
      <c r="AQ39" s="1170"/>
      <c r="AR39" s="1171"/>
      <c r="AS39" s="1170"/>
      <c r="AT39" s="1263"/>
      <c r="AU39" s="1170"/>
      <c r="AV39" s="1171"/>
      <c r="AX39" s="1263"/>
      <c r="AY39" s="1171"/>
    </row>
    <row r="40" spans="1:51">
      <c r="A40" s="195"/>
      <c r="B40" s="135"/>
      <c r="C40" s="54"/>
      <c r="D40" s="55" t="s">
        <v>398</v>
      </c>
      <c r="E40" s="356"/>
      <c r="F40" s="54"/>
      <c r="G40" s="357">
        <f>$C$41*G45+$C$46*G50</f>
        <v>1.1999999999999999E-4</v>
      </c>
      <c r="H40" s="189"/>
      <c r="I40" s="189"/>
      <c r="J40" s="189"/>
      <c r="K40" s="189"/>
      <c r="L40" s="189"/>
      <c r="M40" s="189"/>
      <c r="N40" s="189"/>
      <c r="O40" s="189"/>
      <c r="P40" s="189"/>
      <c r="Q40" s="189"/>
      <c r="R40" s="189">
        <f t="shared" si="2"/>
        <v>1.1999999999999999E-4</v>
      </c>
      <c r="S40" s="189">
        <f t="shared" si="2"/>
        <v>0</v>
      </c>
      <c r="T40" s="199">
        <f t="shared" si="2"/>
        <v>0</v>
      </c>
      <c r="V40" s="1263"/>
      <c r="W40" s="1170"/>
      <c r="X40" s="1171"/>
      <c r="Y40" s="1170"/>
      <c r="Z40" s="1263"/>
      <c r="AA40" s="1170"/>
      <c r="AB40" s="1171"/>
      <c r="AC40" s="1170"/>
      <c r="AD40" s="1263"/>
      <c r="AE40" s="1170"/>
      <c r="AF40" s="1171"/>
      <c r="AG40" s="1170"/>
      <c r="AH40" s="1263"/>
      <c r="AI40" s="1170"/>
      <c r="AJ40" s="1171"/>
      <c r="AK40" s="1170"/>
      <c r="AL40" s="1263"/>
      <c r="AM40" s="1170"/>
      <c r="AN40" s="1171"/>
      <c r="AO40" s="1170"/>
      <c r="AP40" s="1263"/>
      <c r="AQ40" s="1170"/>
      <c r="AR40" s="1171"/>
      <c r="AS40" s="1170"/>
      <c r="AT40" s="1263"/>
      <c r="AU40" s="1170"/>
      <c r="AV40" s="1171"/>
      <c r="AX40" s="1263"/>
      <c r="AY40" s="1171"/>
    </row>
    <row r="41" spans="1:51">
      <c r="A41" s="466" t="s">
        <v>223</v>
      </c>
      <c r="B41" s="75" t="s">
        <v>220</v>
      </c>
      <c r="C41" s="481">
        <f>'Input data fish and seafood'!E24</f>
        <v>0.5</v>
      </c>
      <c r="D41" s="355" t="s">
        <v>316</v>
      </c>
      <c r="E41" s="467"/>
      <c r="F41" s="468"/>
      <c r="G41" s="469">
        <f>SUMPRODUCT($BE$8:$BE$11,G42:G45)</f>
        <v>2.0155525522845785</v>
      </c>
      <c r="H41" s="385"/>
      <c r="I41" s="211"/>
      <c r="J41" s="211"/>
      <c r="K41" s="470"/>
      <c r="L41" s="470"/>
      <c r="M41" s="470"/>
      <c r="N41" s="470"/>
      <c r="O41" s="470"/>
      <c r="P41" s="470"/>
      <c r="Q41" s="470"/>
      <c r="R41" s="470"/>
      <c r="S41" s="470"/>
      <c r="T41" s="471"/>
      <c r="V41" s="1263"/>
      <c r="W41" s="1170"/>
      <c r="X41" s="1171"/>
      <c r="Y41" s="1170"/>
      <c r="Z41" s="1263"/>
      <c r="AA41" s="1170"/>
      <c r="AB41" s="1171"/>
      <c r="AC41" s="1170"/>
      <c r="AD41" s="1263"/>
      <c r="AE41" s="1170"/>
      <c r="AF41" s="1171"/>
      <c r="AG41" s="1170"/>
      <c r="AH41" s="1263"/>
      <c r="AI41" s="1170"/>
      <c r="AJ41" s="1171"/>
      <c r="AK41" s="1170"/>
      <c r="AL41" s="1263"/>
      <c r="AM41" s="1170"/>
      <c r="AN41" s="1171"/>
      <c r="AO41" s="1170"/>
      <c r="AP41" s="1263"/>
      <c r="AQ41" s="1170"/>
      <c r="AR41" s="1171"/>
      <c r="AS41" s="1170"/>
      <c r="AT41" s="1263"/>
      <c r="AU41" s="1170"/>
      <c r="AV41" s="1171"/>
      <c r="AX41" s="1263"/>
      <c r="AY41" s="1171"/>
    </row>
    <row r="42" spans="1:51">
      <c r="A42" s="68"/>
      <c r="B42" s="55"/>
      <c r="C42" s="24"/>
      <c r="D42" s="174" t="s">
        <v>317</v>
      </c>
      <c r="E42" s="455"/>
      <c r="F42" s="17"/>
      <c r="G42" s="357">
        <f>SUM(R42:T42)/(1-'Common input data'!B$144)</f>
        <v>1.7551453272643842</v>
      </c>
      <c r="H42" s="189"/>
      <c r="I42" s="189"/>
      <c r="J42" s="189"/>
      <c r="K42" s="189"/>
      <c r="L42" s="189"/>
      <c r="M42" s="189"/>
      <c r="N42" s="189"/>
      <c r="O42" s="189"/>
      <c r="P42" s="189"/>
      <c r="Q42" s="189"/>
      <c r="R42" s="189">
        <f>(F26+Q26)/'Common input data'!$F$57*'Common input data'!$G$57</f>
        <v>1.3751453272643841</v>
      </c>
      <c r="S42" s="189">
        <f>'Common input data'!B110</f>
        <v>0.3</v>
      </c>
      <c r="T42" s="199">
        <f>'Input data fish and seafood'!B133*'Common input data'!B115+'Common input data'!C115</f>
        <v>0.08</v>
      </c>
      <c r="V42" s="1263"/>
      <c r="W42" s="1170"/>
      <c r="X42" s="1171"/>
      <c r="Y42" s="1170"/>
      <c r="Z42" s="1263"/>
      <c r="AA42" s="1170"/>
      <c r="AB42" s="1171"/>
      <c r="AC42" s="1170"/>
      <c r="AD42" s="1263"/>
      <c r="AE42" s="1170"/>
      <c r="AF42" s="1171"/>
      <c r="AG42" s="1170"/>
      <c r="AH42" s="1263"/>
      <c r="AI42" s="1170"/>
      <c r="AJ42" s="1171"/>
      <c r="AK42" s="1170"/>
      <c r="AL42" s="1263"/>
      <c r="AM42" s="1170"/>
      <c r="AN42" s="1171"/>
      <c r="AO42" s="1170"/>
      <c r="AP42" s="1263"/>
      <c r="AQ42" s="1170"/>
      <c r="AR42" s="1171"/>
      <c r="AS42" s="1170"/>
      <c r="AT42" s="1263"/>
      <c r="AU42" s="1170"/>
      <c r="AV42" s="1171"/>
      <c r="AX42" s="1263"/>
      <c r="AY42" s="1171"/>
    </row>
    <row r="43" spans="1:51">
      <c r="A43" s="472"/>
      <c r="B43" s="29"/>
      <c r="C43" s="473"/>
      <c r="D43" s="174" t="s">
        <v>367</v>
      </c>
      <c r="E43" s="356"/>
      <c r="F43" s="17"/>
      <c r="G43" s="357">
        <f>SUM(R43:T43)/(1-'Common input data'!B$144)</f>
        <v>5.7867541618311202E-4</v>
      </c>
      <c r="H43" s="189"/>
      <c r="I43" s="189"/>
      <c r="J43" s="189"/>
      <c r="K43" s="189"/>
      <c r="L43" s="189"/>
      <c r="M43" s="189"/>
      <c r="N43" s="189"/>
      <c r="O43" s="189"/>
      <c r="P43" s="189"/>
      <c r="Q43" s="189"/>
      <c r="R43" s="189">
        <f>(F27+Q27)/'Common input data'!$F$57*'Common input data'!$G$57</f>
        <v>5.7867541618311202E-4</v>
      </c>
      <c r="S43" s="189">
        <v>0</v>
      </c>
      <c r="T43" s="199">
        <v>0</v>
      </c>
      <c r="V43" s="1263"/>
      <c r="W43" s="1170"/>
      <c r="X43" s="1171"/>
      <c r="Y43" s="1170"/>
      <c r="Z43" s="1263"/>
      <c r="AA43" s="1170"/>
      <c r="AB43" s="1171"/>
      <c r="AC43" s="1170"/>
      <c r="AD43" s="1263"/>
      <c r="AE43" s="1170"/>
      <c r="AF43" s="1171"/>
      <c r="AG43" s="1170"/>
      <c r="AH43" s="1263"/>
      <c r="AI43" s="1170"/>
      <c r="AJ43" s="1171"/>
      <c r="AK43" s="1170"/>
      <c r="AL43" s="1263"/>
      <c r="AM43" s="1170"/>
      <c r="AN43" s="1171"/>
      <c r="AO43" s="1170"/>
      <c r="AP43" s="1263"/>
      <c r="AQ43" s="1170"/>
      <c r="AR43" s="1171"/>
      <c r="AS43" s="1170"/>
      <c r="AT43" s="1263"/>
      <c r="AU43" s="1170"/>
      <c r="AV43" s="1171"/>
      <c r="AX43" s="1263"/>
      <c r="AY43" s="1171"/>
    </row>
    <row r="44" spans="1:51">
      <c r="A44" s="359"/>
      <c r="B44" s="360"/>
      <c r="C44" s="54"/>
      <c r="D44" s="55" t="s">
        <v>320</v>
      </c>
      <c r="E44" s="356"/>
      <c r="F44" s="17"/>
      <c r="G44" s="357">
        <f>SUM(R44:T44)/(1-'Common input data'!B$144)</f>
        <v>3.5102523015567904E-5</v>
      </c>
      <c r="H44" s="189"/>
      <c r="I44" s="189"/>
      <c r="J44" s="189"/>
      <c r="K44" s="189"/>
      <c r="L44" s="189"/>
      <c r="M44" s="189"/>
      <c r="N44" s="189"/>
      <c r="O44" s="189"/>
      <c r="P44" s="189"/>
      <c r="Q44" s="189"/>
      <c r="R44" s="189">
        <f>(F28+Q28)/'Common input data'!$F$57*'Common input data'!$G$57</f>
        <v>3.5102523015567904E-5</v>
      </c>
      <c r="S44" s="189">
        <v>0</v>
      </c>
      <c r="T44" s="199">
        <v>0</v>
      </c>
      <c r="V44" s="1263"/>
      <c r="W44" s="1170"/>
      <c r="X44" s="1171"/>
      <c r="Y44" s="1170"/>
      <c r="Z44" s="1263"/>
      <c r="AA44" s="1170"/>
      <c r="AB44" s="1171"/>
      <c r="AC44" s="1170"/>
      <c r="AD44" s="1263"/>
      <c r="AE44" s="1170"/>
      <c r="AF44" s="1171"/>
      <c r="AG44" s="1170"/>
      <c r="AH44" s="1263"/>
      <c r="AI44" s="1170"/>
      <c r="AJ44" s="1171"/>
      <c r="AK44" s="1170"/>
      <c r="AL44" s="1263"/>
      <c r="AM44" s="1170"/>
      <c r="AN44" s="1171"/>
      <c r="AO44" s="1170"/>
      <c r="AP44" s="1263"/>
      <c r="AQ44" s="1170"/>
      <c r="AR44" s="1171"/>
      <c r="AS44" s="1170"/>
      <c r="AT44" s="1263"/>
      <c r="AU44" s="1170"/>
      <c r="AV44" s="1171"/>
      <c r="AX44" s="1263"/>
      <c r="AY44" s="1171"/>
    </row>
    <row r="45" spans="1:51">
      <c r="A45" s="359"/>
      <c r="B45" s="360"/>
      <c r="C45" s="54"/>
      <c r="D45" s="55" t="s">
        <v>398</v>
      </c>
      <c r="E45" s="356"/>
      <c r="F45" s="17"/>
      <c r="G45" s="357">
        <f>SUM(R45:T45)/(1-'Common input data'!B$144)</f>
        <v>1.1999999999999999E-4</v>
      </c>
      <c r="H45" s="189"/>
      <c r="I45" s="189"/>
      <c r="J45" s="189"/>
      <c r="K45" s="189"/>
      <c r="L45" s="189"/>
      <c r="M45" s="189"/>
      <c r="N45" s="189"/>
      <c r="O45" s="189"/>
      <c r="P45" s="189"/>
      <c r="Q45" s="189"/>
      <c r="R45" s="189">
        <f>(F29+Q29)/'Common input data'!$F$57*'Common input data'!$G$57</f>
        <v>1.1999999999999999E-4</v>
      </c>
      <c r="S45" s="189">
        <v>0</v>
      </c>
      <c r="T45" s="199">
        <v>0</v>
      </c>
      <c r="V45" s="1263"/>
      <c r="W45" s="1170"/>
      <c r="X45" s="1171"/>
      <c r="Y45" s="1170"/>
      <c r="Z45" s="1263"/>
      <c r="AA45" s="1170"/>
      <c r="AB45" s="1171"/>
      <c r="AC45" s="1170"/>
      <c r="AD45" s="1263"/>
      <c r="AE45" s="1170"/>
      <c r="AF45" s="1171"/>
      <c r="AG45" s="1170"/>
      <c r="AH45" s="1263"/>
      <c r="AI45" s="1170"/>
      <c r="AJ45" s="1171"/>
      <c r="AK45" s="1170"/>
      <c r="AL45" s="1263"/>
      <c r="AM45" s="1170"/>
      <c r="AN45" s="1171"/>
      <c r="AO45" s="1170"/>
      <c r="AP45" s="1263"/>
      <c r="AQ45" s="1170"/>
      <c r="AR45" s="1171"/>
      <c r="AS45" s="1170"/>
      <c r="AT45" s="1263"/>
      <c r="AU45" s="1170"/>
      <c r="AV45" s="1171"/>
      <c r="AX45" s="1263"/>
      <c r="AY45" s="1171"/>
    </row>
    <row r="46" spans="1:51">
      <c r="A46" s="482" t="s">
        <v>223</v>
      </c>
      <c r="B46" s="75" t="s">
        <v>221</v>
      </c>
      <c r="C46" s="481">
        <f>'Input data fish and seafood'!E25</f>
        <v>0.5</v>
      </c>
      <c r="D46" s="355" t="s">
        <v>316</v>
      </c>
      <c r="E46" s="467"/>
      <c r="F46" s="468"/>
      <c r="G46" s="469">
        <f>SUMPRODUCT($BE$8:$BE$11,G47:G50)</f>
        <v>1.3579862762296009</v>
      </c>
      <c r="H46" s="385"/>
      <c r="I46" s="211"/>
      <c r="J46" s="211"/>
      <c r="K46" s="470"/>
      <c r="L46" s="470"/>
      <c r="M46" s="470"/>
      <c r="N46" s="470"/>
      <c r="O46" s="470"/>
      <c r="P46" s="470"/>
      <c r="Q46" s="470"/>
      <c r="R46" s="470"/>
      <c r="S46" s="470"/>
      <c r="T46" s="471"/>
      <c r="V46" s="1263"/>
      <c r="W46" s="1170"/>
      <c r="X46" s="1171"/>
      <c r="Y46" s="1170"/>
      <c r="Z46" s="1263"/>
      <c r="AA46" s="1170"/>
      <c r="AB46" s="1171"/>
      <c r="AC46" s="1170"/>
      <c r="AD46" s="1263"/>
      <c r="AE46" s="1170"/>
      <c r="AF46" s="1171"/>
      <c r="AG46" s="1170"/>
      <c r="AH46" s="1263"/>
      <c r="AI46" s="1170"/>
      <c r="AJ46" s="1171"/>
      <c r="AK46" s="1170"/>
      <c r="AL46" s="1263"/>
      <c r="AM46" s="1170"/>
      <c r="AN46" s="1171"/>
      <c r="AO46" s="1170"/>
      <c r="AP46" s="1263"/>
      <c r="AQ46" s="1170"/>
      <c r="AR46" s="1171"/>
      <c r="AS46" s="1170"/>
      <c r="AT46" s="1263"/>
      <c r="AU46" s="1170"/>
      <c r="AV46" s="1171"/>
      <c r="AX46" s="1263"/>
      <c r="AY46" s="1171"/>
    </row>
    <row r="47" spans="1:51">
      <c r="A47" s="68"/>
      <c r="B47" s="55"/>
      <c r="C47" s="24"/>
      <c r="D47" s="174" t="s">
        <v>317</v>
      </c>
      <c r="E47" s="455"/>
      <c r="F47" s="17"/>
      <c r="G47" s="357">
        <f>SUM(R47:T47)/(1-'Common input data'!B$144)</f>
        <v>1.1100270635650582</v>
      </c>
      <c r="H47" s="189"/>
      <c r="I47" s="189"/>
      <c r="J47" s="189"/>
      <c r="K47" s="189"/>
      <c r="L47" s="189"/>
      <c r="M47" s="189"/>
      <c r="N47" s="189"/>
      <c r="O47" s="483"/>
      <c r="P47" s="189"/>
      <c r="Q47" s="189"/>
      <c r="R47" s="189">
        <f>(F31+Q31)/'Common input data'!$F$57*'Common input data'!$G$57</f>
        <v>0.7300270635650582</v>
      </c>
      <c r="S47" s="189">
        <f>'Common input data'!B110</f>
        <v>0.3</v>
      </c>
      <c r="T47" s="199">
        <f>'Input data fish and seafood'!B133*'Common input data'!B115+'Common input data'!C115</f>
        <v>0.08</v>
      </c>
      <c r="V47" s="1263"/>
      <c r="W47" s="1170"/>
      <c r="X47" s="1171"/>
      <c r="Y47" s="1170"/>
      <c r="Z47" s="1263"/>
      <c r="AA47" s="1170"/>
      <c r="AB47" s="1171"/>
      <c r="AC47" s="1170"/>
      <c r="AD47" s="1263"/>
      <c r="AE47" s="1170"/>
      <c r="AF47" s="1171"/>
      <c r="AG47" s="1170"/>
      <c r="AH47" s="1263"/>
      <c r="AI47" s="1170"/>
      <c r="AJ47" s="1171"/>
      <c r="AK47" s="1170"/>
      <c r="AL47" s="1263"/>
      <c r="AM47" s="1170"/>
      <c r="AN47" s="1171"/>
      <c r="AO47" s="1170"/>
      <c r="AP47" s="1263"/>
      <c r="AQ47" s="1170"/>
      <c r="AR47" s="1171"/>
      <c r="AS47" s="1170"/>
      <c r="AT47" s="1263"/>
      <c r="AU47" s="1170"/>
      <c r="AV47" s="1171"/>
      <c r="AX47" s="1263"/>
      <c r="AY47" s="1171"/>
    </row>
    <row r="48" spans="1:51">
      <c r="A48" s="68"/>
      <c r="B48" s="55"/>
      <c r="C48" s="55"/>
      <c r="D48" s="174" t="s">
        <v>367</v>
      </c>
      <c r="E48" s="356"/>
      <c r="F48" s="17"/>
      <c r="G48" s="357">
        <f>SUM(R48:T48)/(1-'Common input data'!B$144)</f>
        <v>2.9290977856182211E-4</v>
      </c>
      <c r="H48" s="189"/>
      <c r="I48" s="189"/>
      <c r="J48" s="189"/>
      <c r="K48" s="189"/>
      <c r="L48" s="189"/>
      <c r="M48" s="189"/>
      <c r="N48" s="189"/>
      <c r="O48" s="484"/>
      <c r="P48" s="189"/>
      <c r="Q48" s="189"/>
      <c r="R48" s="189">
        <f>(F32+Q32)/'Common input data'!$F$57*'Common input data'!$G$57</f>
        <v>2.9290977856182211E-4</v>
      </c>
      <c r="S48" s="189">
        <v>0</v>
      </c>
      <c r="T48" s="199">
        <v>0</v>
      </c>
      <c r="V48" s="1263"/>
      <c r="W48" s="1170"/>
      <c r="X48" s="1171"/>
      <c r="Y48" s="1170"/>
      <c r="Z48" s="1263"/>
      <c r="AA48" s="1170"/>
      <c r="AB48" s="1171"/>
      <c r="AC48" s="1170"/>
      <c r="AD48" s="1263"/>
      <c r="AE48" s="1170"/>
      <c r="AF48" s="1171"/>
      <c r="AG48" s="1170"/>
      <c r="AH48" s="1263"/>
      <c r="AI48" s="1170"/>
      <c r="AJ48" s="1171"/>
      <c r="AK48" s="1170"/>
      <c r="AL48" s="1263"/>
      <c r="AM48" s="1170"/>
      <c r="AN48" s="1171"/>
      <c r="AO48" s="1170"/>
      <c r="AP48" s="1263"/>
      <c r="AQ48" s="1170"/>
      <c r="AR48" s="1171"/>
      <c r="AS48" s="1170"/>
      <c r="AT48" s="1263"/>
      <c r="AU48" s="1170"/>
      <c r="AV48" s="1171"/>
      <c r="AX48" s="1263"/>
      <c r="AY48" s="1171"/>
    </row>
    <row r="49" spans="1:330">
      <c r="A49" s="68"/>
      <c r="B49" s="55"/>
      <c r="C49" s="54"/>
      <c r="D49" s="55" t="s">
        <v>320</v>
      </c>
      <c r="E49" s="356"/>
      <c r="F49" s="17"/>
      <c r="G49" s="357">
        <f>SUM(R49:T49)/(1-'Common input data'!B$144)</f>
        <v>1.7767943748620788E-5</v>
      </c>
      <c r="H49" s="189"/>
      <c r="I49" s="189"/>
      <c r="J49" s="189"/>
      <c r="K49" s="189"/>
      <c r="L49" s="189"/>
      <c r="M49" s="189"/>
      <c r="N49" s="189"/>
      <c r="O49" s="189"/>
      <c r="P49" s="189"/>
      <c r="Q49" s="485"/>
      <c r="R49" s="189">
        <f>(F33+Q33)/'Common input data'!$F$57*'Common input data'!$G$57</f>
        <v>1.7767943748620788E-5</v>
      </c>
      <c r="S49" s="361">
        <v>0</v>
      </c>
      <c r="T49" s="199">
        <v>0</v>
      </c>
      <c r="V49" s="1263"/>
      <c r="W49" s="1170"/>
      <c r="X49" s="1171"/>
      <c r="Y49" s="1170"/>
      <c r="Z49" s="1263"/>
      <c r="AA49" s="1170"/>
      <c r="AB49" s="1171"/>
      <c r="AC49" s="1170"/>
      <c r="AD49" s="1263"/>
      <c r="AE49" s="1170"/>
      <c r="AF49" s="1171"/>
      <c r="AG49" s="1170"/>
      <c r="AH49" s="1263"/>
      <c r="AI49" s="1170"/>
      <c r="AJ49" s="1171"/>
      <c r="AK49" s="1170"/>
      <c r="AL49" s="1263"/>
      <c r="AM49" s="1170"/>
      <c r="AN49" s="1171"/>
      <c r="AO49" s="1170"/>
      <c r="AP49" s="1263"/>
      <c r="AQ49" s="1170"/>
      <c r="AR49" s="1171"/>
      <c r="AS49" s="1170"/>
      <c r="AT49" s="1263"/>
      <c r="AU49" s="1170"/>
      <c r="AV49" s="1171"/>
      <c r="AX49" s="1263"/>
      <c r="AY49" s="1171"/>
    </row>
    <row r="50" spans="1:330">
      <c r="A50" s="68"/>
      <c r="B50" s="55"/>
      <c r="C50" s="54"/>
      <c r="D50" s="55" t="s">
        <v>398</v>
      </c>
      <c r="E50" s="372"/>
      <c r="F50" s="137"/>
      <c r="G50" s="373">
        <f>SUM(R50:T50)/(1-'Common input data'!B$144)</f>
        <v>1.1999999999999999E-4</v>
      </c>
      <c r="H50" s="189"/>
      <c r="I50" s="189"/>
      <c r="J50" s="189"/>
      <c r="K50" s="189"/>
      <c r="L50" s="189"/>
      <c r="M50" s="189"/>
      <c r="N50" s="189"/>
      <c r="O50" s="189"/>
      <c r="P50" s="189"/>
      <c r="Q50" s="189"/>
      <c r="R50" s="189">
        <f>(F34+Q34)/'Common input data'!$F$57*'Common input data'!$G$57</f>
        <v>1.1999999999999999E-4</v>
      </c>
      <c r="S50" s="189">
        <v>0</v>
      </c>
      <c r="T50" s="199">
        <v>0</v>
      </c>
      <c r="V50" s="1263"/>
      <c r="W50" s="1170"/>
      <c r="X50" s="1171"/>
      <c r="Y50" s="1170"/>
      <c r="Z50" s="1263"/>
      <c r="AA50" s="1170"/>
      <c r="AB50" s="1171"/>
      <c r="AC50" s="1170"/>
      <c r="AD50" s="1263"/>
      <c r="AE50" s="1170"/>
      <c r="AF50" s="1171"/>
      <c r="AG50" s="1170"/>
      <c r="AH50" s="1263"/>
      <c r="AI50" s="1170"/>
      <c r="AJ50" s="1171"/>
      <c r="AK50" s="1170"/>
      <c r="AL50" s="1263"/>
      <c r="AM50" s="1170"/>
      <c r="AN50" s="1171"/>
      <c r="AO50" s="1170"/>
      <c r="AP50" s="1263"/>
      <c r="AQ50" s="1170"/>
      <c r="AR50" s="1171"/>
      <c r="AS50" s="1170"/>
      <c r="AT50" s="1263"/>
      <c r="AU50" s="1170"/>
      <c r="AV50" s="1171"/>
      <c r="AX50" s="1263"/>
      <c r="AY50" s="1171"/>
    </row>
    <row r="51" spans="1:330">
      <c r="A51" s="362" t="s">
        <v>403</v>
      </c>
      <c r="B51" s="363"/>
      <c r="C51" s="353"/>
      <c r="D51" s="364"/>
      <c r="E51" s="443" t="s">
        <v>395</v>
      </c>
      <c r="F51" s="444" t="s">
        <v>395</v>
      </c>
      <c r="G51" s="445" t="s">
        <v>396</v>
      </c>
      <c r="H51" s="365"/>
      <c r="I51" s="365"/>
      <c r="J51" s="365"/>
      <c r="K51" s="366"/>
      <c r="L51" s="366"/>
      <c r="M51" s="367"/>
      <c r="N51" s="366"/>
      <c r="O51" s="366"/>
      <c r="P51" s="366"/>
      <c r="Q51" s="366"/>
      <c r="R51" s="366"/>
      <c r="S51" s="366"/>
      <c r="T51" s="486"/>
      <c r="V51" s="1263"/>
      <c r="W51" s="1170"/>
      <c r="X51" s="1171"/>
      <c r="Y51" s="1170"/>
      <c r="Z51" s="1263"/>
      <c r="AA51" s="1170"/>
      <c r="AB51" s="1171"/>
      <c r="AC51" s="1170"/>
      <c r="AD51" s="1263"/>
      <c r="AE51" s="1170"/>
      <c r="AF51" s="1171"/>
      <c r="AG51" s="1170"/>
      <c r="AH51" s="1263"/>
      <c r="AI51" s="1170"/>
      <c r="AJ51" s="1171"/>
      <c r="AK51" s="1170"/>
      <c r="AL51" s="1263"/>
      <c r="AM51" s="1170"/>
      <c r="AN51" s="1171"/>
      <c r="AO51" s="1170"/>
      <c r="AP51" s="1263"/>
      <c r="AQ51" s="1170"/>
      <c r="AR51" s="1171"/>
      <c r="AS51" s="1170"/>
      <c r="AT51" s="1263"/>
      <c r="AU51" s="1170"/>
      <c r="AV51" s="1171"/>
      <c r="AX51" s="1263"/>
      <c r="AY51" s="1171"/>
    </row>
    <row r="52" spans="1:330" s="12" customFormat="1">
      <c r="A52" s="381" t="s">
        <v>315</v>
      </c>
      <c r="B52" s="382"/>
      <c r="C52" s="383">
        <f>SUM(C57:C66)</f>
        <v>1</v>
      </c>
      <c r="D52" s="384" t="s">
        <v>316</v>
      </c>
      <c r="E52" s="430">
        <f>SUMPRODUCT($BE$8:$BE$11,E53:E56)</f>
        <v>0</v>
      </c>
      <c r="F52" s="431">
        <f>SUMPRODUCT($BE$8:$BE$11,F53:F56)</f>
        <v>0.32454566732336532</v>
      </c>
      <c r="G52" s="432">
        <f>SUMPRODUCT($BE$8:$BE$11,G53:G56)</f>
        <v>0.95392404479240234</v>
      </c>
      <c r="H52" s="451"/>
      <c r="I52" s="463"/>
      <c r="J52" s="463"/>
      <c r="K52" s="464"/>
      <c r="L52" s="464"/>
      <c r="M52" s="452"/>
      <c r="N52" s="464"/>
      <c r="O52" s="464"/>
      <c r="P52" s="464"/>
      <c r="Q52" s="464"/>
      <c r="R52" s="464"/>
      <c r="S52" s="464"/>
      <c r="T52" s="465"/>
      <c r="U52"/>
      <c r="V52" s="1265"/>
      <c r="W52" s="1266"/>
      <c r="X52" s="1267"/>
      <c r="Y52" s="1170"/>
      <c r="Z52" s="1265"/>
      <c r="AA52" s="1266"/>
      <c r="AB52" s="1267"/>
      <c r="AC52" s="1170"/>
      <c r="AD52" s="1265"/>
      <c r="AE52" s="1266"/>
      <c r="AF52" s="1267"/>
      <c r="AG52" s="1170"/>
      <c r="AH52" s="1265"/>
      <c r="AI52" s="1266"/>
      <c r="AJ52" s="1267"/>
      <c r="AK52" s="1170"/>
      <c r="AL52" s="1265"/>
      <c r="AM52" s="1266"/>
      <c r="AN52" s="1267"/>
      <c r="AO52" s="1170"/>
      <c r="AP52" s="1265"/>
      <c r="AQ52" s="1266"/>
      <c r="AR52" s="1267"/>
      <c r="AS52" s="1170"/>
      <c r="AT52" s="1265"/>
      <c r="AU52" s="1266"/>
      <c r="AV52" s="1267"/>
      <c r="AW52"/>
      <c r="AX52" s="1265"/>
      <c r="AY52" s="1267"/>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row>
    <row r="53" spans="1:330">
      <c r="A53" s="19"/>
      <c r="B53" s="24"/>
      <c r="C53" s="24"/>
      <c r="D53" s="174" t="s">
        <v>317</v>
      </c>
      <c r="E53" s="356">
        <f>$C$57*E58+$C$62*E63</f>
        <v>0</v>
      </c>
      <c r="F53" s="54">
        <f t="shared" ref="F53:T56" si="3">$C$57*F58+$C$62*F63</f>
        <v>0.27417526207221349</v>
      </c>
      <c r="G53" s="357">
        <f t="shared" si="3"/>
        <v>0.87134960995444843</v>
      </c>
      <c r="H53" s="189">
        <f t="shared" si="3"/>
        <v>0</v>
      </c>
      <c r="I53" s="189">
        <f t="shared" si="3"/>
        <v>0</v>
      </c>
      <c r="J53" s="189">
        <f t="shared" si="3"/>
        <v>0</v>
      </c>
      <c r="K53" s="189">
        <f t="shared" si="3"/>
        <v>0</v>
      </c>
      <c r="L53" s="189">
        <f t="shared" si="3"/>
        <v>0</v>
      </c>
      <c r="M53" s="189">
        <f t="shared" si="3"/>
        <v>0</v>
      </c>
      <c r="N53" s="189">
        <f t="shared" si="3"/>
        <v>0</v>
      </c>
      <c r="O53" s="189">
        <f t="shared" si="3"/>
        <v>0.27417526207221349</v>
      </c>
      <c r="P53" s="189">
        <f t="shared" si="3"/>
        <v>0</v>
      </c>
      <c r="Q53" s="189">
        <f t="shared" si="3"/>
        <v>5.6048000000000008E-2</v>
      </c>
      <c r="R53" s="189">
        <f t="shared" si="3"/>
        <v>0.54134960995444836</v>
      </c>
      <c r="S53" s="189">
        <f t="shared" si="3"/>
        <v>0.3</v>
      </c>
      <c r="T53" s="199">
        <f t="shared" si="3"/>
        <v>0.03</v>
      </c>
      <c r="V53" s="1263"/>
      <c r="W53" s="1170"/>
      <c r="X53" s="1171"/>
      <c r="Y53" s="1170"/>
      <c r="Z53" s="1263"/>
      <c r="AA53" s="1170"/>
      <c r="AB53" s="1171"/>
      <c r="AC53" s="1170"/>
      <c r="AD53" s="1263"/>
      <c r="AE53" s="1170"/>
      <c r="AF53" s="1171"/>
      <c r="AG53" s="1170"/>
      <c r="AH53" s="1263"/>
      <c r="AI53" s="1170"/>
      <c r="AJ53" s="1171"/>
      <c r="AK53" s="1170"/>
      <c r="AL53" s="1263"/>
      <c r="AM53" s="1170"/>
      <c r="AN53" s="1171"/>
      <c r="AO53" s="1170"/>
      <c r="AP53" s="1263"/>
      <c r="AQ53" s="1170"/>
      <c r="AR53" s="1171"/>
      <c r="AS53" s="1170"/>
      <c r="AT53" s="1263"/>
      <c r="AU53" s="1170"/>
      <c r="AV53" s="1171"/>
      <c r="AX53" s="1263"/>
      <c r="AY53" s="1171"/>
    </row>
    <row r="54" spans="1:330">
      <c r="A54" s="195"/>
      <c r="B54" s="135"/>
      <c r="C54" s="50"/>
      <c r="D54" s="174" t="s">
        <v>367</v>
      </c>
      <c r="E54" s="356">
        <f>$C$57*E59+$C$62*E64</f>
        <v>0</v>
      </c>
      <c r="F54" s="54">
        <f t="shared" si="3"/>
        <v>1.2145039598904819E-4</v>
      </c>
      <c r="G54" s="357">
        <f t="shared" si="3"/>
        <v>1.9909900981811179E-4</v>
      </c>
      <c r="H54" s="189">
        <f t="shared" si="3"/>
        <v>0</v>
      </c>
      <c r="I54" s="189">
        <f t="shared" si="3"/>
        <v>0</v>
      </c>
      <c r="J54" s="189">
        <f t="shared" si="3"/>
        <v>0</v>
      </c>
      <c r="K54" s="189">
        <f t="shared" si="3"/>
        <v>0</v>
      </c>
      <c r="L54" s="189">
        <f t="shared" si="3"/>
        <v>0</v>
      </c>
      <c r="M54" s="189">
        <f t="shared" si="3"/>
        <v>0</v>
      </c>
      <c r="N54" s="189">
        <f t="shared" si="3"/>
        <v>0</v>
      </c>
      <c r="O54" s="189">
        <f t="shared" si="3"/>
        <v>1.2145039598904819E-4</v>
      </c>
      <c r="P54" s="189">
        <f t="shared" si="3"/>
        <v>0</v>
      </c>
      <c r="Q54" s="189">
        <f t="shared" si="3"/>
        <v>0</v>
      </c>
      <c r="R54" s="189">
        <f t="shared" si="3"/>
        <v>1.9909900981811179E-4</v>
      </c>
      <c r="S54" s="189">
        <f t="shared" si="3"/>
        <v>0</v>
      </c>
      <c r="T54" s="199">
        <f t="shared" si="3"/>
        <v>0</v>
      </c>
      <c r="V54" s="1263"/>
      <c r="W54" s="1170"/>
      <c r="X54" s="1171"/>
      <c r="Y54" s="1170"/>
      <c r="Z54" s="1263"/>
      <c r="AA54" s="1170"/>
      <c r="AB54" s="1171"/>
      <c r="AC54" s="1170"/>
      <c r="AD54" s="1263"/>
      <c r="AE54" s="1170"/>
      <c r="AF54" s="1171"/>
      <c r="AG54" s="1170"/>
      <c r="AH54" s="1263"/>
      <c r="AI54" s="1170"/>
      <c r="AJ54" s="1171"/>
      <c r="AK54" s="1170"/>
      <c r="AL54" s="1263"/>
      <c r="AM54" s="1170"/>
      <c r="AN54" s="1171"/>
      <c r="AO54" s="1170"/>
      <c r="AP54" s="1263"/>
      <c r="AQ54" s="1170"/>
      <c r="AR54" s="1171"/>
      <c r="AS54" s="1170"/>
      <c r="AT54" s="1263"/>
      <c r="AU54" s="1170"/>
      <c r="AV54" s="1171"/>
      <c r="AX54" s="1263"/>
      <c r="AY54" s="1171"/>
    </row>
    <row r="55" spans="1:330">
      <c r="A55" s="195"/>
      <c r="B55" s="135"/>
      <c r="C55" s="54"/>
      <c r="D55" s="55" t="s">
        <v>320</v>
      </c>
      <c r="E55" s="356">
        <f>$C$57*E60+$C$62*E65</f>
        <v>0</v>
      </c>
      <c r="F55" s="54">
        <f t="shared" si="3"/>
        <v>7.3671961884525228E-6</v>
      </c>
      <c r="G55" s="357">
        <f t="shared" si="3"/>
        <v>1.2077370800741841E-5</v>
      </c>
      <c r="H55" s="189">
        <f t="shared" si="3"/>
        <v>0</v>
      </c>
      <c r="I55" s="189">
        <f t="shared" si="3"/>
        <v>0</v>
      </c>
      <c r="J55" s="189">
        <f t="shared" si="3"/>
        <v>0</v>
      </c>
      <c r="K55" s="189">
        <f t="shared" si="3"/>
        <v>0</v>
      </c>
      <c r="L55" s="189">
        <f t="shared" si="3"/>
        <v>0</v>
      </c>
      <c r="M55" s="189">
        <f t="shared" si="3"/>
        <v>0</v>
      </c>
      <c r="N55" s="189">
        <f t="shared" si="3"/>
        <v>0</v>
      </c>
      <c r="O55" s="189">
        <f t="shared" si="3"/>
        <v>7.3671961884525228E-6</v>
      </c>
      <c r="P55" s="189">
        <f t="shared" si="3"/>
        <v>0</v>
      </c>
      <c r="Q55" s="189">
        <f t="shared" si="3"/>
        <v>0</v>
      </c>
      <c r="R55" s="189">
        <f t="shared" si="3"/>
        <v>1.2077370800741841E-5</v>
      </c>
      <c r="S55" s="189">
        <f t="shared" si="3"/>
        <v>0</v>
      </c>
      <c r="T55" s="199">
        <f t="shared" si="3"/>
        <v>0</v>
      </c>
      <c r="V55" s="1263"/>
      <c r="W55" s="1170"/>
      <c r="X55" s="1171"/>
      <c r="Y55" s="1170"/>
      <c r="Z55" s="1263"/>
      <c r="AA55" s="1170"/>
      <c r="AB55" s="1171"/>
      <c r="AC55" s="1170"/>
      <c r="AD55" s="1263"/>
      <c r="AE55" s="1170"/>
      <c r="AF55" s="1171"/>
      <c r="AG55" s="1170"/>
      <c r="AH55" s="1263"/>
      <c r="AI55" s="1170"/>
      <c r="AJ55" s="1171"/>
      <c r="AK55" s="1170"/>
      <c r="AL55" s="1263"/>
      <c r="AM55" s="1170"/>
      <c r="AN55" s="1171"/>
      <c r="AO55" s="1170"/>
      <c r="AP55" s="1263"/>
      <c r="AQ55" s="1170"/>
      <c r="AR55" s="1171"/>
      <c r="AS55" s="1170"/>
      <c r="AT55" s="1263"/>
      <c r="AU55" s="1170"/>
      <c r="AV55" s="1171"/>
      <c r="AX55" s="1263"/>
      <c r="AY55" s="1171"/>
    </row>
    <row r="56" spans="1:330" s="12" customFormat="1">
      <c r="A56" s="195"/>
      <c r="B56" s="135"/>
      <c r="C56" s="54"/>
      <c r="D56" s="55" t="s">
        <v>398</v>
      </c>
      <c r="E56" s="356">
        <f>$C$57*E61+$C$62*E66</f>
        <v>0</v>
      </c>
      <c r="F56" s="54">
        <f t="shared" si="3"/>
        <v>2.3E-5</v>
      </c>
      <c r="G56" s="357">
        <f t="shared" si="3"/>
        <v>3.7704918032786885E-5</v>
      </c>
      <c r="H56" s="189">
        <f t="shared" si="3"/>
        <v>0</v>
      </c>
      <c r="I56" s="189">
        <f t="shared" si="3"/>
        <v>0</v>
      </c>
      <c r="J56" s="189">
        <f t="shared" si="3"/>
        <v>0</v>
      </c>
      <c r="K56" s="189">
        <f t="shared" si="3"/>
        <v>0</v>
      </c>
      <c r="L56" s="189">
        <f t="shared" si="3"/>
        <v>0</v>
      </c>
      <c r="M56" s="189">
        <f t="shared" si="3"/>
        <v>0</v>
      </c>
      <c r="N56" s="189">
        <f t="shared" si="3"/>
        <v>0</v>
      </c>
      <c r="O56" s="189">
        <f t="shared" si="3"/>
        <v>0</v>
      </c>
      <c r="P56" s="189">
        <f t="shared" si="3"/>
        <v>2.3E-5</v>
      </c>
      <c r="Q56" s="189">
        <f t="shared" si="3"/>
        <v>0</v>
      </c>
      <c r="R56" s="189">
        <f t="shared" si="3"/>
        <v>3.7704918032786885E-5</v>
      </c>
      <c r="S56" s="189">
        <f t="shared" si="3"/>
        <v>0</v>
      </c>
      <c r="T56" s="199">
        <f t="shared" si="3"/>
        <v>0</v>
      </c>
      <c r="U56"/>
      <c r="V56" s="1263"/>
      <c r="W56" s="1170"/>
      <c r="X56" s="1171"/>
      <c r="Y56" s="1170"/>
      <c r="Z56" s="1263"/>
      <c r="AA56" s="1170"/>
      <c r="AB56" s="1171"/>
      <c r="AC56" s="1170"/>
      <c r="AD56" s="1263"/>
      <c r="AE56" s="1170"/>
      <c r="AF56" s="1171"/>
      <c r="AG56" s="1170"/>
      <c r="AH56" s="1263"/>
      <c r="AI56" s="1170"/>
      <c r="AJ56" s="1171"/>
      <c r="AK56" s="1170"/>
      <c r="AL56" s="1263"/>
      <c r="AM56" s="1170"/>
      <c r="AN56" s="1171"/>
      <c r="AO56" s="1170"/>
      <c r="AP56" s="1263"/>
      <c r="AQ56" s="1170"/>
      <c r="AR56" s="1171"/>
      <c r="AS56" s="1170"/>
      <c r="AT56" s="1263"/>
      <c r="AU56" s="1170"/>
      <c r="AV56" s="1171"/>
      <c r="AW56"/>
      <c r="AX56" s="1263"/>
      <c r="AY56" s="1171"/>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row>
    <row r="57" spans="1:330" s="12" customFormat="1">
      <c r="A57" s="466" t="s">
        <v>122</v>
      </c>
      <c r="B57" s="75" t="s">
        <v>220</v>
      </c>
      <c r="C57" s="354">
        <f>'Input data fish and seafood'!E9</f>
        <v>0.5</v>
      </c>
      <c r="D57" s="355" t="s">
        <v>316</v>
      </c>
      <c r="E57" s="467">
        <f>SUMPRODUCT($BE$8:$BE$11,E58:E61)</f>
        <v>0</v>
      </c>
      <c r="F57" s="468">
        <f>SUMPRODUCT($BE$8:$BE$11,F58:F61)</f>
        <v>0.43961976563298627</v>
      </c>
      <c r="G57" s="469">
        <f>SUMPRODUCT($BE$8:$BE$11,G58:G61)</f>
        <v>1.1425701075950594</v>
      </c>
      <c r="H57" s="385"/>
      <c r="I57" s="211"/>
      <c r="J57" s="211"/>
      <c r="K57" s="470"/>
      <c r="L57" s="470"/>
      <c r="M57" s="470"/>
      <c r="N57" s="470"/>
      <c r="O57" s="470"/>
      <c r="P57" s="470"/>
      <c r="Q57" s="470"/>
      <c r="R57" s="470"/>
      <c r="S57" s="470"/>
      <c r="T57" s="471"/>
      <c r="U57"/>
      <c r="V57" s="1263"/>
      <c r="W57" s="1170"/>
      <c r="X57" s="1171"/>
      <c r="Y57" s="1170"/>
      <c r="Z57" s="1263"/>
      <c r="AA57" s="1170"/>
      <c r="AB57" s="1171"/>
      <c r="AC57" s="1170"/>
      <c r="AD57" s="1263"/>
      <c r="AE57" s="1170"/>
      <c r="AF57" s="1171"/>
      <c r="AG57" s="1170"/>
      <c r="AH57" s="1263"/>
      <c r="AI57" s="1170"/>
      <c r="AJ57" s="1171"/>
      <c r="AK57" s="1170"/>
      <c r="AL57" s="1263"/>
      <c r="AM57" s="1170"/>
      <c r="AN57" s="1171"/>
      <c r="AO57" s="1170"/>
      <c r="AP57" s="1263"/>
      <c r="AQ57" s="1170"/>
      <c r="AR57" s="1171"/>
      <c r="AS57" s="1170"/>
      <c r="AT57" s="1263"/>
      <c r="AU57" s="1170"/>
      <c r="AV57" s="1171"/>
      <c r="AW57"/>
      <c r="AX57" s="1263"/>
      <c r="AY57" s="1171"/>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row>
    <row r="58" spans="1:330">
      <c r="A58" s="68"/>
      <c r="B58" s="55"/>
      <c r="C58" s="24"/>
      <c r="D58" s="174" t="s">
        <v>317</v>
      </c>
      <c r="E58" s="455">
        <f>IF(AND($F$2="No",$F$3="No"),SUM(J58),IF(AND($F$2="Yes", $F$3="No"), SUM(J58)+L58, IF(AND($F$2="No", $F$3="Yes"),SUM(J58)+K58, SUM(J58)+L58+K58)))</f>
        <v>0</v>
      </c>
      <c r="F58" s="17">
        <f>IF(AND($F$2="No",$F$3="No"),SUM(H58:J58,M58:P58),IF(AND($F$2="Yes", $F$3="No"), SUM(H58:J58,M58:P58)+L58, IF(AND($F$2="No", $F$3="Yes"),SUM(H58:J58,M58:P58)+K58, SUM(H58:J58,M58:P58)+L58+K58)))</f>
        <v>0.38707095821959547</v>
      </c>
      <c r="G58" s="357">
        <f>SUM(R58:T58)/(1-'Common input data'!B$144)</f>
        <v>1.0564245216714681</v>
      </c>
      <c r="H58" s="189">
        <v>0</v>
      </c>
      <c r="I58" s="189">
        <v>0</v>
      </c>
      <c r="J58" s="189">
        <v>0</v>
      </c>
      <c r="K58" s="189">
        <v>0</v>
      </c>
      <c r="L58" s="189">
        <v>0</v>
      </c>
      <c r="M58" s="189">
        <v>0</v>
      </c>
      <c r="N58" s="189">
        <v>0</v>
      </c>
      <c r="O58" s="189">
        <f>'Input data fish and seafood'!G9*'Input data fish and seafood'!B42</f>
        <v>0.38707095821959547</v>
      </c>
      <c r="P58" s="189">
        <v>0</v>
      </c>
      <c r="Q58" s="189">
        <f>'Input data fish and seafood'!B107*'Input data fish and seafood'!B113*'Common input data'!B80</f>
        <v>5.6048000000000008E-2</v>
      </c>
      <c r="R58" s="189">
        <f>(F58+Q58)/'Input data fish and seafood'!$H$9</f>
        <v>0.72642452167146798</v>
      </c>
      <c r="S58" s="189">
        <f>'Common input data'!B110</f>
        <v>0.3</v>
      </c>
      <c r="T58" s="199">
        <f>'Common input data'!C115</f>
        <v>0.03</v>
      </c>
      <c r="V58" s="1263"/>
      <c r="W58" s="1170"/>
      <c r="X58" s="1171"/>
      <c r="Y58" s="1170"/>
      <c r="Z58" s="1263"/>
      <c r="AA58" s="1170"/>
      <c r="AB58" s="1171"/>
      <c r="AC58" s="1170"/>
      <c r="AD58" s="1263"/>
      <c r="AE58" s="1170"/>
      <c r="AF58" s="1171"/>
      <c r="AG58" s="1170"/>
      <c r="AH58" s="1263"/>
      <c r="AI58" s="1170"/>
      <c r="AJ58" s="1171"/>
      <c r="AK58" s="1170"/>
      <c r="AL58" s="1263"/>
      <c r="AM58" s="1170"/>
      <c r="AN58" s="1171"/>
      <c r="AO58" s="1170"/>
      <c r="AP58" s="1263"/>
      <c r="AQ58" s="1170"/>
      <c r="AR58" s="1171"/>
      <c r="AS58" s="1170"/>
      <c r="AT58" s="1263"/>
      <c r="AU58" s="1170"/>
      <c r="AV58" s="1171"/>
      <c r="AX58" s="1263"/>
      <c r="AY58" s="1171"/>
    </row>
    <row r="59" spans="1:330">
      <c r="A59" s="472"/>
      <c r="B59" s="29"/>
      <c r="C59" s="473"/>
      <c r="D59" s="174" t="s">
        <v>367</v>
      </c>
      <c r="E59" s="356">
        <v>0</v>
      </c>
      <c r="F59" s="17">
        <f>SUM(H59:J59,M59:P59)</f>
        <v>1.7145938257277392E-4</v>
      </c>
      <c r="G59" s="357">
        <f>SUM(R59:T59)/(1-'Common input data'!B$144)</f>
        <v>2.8108095503733428E-4</v>
      </c>
      <c r="H59" s="189">
        <v>0</v>
      </c>
      <c r="I59" s="189">
        <v>0</v>
      </c>
      <c r="J59" s="189">
        <v>0</v>
      </c>
      <c r="K59" s="189">
        <v>0</v>
      </c>
      <c r="L59" s="189">
        <v>0</v>
      </c>
      <c r="M59" s="189">
        <v>0</v>
      </c>
      <c r="N59" s="189">
        <v>0</v>
      </c>
      <c r="O59" s="189">
        <f>'Input data fish and seafood'!G9*'Input data fish and seafood'!B43</f>
        <v>1.7145938257277392E-4</v>
      </c>
      <c r="P59" s="189">
        <v>0</v>
      </c>
      <c r="Q59" s="189">
        <v>0</v>
      </c>
      <c r="R59" s="189">
        <f>(F59+Q59)/'Input data fish and seafood'!$H$9</f>
        <v>2.8108095503733428E-4</v>
      </c>
      <c r="S59" s="189">
        <v>0</v>
      </c>
      <c r="T59" s="199">
        <v>0</v>
      </c>
      <c r="V59" s="1263"/>
      <c r="W59" s="1170"/>
      <c r="X59" s="1171"/>
      <c r="Y59" s="1170"/>
      <c r="Z59" s="1263"/>
      <c r="AA59" s="1170"/>
      <c r="AB59" s="1171"/>
      <c r="AC59" s="1170"/>
      <c r="AD59" s="1263"/>
      <c r="AE59" s="1170"/>
      <c r="AF59" s="1171"/>
      <c r="AG59" s="1170"/>
      <c r="AH59" s="1263"/>
      <c r="AI59" s="1170"/>
      <c r="AJ59" s="1171"/>
      <c r="AK59" s="1170"/>
      <c r="AL59" s="1263"/>
      <c r="AM59" s="1170"/>
      <c r="AN59" s="1171"/>
      <c r="AO59" s="1170"/>
      <c r="AP59" s="1263"/>
      <c r="AQ59" s="1170"/>
      <c r="AR59" s="1171"/>
      <c r="AS59" s="1170"/>
      <c r="AT59" s="1263"/>
      <c r="AU59" s="1170"/>
      <c r="AV59" s="1171"/>
      <c r="AX59" s="1263"/>
      <c r="AY59" s="1171"/>
    </row>
    <row r="60" spans="1:330" s="12" customFormat="1">
      <c r="A60" s="359"/>
      <c r="B60" s="360"/>
      <c r="C60" s="54"/>
      <c r="D60" s="55" t="s">
        <v>320</v>
      </c>
      <c r="E60" s="356">
        <v>0</v>
      </c>
      <c r="F60" s="17">
        <f>SUM(H60:J60,M60:P60)</f>
        <v>1.0400747560168267E-5</v>
      </c>
      <c r="G60" s="357">
        <f>SUM(R60:T60)/(1-'Common input data'!B$144)</f>
        <v>1.7050405836341422E-5</v>
      </c>
      <c r="H60" s="189">
        <v>0</v>
      </c>
      <c r="I60" s="189">
        <v>0</v>
      </c>
      <c r="J60" s="189">
        <v>0</v>
      </c>
      <c r="K60" s="189">
        <v>0</v>
      </c>
      <c r="L60" s="189">
        <v>0</v>
      </c>
      <c r="M60" s="189">
        <v>0</v>
      </c>
      <c r="N60" s="189">
        <v>0</v>
      </c>
      <c r="O60" s="189">
        <f>'Input data fish and seafood'!G9*'Input data fish and seafood'!B44</f>
        <v>1.0400747560168267E-5</v>
      </c>
      <c r="P60" s="189">
        <v>0</v>
      </c>
      <c r="Q60" s="189">
        <v>0</v>
      </c>
      <c r="R60" s="189">
        <f>(F60+Q60)/'Input data fish and seafood'!$H$9</f>
        <v>1.7050405836341422E-5</v>
      </c>
      <c r="S60" s="189">
        <v>0</v>
      </c>
      <c r="T60" s="199">
        <v>0</v>
      </c>
      <c r="U60"/>
      <c r="V60" s="1263"/>
      <c r="W60" s="1170"/>
      <c r="X60" s="1171"/>
      <c r="Y60" s="1170"/>
      <c r="Z60" s="1263"/>
      <c r="AA60" s="1170"/>
      <c r="AB60" s="1171"/>
      <c r="AC60" s="1170"/>
      <c r="AD60" s="1263"/>
      <c r="AE60" s="1170"/>
      <c r="AF60" s="1171"/>
      <c r="AG60" s="1170"/>
      <c r="AH60" s="1263"/>
      <c r="AI60" s="1170"/>
      <c r="AJ60" s="1171"/>
      <c r="AK60" s="1170"/>
      <c r="AL60" s="1263"/>
      <c r="AM60" s="1170"/>
      <c r="AN60" s="1171"/>
      <c r="AO60" s="1170"/>
      <c r="AP60" s="1263"/>
      <c r="AQ60" s="1170"/>
      <c r="AR60" s="1171"/>
      <c r="AS60" s="1170"/>
      <c r="AT60" s="1263"/>
      <c r="AU60" s="1170"/>
      <c r="AV60" s="1171"/>
      <c r="AW60"/>
      <c r="AX60" s="1263"/>
      <c r="AY60" s="1171"/>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row>
    <row r="61" spans="1:330" s="12" customFormat="1">
      <c r="A61" s="359"/>
      <c r="B61" s="360"/>
      <c r="C61" s="54"/>
      <c r="D61" s="55" t="s">
        <v>398</v>
      </c>
      <c r="E61" s="356">
        <v>0</v>
      </c>
      <c r="F61" s="17">
        <f>SUM(H61:J61,M61:P61)</f>
        <v>2.3E-5</v>
      </c>
      <c r="G61" s="357">
        <f>SUM(R61:T61)/(1-'Common input data'!B$144)</f>
        <v>3.7704918032786885E-5</v>
      </c>
      <c r="H61" s="189">
        <v>0</v>
      </c>
      <c r="I61" s="189">
        <v>0</v>
      </c>
      <c r="J61" s="189">
        <v>0</v>
      </c>
      <c r="K61" s="189">
        <v>0</v>
      </c>
      <c r="L61" s="189">
        <v>0</v>
      </c>
      <c r="M61" s="189">
        <v>0</v>
      </c>
      <c r="N61" s="189">
        <v>0</v>
      </c>
      <c r="O61" s="189">
        <v>0</v>
      </c>
      <c r="P61" s="189">
        <f>'Input data fish and seafood'!B49</f>
        <v>2.3E-5</v>
      </c>
      <c r="Q61" s="189">
        <v>0</v>
      </c>
      <c r="R61" s="189">
        <f>(F61+Q61)/'Input data fish and seafood'!$H$9</f>
        <v>3.7704918032786885E-5</v>
      </c>
      <c r="S61" s="189">
        <v>0</v>
      </c>
      <c r="T61" s="199">
        <v>0</v>
      </c>
      <c r="U61"/>
      <c r="V61" s="1263"/>
      <c r="W61" s="1170"/>
      <c r="X61" s="1171"/>
      <c r="Y61" s="1170"/>
      <c r="Z61" s="1263"/>
      <c r="AA61" s="1170"/>
      <c r="AB61" s="1171"/>
      <c r="AC61" s="1170"/>
      <c r="AD61" s="1263"/>
      <c r="AE61" s="1170"/>
      <c r="AF61" s="1171"/>
      <c r="AG61" s="1170"/>
      <c r="AH61" s="1263"/>
      <c r="AI61" s="1170"/>
      <c r="AJ61" s="1171"/>
      <c r="AK61" s="1170"/>
      <c r="AL61" s="1263"/>
      <c r="AM61" s="1170"/>
      <c r="AN61" s="1171"/>
      <c r="AO61" s="1170"/>
      <c r="AP61" s="1263"/>
      <c r="AQ61" s="1170"/>
      <c r="AR61" s="1171"/>
      <c r="AS61" s="1170"/>
      <c r="AT61" s="1263"/>
      <c r="AU61" s="1170"/>
      <c r="AV61" s="1171"/>
      <c r="AW61"/>
      <c r="AX61" s="1263"/>
      <c r="AY61" s="117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row>
    <row r="62" spans="1:330" s="12" customFormat="1">
      <c r="A62" s="466" t="s">
        <v>122</v>
      </c>
      <c r="B62" s="75" t="s">
        <v>221</v>
      </c>
      <c r="C62" s="354">
        <f>'Input data fish and seafood'!E10</f>
        <v>0.5</v>
      </c>
      <c r="D62" s="355" t="s">
        <v>316</v>
      </c>
      <c r="E62" s="467">
        <f>SUMPRODUCT($BE$8:$BE$11,E63:E66)</f>
        <v>0</v>
      </c>
      <c r="F62" s="468">
        <f>SUMPRODUCT($BE$8:$BE$11,F63:F66)</f>
        <v>0.20947156901374434</v>
      </c>
      <c r="G62" s="469">
        <f>SUMPRODUCT($BE$8:$BE$11,G63:G66)</f>
        <v>0.76527798198974484</v>
      </c>
      <c r="H62" s="385"/>
      <c r="I62" s="211"/>
      <c r="J62" s="211"/>
      <c r="K62" s="470"/>
      <c r="L62" s="470"/>
      <c r="M62" s="470"/>
      <c r="N62" s="470"/>
      <c r="O62" s="470"/>
      <c r="P62" s="470"/>
      <c r="Q62" s="470"/>
      <c r="R62" s="470"/>
      <c r="S62" s="470"/>
      <c r="T62" s="471"/>
      <c r="U62"/>
      <c r="V62" s="1263"/>
      <c r="W62" s="1170"/>
      <c r="X62" s="1171"/>
      <c r="Y62" s="1170"/>
      <c r="Z62" s="1263"/>
      <c r="AA62" s="1170"/>
      <c r="AB62" s="1171"/>
      <c r="AC62" s="1170"/>
      <c r="AD62" s="1263"/>
      <c r="AE62" s="1170"/>
      <c r="AF62" s="1171"/>
      <c r="AG62" s="1170"/>
      <c r="AH62" s="1263"/>
      <c r="AI62" s="1170"/>
      <c r="AJ62" s="1171"/>
      <c r="AK62" s="1170"/>
      <c r="AL62" s="1263"/>
      <c r="AM62" s="1170"/>
      <c r="AN62" s="1171"/>
      <c r="AO62" s="1170"/>
      <c r="AP62" s="1263"/>
      <c r="AQ62" s="1170"/>
      <c r="AR62" s="1171"/>
      <c r="AS62" s="1170"/>
      <c r="AT62" s="1263"/>
      <c r="AU62" s="1170"/>
      <c r="AV62" s="1171"/>
      <c r="AW62"/>
      <c r="AX62" s="1263"/>
      <c r="AY62" s="1171"/>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row>
    <row r="63" spans="1:330">
      <c r="A63" s="68"/>
      <c r="B63" s="55"/>
      <c r="C63" s="24"/>
      <c r="D63" s="174" t="s">
        <v>317</v>
      </c>
      <c r="E63" s="455">
        <f>IF(AND($F$2="No",$F$3="No"),SUM(J63),IF(AND($F$2="Yes", $F$3="No"), SUM(J63)+L63, IF(AND($F$2="No", $F$3="Yes"),SUM(J63)+K63, SUM(J63)+L63+K63)))</f>
        <v>0</v>
      </c>
      <c r="F63" s="17">
        <f>IF(AND($F$2="No",$F$3="No"),SUM(H63:J63,M63:P63),IF(AND($F$2="Yes", $F$3="No"), SUM(H63:J63,M63:P63)+L63, IF(AND($F$2="No", $F$3="Yes"),SUM(H63:J63,M63:P63)+K63, SUM(H63:J63,M63:P63)+L63+K63)))</f>
        <v>0.16127956592483148</v>
      </c>
      <c r="G63" s="357">
        <f>SUM(R63:T63)/(1-'Common input data'!B$144)</f>
        <v>0.6862746982374287</v>
      </c>
      <c r="H63" s="189">
        <v>0</v>
      </c>
      <c r="I63" s="189">
        <v>0</v>
      </c>
      <c r="J63" s="189">
        <v>0</v>
      </c>
      <c r="K63" s="189">
        <v>0</v>
      </c>
      <c r="L63" s="189">
        <v>0</v>
      </c>
      <c r="M63" s="189">
        <v>0</v>
      </c>
      <c r="N63" s="189">
        <v>0</v>
      </c>
      <c r="O63" s="483">
        <f>'Input data fish and seafood'!G10*'Input data fish and seafood'!B42</f>
        <v>0.16127956592483148</v>
      </c>
      <c r="P63" s="189">
        <v>0</v>
      </c>
      <c r="Q63" s="189">
        <f>'Input data fish and seafood'!B107*'Input data fish and seafood'!B113*'Common input data'!B80</f>
        <v>5.6048000000000008E-2</v>
      </c>
      <c r="R63" s="189">
        <f>(F63+Q63)/'Input data fish and seafood'!$H$10</f>
        <v>0.35627469823742869</v>
      </c>
      <c r="S63" s="189">
        <f>'Common input data'!B110</f>
        <v>0.3</v>
      </c>
      <c r="T63" s="199">
        <f>'Common input data'!C115</f>
        <v>0.03</v>
      </c>
      <c r="V63" s="1263"/>
      <c r="W63" s="1170"/>
      <c r="X63" s="1171"/>
      <c r="Y63" s="1170"/>
      <c r="Z63" s="1263"/>
      <c r="AA63" s="1170"/>
      <c r="AB63" s="1171"/>
      <c r="AC63" s="1170"/>
      <c r="AD63" s="1263"/>
      <c r="AE63" s="1170"/>
      <c r="AF63" s="1171"/>
      <c r="AG63" s="1170"/>
      <c r="AH63" s="1263"/>
      <c r="AI63" s="1170"/>
      <c r="AJ63" s="1171"/>
      <c r="AK63" s="1170"/>
      <c r="AL63" s="1263"/>
      <c r="AM63" s="1170"/>
      <c r="AN63" s="1171"/>
      <c r="AO63" s="1170"/>
      <c r="AP63" s="1263"/>
      <c r="AQ63" s="1170"/>
      <c r="AR63" s="1171"/>
      <c r="AS63" s="1170"/>
      <c r="AT63" s="1263"/>
      <c r="AU63" s="1170"/>
      <c r="AV63" s="1171"/>
      <c r="AX63" s="1263"/>
      <c r="AY63" s="1171"/>
    </row>
    <row r="64" spans="1:330">
      <c r="A64" s="68"/>
      <c r="B64" s="55"/>
      <c r="C64" s="55"/>
      <c r="D64" s="174" t="s">
        <v>367</v>
      </c>
      <c r="E64" s="356">
        <v>0</v>
      </c>
      <c r="F64" s="17">
        <f>SUM(H64:J64,M64:P64)</f>
        <v>7.1441409405322465E-5</v>
      </c>
      <c r="G64" s="357">
        <f>SUM(R64:T64)/(1-'Common input data'!B$144)</f>
        <v>1.1711706459888929E-4</v>
      </c>
      <c r="H64" s="189">
        <v>0</v>
      </c>
      <c r="I64" s="189">
        <v>0</v>
      </c>
      <c r="J64" s="189">
        <v>0</v>
      </c>
      <c r="K64" s="189">
        <v>0</v>
      </c>
      <c r="L64" s="189">
        <v>0</v>
      </c>
      <c r="M64" s="189">
        <v>0</v>
      </c>
      <c r="N64" s="189">
        <v>0</v>
      </c>
      <c r="O64" s="484">
        <f>'Input data fish and seafood'!G10*'Input data fish and seafood'!B43</f>
        <v>7.1441409405322465E-5</v>
      </c>
      <c r="P64" s="189">
        <v>0</v>
      </c>
      <c r="Q64" s="189">
        <v>0</v>
      </c>
      <c r="R64" s="189">
        <f>(F64+Q64)/'Input data fish and seafood'!$H$10</f>
        <v>1.1711706459888929E-4</v>
      </c>
      <c r="S64" s="189">
        <v>0</v>
      </c>
      <c r="T64" s="199">
        <v>0</v>
      </c>
      <c r="V64" s="1263"/>
      <c r="W64" s="1170"/>
      <c r="X64" s="1171"/>
      <c r="Y64" s="1170"/>
      <c r="Z64" s="1263"/>
      <c r="AA64" s="1170"/>
      <c r="AB64" s="1171"/>
      <c r="AC64" s="1170"/>
      <c r="AD64" s="1263"/>
      <c r="AE64" s="1170"/>
      <c r="AF64" s="1171"/>
      <c r="AG64" s="1170"/>
      <c r="AH64" s="1263"/>
      <c r="AI64" s="1170"/>
      <c r="AJ64" s="1171"/>
      <c r="AK64" s="1170"/>
      <c r="AL64" s="1263"/>
      <c r="AM64" s="1170"/>
      <c r="AN64" s="1171"/>
      <c r="AO64" s="1170"/>
      <c r="AP64" s="1263"/>
      <c r="AQ64" s="1170"/>
      <c r="AR64" s="1171"/>
      <c r="AS64" s="1170"/>
      <c r="AT64" s="1263"/>
      <c r="AU64" s="1170"/>
      <c r="AV64" s="1171"/>
      <c r="AX64" s="1263"/>
      <c r="AY64" s="1171"/>
    </row>
    <row r="65" spans="1:306">
      <c r="A65" s="68"/>
      <c r="B65" s="55"/>
      <c r="C65" s="54"/>
      <c r="D65" s="55" t="s">
        <v>320</v>
      </c>
      <c r="E65" s="356">
        <v>0</v>
      </c>
      <c r="F65" s="17">
        <f>SUM(H65:J65,M65:P65)</f>
        <v>4.3336448167367783E-6</v>
      </c>
      <c r="G65" s="357">
        <f>SUM(R65:T65)/(1-'Common input data'!B$144)</f>
        <v>7.10433576514226E-6</v>
      </c>
      <c r="H65" s="189">
        <v>0</v>
      </c>
      <c r="I65" s="189">
        <v>0</v>
      </c>
      <c r="J65" s="189">
        <v>0</v>
      </c>
      <c r="K65" s="189">
        <v>0</v>
      </c>
      <c r="L65" s="189">
        <v>0</v>
      </c>
      <c r="M65" s="189">
        <v>0</v>
      </c>
      <c r="N65" s="189">
        <v>0</v>
      </c>
      <c r="O65" s="189">
        <f>'Input data fish and seafood'!G10*'Input data fish and seafood'!B44</f>
        <v>4.3336448167367783E-6</v>
      </c>
      <c r="P65" s="189">
        <v>0</v>
      </c>
      <c r="Q65" s="485">
        <v>0</v>
      </c>
      <c r="R65" s="189">
        <f>(F65+Q65)/'Input data fish and seafood'!$H$10</f>
        <v>7.10433576514226E-6</v>
      </c>
      <c r="S65" s="361">
        <v>0</v>
      </c>
      <c r="T65" s="199">
        <v>0</v>
      </c>
      <c r="V65" s="1263"/>
      <c r="W65" s="1170"/>
      <c r="X65" s="1171"/>
      <c r="Y65" s="1170"/>
      <c r="Z65" s="1263"/>
      <c r="AA65" s="1170"/>
      <c r="AB65" s="1171"/>
      <c r="AC65" s="1170"/>
      <c r="AD65" s="1263"/>
      <c r="AE65" s="1170"/>
      <c r="AF65" s="1171"/>
      <c r="AG65" s="1170"/>
      <c r="AH65" s="1263"/>
      <c r="AI65" s="1170"/>
      <c r="AJ65" s="1171"/>
      <c r="AK65" s="1170"/>
      <c r="AL65" s="1263"/>
      <c r="AM65" s="1170"/>
      <c r="AN65" s="1171"/>
      <c r="AO65" s="1170"/>
      <c r="AP65" s="1263"/>
      <c r="AQ65" s="1170"/>
      <c r="AR65" s="1171"/>
      <c r="AS65" s="1170"/>
      <c r="AT65" s="1263"/>
      <c r="AU65" s="1170"/>
      <c r="AV65" s="1171"/>
      <c r="AX65" s="1263"/>
      <c r="AY65" s="1171"/>
    </row>
    <row r="66" spans="1:306">
      <c r="A66" s="68"/>
      <c r="B66" s="55"/>
      <c r="C66" s="54"/>
      <c r="D66" s="55" t="s">
        <v>398</v>
      </c>
      <c r="E66" s="372">
        <v>0</v>
      </c>
      <c r="F66" s="137">
        <f>SUM(H66:J66,M66:P66)</f>
        <v>2.3E-5</v>
      </c>
      <c r="G66" s="373">
        <f>SUM(R66:T66)/(1-'Common input data'!B$144)</f>
        <v>3.7704918032786885E-5</v>
      </c>
      <c r="H66" s="189">
        <v>0</v>
      </c>
      <c r="I66" s="189">
        <v>0</v>
      </c>
      <c r="J66" s="189">
        <v>0</v>
      </c>
      <c r="K66" s="189">
        <v>0</v>
      </c>
      <c r="L66" s="189">
        <v>0</v>
      </c>
      <c r="M66" s="189">
        <v>0</v>
      </c>
      <c r="N66" s="189">
        <v>0</v>
      </c>
      <c r="O66" s="189">
        <v>0</v>
      </c>
      <c r="P66" s="189">
        <f>'Input data fish and seafood'!B49</f>
        <v>2.3E-5</v>
      </c>
      <c r="Q66" s="189">
        <v>0</v>
      </c>
      <c r="R66" s="189">
        <f>(F66+Q66)/'Input data fish and seafood'!$H$10</f>
        <v>3.7704918032786885E-5</v>
      </c>
      <c r="S66" s="189">
        <v>0</v>
      </c>
      <c r="T66" s="199">
        <v>0</v>
      </c>
      <c r="V66" s="1263"/>
      <c r="W66" s="1170"/>
      <c r="X66" s="1171"/>
      <c r="Y66" s="1170"/>
      <c r="Z66" s="1263"/>
      <c r="AA66" s="1170"/>
      <c r="AB66" s="1171"/>
      <c r="AC66" s="1170"/>
      <c r="AD66" s="1263"/>
      <c r="AE66" s="1170"/>
      <c r="AF66" s="1171"/>
      <c r="AG66" s="1170"/>
      <c r="AH66" s="1263"/>
      <c r="AI66" s="1170"/>
      <c r="AJ66" s="1171"/>
      <c r="AK66" s="1170"/>
      <c r="AL66" s="1263"/>
      <c r="AM66" s="1170"/>
      <c r="AN66" s="1171"/>
      <c r="AO66" s="1170"/>
      <c r="AP66" s="1263"/>
      <c r="AQ66" s="1170"/>
      <c r="AR66" s="1171"/>
      <c r="AS66" s="1170"/>
      <c r="AT66" s="1263"/>
      <c r="AU66" s="1170"/>
      <c r="AV66" s="1171"/>
      <c r="AX66" s="1263"/>
      <c r="AY66" s="1171"/>
    </row>
    <row r="67" spans="1:306">
      <c r="A67" s="374" t="s">
        <v>404</v>
      </c>
      <c r="B67" s="375"/>
      <c r="C67" s="376"/>
      <c r="D67" s="377"/>
      <c r="E67" s="443" t="s">
        <v>395</v>
      </c>
      <c r="F67" s="444" t="s">
        <v>395</v>
      </c>
      <c r="G67" s="445" t="s">
        <v>396</v>
      </c>
      <c r="H67" s="378"/>
      <c r="I67" s="378"/>
      <c r="J67" s="378"/>
      <c r="K67" s="379"/>
      <c r="L67" s="379"/>
      <c r="M67" s="380"/>
      <c r="N67" s="379"/>
      <c r="O67" s="379"/>
      <c r="P67" s="379"/>
      <c r="Q67" s="379"/>
      <c r="R67" s="379"/>
      <c r="S67" s="379"/>
      <c r="T67" s="479"/>
      <c r="V67" s="1265"/>
      <c r="W67" s="1266"/>
      <c r="X67" s="1267"/>
      <c r="Y67" s="1170"/>
      <c r="Z67" s="1265"/>
      <c r="AA67" s="1266"/>
      <c r="AB67" s="1267"/>
      <c r="AC67" s="1170"/>
      <c r="AD67" s="1265"/>
      <c r="AE67" s="1266"/>
      <c r="AF67" s="1267"/>
      <c r="AG67" s="1170"/>
      <c r="AH67" s="1265"/>
      <c r="AI67" s="1266"/>
      <c r="AJ67" s="1267"/>
      <c r="AK67" s="1170"/>
      <c r="AL67" s="1265"/>
      <c r="AM67" s="1266"/>
      <c r="AN67" s="1267"/>
      <c r="AO67" s="1170"/>
      <c r="AP67" s="1265"/>
      <c r="AQ67" s="1266"/>
      <c r="AR67" s="1267"/>
      <c r="AS67" s="1170"/>
      <c r="AT67" s="1265"/>
      <c r="AU67" s="1266"/>
      <c r="AV67" s="1267"/>
      <c r="AX67" s="1265"/>
      <c r="AY67" s="1267"/>
    </row>
    <row r="68" spans="1:306" s="89" customFormat="1">
      <c r="A68" s="381" t="s">
        <v>315</v>
      </c>
      <c r="B68" s="382"/>
      <c r="C68" s="383">
        <f>SUM(C73:C87)</f>
        <v>1</v>
      </c>
      <c r="D68" s="384" t="s">
        <v>316</v>
      </c>
      <c r="E68" s="430">
        <f>SUMPRODUCT($BE$8:$BE$11,E69:E72)</f>
        <v>0</v>
      </c>
      <c r="F68" s="431">
        <f>SUMPRODUCT($BE$8:$BE$11,F69:F72)</f>
        <v>0.19237484583631492</v>
      </c>
      <c r="G68" s="432">
        <f>SUMPRODUCT($BE$8:$BE$11,G69:G72)</f>
        <v>0.9052591968929885</v>
      </c>
      <c r="H68" s="451"/>
      <c r="I68" s="463"/>
      <c r="J68" s="463"/>
      <c r="K68" s="464"/>
      <c r="L68" s="464"/>
      <c r="M68" s="452"/>
      <c r="N68" s="464"/>
      <c r="O68" s="464"/>
      <c r="P68" s="464"/>
      <c r="Q68" s="464"/>
      <c r="R68" s="464"/>
      <c r="S68" s="464"/>
      <c r="T68" s="465"/>
      <c r="U68"/>
      <c r="V68" s="1263"/>
      <c r="W68" s="1170"/>
      <c r="X68" s="1171"/>
      <c r="Y68" s="1170"/>
      <c r="Z68" s="1263"/>
      <c r="AA68" s="1170"/>
      <c r="AB68" s="1171"/>
      <c r="AC68" s="1170"/>
      <c r="AD68" s="1263"/>
      <c r="AE68" s="1170"/>
      <c r="AF68" s="1171"/>
      <c r="AG68" s="1170"/>
      <c r="AH68" s="1263"/>
      <c r="AI68" s="1170"/>
      <c r="AJ68" s="1171"/>
      <c r="AK68" s="1170"/>
      <c r="AL68" s="1263"/>
      <c r="AM68" s="1170"/>
      <c r="AN68" s="1171"/>
      <c r="AO68" s="1170"/>
      <c r="AP68" s="1263"/>
      <c r="AQ68" s="1170"/>
      <c r="AR68" s="1171"/>
      <c r="AS68" s="1170"/>
      <c r="AT68" s="1263"/>
      <c r="AU68" s="1170"/>
      <c r="AV68" s="1171"/>
      <c r="AW68"/>
      <c r="AX68" s="1263"/>
      <c r="AY68" s="1171"/>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row>
    <row r="69" spans="1:306">
      <c r="A69" s="19"/>
      <c r="B69" s="24"/>
      <c r="C69" s="24"/>
      <c r="D69" s="174" t="s">
        <v>317</v>
      </c>
      <c r="E69" s="356">
        <f>$C$73*E74+$C$78*E79+$C$83*E84</f>
        <v>0</v>
      </c>
      <c r="F69" s="54">
        <f>$C$73*F74+$C$78*F79+$C$83*F84</f>
        <v>0.14450649106864899</v>
      </c>
      <c r="G69" s="357">
        <f t="shared" ref="F69:T72" si="4">$C$73*G74+$C$78*G79+$C$83*G84</f>
        <v>0.82678648415911005</v>
      </c>
      <c r="H69" s="189">
        <f t="shared" si="4"/>
        <v>0</v>
      </c>
      <c r="I69" s="189">
        <f t="shared" si="4"/>
        <v>0</v>
      </c>
      <c r="J69" s="189">
        <f t="shared" si="4"/>
        <v>0</v>
      </c>
      <c r="K69" s="189">
        <f t="shared" si="4"/>
        <v>0</v>
      </c>
      <c r="L69" s="189">
        <f t="shared" si="4"/>
        <v>0</v>
      </c>
      <c r="M69" s="189">
        <f t="shared" si="4"/>
        <v>0</v>
      </c>
      <c r="N69" s="189">
        <f t="shared" si="4"/>
        <v>0</v>
      </c>
      <c r="O69" s="189">
        <f t="shared" si="4"/>
        <v>0.14450649106864899</v>
      </c>
      <c r="P69" s="189">
        <f t="shared" si="4"/>
        <v>0</v>
      </c>
      <c r="Q69" s="189">
        <f t="shared" si="4"/>
        <v>0.10698826426840817</v>
      </c>
      <c r="R69" s="189">
        <f t="shared" si="4"/>
        <v>0.41228648415911018</v>
      </c>
      <c r="S69" s="189">
        <f t="shared" si="4"/>
        <v>0.30000000000000004</v>
      </c>
      <c r="T69" s="199">
        <f t="shared" si="4"/>
        <v>0.11450000000000002</v>
      </c>
      <c r="V69" s="1263"/>
      <c r="W69" s="1170"/>
      <c r="X69" s="1171"/>
      <c r="Y69" s="1170"/>
      <c r="Z69" s="1263"/>
      <c r="AA69" s="1170"/>
      <c r="AB69" s="1171"/>
      <c r="AC69" s="1170"/>
      <c r="AD69" s="1263"/>
      <c r="AE69" s="1170"/>
      <c r="AF69" s="1171"/>
      <c r="AG69" s="1170"/>
      <c r="AH69" s="1263"/>
      <c r="AI69" s="1170"/>
      <c r="AJ69" s="1171"/>
      <c r="AK69" s="1170"/>
      <c r="AL69" s="1263"/>
      <c r="AM69" s="1170"/>
      <c r="AN69" s="1171"/>
      <c r="AO69" s="1170"/>
      <c r="AP69" s="1263"/>
      <c r="AQ69" s="1170"/>
      <c r="AR69" s="1171"/>
      <c r="AS69" s="1170"/>
      <c r="AT69" s="1263"/>
      <c r="AU69" s="1170"/>
      <c r="AV69" s="1171"/>
      <c r="AX69" s="1263"/>
      <c r="AY69" s="1171"/>
    </row>
    <row r="70" spans="1:306">
      <c r="A70" s="195"/>
      <c r="B70" s="135"/>
      <c r="C70" s="50"/>
      <c r="D70" s="174" t="s">
        <v>367</v>
      </c>
      <c r="E70" s="356">
        <f>$C$73*E75+$C$78*E80+$C$83*E85</f>
        <v>0</v>
      </c>
      <c r="F70" s="54">
        <f t="shared" si="4"/>
        <v>6.4011502827168934E-5</v>
      </c>
      <c r="G70" s="357">
        <f t="shared" si="4"/>
        <v>1.049368898806048E-4</v>
      </c>
      <c r="H70" s="189">
        <f t="shared" si="4"/>
        <v>0</v>
      </c>
      <c r="I70" s="189">
        <f t="shared" si="4"/>
        <v>0</v>
      </c>
      <c r="J70" s="189">
        <f t="shared" si="4"/>
        <v>0</v>
      </c>
      <c r="K70" s="189">
        <f t="shared" si="4"/>
        <v>0</v>
      </c>
      <c r="L70" s="189">
        <f t="shared" si="4"/>
        <v>0</v>
      </c>
      <c r="M70" s="189">
        <f t="shared" si="4"/>
        <v>0</v>
      </c>
      <c r="N70" s="189">
        <f t="shared" si="4"/>
        <v>0</v>
      </c>
      <c r="O70" s="189">
        <f t="shared" si="4"/>
        <v>6.4011502827168934E-5</v>
      </c>
      <c r="P70" s="189">
        <f t="shared" si="4"/>
        <v>0</v>
      </c>
      <c r="Q70" s="189">
        <f t="shared" si="4"/>
        <v>0</v>
      </c>
      <c r="R70" s="189">
        <f t="shared" si="4"/>
        <v>1.049368898806048E-4</v>
      </c>
      <c r="S70" s="189">
        <f t="shared" si="4"/>
        <v>0</v>
      </c>
      <c r="T70" s="199">
        <f t="shared" si="4"/>
        <v>0</v>
      </c>
      <c r="V70" s="1263"/>
      <c r="W70" s="1170"/>
      <c r="X70" s="1171"/>
      <c r="Y70" s="1170"/>
      <c r="Z70" s="1263"/>
      <c r="AA70" s="1170"/>
      <c r="AB70" s="1171"/>
      <c r="AC70" s="1170"/>
      <c r="AD70" s="1263"/>
      <c r="AE70" s="1170"/>
      <c r="AF70" s="1171"/>
      <c r="AG70" s="1170"/>
      <c r="AH70" s="1263"/>
      <c r="AI70" s="1170"/>
      <c r="AJ70" s="1171"/>
      <c r="AK70" s="1170"/>
      <c r="AL70" s="1263"/>
      <c r="AM70" s="1170"/>
      <c r="AN70" s="1171"/>
      <c r="AO70" s="1170"/>
      <c r="AP70" s="1263"/>
      <c r="AQ70" s="1170"/>
      <c r="AR70" s="1171"/>
      <c r="AS70" s="1170"/>
      <c r="AT70" s="1263"/>
      <c r="AU70" s="1170"/>
      <c r="AV70" s="1171"/>
      <c r="AX70" s="1263"/>
      <c r="AY70" s="1171"/>
    </row>
    <row r="71" spans="1:306">
      <c r="A71" s="195"/>
      <c r="B71" s="135"/>
      <c r="C71" s="54"/>
      <c r="D71" s="55" t="s">
        <v>320</v>
      </c>
      <c r="E71" s="356">
        <f>$C$73*E76+$C$78*E81+$C$83*E86</f>
        <v>0</v>
      </c>
      <c r="F71" s="54">
        <f t="shared" si="4"/>
        <v>3.8829457557961531E-6</v>
      </c>
      <c r="G71" s="357">
        <f t="shared" si="4"/>
        <v>6.3654848455674649E-6</v>
      </c>
      <c r="H71" s="189">
        <f t="shared" si="4"/>
        <v>0</v>
      </c>
      <c r="I71" s="189">
        <f t="shared" si="4"/>
        <v>0</v>
      </c>
      <c r="J71" s="189">
        <f t="shared" si="4"/>
        <v>0</v>
      </c>
      <c r="K71" s="189">
        <f t="shared" si="4"/>
        <v>0</v>
      </c>
      <c r="L71" s="189">
        <f t="shared" si="4"/>
        <v>0</v>
      </c>
      <c r="M71" s="189">
        <f t="shared" si="4"/>
        <v>0</v>
      </c>
      <c r="N71" s="189">
        <f t="shared" si="4"/>
        <v>0</v>
      </c>
      <c r="O71" s="189">
        <f t="shared" si="4"/>
        <v>3.8829457557961531E-6</v>
      </c>
      <c r="P71" s="189">
        <f t="shared" si="4"/>
        <v>0</v>
      </c>
      <c r="Q71" s="189">
        <f t="shared" si="4"/>
        <v>0</v>
      </c>
      <c r="R71" s="189">
        <f t="shared" si="4"/>
        <v>6.3654848455674649E-6</v>
      </c>
      <c r="S71" s="189">
        <f t="shared" si="4"/>
        <v>0</v>
      </c>
      <c r="T71" s="199">
        <f t="shared" si="4"/>
        <v>0</v>
      </c>
      <c r="V71" s="1263"/>
      <c r="W71" s="1170"/>
      <c r="X71" s="1171"/>
      <c r="Y71" s="1170"/>
      <c r="Z71" s="1263"/>
      <c r="AA71" s="1170"/>
      <c r="AB71" s="1171"/>
      <c r="AC71" s="1170"/>
      <c r="AD71" s="1263"/>
      <c r="AE71" s="1170"/>
      <c r="AF71" s="1171"/>
      <c r="AG71" s="1170"/>
      <c r="AH71" s="1263"/>
      <c r="AI71" s="1170"/>
      <c r="AJ71" s="1171"/>
      <c r="AK71" s="1170"/>
      <c r="AL71" s="1263"/>
      <c r="AM71" s="1170"/>
      <c r="AN71" s="1171"/>
      <c r="AO71" s="1170"/>
      <c r="AP71" s="1263"/>
      <c r="AQ71" s="1170"/>
      <c r="AR71" s="1171"/>
      <c r="AS71" s="1170"/>
      <c r="AT71" s="1263"/>
      <c r="AU71" s="1170"/>
      <c r="AV71" s="1171"/>
      <c r="AX71" s="1263"/>
      <c r="AY71" s="1171"/>
    </row>
    <row r="72" spans="1:306">
      <c r="A72" s="195"/>
      <c r="B72" s="135"/>
      <c r="C72" s="54"/>
      <c r="D72" s="55" t="s">
        <v>398</v>
      </c>
      <c r="E72" s="356">
        <f>$C$73*E77+$C$78*E82+$C$83*E87</f>
        <v>0</v>
      </c>
      <c r="F72" s="54">
        <f t="shared" si="4"/>
        <v>2.2999999999999997E-5</v>
      </c>
      <c r="G72" s="357">
        <f t="shared" si="4"/>
        <v>3.7704918032786885E-5</v>
      </c>
      <c r="H72" s="189">
        <f t="shared" si="4"/>
        <v>0</v>
      </c>
      <c r="I72" s="189">
        <f t="shared" si="4"/>
        <v>0</v>
      </c>
      <c r="J72" s="189">
        <f t="shared" si="4"/>
        <v>0</v>
      </c>
      <c r="K72" s="189">
        <f t="shared" si="4"/>
        <v>0</v>
      </c>
      <c r="L72" s="189">
        <f t="shared" si="4"/>
        <v>0</v>
      </c>
      <c r="M72" s="189">
        <f t="shared" si="4"/>
        <v>0</v>
      </c>
      <c r="N72" s="189">
        <f t="shared" si="4"/>
        <v>0</v>
      </c>
      <c r="O72" s="189">
        <f t="shared" si="4"/>
        <v>0</v>
      </c>
      <c r="P72" s="189">
        <f t="shared" si="4"/>
        <v>2.2999999999999997E-5</v>
      </c>
      <c r="Q72" s="189">
        <f t="shared" si="4"/>
        <v>0</v>
      </c>
      <c r="R72" s="189">
        <f t="shared" si="4"/>
        <v>3.7704918032786885E-5</v>
      </c>
      <c r="S72" s="189">
        <f t="shared" si="4"/>
        <v>0</v>
      </c>
      <c r="T72" s="199">
        <f t="shared" si="4"/>
        <v>0</v>
      </c>
      <c r="V72" s="1263"/>
      <c r="W72" s="1170"/>
      <c r="X72" s="1171"/>
      <c r="Y72" s="1170"/>
      <c r="Z72" s="1263"/>
      <c r="AA72" s="1170"/>
      <c r="AB72" s="1171"/>
      <c r="AC72" s="1170"/>
      <c r="AD72" s="1263"/>
      <c r="AE72" s="1170"/>
      <c r="AF72" s="1171"/>
      <c r="AG72" s="1170"/>
      <c r="AH72" s="1263"/>
      <c r="AI72" s="1170"/>
      <c r="AJ72" s="1171"/>
      <c r="AK72" s="1170"/>
      <c r="AL72" s="1263"/>
      <c r="AM72" s="1170"/>
      <c r="AN72" s="1171"/>
      <c r="AO72" s="1170"/>
      <c r="AP72" s="1263"/>
      <c r="AQ72" s="1170"/>
      <c r="AR72" s="1171"/>
      <c r="AS72" s="1170"/>
      <c r="AT72" s="1263"/>
      <c r="AU72" s="1170"/>
      <c r="AV72" s="1171"/>
      <c r="AX72" s="1263"/>
      <c r="AY72" s="1171"/>
    </row>
    <row r="73" spans="1:306">
      <c r="A73" s="466" t="s">
        <v>224</v>
      </c>
      <c r="B73" s="481" t="s">
        <v>225</v>
      </c>
      <c r="C73" s="481">
        <f>'Input data fish and seafood'!E11</f>
        <v>0.03</v>
      </c>
      <c r="D73" s="355" t="s">
        <v>316</v>
      </c>
      <c r="E73" s="467">
        <f>SUMPRODUCT($BE$8:$BE$11,E74:E77)</f>
        <v>0</v>
      </c>
      <c r="F73" s="468">
        <f>SUMPRODUCT($BE$8:$BE$11,F74:F77)</f>
        <v>0.50537639323848405</v>
      </c>
      <c r="G73" s="469">
        <f>SUMPRODUCT($BE$8:$BE$11,G74:G77)</f>
        <v>1.4183764877162168</v>
      </c>
      <c r="H73" s="385"/>
      <c r="I73" s="211"/>
      <c r="J73" s="211"/>
      <c r="K73" s="470"/>
      <c r="L73" s="470"/>
      <c r="M73" s="470"/>
      <c r="N73" s="470"/>
      <c r="O73" s="470"/>
      <c r="P73" s="470"/>
      <c r="Q73" s="470"/>
      <c r="R73" s="470"/>
      <c r="S73" s="470"/>
      <c r="T73" s="471"/>
      <c r="V73" s="1263"/>
      <c r="W73" s="1170"/>
      <c r="X73" s="1171"/>
      <c r="Y73" s="1170"/>
      <c r="Z73" s="1263"/>
      <c r="AA73" s="1170"/>
      <c r="AB73" s="1171"/>
      <c r="AC73" s="1170"/>
      <c r="AD73" s="1263"/>
      <c r="AE73" s="1170"/>
      <c r="AF73" s="1171"/>
      <c r="AG73" s="1170"/>
      <c r="AH73" s="1263"/>
      <c r="AI73" s="1170"/>
      <c r="AJ73" s="1171"/>
      <c r="AK73" s="1170"/>
      <c r="AL73" s="1263"/>
      <c r="AM73" s="1170"/>
      <c r="AN73" s="1171"/>
      <c r="AO73" s="1170"/>
      <c r="AP73" s="1263"/>
      <c r="AQ73" s="1170"/>
      <c r="AR73" s="1171"/>
      <c r="AS73" s="1170"/>
      <c r="AT73" s="1263"/>
      <c r="AU73" s="1170"/>
      <c r="AV73" s="1171"/>
      <c r="AX73" s="1263"/>
      <c r="AY73" s="1171"/>
    </row>
    <row r="74" spans="1:306">
      <c r="A74" s="68"/>
      <c r="B74" s="69"/>
      <c r="C74" s="24"/>
      <c r="D74" s="174" t="s">
        <v>317</v>
      </c>
      <c r="E74" s="455">
        <f>IF(AND($F$2="No",$F$3="No"),SUM(J74),IF(AND($F$2="Yes", $F$3="No"), SUM(J74)+L74, IF(AND($F$2="No", $F$3="Yes"),SUM(J74)+K74, SUM(J74)+L74+K74)))</f>
        <v>0</v>
      </c>
      <c r="F74" s="17">
        <f>IF(AND($F$2="No",$F$3="No"),SUM(H74:J74,M74:P74),IF(AND($F$2="Yes", $F$3="No"), SUM(H74:J74,M74:P74)+L74, IF(AND($F$2="No", $F$3="Yes"),SUM(H74:J74,M74:P74)+K74, SUM(H74:J74,M74:P74)+L74+K74)))</f>
        <v>0.45158278458952811</v>
      </c>
      <c r="G74" s="357">
        <f>SUM(R74:T74)/(1-'Common input data'!B$144)</f>
        <v>1.3301902440294038</v>
      </c>
      <c r="H74" s="189">
        <v>0</v>
      </c>
      <c r="I74" s="189">
        <v>0</v>
      </c>
      <c r="J74" s="189">
        <v>0</v>
      </c>
      <c r="K74" s="189">
        <v>0</v>
      </c>
      <c r="L74" s="189">
        <v>0</v>
      </c>
      <c r="M74" s="189">
        <v>0</v>
      </c>
      <c r="N74" s="189">
        <v>0</v>
      </c>
      <c r="O74" s="189">
        <f>'Input data fish and seafood'!G11*'Input data fish and seafood'!B42</f>
        <v>0.45158278458952811</v>
      </c>
      <c r="P74" s="189">
        <v>0</v>
      </c>
      <c r="Q74" s="189">
        <f>'Input data fish and seafood'!B107*('Input data fish and seafood'!B114*'Common input data'!B80+'Input data fish and seafood'!C114*'Common input data'!C80)</f>
        <v>0.10698826426840817</v>
      </c>
      <c r="R74" s="186">
        <f>(F74+Q74)/'Input data fish and seafood'!$H$11</f>
        <v>0.9156902440294038</v>
      </c>
      <c r="S74" s="189">
        <f>'Common input data'!B110</f>
        <v>0.3</v>
      </c>
      <c r="T74" s="199">
        <f>'Input data fish and seafood'!B128*'Common input data'!B115+'Input data fish and seafood'!C128*'Common input data'!B119+'Common input data'!C115</f>
        <v>0.11450000000000002</v>
      </c>
      <c r="V74" s="1263"/>
      <c r="W74" s="1170"/>
      <c r="X74" s="1171"/>
      <c r="Y74" s="1170"/>
      <c r="Z74" s="1263"/>
      <c r="AA74" s="1170"/>
      <c r="AB74" s="1171"/>
      <c r="AC74" s="1170"/>
      <c r="AD74" s="1263"/>
      <c r="AE74" s="1170"/>
      <c r="AF74" s="1171"/>
      <c r="AG74" s="1170"/>
      <c r="AH74" s="1263"/>
      <c r="AI74" s="1170"/>
      <c r="AJ74" s="1171"/>
      <c r="AK74" s="1170"/>
      <c r="AL74" s="1263"/>
      <c r="AM74" s="1170"/>
      <c r="AN74" s="1171"/>
      <c r="AO74" s="1170"/>
      <c r="AP74" s="1263"/>
      <c r="AQ74" s="1170"/>
      <c r="AR74" s="1171"/>
      <c r="AS74" s="1170"/>
      <c r="AT74" s="1263"/>
      <c r="AU74" s="1170"/>
      <c r="AV74" s="1171"/>
      <c r="AX74" s="1263"/>
      <c r="AY74" s="1171"/>
    </row>
    <row r="75" spans="1:306">
      <c r="A75" s="472"/>
      <c r="C75" s="473"/>
      <c r="D75" s="174" t="s">
        <v>367</v>
      </c>
      <c r="E75" s="356">
        <v>0</v>
      </c>
      <c r="F75" s="17">
        <f>SUM(H75:J75,M75:P75)</f>
        <v>2.0003594633490293E-4</v>
      </c>
      <c r="G75" s="357">
        <f>SUM(R75:T75)/(1-'Common input data'!B$144)</f>
        <v>3.2792778087689005E-4</v>
      </c>
      <c r="H75" s="189">
        <v>0</v>
      </c>
      <c r="I75" s="189">
        <v>0</v>
      </c>
      <c r="J75" s="189">
        <v>0</v>
      </c>
      <c r="K75" s="189">
        <v>0</v>
      </c>
      <c r="L75" s="189">
        <v>0</v>
      </c>
      <c r="M75" s="189">
        <v>0</v>
      </c>
      <c r="N75" s="189">
        <v>0</v>
      </c>
      <c r="O75" s="189">
        <f>'Input data fish and seafood'!G11*'Input data fish and seafood'!B43</f>
        <v>2.0003594633490293E-4</v>
      </c>
      <c r="P75" s="189">
        <v>0</v>
      </c>
      <c r="Q75" s="189">
        <v>0</v>
      </c>
      <c r="R75" s="186">
        <f>(F75+Q75)/'Input data fish and seafood'!$H$11</f>
        <v>3.2792778087689005E-4</v>
      </c>
      <c r="S75" s="189">
        <v>0</v>
      </c>
      <c r="T75" s="199">
        <v>0</v>
      </c>
      <c r="V75" s="1263"/>
      <c r="W75" s="1170"/>
      <c r="X75" s="1171"/>
      <c r="Y75" s="1170"/>
      <c r="Z75" s="1263"/>
      <c r="AA75" s="1170"/>
      <c r="AB75" s="1171"/>
      <c r="AC75" s="1170"/>
      <c r="AD75" s="1263"/>
      <c r="AE75" s="1170"/>
      <c r="AF75" s="1171"/>
      <c r="AG75" s="1170"/>
      <c r="AH75" s="1263"/>
      <c r="AI75" s="1170"/>
      <c r="AJ75" s="1171"/>
      <c r="AK75" s="1170"/>
      <c r="AL75" s="1263"/>
      <c r="AM75" s="1170"/>
      <c r="AN75" s="1171"/>
      <c r="AO75" s="1170"/>
      <c r="AP75" s="1263"/>
      <c r="AQ75" s="1170"/>
      <c r="AR75" s="1171"/>
      <c r="AS75" s="1170"/>
      <c r="AT75" s="1263"/>
      <c r="AU75" s="1170"/>
      <c r="AV75" s="1171"/>
      <c r="AX75" s="1263"/>
      <c r="AY75" s="1171"/>
    </row>
    <row r="76" spans="1:306">
      <c r="A76" s="359"/>
      <c r="C76" s="54"/>
      <c r="D76" s="55" t="s">
        <v>320</v>
      </c>
      <c r="E76" s="356">
        <v>0</v>
      </c>
      <c r="F76" s="17">
        <f>SUM(H76:J76,M76:P76)</f>
        <v>1.213420548686298E-5</v>
      </c>
      <c r="G76" s="357">
        <f>SUM(R76:T76)/(1-'Common input data'!B$144)</f>
        <v>1.9892140142398329E-5</v>
      </c>
      <c r="H76" s="189">
        <v>0</v>
      </c>
      <c r="I76" s="189">
        <v>0</v>
      </c>
      <c r="J76" s="189">
        <v>0</v>
      </c>
      <c r="K76" s="189">
        <v>0</v>
      </c>
      <c r="L76" s="189">
        <v>0</v>
      </c>
      <c r="M76" s="189">
        <v>0</v>
      </c>
      <c r="N76" s="189">
        <v>0</v>
      </c>
      <c r="O76" s="189">
        <f>'Input data fish and seafood'!G11*'Input data fish and seafood'!B44</f>
        <v>1.213420548686298E-5</v>
      </c>
      <c r="P76" s="189">
        <v>0</v>
      </c>
      <c r="Q76" s="189">
        <v>0</v>
      </c>
      <c r="R76" s="186">
        <f>(F76+Q76)/'Input data fish and seafood'!$H$11</f>
        <v>1.9892140142398329E-5</v>
      </c>
      <c r="S76" s="189">
        <v>0</v>
      </c>
      <c r="T76" s="199">
        <v>0</v>
      </c>
      <c r="V76" s="1263"/>
      <c r="W76" s="1170"/>
      <c r="X76" s="1171"/>
      <c r="Y76" s="1170"/>
      <c r="Z76" s="1263"/>
      <c r="AA76" s="1170"/>
      <c r="AB76" s="1171"/>
      <c r="AC76" s="1170"/>
      <c r="AD76" s="1263"/>
      <c r="AE76" s="1170"/>
      <c r="AF76" s="1171"/>
      <c r="AG76" s="1170"/>
      <c r="AH76" s="1263"/>
      <c r="AI76" s="1170"/>
      <c r="AJ76" s="1171"/>
      <c r="AK76" s="1170"/>
      <c r="AL76" s="1263"/>
      <c r="AM76" s="1170"/>
      <c r="AN76" s="1171"/>
      <c r="AO76" s="1170"/>
      <c r="AP76" s="1263"/>
      <c r="AQ76" s="1170"/>
      <c r="AR76" s="1171"/>
      <c r="AS76" s="1170"/>
      <c r="AT76" s="1263"/>
      <c r="AU76" s="1170"/>
      <c r="AV76" s="1171"/>
      <c r="AX76" s="1263"/>
      <c r="AY76" s="1171"/>
    </row>
    <row r="77" spans="1:306">
      <c r="A77" s="359"/>
      <c r="C77" s="54"/>
      <c r="D77" s="55" t="s">
        <v>398</v>
      </c>
      <c r="E77" s="356">
        <v>0</v>
      </c>
      <c r="F77" s="17">
        <f>SUM(H77:J77,M77:P77)</f>
        <v>2.3E-5</v>
      </c>
      <c r="G77" s="357">
        <f>SUM(R77:T77)/(1-'Common input data'!B$144)</f>
        <v>3.7704918032786885E-5</v>
      </c>
      <c r="H77" s="189">
        <v>0</v>
      </c>
      <c r="I77" s="189">
        <v>0</v>
      </c>
      <c r="J77" s="189">
        <v>0</v>
      </c>
      <c r="K77" s="189">
        <v>0</v>
      </c>
      <c r="L77" s="189">
        <v>0</v>
      </c>
      <c r="M77" s="189">
        <v>0</v>
      </c>
      <c r="N77" s="189">
        <v>0</v>
      </c>
      <c r="O77" s="189">
        <v>0</v>
      </c>
      <c r="P77" s="189">
        <f>'Input data fish and seafood'!B49</f>
        <v>2.3E-5</v>
      </c>
      <c r="Q77" s="189">
        <v>0</v>
      </c>
      <c r="R77" s="186">
        <f>(F77+Q77)/'Input data fish and seafood'!$H$11</f>
        <v>3.7704918032786885E-5</v>
      </c>
      <c r="S77" s="189">
        <v>0</v>
      </c>
      <c r="T77" s="199">
        <v>0</v>
      </c>
      <c r="V77" s="1263"/>
      <c r="W77" s="1170"/>
      <c r="X77" s="1171"/>
      <c r="Y77" s="1170"/>
      <c r="Z77" s="1263"/>
      <c r="AA77" s="1170"/>
      <c r="AB77" s="1171"/>
      <c r="AC77" s="1170"/>
      <c r="AD77" s="1263"/>
      <c r="AE77" s="1170"/>
      <c r="AF77" s="1171"/>
      <c r="AG77" s="1170"/>
      <c r="AH77" s="1263"/>
      <c r="AI77" s="1170"/>
      <c r="AJ77" s="1171"/>
      <c r="AK77" s="1170"/>
      <c r="AL77" s="1263"/>
      <c r="AM77" s="1170"/>
      <c r="AN77" s="1171"/>
      <c r="AO77" s="1170"/>
      <c r="AP77" s="1263"/>
      <c r="AQ77" s="1170"/>
      <c r="AR77" s="1171"/>
      <c r="AS77" s="1170"/>
      <c r="AT77" s="1263"/>
      <c r="AU77" s="1170"/>
      <c r="AV77" s="1171"/>
      <c r="AX77" s="1263"/>
      <c r="AY77" s="1171"/>
    </row>
    <row r="78" spans="1:306">
      <c r="A78" s="466" t="s">
        <v>224</v>
      </c>
      <c r="B78" s="481" t="s">
        <v>226</v>
      </c>
      <c r="C78" s="481">
        <f>'Input data fish and seafood'!E12</f>
        <v>0.88</v>
      </c>
      <c r="D78" s="355" t="s">
        <v>316</v>
      </c>
      <c r="E78" s="467">
        <f>SUMPRODUCT($BE$8:$BE$11,E79:E82)</f>
        <v>0</v>
      </c>
      <c r="F78" s="468">
        <f>SUMPRODUCT($BE$8:$BE$11,F79:F82)</f>
        <v>0.17659325521099545</v>
      </c>
      <c r="G78" s="469">
        <f>SUMPRODUCT($BE$8:$BE$11,G79:G82)</f>
        <v>0.87938773685148131</v>
      </c>
      <c r="H78" s="385"/>
      <c r="I78" s="211"/>
      <c r="J78" s="211"/>
      <c r="K78" s="470"/>
      <c r="L78" s="470"/>
      <c r="M78" s="470"/>
      <c r="N78" s="470"/>
      <c r="O78" s="470"/>
      <c r="P78" s="470"/>
      <c r="Q78" s="470"/>
      <c r="R78" s="470"/>
      <c r="S78" s="470"/>
      <c r="T78" s="471"/>
      <c r="V78" s="1263"/>
      <c r="W78" s="1170"/>
      <c r="X78" s="1171"/>
      <c r="Y78" s="1170"/>
      <c r="Z78" s="1263"/>
      <c r="AA78" s="1170"/>
      <c r="AB78" s="1171"/>
      <c r="AC78" s="1170"/>
      <c r="AD78" s="1263"/>
      <c r="AE78" s="1170"/>
      <c r="AF78" s="1171"/>
      <c r="AG78" s="1170"/>
      <c r="AH78" s="1263"/>
      <c r="AI78" s="1170"/>
      <c r="AJ78" s="1171"/>
      <c r="AK78" s="1170"/>
      <c r="AL78" s="1263"/>
      <c r="AM78" s="1170"/>
      <c r="AN78" s="1171"/>
      <c r="AO78" s="1170"/>
      <c r="AP78" s="1263"/>
      <c r="AQ78" s="1170"/>
      <c r="AR78" s="1171"/>
      <c r="AS78" s="1170"/>
      <c r="AT78" s="1263"/>
      <c r="AU78" s="1170"/>
      <c r="AV78" s="1171"/>
      <c r="AX78" s="1263"/>
      <c r="AY78" s="1171"/>
    </row>
    <row r="79" spans="1:306">
      <c r="A79" s="68"/>
      <c r="C79" s="24"/>
      <c r="D79" s="174" t="s">
        <v>317</v>
      </c>
      <c r="E79" s="455">
        <f>IF(AND($F$2="No",$F$3="No"),SUM(J79),IF(AND($F$2="Yes", $F$3="No"), SUM(J79)+L79, IF(AND($F$2="No", $F$3="Yes"),SUM(J79)+K79, SUM(J79)+L79+K79)))</f>
        <v>0</v>
      </c>
      <c r="F79" s="17">
        <f>IF(AND($F$2="No",$F$3="No"),SUM(H79:J79,M79:P79),IF(AND($F$2="Yes", $F$3="No"), SUM(H79:J79,M79:P79)+L79, IF(AND($F$2="No", $F$3="Yes"),SUM(H79:J79,M79:P79)+K79, SUM(H79:J79,M79:P79)+L79+K79)))</f>
        <v>0.12902365273986516</v>
      </c>
      <c r="G79" s="357">
        <f>SUM(R79:T79)/(1-'Common input data'!B$144)</f>
        <v>0.80140478198077603</v>
      </c>
      <c r="H79" s="189">
        <v>0</v>
      </c>
      <c r="I79" s="189">
        <v>0</v>
      </c>
      <c r="J79" s="189">
        <v>0</v>
      </c>
      <c r="K79" s="189">
        <v>0</v>
      </c>
      <c r="L79" s="189">
        <v>0</v>
      </c>
      <c r="M79" s="189">
        <v>0</v>
      </c>
      <c r="N79" s="189">
        <v>0</v>
      </c>
      <c r="O79" s="483">
        <f>'Input data fish and seafood'!G12*'Input data fish and seafood'!B42</f>
        <v>0.12902365273986516</v>
      </c>
      <c r="P79" s="186">
        <v>0</v>
      </c>
      <c r="Q79" s="186">
        <f>'Input data fish and seafood'!B107*('Input data fish and seafood'!B114*'Common input data'!B80+'Input data fish and seafood'!C114*'Common input data'!C80)</f>
        <v>0.10698826426840817</v>
      </c>
      <c r="R79" s="186">
        <f>(F79+Q79)/'Input data fish and seafood'!$H$12</f>
        <v>0.38690478198077599</v>
      </c>
      <c r="S79" s="186">
        <f>'Common input data'!B110</f>
        <v>0.3</v>
      </c>
      <c r="T79" s="200">
        <f>'Input data fish and seafood'!B128*'Common input data'!B115+'Input data fish and seafood'!C128*'Common input data'!B119+'Common input data'!C115</f>
        <v>0.11450000000000002</v>
      </c>
      <c r="V79" s="1263"/>
      <c r="W79" s="1170"/>
      <c r="X79" s="1171"/>
      <c r="Y79" s="1170"/>
      <c r="Z79" s="1263"/>
      <c r="AA79" s="1170"/>
      <c r="AB79" s="1171"/>
      <c r="AC79" s="1170"/>
      <c r="AD79" s="1263"/>
      <c r="AE79" s="1170"/>
      <c r="AF79" s="1171"/>
      <c r="AG79" s="1170"/>
      <c r="AH79" s="1263"/>
      <c r="AI79" s="1170"/>
      <c r="AJ79" s="1171"/>
      <c r="AK79" s="1170"/>
      <c r="AL79" s="1263"/>
      <c r="AM79" s="1170"/>
      <c r="AN79" s="1171"/>
      <c r="AO79" s="1170"/>
      <c r="AP79" s="1263"/>
      <c r="AQ79" s="1170"/>
      <c r="AR79" s="1171"/>
      <c r="AS79" s="1170"/>
      <c r="AT79" s="1263"/>
      <c r="AU79" s="1170"/>
      <c r="AV79" s="1171"/>
      <c r="AX79" s="1263"/>
      <c r="AY79" s="1171"/>
    </row>
    <row r="80" spans="1:306">
      <c r="A80" s="68"/>
      <c r="C80" s="55"/>
      <c r="D80" s="174" t="s">
        <v>367</v>
      </c>
      <c r="E80" s="356">
        <v>0</v>
      </c>
      <c r="F80" s="17">
        <f>SUM(H80:J80,M80:P80)</f>
        <v>5.7153127524257972E-5</v>
      </c>
      <c r="G80" s="357">
        <f>SUM(R80:T80)/(1-'Common input data'!B$144)</f>
        <v>9.369365167911143E-5</v>
      </c>
      <c r="H80" s="189">
        <v>0</v>
      </c>
      <c r="I80" s="189">
        <v>0</v>
      </c>
      <c r="J80" s="189">
        <v>0</v>
      </c>
      <c r="K80" s="189">
        <v>0</v>
      </c>
      <c r="L80" s="189">
        <v>0</v>
      </c>
      <c r="M80" s="189">
        <v>0</v>
      </c>
      <c r="N80" s="189">
        <v>0</v>
      </c>
      <c r="O80" s="484">
        <f>'Input data fish and seafood'!G12*'Input data fish and seafood'!B43</f>
        <v>5.7153127524257972E-5</v>
      </c>
      <c r="P80" s="186">
        <v>0</v>
      </c>
      <c r="Q80" s="189">
        <v>0</v>
      </c>
      <c r="R80" s="186">
        <f>(F80+Q80)/'Input data fish and seafood'!$H$12</f>
        <v>9.369365167911143E-5</v>
      </c>
      <c r="S80" s="189">
        <v>0</v>
      </c>
      <c r="T80" s="199">
        <v>0</v>
      </c>
      <c r="V80" s="1263"/>
      <c r="W80" s="1170"/>
      <c r="X80" s="1171"/>
      <c r="Y80" s="1170"/>
      <c r="Z80" s="1263"/>
      <c r="AA80" s="1170"/>
      <c r="AB80" s="1171"/>
      <c r="AC80" s="1170"/>
      <c r="AD80" s="1263"/>
      <c r="AE80" s="1170"/>
      <c r="AF80" s="1171"/>
      <c r="AG80" s="1170"/>
      <c r="AH80" s="1263"/>
      <c r="AI80" s="1170"/>
      <c r="AJ80" s="1171"/>
      <c r="AK80" s="1170"/>
      <c r="AL80" s="1263"/>
      <c r="AM80" s="1170"/>
      <c r="AN80" s="1171"/>
      <c r="AO80" s="1170"/>
      <c r="AP80" s="1263"/>
      <c r="AQ80" s="1170"/>
      <c r="AR80" s="1171"/>
      <c r="AS80" s="1170"/>
      <c r="AT80" s="1263"/>
      <c r="AU80" s="1170"/>
      <c r="AV80" s="1171"/>
      <c r="AX80" s="1263"/>
      <c r="AY80" s="1171"/>
    </row>
    <row r="81" spans="1:306">
      <c r="A81" s="68"/>
      <c r="C81" s="54"/>
      <c r="D81" s="55" t="s">
        <v>320</v>
      </c>
      <c r="E81" s="356">
        <v>0</v>
      </c>
      <c r="F81" s="17">
        <f>SUM(H81:J81,M81:P81)</f>
        <v>3.4669158533894226E-6</v>
      </c>
      <c r="G81" s="357">
        <f>SUM(R81:T81)/(1-'Common input data'!B$144)</f>
        <v>5.6834686121138073E-6</v>
      </c>
      <c r="H81" s="189">
        <v>0</v>
      </c>
      <c r="I81" s="189">
        <v>0</v>
      </c>
      <c r="J81" s="189">
        <v>0</v>
      </c>
      <c r="K81" s="189">
        <v>0</v>
      </c>
      <c r="L81" s="189">
        <v>0</v>
      </c>
      <c r="M81" s="189">
        <v>0</v>
      </c>
      <c r="N81" s="189">
        <v>0</v>
      </c>
      <c r="O81" s="186">
        <f>'Input data fish and seafood'!G12*'Input data fish and seafood'!B44</f>
        <v>3.4669158533894226E-6</v>
      </c>
      <c r="P81" s="189">
        <v>0</v>
      </c>
      <c r="Q81" s="485">
        <v>0</v>
      </c>
      <c r="R81" s="186">
        <f>(F81+Q81)/'Input data fish and seafood'!$H$12</f>
        <v>5.6834686121138073E-6</v>
      </c>
      <c r="S81" s="361">
        <v>0</v>
      </c>
      <c r="T81" s="199">
        <v>0</v>
      </c>
      <c r="V81" s="1263"/>
      <c r="W81" s="1170"/>
      <c r="X81" s="1171"/>
      <c r="Y81" s="1170"/>
      <c r="Z81" s="1263"/>
      <c r="AA81" s="1170"/>
      <c r="AB81" s="1171"/>
      <c r="AC81" s="1170"/>
      <c r="AD81" s="1263"/>
      <c r="AE81" s="1170"/>
      <c r="AF81" s="1171"/>
      <c r="AG81" s="1170"/>
      <c r="AH81" s="1263"/>
      <c r="AI81" s="1170"/>
      <c r="AJ81" s="1171"/>
      <c r="AK81" s="1170"/>
      <c r="AL81" s="1263"/>
      <c r="AM81" s="1170"/>
      <c r="AN81" s="1171"/>
      <c r="AO81" s="1170"/>
      <c r="AP81" s="1263"/>
      <c r="AQ81" s="1170"/>
      <c r="AR81" s="1171"/>
      <c r="AS81" s="1170"/>
      <c r="AT81" s="1263"/>
      <c r="AU81" s="1170"/>
      <c r="AV81" s="1171"/>
      <c r="AX81" s="1263"/>
      <c r="AY81" s="1171"/>
    </row>
    <row r="82" spans="1:306">
      <c r="A82" s="68"/>
      <c r="B82" s="55"/>
      <c r="C82" s="54"/>
      <c r="D82" s="55" t="s">
        <v>398</v>
      </c>
      <c r="E82" s="356">
        <v>0</v>
      </c>
      <c r="F82" s="17">
        <f>SUM(H82:J82,M82:P82)</f>
        <v>2.3E-5</v>
      </c>
      <c r="G82" s="357">
        <f>SUM(R82:T82)/(1-'Common input data'!B$144)</f>
        <v>3.7704918032786885E-5</v>
      </c>
      <c r="H82" s="189">
        <v>0</v>
      </c>
      <c r="I82" s="189">
        <v>0</v>
      </c>
      <c r="J82" s="189">
        <v>0</v>
      </c>
      <c r="K82" s="189">
        <v>0</v>
      </c>
      <c r="L82" s="189">
        <v>0</v>
      </c>
      <c r="M82" s="189">
        <v>0</v>
      </c>
      <c r="N82" s="189">
        <v>0</v>
      </c>
      <c r="O82" s="186">
        <v>0</v>
      </c>
      <c r="P82" s="186">
        <f>'Input data fish and seafood'!B49</f>
        <v>2.3E-5</v>
      </c>
      <c r="Q82" s="186">
        <v>0</v>
      </c>
      <c r="R82" s="186">
        <f>(F82+Q82)/'Input data fish and seafood'!$H$12</f>
        <v>3.7704918032786885E-5</v>
      </c>
      <c r="S82" s="189">
        <v>0</v>
      </c>
      <c r="T82" s="199">
        <v>0</v>
      </c>
      <c r="V82" s="1263"/>
      <c r="W82" s="1170"/>
      <c r="X82" s="1171"/>
      <c r="Y82" s="1170"/>
      <c r="Z82" s="1263"/>
      <c r="AA82" s="1170"/>
      <c r="AB82" s="1171"/>
      <c r="AC82" s="1170"/>
      <c r="AD82" s="1263"/>
      <c r="AE82" s="1170"/>
      <c r="AF82" s="1171"/>
      <c r="AG82" s="1170"/>
      <c r="AH82" s="1263"/>
      <c r="AI82" s="1170"/>
      <c r="AJ82" s="1171"/>
      <c r="AK82" s="1170"/>
      <c r="AL82" s="1263"/>
      <c r="AM82" s="1170"/>
      <c r="AN82" s="1171"/>
      <c r="AO82" s="1170"/>
      <c r="AP82" s="1263"/>
      <c r="AQ82" s="1170"/>
      <c r="AR82" s="1171"/>
      <c r="AS82" s="1170"/>
      <c r="AT82" s="1263"/>
      <c r="AU82" s="1170"/>
      <c r="AV82" s="1171"/>
      <c r="AX82" s="1263"/>
      <c r="AY82" s="1171"/>
    </row>
    <row r="83" spans="1:306">
      <c r="A83" s="466" t="s">
        <v>224</v>
      </c>
      <c r="B83" s="481" t="s">
        <v>227</v>
      </c>
      <c r="C83" s="164">
        <f>'Input data fish and seafood'!E13</f>
        <v>0.09</v>
      </c>
      <c r="D83" s="355" t="s">
        <v>316</v>
      </c>
      <c r="E83" s="467">
        <f>SUMPRODUCT($BE$8:$BE$11,E84:E87)</f>
        <v>0</v>
      </c>
      <c r="F83" s="468">
        <f>SUMPRODUCT($BE$8:$BE$11,F84:F87)</f>
        <v>0.24234988281649314</v>
      </c>
      <c r="G83" s="469">
        <f>SUMPRODUCT($BE$8:$BE$11,G84:G87)</f>
        <v>0.98718548702442843</v>
      </c>
      <c r="H83" s="385"/>
      <c r="I83" s="211"/>
      <c r="J83" s="211"/>
      <c r="K83" s="470"/>
      <c r="L83" s="470"/>
      <c r="M83" s="470"/>
      <c r="N83" s="470"/>
      <c r="O83" s="470"/>
      <c r="P83" s="470"/>
      <c r="Q83" s="470"/>
      <c r="R83" s="470"/>
      <c r="S83" s="470"/>
      <c r="T83" s="471"/>
      <c r="V83" s="1263"/>
      <c r="W83" s="1170"/>
      <c r="X83" s="1171"/>
      <c r="Y83" s="1170"/>
      <c r="Z83" s="1263"/>
      <c r="AA83" s="1170"/>
      <c r="AB83" s="1171"/>
      <c r="AC83" s="1170"/>
      <c r="AD83" s="1263"/>
      <c r="AE83" s="1170"/>
      <c r="AF83" s="1171"/>
      <c r="AG83" s="1170"/>
      <c r="AH83" s="1263"/>
      <c r="AI83" s="1170"/>
      <c r="AJ83" s="1171"/>
      <c r="AK83" s="1170"/>
      <c r="AL83" s="1263"/>
      <c r="AM83" s="1170"/>
      <c r="AN83" s="1171"/>
      <c r="AO83" s="1170"/>
      <c r="AP83" s="1263"/>
      <c r="AQ83" s="1170"/>
      <c r="AR83" s="1171"/>
      <c r="AS83" s="1170"/>
      <c r="AT83" s="1263"/>
      <c r="AU83" s="1170"/>
      <c r="AV83" s="1171"/>
      <c r="AX83" s="1263"/>
      <c r="AY83" s="1171"/>
    </row>
    <row r="84" spans="1:306">
      <c r="A84" s="68"/>
      <c r="B84" s="55"/>
      <c r="C84" s="24"/>
      <c r="D84" s="174" t="s">
        <v>317</v>
      </c>
      <c r="E84" s="455">
        <f>IF(AND($F$2="No",$F$3="No"),SUM(J84),IF(AND($F$2="Yes", $F$3="No"), SUM(J84)+L84, IF(AND($F$2="No", $F$3="Yes"),SUM(J84)+K84, SUM(J84)+L84+K84)))</f>
        <v>0</v>
      </c>
      <c r="F84" s="17">
        <f>IF(AND($F$2="No",$F$3="No"),SUM(H84:J84,M84:P84),IF(AND($F$2="Yes", $F$3="No"), SUM(H84:J84,M84:P84)+L84, IF(AND($F$2="No", $F$3="Yes"),SUM(H84:J84,M84:P84)+K84, SUM(H84:J84,M84:P84)+L84+K84)))</f>
        <v>0.19353547910979774</v>
      </c>
      <c r="G84" s="357">
        <f>SUM(R84:T84)/(1-'Common input data'!B$144)</f>
        <v>0.90716187439050155</v>
      </c>
      <c r="H84" s="189">
        <v>0</v>
      </c>
      <c r="I84" s="189">
        <v>0</v>
      </c>
      <c r="J84" s="189">
        <v>0</v>
      </c>
      <c r="K84" s="189">
        <v>0</v>
      </c>
      <c r="L84" s="189">
        <v>0</v>
      </c>
      <c r="M84" s="189">
        <v>0</v>
      </c>
      <c r="N84" s="189">
        <v>0</v>
      </c>
      <c r="O84" s="186">
        <f>'Input data fish and seafood'!G13*'Input data fish and seafood'!B42</f>
        <v>0.19353547910979774</v>
      </c>
      <c r="P84" s="186">
        <v>0</v>
      </c>
      <c r="Q84" s="186">
        <f>'Input data fish and seafood'!B107*('Input data fish and seafood'!B114*'Common input data'!B80+'Input data fish and seafood'!C114*'Common input data'!C80)</f>
        <v>0.10698826426840817</v>
      </c>
      <c r="R84" s="186">
        <f>(F84+Q84)/'Input data fish and seafood'!$H$13</f>
        <v>0.49266187439050152</v>
      </c>
      <c r="S84" s="186">
        <f>'Common input data'!B110</f>
        <v>0.3</v>
      </c>
      <c r="T84" s="200">
        <f>'Input data fish and seafood'!B128*'Common input data'!B115+'Input data fish and seafood'!C128*'Common input data'!B119+'Common input data'!C115</f>
        <v>0.11450000000000002</v>
      </c>
      <c r="V84" s="1263"/>
      <c r="W84" s="1170"/>
      <c r="X84" s="1171"/>
      <c r="Y84" s="1170"/>
      <c r="Z84" s="1263"/>
      <c r="AA84" s="1170"/>
      <c r="AB84" s="1171"/>
      <c r="AC84" s="1170"/>
      <c r="AD84" s="1263"/>
      <c r="AE84" s="1170"/>
      <c r="AF84" s="1171"/>
      <c r="AG84" s="1170"/>
      <c r="AH84" s="1263"/>
      <c r="AI84" s="1170"/>
      <c r="AJ84" s="1171"/>
      <c r="AK84" s="1170"/>
      <c r="AL84" s="1263"/>
      <c r="AM84" s="1170"/>
      <c r="AN84" s="1171"/>
      <c r="AO84" s="1170"/>
      <c r="AP84" s="1263"/>
      <c r="AQ84" s="1170"/>
      <c r="AR84" s="1171"/>
      <c r="AS84" s="1170"/>
      <c r="AT84" s="1263"/>
      <c r="AU84" s="1170"/>
      <c r="AV84" s="1171"/>
      <c r="AX84" s="1263"/>
      <c r="AY84" s="1171"/>
    </row>
    <row r="85" spans="1:306">
      <c r="A85" s="68"/>
      <c r="B85" s="55"/>
      <c r="C85" s="55"/>
      <c r="D85" s="174" t="s">
        <v>367</v>
      </c>
      <c r="E85" s="356">
        <v>0</v>
      </c>
      <c r="F85" s="17">
        <f>SUM(H85:J85,M85:P85)</f>
        <v>8.5729691286386958E-5</v>
      </c>
      <c r="G85" s="357">
        <f>SUM(R85:T85)/(1-'Common input data'!B$144)</f>
        <v>1.4054047751866714E-4</v>
      </c>
      <c r="H85" s="189">
        <v>0</v>
      </c>
      <c r="I85" s="189">
        <v>0</v>
      </c>
      <c r="J85" s="189">
        <v>0</v>
      </c>
      <c r="K85" s="189">
        <v>0</v>
      </c>
      <c r="L85" s="189">
        <v>0</v>
      </c>
      <c r="M85" s="189">
        <v>0</v>
      </c>
      <c r="N85" s="189">
        <v>0</v>
      </c>
      <c r="O85" s="186">
        <f>'Input data fish and seafood'!G13*'Input data fish and seafood'!B43</f>
        <v>8.5729691286386958E-5</v>
      </c>
      <c r="P85" s="186">
        <v>0</v>
      </c>
      <c r="Q85" s="186">
        <v>0</v>
      </c>
      <c r="R85" s="186">
        <f>(F85+Q85)/'Input data fish and seafood'!$H$13</f>
        <v>1.4054047751866714E-4</v>
      </c>
      <c r="S85" s="186">
        <v>0</v>
      </c>
      <c r="T85" s="200">
        <v>0</v>
      </c>
      <c r="V85" s="1263"/>
      <c r="W85" s="1170"/>
      <c r="X85" s="1171"/>
      <c r="Y85" s="1170"/>
      <c r="Z85" s="1263"/>
      <c r="AA85" s="1170"/>
      <c r="AB85" s="1171"/>
      <c r="AC85" s="1170"/>
      <c r="AD85" s="1263"/>
      <c r="AE85" s="1170"/>
      <c r="AF85" s="1171"/>
      <c r="AG85" s="1170"/>
      <c r="AH85" s="1263"/>
      <c r="AI85" s="1170"/>
      <c r="AJ85" s="1171"/>
      <c r="AK85" s="1170"/>
      <c r="AL85" s="1263"/>
      <c r="AM85" s="1170"/>
      <c r="AN85" s="1171"/>
      <c r="AO85" s="1170"/>
      <c r="AP85" s="1263"/>
      <c r="AQ85" s="1170"/>
      <c r="AR85" s="1171"/>
      <c r="AS85" s="1170"/>
      <c r="AT85" s="1263"/>
      <c r="AU85" s="1170"/>
      <c r="AV85" s="1171"/>
      <c r="AX85" s="1263"/>
      <c r="AY85" s="1171"/>
    </row>
    <row r="86" spans="1:306">
      <c r="A86" s="68"/>
      <c r="B86" s="55"/>
      <c r="C86" s="54"/>
      <c r="D86" s="55" t="s">
        <v>320</v>
      </c>
      <c r="E86" s="356">
        <v>0</v>
      </c>
      <c r="F86" s="17">
        <f>SUM(H86:J86,M86:P86)</f>
        <v>5.2003737800841336E-6</v>
      </c>
      <c r="G86" s="357">
        <f>SUM(R86:T86)/(1-'Common input data'!B$144)</f>
        <v>8.5252029181707109E-6</v>
      </c>
      <c r="H86" s="189">
        <v>0</v>
      </c>
      <c r="I86" s="189">
        <v>0</v>
      </c>
      <c r="J86" s="189">
        <v>0</v>
      </c>
      <c r="K86" s="189">
        <v>0</v>
      </c>
      <c r="L86" s="189">
        <v>0</v>
      </c>
      <c r="M86" s="189">
        <v>0</v>
      </c>
      <c r="N86" s="189">
        <v>0</v>
      </c>
      <c r="O86" s="186">
        <f>'Input data fish and seafood'!G13*'Input data fish and seafood'!B44</f>
        <v>5.2003737800841336E-6</v>
      </c>
      <c r="P86" s="186">
        <v>0</v>
      </c>
      <c r="Q86" s="189">
        <v>0</v>
      </c>
      <c r="R86" s="186">
        <f>(F86+Q86)/'Input data fish and seafood'!$H$13</f>
        <v>8.5252029181707109E-6</v>
      </c>
      <c r="S86" s="189">
        <v>0</v>
      </c>
      <c r="T86" s="200">
        <v>0</v>
      </c>
      <c r="V86" s="1263"/>
      <c r="W86" s="1170"/>
      <c r="X86" s="1171"/>
      <c r="Y86" s="1170"/>
      <c r="Z86" s="1263"/>
      <c r="AA86" s="1170"/>
      <c r="AB86" s="1171"/>
      <c r="AC86" s="1170"/>
      <c r="AD86" s="1263"/>
      <c r="AE86" s="1170"/>
      <c r="AF86" s="1171"/>
      <c r="AG86" s="1170"/>
      <c r="AH86" s="1263"/>
      <c r="AI86" s="1170"/>
      <c r="AJ86" s="1171"/>
      <c r="AK86" s="1170"/>
      <c r="AL86" s="1263"/>
      <c r="AM86" s="1170"/>
      <c r="AN86" s="1171"/>
      <c r="AO86" s="1170"/>
      <c r="AP86" s="1263"/>
      <c r="AQ86" s="1170"/>
      <c r="AR86" s="1171"/>
      <c r="AS86" s="1170"/>
      <c r="AT86" s="1263"/>
      <c r="AU86" s="1170"/>
      <c r="AV86" s="1171"/>
      <c r="AX86" s="1263"/>
      <c r="AY86" s="1171"/>
    </row>
    <row r="87" spans="1:306">
      <c r="A87" s="68"/>
      <c r="B87" s="55"/>
      <c r="C87" s="54"/>
      <c r="D87" s="55" t="s">
        <v>398</v>
      </c>
      <c r="E87" s="372">
        <v>0</v>
      </c>
      <c r="F87" s="137">
        <f>SUM(H87:J87,M87:P87)</f>
        <v>2.3E-5</v>
      </c>
      <c r="G87" s="373">
        <f>SUM(R87:T87)/(1-'Common input data'!B$144)</f>
        <v>3.7704918032786885E-5</v>
      </c>
      <c r="H87" s="189">
        <v>0</v>
      </c>
      <c r="I87" s="189">
        <v>0</v>
      </c>
      <c r="J87" s="189">
        <v>0</v>
      </c>
      <c r="K87" s="189">
        <v>0</v>
      </c>
      <c r="L87" s="189">
        <v>0</v>
      </c>
      <c r="M87" s="189">
        <v>0</v>
      </c>
      <c r="N87" s="189">
        <v>0</v>
      </c>
      <c r="O87" s="186">
        <v>0</v>
      </c>
      <c r="P87" s="186">
        <f>'Input data fish and seafood'!B49</f>
        <v>2.3E-5</v>
      </c>
      <c r="Q87" s="186">
        <v>0</v>
      </c>
      <c r="R87" s="186">
        <f>(F87+Q87)/'Input data fish and seafood'!$H$13</f>
        <v>3.7704918032786885E-5</v>
      </c>
      <c r="S87" s="186">
        <v>0</v>
      </c>
      <c r="T87" s="200">
        <v>0</v>
      </c>
      <c r="V87" s="1263"/>
      <c r="W87" s="1170"/>
      <c r="X87" s="1171"/>
      <c r="Y87" s="1170"/>
      <c r="Z87" s="1263"/>
      <c r="AA87" s="1170"/>
      <c r="AB87" s="1171"/>
      <c r="AC87" s="1170"/>
      <c r="AD87" s="1263"/>
      <c r="AE87" s="1170"/>
      <c r="AF87" s="1171"/>
      <c r="AG87" s="1170"/>
      <c r="AH87" s="1263"/>
      <c r="AI87" s="1170"/>
      <c r="AJ87" s="1171"/>
      <c r="AK87" s="1170"/>
      <c r="AL87" s="1263"/>
      <c r="AM87" s="1170"/>
      <c r="AN87" s="1171"/>
      <c r="AO87" s="1170"/>
      <c r="AP87" s="1263"/>
      <c r="AQ87" s="1170"/>
      <c r="AR87" s="1171"/>
      <c r="AS87" s="1170"/>
      <c r="AT87" s="1263"/>
      <c r="AU87" s="1170"/>
      <c r="AV87" s="1171"/>
      <c r="AX87" s="1263"/>
      <c r="AY87" s="1171"/>
    </row>
    <row r="88" spans="1:306">
      <c r="A88" s="374" t="s">
        <v>405</v>
      </c>
      <c r="B88" s="375"/>
      <c r="C88" s="376"/>
      <c r="D88" s="377"/>
      <c r="E88" s="443" t="s">
        <v>395</v>
      </c>
      <c r="F88" s="444" t="s">
        <v>395</v>
      </c>
      <c r="G88" s="445" t="s">
        <v>396</v>
      </c>
      <c r="H88" s="378"/>
      <c r="I88" s="378"/>
      <c r="J88" s="378"/>
      <c r="K88" s="379"/>
      <c r="L88" s="379"/>
      <c r="M88" s="380"/>
      <c r="N88" s="379"/>
      <c r="O88" s="379"/>
      <c r="P88" s="379"/>
      <c r="Q88" s="379"/>
      <c r="R88" s="379"/>
      <c r="S88" s="379"/>
      <c r="T88" s="479"/>
      <c r="V88" s="1263"/>
      <c r="W88" s="1170"/>
      <c r="X88" s="1171"/>
      <c r="Y88" s="1170"/>
      <c r="Z88" s="1263"/>
      <c r="AA88" s="1170"/>
      <c r="AB88" s="1171"/>
      <c r="AC88" s="1170"/>
      <c r="AD88" s="1263"/>
      <c r="AE88" s="1170"/>
      <c r="AF88" s="1171"/>
      <c r="AG88" s="1170"/>
      <c r="AH88" s="1263"/>
      <c r="AI88" s="1170"/>
      <c r="AJ88" s="1171"/>
      <c r="AK88" s="1170"/>
      <c r="AL88" s="1263"/>
      <c r="AM88" s="1170"/>
      <c r="AN88" s="1171"/>
      <c r="AO88" s="1170"/>
      <c r="AP88" s="1263"/>
      <c r="AQ88" s="1170"/>
      <c r="AR88" s="1171"/>
      <c r="AS88" s="1170"/>
      <c r="AT88" s="1263"/>
      <c r="AU88" s="1170"/>
      <c r="AV88" s="1171"/>
      <c r="AX88" s="1263"/>
      <c r="AY88" s="1171"/>
    </row>
    <row r="89" spans="1:306" s="89" customFormat="1">
      <c r="A89" s="381" t="s">
        <v>315</v>
      </c>
      <c r="B89" s="382"/>
      <c r="C89" s="383">
        <f>SUM(C94:C113)</f>
        <v>1</v>
      </c>
      <c r="D89" s="384" t="s">
        <v>316</v>
      </c>
      <c r="E89" s="430">
        <f>SUMPRODUCT($BE$8:$BE$11,E90:E93)</f>
        <v>0</v>
      </c>
      <c r="F89" s="431">
        <f>SUMPRODUCT($BE$8:$BE$11,F90:F93)</f>
        <v>1.7756690579691299</v>
      </c>
      <c r="G89" s="432">
        <f>SUMPRODUCT($BE$8:$BE$11,G90:G93)</f>
        <v>4.0772703361045322</v>
      </c>
      <c r="H89" s="451"/>
      <c r="I89" s="463"/>
      <c r="J89" s="463"/>
      <c r="K89" s="464"/>
      <c r="L89" s="464"/>
      <c r="M89" s="452"/>
      <c r="N89" s="464"/>
      <c r="O89" s="464"/>
      <c r="P89" s="464"/>
      <c r="Q89" s="464"/>
      <c r="R89" s="464"/>
      <c r="S89" s="464"/>
      <c r="T89" s="465"/>
      <c r="U89"/>
      <c r="V89" s="1265"/>
      <c r="W89" s="1266"/>
      <c r="X89" s="1267"/>
      <c r="Y89" s="1170"/>
      <c r="Z89" s="1265"/>
      <c r="AA89" s="1266"/>
      <c r="AB89" s="1267"/>
      <c r="AC89" s="1170"/>
      <c r="AD89" s="1265"/>
      <c r="AE89" s="1266"/>
      <c r="AF89" s="1267"/>
      <c r="AG89" s="1170"/>
      <c r="AH89" s="1265"/>
      <c r="AI89" s="1266"/>
      <c r="AJ89" s="1267"/>
      <c r="AK89" s="1170"/>
      <c r="AL89" s="1265"/>
      <c r="AM89" s="1266"/>
      <c r="AN89" s="1267"/>
      <c r="AO89" s="1170"/>
      <c r="AP89" s="1265"/>
      <c r="AQ89" s="1266"/>
      <c r="AR89" s="1267"/>
      <c r="AS89" s="1170"/>
      <c r="AT89" s="1265"/>
      <c r="AU89" s="1266"/>
      <c r="AV89" s="1267"/>
      <c r="AW89"/>
      <c r="AX89" s="1265"/>
      <c r="AY89" s="1267"/>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row>
    <row r="90" spans="1:306">
      <c r="A90" s="19"/>
      <c r="B90" s="24"/>
      <c r="C90" s="24"/>
      <c r="D90" s="174" t="s">
        <v>317</v>
      </c>
      <c r="E90" s="356">
        <f>$C$94*E95+$C$99*E100+$C$104*E105+$C$109*E110</f>
        <v>0</v>
      </c>
      <c r="F90" s="54">
        <f>$C$94*F95+$C$99*F100+$C$104*F105+$C$109*F110</f>
        <v>1.2805597534431619</v>
      </c>
      <c r="G90" s="357">
        <f t="shared" ref="G90:T90" si="5">$C$94*G95+$C$99*G100+$C$104*G105+$C$109*G110</f>
        <v>3.0238462839216216</v>
      </c>
      <c r="H90" s="189">
        <f t="shared" si="5"/>
        <v>0</v>
      </c>
      <c r="I90" s="189">
        <f t="shared" si="5"/>
        <v>0</v>
      </c>
      <c r="J90" s="189">
        <f t="shared" si="5"/>
        <v>0</v>
      </c>
      <c r="K90" s="189">
        <f t="shared" si="5"/>
        <v>0</v>
      </c>
      <c r="L90" s="189">
        <f t="shared" si="5"/>
        <v>0</v>
      </c>
      <c r="M90" s="189">
        <f t="shared" si="5"/>
        <v>0</v>
      </c>
      <c r="N90" s="189">
        <f t="shared" si="5"/>
        <v>0</v>
      </c>
      <c r="O90" s="189">
        <f t="shared" si="5"/>
        <v>1.2805597534431619</v>
      </c>
      <c r="P90" s="189">
        <f t="shared" si="5"/>
        <v>0</v>
      </c>
      <c r="Q90" s="189">
        <f t="shared" si="5"/>
        <v>5.6048000000000008E-2</v>
      </c>
      <c r="R90" s="189">
        <f t="shared" si="5"/>
        <v>2.8438462839216214</v>
      </c>
      <c r="S90" s="189">
        <f t="shared" si="5"/>
        <v>0.10000000000000003</v>
      </c>
      <c r="T90" s="199">
        <f t="shared" si="5"/>
        <v>8.0000000000000016E-2</v>
      </c>
      <c r="V90" s="1263"/>
      <c r="W90" s="1170"/>
      <c r="X90" s="1171"/>
      <c r="Y90" s="1170"/>
      <c r="Z90" s="1263"/>
      <c r="AA90" s="1170"/>
      <c r="AB90" s="1171"/>
      <c r="AC90" s="1170"/>
      <c r="AD90" s="1263"/>
      <c r="AE90" s="1170"/>
      <c r="AF90" s="1171"/>
      <c r="AG90" s="1170"/>
      <c r="AH90" s="1263"/>
      <c r="AI90" s="1170"/>
      <c r="AJ90" s="1171"/>
      <c r="AK90" s="1170"/>
      <c r="AL90" s="1263"/>
      <c r="AM90" s="1170"/>
      <c r="AN90" s="1171"/>
      <c r="AO90" s="1170"/>
      <c r="AP90" s="1263"/>
      <c r="AQ90" s="1170"/>
      <c r="AR90" s="1171"/>
      <c r="AS90" s="1170"/>
      <c r="AT90" s="1263"/>
      <c r="AU90" s="1170"/>
      <c r="AV90" s="1171"/>
      <c r="AX90" s="1263"/>
      <c r="AY90" s="1171"/>
    </row>
    <row r="91" spans="1:306">
      <c r="A91" s="195"/>
      <c r="B91" s="135"/>
      <c r="C91" s="50"/>
      <c r="D91" s="174" t="s">
        <v>367</v>
      </c>
      <c r="E91" s="356">
        <f>$C$94*E96+$C$99*E101+$C$104*E106+$C$109*E111</f>
        <v>0</v>
      </c>
      <c r="F91" s="54">
        <f t="shared" ref="F91:T93" si="6">$C$94*F96+$C$99*F101+$C$104*F106+$C$109*F111</f>
        <v>5.6724479067826034E-4</v>
      </c>
      <c r="G91" s="357">
        <f>$C$94*G96+$C$99*G101+$C$104*G106+$C$109*G111</f>
        <v>1.2069038099537456E-3</v>
      </c>
      <c r="H91" s="189">
        <f t="shared" si="6"/>
        <v>0</v>
      </c>
      <c r="I91" s="189">
        <f t="shared" si="6"/>
        <v>0</v>
      </c>
      <c r="J91" s="189">
        <f t="shared" si="6"/>
        <v>0</v>
      </c>
      <c r="K91" s="189">
        <f t="shared" si="6"/>
        <v>0</v>
      </c>
      <c r="L91" s="189">
        <f t="shared" si="6"/>
        <v>0</v>
      </c>
      <c r="M91" s="189">
        <f t="shared" si="6"/>
        <v>0</v>
      </c>
      <c r="N91" s="189">
        <f t="shared" si="6"/>
        <v>0</v>
      </c>
      <c r="O91" s="189">
        <f t="shared" si="6"/>
        <v>5.6724479067826034E-4</v>
      </c>
      <c r="P91" s="189">
        <f t="shared" si="6"/>
        <v>0</v>
      </c>
      <c r="Q91" s="189">
        <f t="shared" si="6"/>
        <v>0</v>
      </c>
      <c r="R91" s="189">
        <f t="shared" si="6"/>
        <v>1.2069038099537456E-3</v>
      </c>
      <c r="S91" s="189">
        <f t="shared" si="6"/>
        <v>0</v>
      </c>
      <c r="T91" s="199">
        <f t="shared" si="6"/>
        <v>0</v>
      </c>
      <c r="V91" s="1263"/>
      <c r="W91" s="1170"/>
      <c r="X91" s="1171"/>
      <c r="Y91" s="1170"/>
      <c r="Z91" s="1263"/>
      <c r="AA91" s="1170"/>
      <c r="AB91" s="1171"/>
      <c r="AC91" s="1170"/>
      <c r="AD91" s="1263"/>
      <c r="AE91" s="1170"/>
      <c r="AF91" s="1171"/>
      <c r="AG91" s="1170"/>
      <c r="AH91" s="1263"/>
      <c r="AI91" s="1170"/>
      <c r="AJ91" s="1171"/>
      <c r="AK91" s="1170"/>
      <c r="AL91" s="1263"/>
      <c r="AM91" s="1170"/>
      <c r="AN91" s="1171"/>
      <c r="AO91" s="1170"/>
      <c r="AP91" s="1263"/>
      <c r="AQ91" s="1170"/>
      <c r="AR91" s="1171"/>
      <c r="AS91" s="1170"/>
      <c r="AT91" s="1263"/>
      <c r="AU91" s="1170"/>
      <c r="AV91" s="1171"/>
      <c r="AX91" s="1263"/>
      <c r="AY91" s="1171"/>
    </row>
    <row r="92" spans="1:306">
      <c r="A92" s="195"/>
      <c r="B92" s="135"/>
      <c r="C92" s="54"/>
      <c r="D92" s="55" t="s">
        <v>320</v>
      </c>
      <c r="E92" s="356">
        <f>$C$94*E97+$C$99*E102+$C$104*E107+$C$109*E112</f>
        <v>0</v>
      </c>
      <c r="F92" s="54">
        <f t="shared" si="6"/>
        <v>3.4409139844890017E-5</v>
      </c>
      <c r="G92" s="357">
        <f>$C$94*G97+$C$99*G102+$C$104*G107+$C$109*G112</f>
        <v>7.321093584019154E-5</v>
      </c>
      <c r="H92" s="189">
        <f t="shared" si="6"/>
        <v>0</v>
      </c>
      <c r="I92" s="189">
        <f t="shared" si="6"/>
        <v>0</v>
      </c>
      <c r="J92" s="189">
        <f t="shared" si="6"/>
        <v>0</v>
      </c>
      <c r="K92" s="189">
        <f t="shared" si="6"/>
        <v>0</v>
      </c>
      <c r="L92" s="189">
        <f t="shared" si="6"/>
        <v>0</v>
      </c>
      <c r="M92" s="189">
        <f t="shared" si="6"/>
        <v>0</v>
      </c>
      <c r="N92" s="189">
        <f t="shared" si="6"/>
        <v>0</v>
      </c>
      <c r="O92" s="189">
        <f t="shared" si="6"/>
        <v>3.4409139844890017E-5</v>
      </c>
      <c r="P92" s="189">
        <f t="shared" si="6"/>
        <v>0</v>
      </c>
      <c r="Q92" s="189">
        <f t="shared" si="6"/>
        <v>0</v>
      </c>
      <c r="R92" s="189">
        <f t="shared" si="6"/>
        <v>7.321093584019154E-5</v>
      </c>
      <c r="S92" s="189">
        <f t="shared" si="6"/>
        <v>0</v>
      </c>
      <c r="T92" s="199">
        <f t="shared" si="6"/>
        <v>0</v>
      </c>
      <c r="V92" s="1263"/>
      <c r="W92" s="1170"/>
      <c r="X92" s="1171"/>
      <c r="Y92" s="1170"/>
      <c r="Z92" s="1263"/>
      <c r="AA92" s="1170"/>
      <c r="AB92" s="1171"/>
      <c r="AC92" s="1170"/>
      <c r="AD92" s="1263"/>
      <c r="AE92" s="1170"/>
      <c r="AF92" s="1171"/>
      <c r="AG92" s="1170"/>
      <c r="AH92" s="1263"/>
      <c r="AI92" s="1170"/>
      <c r="AJ92" s="1171"/>
      <c r="AK92" s="1170"/>
      <c r="AL92" s="1263"/>
      <c r="AM92" s="1170"/>
      <c r="AN92" s="1171"/>
      <c r="AO92" s="1170"/>
      <c r="AP92" s="1263"/>
      <c r="AQ92" s="1170"/>
      <c r="AR92" s="1171"/>
      <c r="AS92" s="1170"/>
      <c r="AT92" s="1263"/>
      <c r="AU92" s="1170"/>
      <c r="AV92" s="1171"/>
      <c r="AX92" s="1263"/>
      <c r="AY92" s="1171"/>
    </row>
    <row r="93" spans="1:306">
      <c r="A93" s="195"/>
      <c r="B93" s="135"/>
      <c r="C93" s="54"/>
      <c r="D93" s="55" t="s">
        <v>398</v>
      </c>
      <c r="E93" s="356">
        <f>$C$94*E98+$C$99*E103+$C$104*E108+$C$109*E113</f>
        <v>0</v>
      </c>
      <c r="F93" s="54">
        <f t="shared" si="6"/>
        <v>2.3999999999999998E-4</v>
      </c>
      <c r="G93" s="357">
        <f>$C$94*G98+$C$99*G103+$C$104*G108+$C$109*G113</f>
        <v>5.1063829787234051E-4</v>
      </c>
      <c r="H93" s="189">
        <f t="shared" si="6"/>
        <v>0</v>
      </c>
      <c r="I93" s="189">
        <f t="shared" si="6"/>
        <v>0</v>
      </c>
      <c r="J93" s="189">
        <f t="shared" si="6"/>
        <v>0</v>
      </c>
      <c r="K93" s="189">
        <f t="shared" si="6"/>
        <v>0</v>
      </c>
      <c r="L93" s="189">
        <f t="shared" si="6"/>
        <v>0</v>
      </c>
      <c r="M93" s="189">
        <f t="shared" si="6"/>
        <v>0</v>
      </c>
      <c r="N93" s="189">
        <f t="shared" si="6"/>
        <v>0</v>
      </c>
      <c r="O93" s="189">
        <f t="shared" si="6"/>
        <v>0</v>
      </c>
      <c r="P93" s="189">
        <f t="shared" si="6"/>
        <v>2.3999999999999998E-4</v>
      </c>
      <c r="Q93" s="189">
        <f t="shared" si="6"/>
        <v>0</v>
      </c>
      <c r="R93" s="189">
        <f t="shared" si="6"/>
        <v>5.1063829787234051E-4</v>
      </c>
      <c r="S93" s="189">
        <f t="shared" si="6"/>
        <v>0</v>
      </c>
      <c r="T93" s="199">
        <f t="shared" si="6"/>
        <v>0</v>
      </c>
      <c r="V93" s="1263"/>
      <c r="W93" s="1170"/>
      <c r="X93" s="1171"/>
      <c r="Y93" s="1170"/>
      <c r="Z93" s="1263"/>
      <c r="AA93" s="1170"/>
      <c r="AB93" s="1171"/>
      <c r="AC93" s="1170"/>
      <c r="AD93" s="1263"/>
      <c r="AE93" s="1170"/>
      <c r="AF93" s="1171"/>
      <c r="AG93" s="1170"/>
      <c r="AH93" s="1263"/>
      <c r="AI93" s="1170"/>
      <c r="AJ93" s="1171"/>
      <c r="AK93" s="1170"/>
      <c r="AL93" s="1263"/>
      <c r="AM93" s="1170"/>
      <c r="AN93" s="1171"/>
      <c r="AO93" s="1170"/>
      <c r="AP93" s="1263"/>
      <c r="AQ93" s="1170"/>
      <c r="AR93" s="1171"/>
      <c r="AS93" s="1170"/>
      <c r="AT93" s="1263"/>
      <c r="AU93" s="1170"/>
      <c r="AV93" s="1171"/>
      <c r="AX93" s="1263"/>
      <c r="AY93" s="1171"/>
    </row>
    <row r="94" spans="1:306">
      <c r="A94" s="466" t="s">
        <v>228</v>
      </c>
      <c r="B94" s="481" t="s">
        <v>220</v>
      </c>
      <c r="C94" s="481">
        <f>'Input data fish and seafood'!E14</f>
        <v>0.4</v>
      </c>
      <c r="D94" s="355" t="s">
        <v>316</v>
      </c>
      <c r="E94" s="467">
        <f>SUMPRODUCT($BE$8:$BE$11,E95:E98)</f>
        <v>0</v>
      </c>
      <c r="F94" s="468">
        <f>SUMPRODUCT($BE$8:$BE$11,F95:F98)</f>
        <v>1.9499241211236988</v>
      </c>
      <c r="G94" s="469">
        <f>SUMPRODUCT($BE$8:$BE$11,G95:G98)</f>
        <v>4.448025789624892</v>
      </c>
      <c r="H94" s="385"/>
      <c r="I94" s="211"/>
      <c r="J94" s="211"/>
      <c r="K94" s="470"/>
      <c r="L94" s="470"/>
      <c r="M94" s="470"/>
      <c r="N94" s="470"/>
      <c r="O94" s="470"/>
      <c r="P94" s="470"/>
      <c r="Q94" s="470"/>
      <c r="R94" s="470"/>
      <c r="S94" s="470"/>
      <c r="T94" s="471"/>
      <c r="V94" s="1263"/>
      <c r="W94" s="1170"/>
      <c r="X94" s="1171"/>
      <c r="Y94" s="1170"/>
      <c r="Z94" s="1263"/>
      <c r="AA94" s="1170"/>
      <c r="AB94" s="1171"/>
      <c r="AC94" s="1170"/>
      <c r="AD94" s="1263"/>
      <c r="AE94" s="1170"/>
      <c r="AF94" s="1171"/>
      <c r="AG94" s="1170"/>
      <c r="AH94" s="1263"/>
      <c r="AI94" s="1170"/>
      <c r="AJ94" s="1171"/>
      <c r="AK94" s="1170"/>
      <c r="AL94" s="1263"/>
      <c r="AM94" s="1170"/>
      <c r="AN94" s="1171"/>
      <c r="AO94" s="1170"/>
      <c r="AP94" s="1263"/>
      <c r="AQ94" s="1170"/>
      <c r="AR94" s="1171"/>
      <c r="AS94" s="1170"/>
      <c r="AT94" s="1263"/>
      <c r="AU94" s="1170"/>
      <c r="AV94" s="1171"/>
      <c r="AX94" s="1263"/>
      <c r="AY94" s="1171"/>
    </row>
    <row r="95" spans="1:306">
      <c r="A95" s="68"/>
      <c r="B95" s="69"/>
      <c r="C95" s="24"/>
      <c r="D95" s="174" t="s">
        <v>317</v>
      </c>
      <c r="E95" s="455">
        <f>IF(AND($F$2="No",$F$3="No"),SUM(J95),IF(AND($F$2="Yes", $F$3="No"), SUM(J95)+L95, IF(AND($F$2="No", $F$3="Yes"),SUM(J95)+K95, SUM(J95)+L95+K95)))</f>
        <v>0</v>
      </c>
      <c r="F95" s="17">
        <f>IF(AND($F$2="No",$F$3="No"),SUM(H95:J95,M95:P95),IF(AND($F$2="Yes", $F$3="No"), SUM(H95:J95,M95:P95)+L95, IF(AND($F$2="No", $F$3="Yes"),SUM(H95:J95,M95:P95)+K95, SUM(H95:J95,M95:P95)+L95+K95)))</f>
        <v>1.4515160933234832</v>
      </c>
      <c r="G95" s="357">
        <f>SUM(R95:T95)/(1-'Common input data'!B$144)</f>
        <v>3.3875831772840073</v>
      </c>
      <c r="H95" s="189">
        <v>0</v>
      </c>
      <c r="I95" s="189">
        <v>0</v>
      </c>
      <c r="J95" s="189">
        <v>0</v>
      </c>
      <c r="K95" s="189">
        <v>0</v>
      </c>
      <c r="L95" s="189">
        <v>0</v>
      </c>
      <c r="M95" s="189">
        <v>0</v>
      </c>
      <c r="N95" s="189">
        <v>0</v>
      </c>
      <c r="O95" s="189">
        <f>'Input data fish and seafood'!G14*'Input data fish and seafood'!B42</f>
        <v>1.4515160933234832</v>
      </c>
      <c r="P95" s="189">
        <v>0</v>
      </c>
      <c r="Q95" s="189">
        <f>'Input data fish and seafood'!B107*'Input data fish and seafood'!B115*'Common input data'!B80</f>
        <v>5.6048000000000008E-2</v>
      </c>
      <c r="R95" s="189">
        <f>(F95+Q95)/'Input data fish and seafood'!$H$14</f>
        <v>3.2075831772840071</v>
      </c>
      <c r="S95" s="189">
        <f>'Common input data'!B111</f>
        <v>0.1</v>
      </c>
      <c r="T95" s="199">
        <f>'Input data fish and seafood'!B129*'Common input data'!B115+'Common input data'!C115</f>
        <v>0.08</v>
      </c>
      <c r="V95" s="1263"/>
      <c r="W95" s="1170"/>
      <c r="X95" s="1171"/>
      <c r="Y95" s="1170"/>
      <c r="Z95" s="1263"/>
      <c r="AA95" s="1170"/>
      <c r="AB95" s="1171"/>
      <c r="AC95" s="1170"/>
      <c r="AD95" s="1263"/>
      <c r="AE95" s="1170"/>
      <c r="AF95" s="1171"/>
      <c r="AG95" s="1170"/>
      <c r="AH95" s="1263"/>
      <c r="AI95" s="1170"/>
      <c r="AJ95" s="1171"/>
      <c r="AK95" s="1170"/>
      <c r="AL95" s="1263"/>
      <c r="AM95" s="1170"/>
      <c r="AN95" s="1171"/>
      <c r="AO95" s="1170"/>
      <c r="AP95" s="1263"/>
      <c r="AQ95" s="1170"/>
      <c r="AR95" s="1171"/>
      <c r="AS95" s="1170"/>
      <c r="AT95" s="1263"/>
      <c r="AU95" s="1170"/>
      <c r="AV95" s="1171"/>
      <c r="AX95" s="1263"/>
      <c r="AY95" s="1171"/>
    </row>
    <row r="96" spans="1:306">
      <c r="A96" s="472"/>
      <c r="C96" s="473"/>
      <c r="D96" s="174" t="s">
        <v>367</v>
      </c>
      <c r="E96" s="356">
        <v>0</v>
      </c>
      <c r="F96" s="17">
        <f>SUM(H96:J96,M96:P96)</f>
        <v>6.4297268464790218E-4</v>
      </c>
      <c r="G96" s="357">
        <f>SUM(R96:T96)/(1-'Common input data'!B$144)</f>
        <v>1.368026988612558E-3</v>
      </c>
      <c r="H96" s="189">
        <v>0</v>
      </c>
      <c r="I96" s="189">
        <v>0</v>
      </c>
      <c r="J96" s="189">
        <v>0</v>
      </c>
      <c r="K96" s="189">
        <v>0</v>
      </c>
      <c r="L96" s="189">
        <v>0</v>
      </c>
      <c r="M96" s="189">
        <v>0</v>
      </c>
      <c r="N96" s="189">
        <v>0</v>
      </c>
      <c r="O96" s="189">
        <f>'Input data fish and seafood'!G14*'Input data fish and seafood'!B43</f>
        <v>6.4297268464790218E-4</v>
      </c>
      <c r="P96" s="189">
        <v>0</v>
      </c>
      <c r="Q96" s="189">
        <v>0</v>
      </c>
      <c r="R96" s="189">
        <f>(F96+Q96)/'Input data fish and seafood'!$H$14</f>
        <v>1.368026988612558E-3</v>
      </c>
      <c r="S96" s="189">
        <v>0</v>
      </c>
      <c r="T96" s="199">
        <v>0</v>
      </c>
      <c r="V96" s="1263"/>
      <c r="W96" s="1170"/>
      <c r="X96" s="1171"/>
      <c r="Y96" s="1170"/>
      <c r="Z96" s="1263"/>
      <c r="AA96" s="1170"/>
      <c r="AB96" s="1171"/>
      <c r="AC96" s="1170"/>
      <c r="AD96" s="1263"/>
      <c r="AE96" s="1170"/>
      <c r="AF96" s="1171"/>
      <c r="AG96" s="1170"/>
      <c r="AH96" s="1263"/>
      <c r="AI96" s="1170"/>
      <c r="AJ96" s="1171"/>
      <c r="AK96" s="1170"/>
      <c r="AL96" s="1263"/>
      <c r="AM96" s="1170"/>
      <c r="AN96" s="1171"/>
      <c r="AO96" s="1170"/>
      <c r="AP96" s="1263"/>
      <c r="AQ96" s="1170"/>
      <c r="AR96" s="1171"/>
      <c r="AS96" s="1170"/>
      <c r="AT96" s="1263"/>
      <c r="AU96" s="1170"/>
      <c r="AV96" s="1171"/>
      <c r="AX96" s="1263"/>
      <c r="AY96" s="1171"/>
    </row>
    <row r="97" spans="1:51">
      <c r="A97" s="359"/>
      <c r="C97" s="54"/>
      <c r="D97" s="55" t="s">
        <v>320</v>
      </c>
      <c r="E97" s="356">
        <v>0</v>
      </c>
      <c r="F97" s="17">
        <f>SUM(H97:J97,M97:P97)</f>
        <v>3.9002803350631003E-5</v>
      </c>
      <c r="G97" s="357">
        <f>SUM(R97:T97)/(1-'Common input data'!B$144)</f>
        <v>8.2984687980065973E-5</v>
      </c>
      <c r="H97" s="189">
        <v>0</v>
      </c>
      <c r="I97" s="189">
        <v>0</v>
      </c>
      <c r="J97" s="189">
        <v>0</v>
      </c>
      <c r="K97" s="189">
        <v>0</v>
      </c>
      <c r="L97" s="189">
        <v>0</v>
      </c>
      <c r="M97" s="189">
        <v>0</v>
      </c>
      <c r="N97" s="189">
        <v>0</v>
      </c>
      <c r="O97" s="189">
        <f>'Input data fish and seafood'!G14*'Input data fish and seafood'!B44</f>
        <v>3.9002803350631003E-5</v>
      </c>
      <c r="P97" s="189">
        <v>0</v>
      </c>
      <c r="Q97" s="189">
        <v>0</v>
      </c>
      <c r="R97" s="189">
        <f>(F97+Q97)/'Input data fish and seafood'!$H$14</f>
        <v>8.2984687980065973E-5</v>
      </c>
      <c r="S97" s="189">
        <v>0</v>
      </c>
      <c r="T97" s="199">
        <v>0</v>
      </c>
      <c r="V97" s="1263"/>
      <c r="W97" s="1170"/>
      <c r="X97" s="1171"/>
      <c r="Y97" s="1170"/>
      <c r="Z97" s="1263"/>
      <c r="AA97" s="1170"/>
      <c r="AB97" s="1171"/>
      <c r="AC97" s="1170"/>
      <c r="AD97" s="1263"/>
      <c r="AE97" s="1170"/>
      <c r="AF97" s="1171"/>
      <c r="AG97" s="1170"/>
      <c r="AH97" s="1263"/>
      <c r="AI97" s="1170"/>
      <c r="AJ97" s="1171"/>
      <c r="AK97" s="1170"/>
      <c r="AL97" s="1263"/>
      <c r="AM97" s="1170"/>
      <c r="AN97" s="1171"/>
      <c r="AO97" s="1170"/>
      <c r="AP97" s="1263"/>
      <c r="AQ97" s="1170"/>
      <c r="AR97" s="1171"/>
      <c r="AS97" s="1170"/>
      <c r="AT97" s="1263"/>
      <c r="AU97" s="1170"/>
      <c r="AV97" s="1171"/>
      <c r="AX97" s="1263"/>
      <c r="AY97" s="1171"/>
    </row>
    <row r="98" spans="1:51">
      <c r="A98" s="359"/>
      <c r="C98" s="54"/>
      <c r="D98" s="55" t="s">
        <v>398</v>
      </c>
      <c r="E98" s="356">
        <v>0</v>
      </c>
      <c r="F98" s="17">
        <f>SUM(H98:J98,M98:P98)</f>
        <v>2.4000000000000001E-4</v>
      </c>
      <c r="G98" s="357">
        <f>SUM(R98:T98)/(1-'Common input data'!B$144)</f>
        <v>5.1063829787234051E-4</v>
      </c>
      <c r="H98" s="189">
        <v>0</v>
      </c>
      <c r="I98" s="189">
        <v>0</v>
      </c>
      <c r="J98" s="189">
        <v>0</v>
      </c>
      <c r="K98" s="189">
        <v>0</v>
      </c>
      <c r="L98" s="189">
        <v>0</v>
      </c>
      <c r="M98" s="189">
        <v>0</v>
      </c>
      <c r="N98" s="189">
        <v>0</v>
      </c>
      <c r="O98" s="189">
        <v>0</v>
      </c>
      <c r="P98" s="189">
        <f>'Input data fish and seafood'!C49</f>
        <v>2.4000000000000001E-4</v>
      </c>
      <c r="Q98" s="189">
        <v>0</v>
      </c>
      <c r="R98" s="189">
        <f>(F98+Q98)/'Input data fish and seafood'!$H$14</f>
        <v>5.1063829787234051E-4</v>
      </c>
      <c r="S98" s="189">
        <v>0</v>
      </c>
      <c r="T98" s="199">
        <v>0</v>
      </c>
      <c r="V98" s="1263"/>
      <c r="W98" s="1170"/>
      <c r="X98" s="1171"/>
      <c r="Y98" s="1170"/>
      <c r="Z98" s="1263"/>
      <c r="AA98" s="1170"/>
      <c r="AB98" s="1171"/>
      <c r="AC98" s="1170"/>
      <c r="AD98" s="1263"/>
      <c r="AE98" s="1170"/>
      <c r="AF98" s="1171"/>
      <c r="AG98" s="1170"/>
      <c r="AH98" s="1263"/>
      <c r="AI98" s="1170"/>
      <c r="AJ98" s="1171"/>
      <c r="AK98" s="1170"/>
      <c r="AL98" s="1263"/>
      <c r="AM98" s="1170"/>
      <c r="AN98" s="1171"/>
      <c r="AO98" s="1170"/>
      <c r="AP98" s="1263"/>
      <c r="AQ98" s="1170"/>
      <c r="AR98" s="1171"/>
      <c r="AS98" s="1170"/>
      <c r="AT98" s="1263"/>
      <c r="AU98" s="1170"/>
      <c r="AV98" s="1171"/>
      <c r="AX98" s="1263"/>
      <c r="AY98" s="1171"/>
    </row>
    <row r="99" spans="1:51">
      <c r="A99" s="466" t="s">
        <v>228</v>
      </c>
      <c r="B99" s="481" t="s">
        <v>225</v>
      </c>
      <c r="C99" s="481">
        <f>'Input data fish and seafood'!E15</f>
        <v>0.4</v>
      </c>
      <c r="D99" s="355" t="s">
        <v>316</v>
      </c>
      <c r="E99" s="467">
        <f>SUMPRODUCT($BE$8:$BE$11,E100:E103)</f>
        <v>0</v>
      </c>
      <c r="F99" s="468">
        <f>SUMPRODUCT($BE$8:$BE$11,F100:F103)</f>
        <v>1.6868976107017077</v>
      </c>
      <c r="G99" s="469">
        <f>SUMPRODUCT($BE$8:$BE$11,G100:G103)</f>
        <v>3.8883949163866136</v>
      </c>
      <c r="H99" s="385"/>
      <c r="I99" s="211"/>
      <c r="J99" s="211"/>
      <c r="K99" s="470"/>
      <c r="L99" s="470"/>
      <c r="M99" s="470"/>
      <c r="N99" s="470"/>
      <c r="O99" s="470"/>
      <c r="P99" s="470"/>
      <c r="Q99" s="470"/>
      <c r="R99" s="470"/>
      <c r="S99" s="470"/>
      <c r="T99" s="471"/>
      <c r="V99" s="1263"/>
      <c r="W99" s="1170"/>
      <c r="X99" s="1171"/>
      <c r="Y99" s="1170"/>
      <c r="Z99" s="1263"/>
      <c r="AA99" s="1170"/>
      <c r="AB99" s="1171"/>
      <c r="AC99" s="1170"/>
      <c r="AD99" s="1263"/>
      <c r="AE99" s="1170"/>
      <c r="AF99" s="1171"/>
      <c r="AG99" s="1170"/>
      <c r="AH99" s="1263"/>
      <c r="AI99" s="1170"/>
      <c r="AJ99" s="1171"/>
      <c r="AK99" s="1170"/>
      <c r="AL99" s="1263"/>
      <c r="AM99" s="1170"/>
      <c r="AN99" s="1171"/>
      <c r="AO99" s="1170"/>
      <c r="AP99" s="1263"/>
      <c r="AQ99" s="1170"/>
      <c r="AR99" s="1171"/>
      <c r="AS99" s="1170"/>
      <c r="AT99" s="1263"/>
      <c r="AU99" s="1170"/>
      <c r="AV99" s="1171"/>
      <c r="AX99" s="1263"/>
      <c r="AY99" s="1171"/>
    </row>
    <row r="100" spans="1:51">
      <c r="A100" s="68"/>
      <c r="C100" s="24"/>
      <c r="D100" s="174" t="s">
        <v>317</v>
      </c>
      <c r="E100" s="455">
        <f>IF(AND($F$2="No",$F$3="No"),SUM(J100),IF(AND($F$2="Yes", $F$3="No"), SUM(J100)+L100, IF(AND($F$2="No", $F$3="Yes"),SUM(J100)+K100, SUM(J100)+L100+K100)))</f>
        <v>0</v>
      </c>
      <c r="F100" s="17">
        <f>IF(AND($F$2="No",$F$3="No"),SUM(H100:J100,M100:P100),IF(AND($F$2="Yes", $F$3="No"), SUM(H100:J100,M100:P100)+L100, IF(AND($F$2="No", $F$3="Yes"),SUM(H100:J100,M100:P100)+K100, SUM(H100:J100,M100:P100)+L100+K100)))</f>
        <v>1.1934687878437529</v>
      </c>
      <c r="G100" s="357">
        <f>SUM(R100:T100)/(1-'Common input data'!B$144)</f>
        <v>2.8385463571143683</v>
      </c>
      <c r="H100" s="189">
        <v>0</v>
      </c>
      <c r="I100" s="189">
        <v>0</v>
      </c>
      <c r="J100" s="189">
        <v>0</v>
      </c>
      <c r="K100" s="189">
        <v>0</v>
      </c>
      <c r="L100" s="189">
        <v>0</v>
      </c>
      <c r="M100" s="189">
        <v>0</v>
      </c>
      <c r="N100" s="189">
        <v>0</v>
      </c>
      <c r="O100" s="483">
        <f>'Input data fish and seafood'!G15*'Input data fish and seafood'!B42</f>
        <v>1.1934687878437529</v>
      </c>
      <c r="P100" s="189">
        <v>0</v>
      </c>
      <c r="Q100" s="189">
        <f>'Input data fish and seafood'!B107*'Input data fish and seafood'!B115*'Common input data'!B80</f>
        <v>5.6048000000000008E-2</v>
      </c>
      <c r="R100" s="189">
        <f>(F100+Q100)/'Input data fish and seafood'!$H$15</f>
        <v>2.6585463571143682</v>
      </c>
      <c r="S100" s="189">
        <f>'Common input data'!B111</f>
        <v>0.1</v>
      </c>
      <c r="T100" s="199">
        <f>'Input data fish and seafood'!B129*'Common input data'!B115+'Common input data'!C115</f>
        <v>0.08</v>
      </c>
      <c r="V100" s="1263"/>
      <c r="W100" s="1170"/>
      <c r="X100" s="1171"/>
      <c r="Y100" s="1170"/>
      <c r="Z100" s="1263"/>
      <c r="AA100" s="1170"/>
      <c r="AB100" s="1171"/>
      <c r="AC100" s="1170"/>
      <c r="AD100" s="1263"/>
      <c r="AE100" s="1170"/>
      <c r="AF100" s="1171"/>
      <c r="AG100" s="1170"/>
      <c r="AH100" s="1263"/>
      <c r="AI100" s="1170"/>
      <c r="AJ100" s="1171"/>
      <c r="AK100" s="1170"/>
      <c r="AL100" s="1263"/>
      <c r="AM100" s="1170"/>
      <c r="AN100" s="1171"/>
      <c r="AO100" s="1170"/>
      <c r="AP100" s="1263"/>
      <c r="AQ100" s="1170"/>
      <c r="AR100" s="1171"/>
      <c r="AS100" s="1170"/>
      <c r="AT100" s="1263"/>
      <c r="AU100" s="1170"/>
      <c r="AV100" s="1171"/>
      <c r="AX100" s="1263"/>
      <c r="AY100" s="1171"/>
    </row>
    <row r="101" spans="1:51">
      <c r="A101" s="68"/>
      <c r="C101" s="55"/>
      <c r="D101" s="174" t="s">
        <v>367</v>
      </c>
      <c r="E101" s="356">
        <v>0</v>
      </c>
      <c r="F101" s="17">
        <f>SUM(H101:J101,M101:P101)</f>
        <v>5.2866642959938624E-4</v>
      </c>
      <c r="G101" s="357">
        <f>SUM(R101:T101)/(1-'Common input data'!B$144)</f>
        <v>1.124822190636992E-3</v>
      </c>
      <c r="H101" s="189">
        <v>0</v>
      </c>
      <c r="I101" s="189">
        <v>0</v>
      </c>
      <c r="J101" s="189">
        <v>0</v>
      </c>
      <c r="K101" s="189">
        <v>0</v>
      </c>
      <c r="L101" s="189">
        <v>0</v>
      </c>
      <c r="M101" s="189">
        <v>0</v>
      </c>
      <c r="N101" s="189">
        <v>0</v>
      </c>
      <c r="O101" s="484">
        <f>'Input data fish and seafood'!G15*'Input data fish and seafood'!B43</f>
        <v>5.2866642959938624E-4</v>
      </c>
      <c r="P101" s="189">
        <v>0</v>
      </c>
      <c r="Q101" s="189">
        <v>0</v>
      </c>
      <c r="R101" s="189">
        <f>(F101+Q101)/'Input data fish and seafood'!$H$15</f>
        <v>1.124822190636992E-3</v>
      </c>
      <c r="S101" s="189">
        <v>0</v>
      </c>
      <c r="T101" s="199">
        <v>0</v>
      </c>
      <c r="V101" s="1263"/>
      <c r="W101" s="1170"/>
      <c r="X101" s="1171"/>
      <c r="Y101" s="1170"/>
      <c r="Z101" s="1263"/>
      <c r="AA101" s="1170"/>
      <c r="AB101" s="1171"/>
      <c r="AC101" s="1170"/>
      <c r="AD101" s="1263"/>
      <c r="AE101" s="1170"/>
      <c r="AF101" s="1171"/>
      <c r="AG101" s="1170"/>
      <c r="AH101" s="1263"/>
      <c r="AI101" s="1170"/>
      <c r="AJ101" s="1171"/>
      <c r="AK101" s="1170"/>
      <c r="AL101" s="1263"/>
      <c r="AM101" s="1170"/>
      <c r="AN101" s="1171"/>
      <c r="AO101" s="1170"/>
      <c r="AP101" s="1263"/>
      <c r="AQ101" s="1170"/>
      <c r="AR101" s="1171"/>
      <c r="AS101" s="1170"/>
      <c r="AT101" s="1263"/>
      <c r="AU101" s="1170"/>
      <c r="AV101" s="1171"/>
      <c r="AX101" s="1263"/>
      <c r="AY101" s="1171"/>
    </row>
    <row r="102" spans="1:51">
      <c r="A102" s="68"/>
      <c r="C102" s="54"/>
      <c r="D102" s="55" t="s">
        <v>320</v>
      </c>
      <c r="E102" s="356">
        <v>0</v>
      </c>
      <c r="F102" s="17">
        <f>SUM(H102:J102,M102:P102)</f>
        <v>3.2068971643852154E-5</v>
      </c>
      <c r="G102" s="357">
        <f>SUM(R102:T102)/(1-'Common input data'!B$144)</f>
        <v>6.8231854561387559E-5</v>
      </c>
      <c r="H102" s="189">
        <v>0</v>
      </c>
      <c r="I102" s="189">
        <v>0</v>
      </c>
      <c r="J102" s="189">
        <v>0</v>
      </c>
      <c r="K102" s="189">
        <v>0</v>
      </c>
      <c r="L102" s="189">
        <v>0</v>
      </c>
      <c r="M102" s="189">
        <v>0</v>
      </c>
      <c r="N102" s="189">
        <v>0</v>
      </c>
      <c r="O102" s="189">
        <f>'Input data fish and seafood'!G15*'Input data fish and seafood'!B44</f>
        <v>3.2068971643852154E-5</v>
      </c>
      <c r="P102" s="189">
        <v>0</v>
      </c>
      <c r="Q102" s="485">
        <v>0</v>
      </c>
      <c r="R102" s="189">
        <f>(F102+Q102)/'Input data fish and seafood'!$H$15</f>
        <v>6.8231854561387559E-5</v>
      </c>
      <c r="S102" s="361">
        <v>0</v>
      </c>
      <c r="T102" s="199">
        <v>0</v>
      </c>
      <c r="V102" s="1263"/>
      <c r="W102" s="1170"/>
      <c r="X102" s="1171"/>
      <c r="Y102" s="1170"/>
      <c r="Z102" s="1263"/>
      <c r="AA102" s="1170"/>
      <c r="AB102" s="1171"/>
      <c r="AC102" s="1170"/>
      <c r="AD102" s="1263"/>
      <c r="AE102" s="1170"/>
      <c r="AF102" s="1171"/>
      <c r="AG102" s="1170"/>
      <c r="AH102" s="1263"/>
      <c r="AI102" s="1170"/>
      <c r="AJ102" s="1171"/>
      <c r="AK102" s="1170"/>
      <c r="AL102" s="1263"/>
      <c r="AM102" s="1170"/>
      <c r="AN102" s="1171"/>
      <c r="AO102" s="1170"/>
      <c r="AP102" s="1263"/>
      <c r="AQ102" s="1170"/>
      <c r="AR102" s="1171"/>
      <c r="AS102" s="1170"/>
      <c r="AT102" s="1263"/>
      <c r="AU102" s="1170"/>
      <c r="AV102" s="1171"/>
      <c r="AX102" s="1263"/>
      <c r="AY102" s="1171"/>
    </row>
    <row r="103" spans="1:51">
      <c r="A103" s="68"/>
      <c r="B103" s="55"/>
      <c r="C103" s="54"/>
      <c r="D103" s="55" t="s">
        <v>398</v>
      </c>
      <c r="E103" s="356">
        <v>0</v>
      </c>
      <c r="F103" s="17">
        <f>SUM(H103:J103,M103:P103)</f>
        <v>2.4000000000000001E-4</v>
      </c>
      <c r="G103" s="357">
        <f>SUM(R103:T103)/(1-'Common input data'!B$144)</f>
        <v>5.1063829787234051E-4</v>
      </c>
      <c r="H103" s="189">
        <v>0</v>
      </c>
      <c r="I103" s="189">
        <v>0</v>
      </c>
      <c r="J103" s="189">
        <v>0</v>
      </c>
      <c r="K103" s="189">
        <v>0</v>
      </c>
      <c r="L103" s="189">
        <v>0</v>
      </c>
      <c r="M103" s="189">
        <v>0</v>
      </c>
      <c r="N103" s="189">
        <v>0</v>
      </c>
      <c r="O103" s="189">
        <v>0</v>
      </c>
      <c r="P103" s="189">
        <f>'Input data fish and seafood'!C49</f>
        <v>2.4000000000000001E-4</v>
      </c>
      <c r="Q103" s="189">
        <v>0</v>
      </c>
      <c r="R103" s="189">
        <f>(F103+Q103)/'Input data fish and seafood'!$H$15</f>
        <v>5.1063829787234051E-4</v>
      </c>
      <c r="S103" s="189">
        <v>0</v>
      </c>
      <c r="T103" s="199">
        <v>0</v>
      </c>
      <c r="V103" s="1263"/>
      <c r="W103" s="1170"/>
      <c r="X103" s="1171"/>
      <c r="Y103" s="1170"/>
      <c r="Z103" s="1263"/>
      <c r="AA103" s="1170"/>
      <c r="AB103" s="1171"/>
      <c r="AC103" s="1170"/>
      <c r="AD103" s="1263"/>
      <c r="AE103" s="1170"/>
      <c r="AF103" s="1171"/>
      <c r="AG103" s="1170"/>
      <c r="AH103" s="1263"/>
      <c r="AI103" s="1170"/>
      <c r="AJ103" s="1171"/>
      <c r="AK103" s="1170"/>
      <c r="AL103" s="1263"/>
      <c r="AM103" s="1170"/>
      <c r="AN103" s="1171"/>
      <c r="AO103" s="1170"/>
      <c r="AP103" s="1263"/>
      <c r="AQ103" s="1170"/>
      <c r="AR103" s="1171"/>
      <c r="AS103" s="1170"/>
      <c r="AT103" s="1263"/>
      <c r="AU103" s="1170"/>
      <c r="AV103" s="1171"/>
      <c r="AX103" s="1263"/>
      <c r="AY103" s="1171"/>
    </row>
    <row r="104" spans="1:51">
      <c r="A104" s="466" t="s">
        <v>228</v>
      </c>
      <c r="B104" s="481" t="s">
        <v>226</v>
      </c>
      <c r="C104" s="481">
        <f>'Input data fish and seafood'!E16</f>
        <v>0.1</v>
      </c>
      <c r="D104" s="355" t="s">
        <v>316</v>
      </c>
      <c r="E104" s="467">
        <f>SUMPRODUCT($BE$8:$BE$11,E105:E108)</f>
        <v>0</v>
      </c>
      <c r="F104" s="468">
        <f>SUMPRODUCT($BE$8:$BE$11,F105:F108)</f>
        <v>1.4238711002797169</v>
      </c>
      <c r="G104" s="469">
        <f>SUMPRODUCT($BE$8:$BE$11,G105:G108)</f>
        <v>3.3287640431483343</v>
      </c>
      <c r="H104" s="385"/>
      <c r="I104" s="211"/>
      <c r="J104" s="211"/>
      <c r="K104" s="470"/>
      <c r="L104" s="470"/>
      <c r="M104" s="470"/>
      <c r="N104" s="470"/>
      <c r="O104" s="470"/>
      <c r="P104" s="470"/>
      <c r="Q104" s="470"/>
      <c r="R104" s="470"/>
      <c r="S104" s="470"/>
      <c r="T104" s="471"/>
      <c r="V104" s="1263"/>
      <c r="W104" s="1170"/>
      <c r="X104" s="1171"/>
      <c r="Y104" s="1170"/>
      <c r="Z104" s="1263"/>
      <c r="AA104" s="1170"/>
      <c r="AB104" s="1171"/>
      <c r="AC104" s="1170"/>
      <c r="AD104" s="1263"/>
      <c r="AE104" s="1170"/>
      <c r="AF104" s="1171"/>
      <c r="AG104" s="1170"/>
      <c r="AH104" s="1263"/>
      <c r="AI104" s="1170"/>
      <c r="AJ104" s="1171"/>
      <c r="AK104" s="1170"/>
      <c r="AL104" s="1263"/>
      <c r="AM104" s="1170"/>
      <c r="AN104" s="1171"/>
      <c r="AO104" s="1170"/>
      <c r="AP104" s="1263"/>
      <c r="AQ104" s="1170"/>
      <c r="AR104" s="1171"/>
      <c r="AS104" s="1170"/>
      <c r="AT104" s="1263"/>
      <c r="AU104" s="1170"/>
      <c r="AV104" s="1171"/>
      <c r="AX104" s="1263"/>
      <c r="AY104" s="1171"/>
    </row>
    <row r="105" spans="1:51">
      <c r="A105" s="68"/>
      <c r="B105" s="55"/>
      <c r="C105" s="24"/>
      <c r="D105" s="174" t="s">
        <v>317</v>
      </c>
      <c r="E105" s="455">
        <f>IF(AND($F$2="No",$F$3="No"),SUM(J105),IF(AND($F$2="Yes", $F$3="No"), SUM(J105)+L105, IF(AND($F$2="No", $F$3="Yes"),SUM(J105)+K105, SUM(J105)+L105+K105)))</f>
        <v>0</v>
      </c>
      <c r="F105" s="17">
        <f>IF(AND($F$2="No",$F$3="No"),SUM(H105:J105,M105:P105),IF(AND($F$2="Yes", $F$3="No"), SUM(H105:J105,M105:P105)+L105, IF(AND($F$2="No", $F$3="Yes"),SUM(H105:J105,M105:P105)+K105, SUM(H105:J105,M105:P105)+L105+K105)))</f>
        <v>0.93542148236402234</v>
      </c>
      <c r="G105" s="357">
        <f>SUM(R105:T105)/(1-'Common input data'!B$144)</f>
        <v>2.2895095369447285</v>
      </c>
      <c r="H105" s="189">
        <v>0</v>
      </c>
      <c r="I105" s="189">
        <v>0</v>
      </c>
      <c r="J105" s="189">
        <v>0</v>
      </c>
      <c r="K105" s="189">
        <v>0</v>
      </c>
      <c r="L105" s="189">
        <v>0</v>
      </c>
      <c r="M105" s="189">
        <v>0</v>
      </c>
      <c r="N105" s="189">
        <v>0</v>
      </c>
      <c r="O105" s="189">
        <f>'Input data fish and seafood'!G16*'Input data fish and seafood'!B42</f>
        <v>0.93542148236402234</v>
      </c>
      <c r="P105" s="189">
        <v>0</v>
      </c>
      <c r="Q105" s="189">
        <f>'Input data fish and seafood'!B107*'Input data fish and seafood'!B115*'Common input data'!B80</f>
        <v>5.6048000000000008E-2</v>
      </c>
      <c r="R105" s="189">
        <f>(F105+Q105)/'Input data fish and seafood'!$H$16</f>
        <v>2.1095095369447283</v>
      </c>
      <c r="S105" s="189">
        <f>'Common input data'!B111</f>
        <v>0.1</v>
      </c>
      <c r="T105" s="199">
        <f>'Input data fish and seafood'!B129*'Common input data'!B115+'Common input data'!C115</f>
        <v>0.08</v>
      </c>
      <c r="V105" s="1263"/>
      <c r="W105" s="1170"/>
      <c r="X105" s="1171"/>
      <c r="Y105" s="1170"/>
      <c r="Z105" s="1263"/>
      <c r="AA105" s="1170"/>
      <c r="AB105" s="1171"/>
      <c r="AC105" s="1170"/>
      <c r="AD105" s="1263"/>
      <c r="AE105" s="1170"/>
      <c r="AF105" s="1171"/>
      <c r="AG105" s="1170"/>
      <c r="AH105" s="1263"/>
      <c r="AI105" s="1170"/>
      <c r="AJ105" s="1171"/>
      <c r="AK105" s="1170"/>
      <c r="AL105" s="1263"/>
      <c r="AM105" s="1170"/>
      <c r="AN105" s="1171"/>
      <c r="AO105" s="1170"/>
      <c r="AP105" s="1263"/>
      <c r="AQ105" s="1170"/>
      <c r="AR105" s="1171"/>
      <c r="AS105" s="1170"/>
      <c r="AT105" s="1263"/>
      <c r="AU105" s="1170"/>
      <c r="AV105" s="1171"/>
      <c r="AX105" s="1263"/>
      <c r="AY105" s="1171"/>
    </row>
    <row r="106" spans="1:51">
      <c r="A106" s="68"/>
      <c r="B106" s="55"/>
      <c r="C106" s="55"/>
      <c r="D106" s="174" t="s">
        <v>367</v>
      </c>
      <c r="E106" s="356">
        <v>0</v>
      </c>
      <c r="F106" s="17">
        <f>SUM(H106:J106,M106:P106)</f>
        <v>4.1436017455087024E-4</v>
      </c>
      <c r="G106" s="357">
        <f>SUM(R106:T106)/(1-'Common input data'!B$144)</f>
        <v>8.8161739266142606E-4</v>
      </c>
      <c r="H106" s="189">
        <v>0</v>
      </c>
      <c r="I106" s="189">
        <v>0</v>
      </c>
      <c r="J106" s="189">
        <v>0</v>
      </c>
      <c r="K106" s="189">
        <v>0</v>
      </c>
      <c r="L106" s="189">
        <v>0</v>
      </c>
      <c r="M106" s="189">
        <v>0</v>
      </c>
      <c r="N106" s="189">
        <v>0</v>
      </c>
      <c r="O106" s="189">
        <f>'Input data fish and seafood'!G16*'Input data fish and seafood'!B43</f>
        <v>4.1436017455087024E-4</v>
      </c>
      <c r="P106" s="189">
        <v>0</v>
      </c>
      <c r="Q106" s="189">
        <v>0</v>
      </c>
      <c r="R106" s="189">
        <f>(F106+Q106)/'Input data fish and seafood'!$H$16</f>
        <v>8.8161739266142606E-4</v>
      </c>
      <c r="S106" s="189">
        <v>0</v>
      </c>
      <c r="T106" s="199">
        <v>0</v>
      </c>
      <c r="V106" s="1263"/>
      <c r="W106" s="1170"/>
      <c r="X106" s="1171"/>
      <c r="Y106" s="1170"/>
      <c r="Z106" s="1263"/>
      <c r="AA106" s="1170"/>
      <c r="AB106" s="1171"/>
      <c r="AC106" s="1170"/>
      <c r="AD106" s="1263"/>
      <c r="AE106" s="1170"/>
      <c r="AF106" s="1171"/>
      <c r="AG106" s="1170"/>
      <c r="AH106" s="1263"/>
      <c r="AI106" s="1170"/>
      <c r="AJ106" s="1171"/>
      <c r="AK106" s="1170"/>
      <c r="AL106" s="1263"/>
      <c r="AM106" s="1170"/>
      <c r="AN106" s="1171"/>
      <c r="AO106" s="1170"/>
      <c r="AP106" s="1263"/>
      <c r="AQ106" s="1170"/>
      <c r="AR106" s="1171"/>
      <c r="AS106" s="1170"/>
      <c r="AT106" s="1263"/>
      <c r="AU106" s="1170"/>
      <c r="AV106" s="1171"/>
      <c r="AX106" s="1263"/>
      <c r="AY106" s="1171"/>
    </row>
    <row r="107" spans="1:51">
      <c r="A107" s="68"/>
      <c r="B107" s="55"/>
      <c r="C107" s="54"/>
      <c r="D107" s="55" t="s">
        <v>320</v>
      </c>
      <c r="E107" s="356">
        <v>0</v>
      </c>
      <c r="F107" s="17">
        <f>SUM(H107:J107,M107:P107)</f>
        <v>2.5135139937073311E-5</v>
      </c>
      <c r="G107" s="357">
        <f>SUM(R107:T107)/(1-'Common input data'!B$144)</f>
        <v>5.3479021142709173E-5</v>
      </c>
      <c r="H107" s="189">
        <v>0</v>
      </c>
      <c r="I107" s="189">
        <v>0</v>
      </c>
      <c r="J107" s="189">
        <v>0</v>
      </c>
      <c r="K107" s="189">
        <v>0</v>
      </c>
      <c r="L107" s="189">
        <v>0</v>
      </c>
      <c r="M107" s="189">
        <v>0</v>
      </c>
      <c r="N107" s="189">
        <v>0</v>
      </c>
      <c r="O107" s="189">
        <f>'Input data fish and seafood'!G16*'Input data fish and seafood'!B44</f>
        <v>2.5135139937073311E-5</v>
      </c>
      <c r="P107" s="189">
        <v>0</v>
      </c>
      <c r="Q107" s="189">
        <v>0</v>
      </c>
      <c r="R107" s="189">
        <f>(F107+Q107)/'Input data fish and seafood'!$H$16</f>
        <v>5.3479021142709173E-5</v>
      </c>
      <c r="S107" s="189">
        <v>0</v>
      </c>
      <c r="T107" s="199">
        <v>0</v>
      </c>
      <c r="V107" s="1263"/>
      <c r="W107" s="1170"/>
      <c r="X107" s="1171"/>
      <c r="Y107" s="1170"/>
      <c r="Z107" s="1263"/>
      <c r="AA107" s="1170"/>
      <c r="AB107" s="1171"/>
      <c r="AC107" s="1170"/>
      <c r="AD107" s="1263"/>
      <c r="AE107" s="1170"/>
      <c r="AF107" s="1171"/>
      <c r="AG107" s="1170"/>
      <c r="AH107" s="1263"/>
      <c r="AI107" s="1170"/>
      <c r="AJ107" s="1171"/>
      <c r="AK107" s="1170"/>
      <c r="AL107" s="1263"/>
      <c r="AM107" s="1170"/>
      <c r="AN107" s="1171"/>
      <c r="AO107" s="1170"/>
      <c r="AP107" s="1263"/>
      <c r="AQ107" s="1170"/>
      <c r="AR107" s="1171"/>
      <c r="AS107" s="1170"/>
      <c r="AT107" s="1263"/>
      <c r="AU107" s="1170"/>
      <c r="AV107" s="1171"/>
      <c r="AX107" s="1263"/>
      <c r="AY107" s="1171"/>
    </row>
    <row r="108" spans="1:51">
      <c r="A108" s="68"/>
      <c r="B108" s="55"/>
      <c r="C108" s="54"/>
      <c r="D108" s="55" t="s">
        <v>398</v>
      </c>
      <c r="E108" s="356">
        <v>0</v>
      </c>
      <c r="F108" s="17">
        <f>SUM(H108:J108,M108:P108)</f>
        <v>2.4000000000000001E-4</v>
      </c>
      <c r="G108" s="357">
        <f>SUM(R108:T108)/(1-'Common input data'!B$144)</f>
        <v>5.1063829787234051E-4</v>
      </c>
      <c r="H108" s="189">
        <v>0</v>
      </c>
      <c r="I108" s="189">
        <v>0</v>
      </c>
      <c r="J108" s="189">
        <v>0</v>
      </c>
      <c r="K108" s="189">
        <v>0</v>
      </c>
      <c r="L108" s="189">
        <v>0</v>
      </c>
      <c r="M108" s="189">
        <v>0</v>
      </c>
      <c r="N108" s="189">
        <v>0</v>
      </c>
      <c r="O108" s="189">
        <v>0</v>
      </c>
      <c r="P108" s="189">
        <f>'Input data fish and seafood'!C49</f>
        <v>2.4000000000000001E-4</v>
      </c>
      <c r="Q108" s="189">
        <v>0</v>
      </c>
      <c r="R108" s="189">
        <f>(F108+Q108)/'Input data fish and seafood'!$H$16</f>
        <v>5.1063829787234051E-4</v>
      </c>
      <c r="S108" s="189">
        <v>0</v>
      </c>
      <c r="T108" s="199">
        <v>0</v>
      </c>
      <c r="V108" s="1263"/>
      <c r="W108" s="1170"/>
      <c r="X108" s="1171"/>
      <c r="Y108" s="1170"/>
      <c r="Z108" s="1263"/>
      <c r="AA108" s="1170"/>
      <c r="AB108" s="1171"/>
      <c r="AC108" s="1170"/>
      <c r="AD108" s="1263"/>
      <c r="AE108" s="1170"/>
      <c r="AF108" s="1171"/>
      <c r="AG108" s="1170"/>
      <c r="AH108" s="1263"/>
      <c r="AI108" s="1170"/>
      <c r="AJ108" s="1171"/>
      <c r="AK108" s="1170"/>
      <c r="AL108" s="1263"/>
      <c r="AM108" s="1170"/>
      <c r="AN108" s="1171"/>
      <c r="AO108" s="1170"/>
      <c r="AP108" s="1263"/>
      <c r="AQ108" s="1170"/>
      <c r="AR108" s="1171"/>
      <c r="AS108" s="1170"/>
      <c r="AT108" s="1263"/>
      <c r="AU108" s="1170"/>
      <c r="AV108" s="1171"/>
      <c r="AX108" s="1263"/>
      <c r="AY108" s="1171"/>
    </row>
    <row r="109" spans="1:51">
      <c r="A109" s="466" t="s">
        <v>228</v>
      </c>
      <c r="B109" s="481" t="s">
        <v>221</v>
      </c>
      <c r="C109" s="481">
        <f>'Input data fish and seafood'!E17</f>
        <v>0.1</v>
      </c>
      <c r="D109" s="355" t="s">
        <v>316</v>
      </c>
      <c r="E109" s="467">
        <f>SUMPRODUCT($BE$8:$BE$11,E110:E113)</f>
        <v>0</v>
      </c>
      <c r="F109" s="468">
        <f>SUMPRODUCT($BE$8:$BE$11,F110:F113)</f>
        <v>1.7855325521099545</v>
      </c>
      <c r="G109" s="469">
        <f>SUMPRODUCT($BE$8:$BE$11,G110:G113)</f>
        <v>4.0982564938509682</v>
      </c>
      <c r="H109" s="385"/>
      <c r="I109" s="211"/>
      <c r="J109" s="211"/>
      <c r="K109" s="470"/>
      <c r="L109" s="470"/>
      <c r="M109" s="470"/>
      <c r="N109" s="470"/>
      <c r="O109" s="470"/>
      <c r="P109" s="470"/>
      <c r="Q109" s="470"/>
      <c r="R109" s="470"/>
      <c r="S109" s="470"/>
      <c r="T109" s="471"/>
      <c r="V109" s="1263"/>
      <c r="W109" s="1170"/>
      <c r="X109" s="1171"/>
      <c r="Y109" s="1170"/>
      <c r="Z109" s="1263"/>
      <c r="AA109" s="1170"/>
      <c r="AB109" s="1171"/>
      <c r="AC109" s="1170"/>
      <c r="AD109" s="1263"/>
      <c r="AE109" s="1170"/>
      <c r="AF109" s="1171"/>
      <c r="AG109" s="1170"/>
      <c r="AH109" s="1263"/>
      <c r="AI109" s="1170"/>
      <c r="AJ109" s="1171"/>
      <c r="AK109" s="1170"/>
      <c r="AL109" s="1263"/>
      <c r="AM109" s="1170"/>
      <c r="AN109" s="1171"/>
      <c r="AO109" s="1170"/>
      <c r="AP109" s="1263"/>
      <c r="AQ109" s="1170"/>
      <c r="AR109" s="1171"/>
      <c r="AS109" s="1170"/>
      <c r="AT109" s="1263"/>
      <c r="AU109" s="1170"/>
      <c r="AV109" s="1171"/>
      <c r="AX109" s="1263"/>
      <c r="AY109" s="1171"/>
    </row>
    <row r="110" spans="1:51">
      <c r="A110" s="68"/>
      <c r="B110" s="55"/>
      <c r="C110" s="24"/>
      <c r="D110" s="174" t="s">
        <v>317</v>
      </c>
      <c r="E110" s="455">
        <f>IF(AND($F$2="No",$F$3="No"),SUM(J110),IF(AND($F$2="Yes", $F$3="No"), SUM(J110)+L110, IF(AND($F$2="No", $F$3="Yes"),SUM(J110)+K110, SUM(J110)+L110+K110)))</f>
        <v>0</v>
      </c>
      <c r="F110" s="17">
        <f>IF(AND($F$2="No",$F$3="No"),SUM(H110:J110,M110:P110),IF(AND($F$2="Yes", $F$3="No"), SUM(H110:J110,M110:P110)+L110, IF(AND($F$2="No", $F$3="Yes"),SUM(H110:J110,M110:P110)+K110, SUM(H110:J110,M110:P110)+L110+K110)))</f>
        <v>1.2902365273986518</v>
      </c>
      <c r="G110" s="357">
        <f>SUM(R110:T110)/(1-'Common input data'!B$144)</f>
        <v>3.0444351646779833</v>
      </c>
      <c r="H110" s="189">
        <v>0</v>
      </c>
      <c r="I110" s="189">
        <v>0</v>
      </c>
      <c r="J110" s="189">
        <v>0</v>
      </c>
      <c r="K110" s="189">
        <v>0</v>
      </c>
      <c r="L110" s="189">
        <v>0</v>
      </c>
      <c r="M110" s="189">
        <v>0</v>
      </c>
      <c r="N110" s="189">
        <v>0</v>
      </c>
      <c r="O110" s="189">
        <f>'Input data fish and seafood'!G17*'Input data fish and seafood'!B42</f>
        <v>1.2902365273986518</v>
      </c>
      <c r="P110" s="189">
        <v>0</v>
      </c>
      <c r="Q110" s="189">
        <f>'Input data fish and seafood'!B107*'Input data fish and seafood'!B115*'Common input data'!B80</f>
        <v>5.6048000000000008E-2</v>
      </c>
      <c r="R110" s="189">
        <f>(F110+Q110)/'Input data fish and seafood'!$H$17</f>
        <v>2.8644351646779831</v>
      </c>
      <c r="S110" s="189">
        <f>'Common input data'!B111</f>
        <v>0.1</v>
      </c>
      <c r="T110" s="199">
        <f>'Input data fish and seafood'!B129*'Common input data'!B115+'Common input data'!C115</f>
        <v>0.08</v>
      </c>
      <c r="V110" s="1263"/>
      <c r="W110" s="1170"/>
      <c r="X110" s="1171"/>
      <c r="Y110" s="1170"/>
      <c r="Z110" s="1263"/>
      <c r="AA110" s="1170"/>
      <c r="AB110" s="1171"/>
      <c r="AC110" s="1170"/>
      <c r="AD110" s="1263"/>
      <c r="AE110" s="1170"/>
      <c r="AF110" s="1171"/>
      <c r="AG110" s="1170"/>
      <c r="AH110" s="1263"/>
      <c r="AI110" s="1170"/>
      <c r="AJ110" s="1171"/>
      <c r="AK110" s="1170"/>
      <c r="AL110" s="1263"/>
      <c r="AM110" s="1170"/>
      <c r="AN110" s="1171"/>
      <c r="AO110" s="1170"/>
      <c r="AP110" s="1263"/>
      <c r="AQ110" s="1170"/>
      <c r="AR110" s="1171"/>
      <c r="AS110" s="1170"/>
      <c r="AT110" s="1263"/>
      <c r="AU110" s="1170"/>
      <c r="AV110" s="1171"/>
      <c r="AX110" s="1263"/>
      <c r="AY110" s="1171"/>
    </row>
    <row r="111" spans="1:51">
      <c r="A111" s="68"/>
      <c r="B111" s="55"/>
      <c r="C111" s="55"/>
      <c r="D111" s="174" t="s">
        <v>367</v>
      </c>
      <c r="E111" s="356">
        <v>0</v>
      </c>
      <c r="F111" s="17">
        <f>SUM(H111:J111,M111:P111)</f>
        <v>5.7153127524257972E-4</v>
      </c>
      <c r="G111" s="357">
        <f>SUM(R111:T111)/(1-'Common input data'!B$144)</f>
        <v>1.2160239898778293E-3</v>
      </c>
      <c r="H111" s="189">
        <v>0</v>
      </c>
      <c r="I111" s="189">
        <v>0</v>
      </c>
      <c r="J111" s="189">
        <v>0</v>
      </c>
      <c r="K111" s="189">
        <v>0</v>
      </c>
      <c r="L111" s="189">
        <v>0</v>
      </c>
      <c r="M111" s="189">
        <v>0</v>
      </c>
      <c r="N111" s="189">
        <v>0</v>
      </c>
      <c r="O111" s="189">
        <f>'Input data fish and seafood'!G17*'Input data fish and seafood'!B43</f>
        <v>5.7153127524257972E-4</v>
      </c>
      <c r="P111" s="189">
        <v>0</v>
      </c>
      <c r="Q111" s="189">
        <v>0</v>
      </c>
      <c r="R111" s="189">
        <f>(F111+Q111)/'Input data fish and seafood'!$H$17</f>
        <v>1.2160239898778293E-3</v>
      </c>
      <c r="S111" s="189">
        <v>0</v>
      </c>
      <c r="T111" s="199">
        <v>0</v>
      </c>
      <c r="V111" s="1263"/>
      <c r="W111" s="1170"/>
      <c r="X111" s="1171"/>
      <c r="Y111" s="1170"/>
      <c r="Z111" s="1263"/>
      <c r="AA111" s="1170"/>
      <c r="AB111" s="1171"/>
      <c r="AC111" s="1170"/>
      <c r="AD111" s="1263"/>
      <c r="AE111" s="1170"/>
      <c r="AF111" s="1171"/>
      <c r="AG111" s="1170"/>
      <c r="AH111" s="1263"/>
      <c r="AI111" s="1170"/>
      <c r="AJ111" s="1171"/>
      <c r="AK111" s="1170"/>
      <c r="AL111" s="1263"/>
      <c r="AM111" s="1170"/>
      <c r="AN111" s="1171"/>
      <c r="AO111" s="1170"/>
      <c r="AP111" s="1263"/>
      <c r="AQ111" s="1170"/>
      <c r="AR111" s="1171"/>
      <c r="AS111" s="1170"/>
      <c r="AT111" s="1263"/>
      <c r="AU111" s="1170"/>
      <c r="AV111" s="1171"/>
      <c r="AX111" s="1263"/>
      <c r="AY111" s="1171"/>
    </row>
    <row r="112" spans="1:51">
      <c r="A112" s="68"/>
      <c r="B112" s="55"/>
      <c r="C112" s="54"/>
      <c r="D112" s="55" t="s">
        <v>320</v>
      </c>
      <c r="E112" s="356">
        <v>0</v>
      </c>
      <c r="F112" s="17">
        <f>SUM(H112:J112,M112:P112)</f>
        <v>3.4669158533894227E-5</v>
      </c>
      <c r="G112" s="357">
        <f>SUM(R112:T112)/(1-'Common input data'!B$144)</f>
        <v>7.3764167093391973E-5</v>
      </c>
      <c r="H112" s="189">
        <v>0</v>
      </c>
      <c r="I112" s="189">
        <v>0</v>
      </c>
      <c r="J112" s="189">
        <v>0</v>
      </c>
      <c r="K112" s="189">
        <v>0</v>
      </c>
      <c r="L112" s="189">
        <v>0</v>
      </c>
      <c r="M112" s="189">
        <v>0</v>
      </c>
      <c r="N112" s="189">
        <v>0</v>
      </c>
      <c r="O112" s="189">
        <f>'Input data fish and seafood'!G17*'Input data fish and seafood'!B44</f>
        <v>3.4669158533894227E-5</v>
      </c>
      <c r="P112" s="189">
        <v>0</v>
      </c>
      <c r="Q112" s="189">
        <v>0</v>
      </c>
      <c r="R112" s="189">
        <f>(F112+Q112)/'Input data fish and seafood'!$H$17</f>
        <v>7.3764167093391973E-5</v>
      </c>
      <c r="S112" s="189">
        <v>0</v>
      </c>
      <c r="T112" s="199">
        <v>0</v>
      </c>
      <c r="V112" s="1263"/>
      <c r="W112" s="1170"/>
      <c r="X112" s="1171"/>
      <c r="Y112" s="1170"/>
      <c r="Z112" s="1263"/>
      <c r="AA112" s="1170"/>
      <c r="AB112" s="1171"/>
      <c r="AC112" s="1170"/>
      <c r="AD112" s="1263"/>
      <c r="AE112" s="1170"/>
      <c r="AF112" s="1171"/>
      <c r="AG112" s="1170"/>
      <c r="AH112" s="1263"/>
      <c r="AI112" s="1170"/>
      <c r="AJ112" s="1171"/>
      <c r="AK112" s="1170"/>
      <c r="AL112" s="1263"/>
      <c r="AM112" s="1170"/>
      <c r="AN112" s="1171"/>
      <c r="AO112" s="1170"/>
      <c r="AP112" s="1263"/>
      <c r="AQ112" s="1170"/>
      <c r="AR112" s="1171"/>
      <c r="AS112" s="1170"/>
      <c r="AT112" s="1263"/>
      <c r="AU112" s="1170"/>
      <c r="AV112" s="1171"/>
      <c r="AX112" s="1263"/>
      <c r="AY112" s="1171"/>
    </row>
    <row r="113" spans="1:306">
      <c r="A113" s="71"/>
      <c r="B113" s="56"/>
      <c r="C113" s="81"/>
      <c r="D113" s="56" t="s">
        <v>398</v>
      </c>
      <c r="E113" s="372">
        <v>0</v>
      </c>
      <c r="F113" s="137">
        <f>SUM(H113:J113,M113:P113)</f>
        <v>2.4000000000000001E-4</v>
      </c>
      <c r="G113" s="373">
        <f>SUM(R113:T113)/(1-'Common input data'!B$144)</f>
        <v>5.1063829787234051E-4</v>
      </c>
      <c r="H113" s="210">
        <v>0</v>
      </c>
      <c r="I113" s="210">
        <v>0</v>
      </c>
      <c r="J113" s="210">
        <v>0</v>
      </c>
      <c r="K113" s="210">
        <v>0</v>
      </c>
      <c r="L113" s="210">
        <v>0</v>
      </c>
      <c r="M113" s="210">
        <v>0</v>
      </c>
      <c r="N113" s="210">
        <v>0</v>
      </c>
      <c r="O113" s="210">
        <v>0</v>
      </c>
      <c r="P113" s="210">
        <f>'Input data fish and seafood'!C49</f>
        <v>2.4000000000000001E-4</v>
      </c>
      <c r="Q113" s="210">
        <v>0</v>
      </c>
      <c r="R113" s="210">
        <f>(F113+Q113)/'Input data fish and seafood'!$H$17</f>
        <v>5.1063829787234051E-4</v>
      </c>
      <c r="S113" s="210">
        <v>0</v>
      </c>
      <c r="T113" s="264">
        <v>0</v>
      </c>
      <c r="V113" s="1263"/>
      <c r="W113" s="1170"/>
      <c r="X113" s="1171"/>
      <c r="Y113" s="1170"/>
      <c r="Z113" s="1263"/>
      <c r="AA113" s="1170"/>
      <c r="AB113" s="1171"/>
      <c r="AC113" s="1170"/>
      <c r="AD113" s="1263"/>
      <c r="AE113" s="1170"/>
      <c r="AF113" s="1171"/>
      <c r="AG113" s="1170"/>
      <c r="AH113" s="1263"/>
      <c r="AI113" s="1170"/>
      <c r="AJ113" s="1171"/>
      <c r="AK113" s="1170"/>
      <c r="AL113" s="1263"/>
      <c r="AM113" s="1170"/>
      <c r="AN113" s="1171"/>
      <c r="AO113" s="1170"/>
      <c r="AP113" s="1263"/>
      <c r="AQ113" s="1170"/>
      <c r="AR113" s="1171"/>
      <c r="AS113" s="1170"/>
      <c r="AT113" s="1263"/>
      <c r="AU113" s="1170"/>
      <c r="AV113" s="1171"/>
      <c r="AX113" s="1263"/>
      <c r="AY113" s="1171"/>
    </row>
    <row r="114" spans="1:306">
      <c r="A114" s="374" t="s">
        <v>406</v>
      </c>
      <c r="B114" s="375"/>
      <c r="C114" s="376"/>
      <c r="D114" s="377"/>
      <c r="E114" s="443" t="s">
        <v>395</v>
      </c>
      <c r="F114" s="444" t="s">
        <v>395</v>
      </c>
      <c r="G114" s="445" t="s">
        <v>396</v>
      </c>
      <c r="H114" s="378"/>
      <c r="I114" s="378"/>
      <c r="J114" s="378"/>
      <c r="K114" s="379"/>
      <c r="L114" s="379"/>
      <c r="M114" s="380"/>
      <c r="N114" s="379"/>
      <c r="O114" s="379"/>
      <c r="P114" s="379"/>
      <c r="Q114" s="379"/>
      <c r="R114" s="379"/>
      <c r="S114" s="379"/>
      <c r="T114" s="479"/>
      <c r="V114" s="1263"/>
      <c r="W114" s="1170"/>
      <c r="X114" s="1171"/>
      <c r="Y114" s="1170"/>
      <c r="Z114" s="1263"/>
      <c r="AA114" s="1170"/>
      <c r="AB114" s="1171"/>
      <c r="AC114" s="1170"/>
      <c r="AD114" s="1263"/>
      <c r="AE114" s="1170"/>
      <c r="AF114" s="1171"/>
      <c r="AG114" s="1170"/>
      <c r="AH114" s="1263"/>
      <c r="AI114" s="1170"/>
      <c r="AJ114" s="1171"/>
      <c r="AK114" s="1170"/>
      <c r="AL114" s="1263"/>
      <c r="AM114" s="1170"/>
      <c r="AN114" s="1171"/>
      <c r="AO114" s="1170"/>
      <c r="AP114" s="1263"/>
      <c r="AQ114" s="1170"/>
      <c r="AR114" s="1171"/>
      <c r="AS114" s="1170"/>
      <c r="AT114" s="1263"/>
      <c r="AU114" s="1170"/>
      <c r="AV114" s="1171"/>
      <c r="AX114" s="1263"/>
      <c r="AY114" s="1171"/>
    </row>
    <row r="115" spans="1:306" s="89" customFormat="1">
      <c r="A115" s="381" t="s">
        <v>407</v>
      </c>
      <c r="B115" s="487" t="s">
        <v>220</v>
      </c>
      <c r="C115" s="488">
        <f>'Input data fish and seafood'!E18</f>
        <v>1</v>
      </c>
      <c r="D115" s="384" t="s">
        <v>316</v>
      </c>
      <c r="E115" s="430">
        <f>SUMPRODUCT($BE$8:$BE$11,E116:E119)</f>
        <v>0</v>
      </c>
      <c r="F115" s="431">
        <f>SUMPRODUCT($BE$8:$BE$11,F116:F119)</f>
        <v>4.251406087316119</v>
      </c>
      <c r="G115" s="432">
        <f>SUMPRODUCT($BE$8:$BE$11,G116:G119)</f>
        <v>12.145150242544776</v>
      </c>
      <c r="H115" s="451"/>
      <c r="I115" s="452"/>
      <c r="J115" s="452"/>
      <c r="K115" s="453"/>
      <c r="L115" s="453"/>
      <c r="M115" s="453"/>
      <c r="N115" s="453"/>
      <c r="O115" s="453"/>
      <c r="P115" s="453"/>
      <c r="Q115" s="453"/>
      <c r="R115" s="453"/>
      <c r="S115" s="453"/>
      <c r="T115" s="454"/>
      <c r="U115"/>
      <c r="V115" s="1265"/>
      <c r="W115" s="1266"/>
      <c r="X115" s="1267"/>
      <c r="Y115" s="1170"/>
      <c r="Z115" s="1265"/>
      <c r="AA115" s="1266"/>
      <c r="AB115" s="1267"/>
      <c r="AC115" s="1170"/>
      <c r="AD115" s="1265"/>
      <c r="AE115" s="1266"/>
      <c r="AF115" s="1267"/>
      <c r="AG115" s="1170"/>
      <c r="AH115" s="1265"/>
      <c r="AI115" s="1266"/>
      <c r="AJ115" s="1267"/>
      <c r="AK115" s="1170"/>
      <c r="AL115" s="1265"/>
      <c r="AM115" s="1266"/>
      <c r="AN115" s="1267"/>
      <c r="AO115" s="1170"/>
      <c r="AP115" s="1265"/>
      <c r="AQ115" s="1266"/>
      <c r="AR115" s="1267"/>
      <c r="AS115" s="1170"/>
      <c r="AT115" s="1265"/>
      <c r="AU115" s="1266"/>
      <c r="AV115" s="1267"/>
      <c r="AW115"/>
      <c r="AX115" s="1265"/>
      <c r="AY115" s="1267"/>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row>
    <row r="116" spans="1:306">
      <c r="A116" s="68"/>
      <c r="B116" s="55"/>
      <c r="D116" s="174" t="s">
        <v>317</v>
      </c>
      <c r="E116" s="455">
        <f>IF(AND($F$2="No",$F$3="No"),SUM(J116),IF(AND($F$2="Yes", $F$3="No"), SUM(J116)+L116, IF(AND($F$2="No", $F$3="Yes"),SUM(J116)+K116, SUM(J116)+L116+K116)))</f>
        <v>0</v>
      </c>
      <c r="F116" s="17">
        <f>IF(AND($F$2="No",$F$3="No"),SUM(H116:J116,M116:P116),IF(AND($F$2="Yes", $F$3="No"), SUM(H116:J116,M116:P116)+L116, IF(AND($F$2="No", $F$3="Yes"),SUM(H116:J116,M116:P116)+K116, SUM(H116:J116,M116:P116)+L116+K116)))</f>
        <v>3.7094300162711233</v>
      </c>
      <c r="G116" s="357">
        <f>SUM(R116:T116)/(1-'Common input data'!B144)</f>
        <v>10.639661156308676</v>
      </c>
      <c r="H116" s="189">
        <v>0</v>
      </c>
      <c r="I116" s="189">
        <v>0</v>
      </c>
      <c r="J116" s="189">
        <v>0</v>
      </c>
      <c r="K116" s="189">
        <v>0</v>
      </c>
      <c r="L116" s="189">
        <v>0</v>
      </c>
      <c r="M116" s="189">
        <v>0</v>
      </c>
      <c r="N116" s="189">
        <v>0</v>
      </c>
      <c r="O116" s="189">
        <f>'Input data fish and seafood'!G18*'Input data fish and seafood'!B42</f>
        <v>3.7094300162711233</v>
      </c>
      <c r="P116" s="189">
        <v>0</v>
      </c>
      <c r="Q116" s="189">
        <f>'Input data fish and seafood'!B107*'Input data fish and seafood'!B116*'Common input data'!B80</f>
        <v>5.6048000000000008E-2</v>
      </c>
      <c r="R116" s="189">
        <f>(F116+Q116)/'Input data fish and seafood'!$H$18</f>
        <v>10.459661156308677</v>
      </c>
      <c r="S116" s="189">
        <f>'Common input data'!B111</f>
        <v>0.1</v>
      </c>
      <c r="T116" s="199">
        <f>'Input data fish and seafood'!B130*'Common input data'!B115+'Common input data'!C115</f>
        <v>0.08</v>
      </c>
      <c r="V116" s="1263"/>
      <c r="W116" s="1170"/>
      <c r="X116" s="1171"/>
      <c r="Y116" s="1170"/>
      <c r="Z116" s="1263"/>
      <c r="AA116" s="1170"/>
      <c r="AB116" s="1171"/>
      <c r="AC116" s="1170"/>
      <c r="AD116" s="1263"/>
      <c r="AE116" s="1170"/>
      <c r="AF116" s="1171"/>
      <c r="AG116" s="1170"/>
      <c r="AH116" s="1263"/>
      <c r="AI116" s="1170"/>
      <c r="AJ116" s="1171"/>
      <c r="AK116" s="1170"/>
      <c r="AL116" s="1263"/>
      <c r="AM116" s="1170"/>
      <c r="AN116" s="1171"/>
      <c r="AO116" s="1170"/>
      <c r="AP116" s="1263"/>
      <c r="AQ116" s="1170"/>
      <c r="AR116" s="1171"/>
      <c r="AS116" s="1170"/>
      <c r="AT116" s="1263"/>
      <c r="AU116" s="1170"/>
      <c r="AV116" s="1171"/>
      <c r="AX116" s="1263"/>
      <c r="AY116" s="1171"/>
    </row>
    <row r="117" spans="1:306">
      <c r="A117" s="68"/>
      <c r="B117" s="55"/>
      <c r="C117" s="50"/>
      <c r="D117" s="174" t="s">
        <v>367</v>
      </c>
      <c r="E117" s="356">
        <v>0</v>
      </c>
      <c r="F117" s="17">
        <f>SUM(H117:J117,M117:P117)</f>
        <v>1.6431524163224166E-3</v>
      </c>
      <c r="G117" s="357">
        <f>SUM(R117:T117)/(1-'Common input data'!B144)</f>
        <v>4.5643122675622684E-3</v>
      </c>
      <c r="H117" s="189">
        <v>0</v>
      </c>
      <c r="I117" s="189">
        <v>0</v>
      </c>
      <c r="J117" s="189">
        <v>0</v>
      </c>
      <c r="K117" s="189">
        <v>0</v>
      </c>
      <c r="L117" s="189">
        <v>0</v>
      </c>
      <c r="M117" s="189">
        <v>0</v>
      </c>
      <c r="N117" s="189">
        <v>0</v>
      </c>
      <c r="O117" s="189">
        <f>'Input data fish and seafood'!G18*'Input data fish and seafood'!B43</f>
        <v>1.6431524163224166E-3</v>
      </c>
      <c r="P117" s="189">
        <v>0</v>
      </c>
      <c r="Q117" s="189">
        <v>0</v>
      </c>
      <c r="R117" s="189">
        <f>(F117+Q117)/'Input data fish and seafood'!$H$18</f>
        <v>4.5643122675622684E-3</v>
      </c>
      <c r="S117" s="189">
        <v>0</v>
      </c>
      <c r="T117" s="199">
        <v>0</v>
      </c>
      <c r="V117" s="1263"/>
      <c r="W117" s="1170"/>
      <c r="X117" s="1171"/>
      <c r="Y117" s="1170"/>
      <c r="Z117" s="1263"/>
      <c r="AA117" s="1170"/>
      <c r="AB117" s="1171"/>
      <c r="AC117" s="1170"/>
      <c r="AD117" s="1263"/>
      <c r="AE117" s="1170"/>
      <c r="AF117" s="1171"/>
      <c r="AG117" s="1170"/>
      <c r="AH117" s="1263"/>
      <c r="AI117" s="1170"/>
      <c r="AJ117" s="1171"/>
      <c r="AK117" s="1170"/>
      <c r="AL117" s="1263"/>
      <c r="AM117" s="1170"/>
      <c r="AN117" s="1171"/>
      <c r="AO117" s="1170"/>
      <c r="AP117" s="1263"/>
      <c r="AQ117" s="1170"/>
      <c r="AR117" s="1171"/>
      <c r="AS117" s="1170"/>
      <c r="AT117" s="1263"/>
      <c r="AU117" s="1170"/>
      <c r="AV117" s="1171"/>
      <c r="AX117" s="1263"/>
      <c r="AY117" s="1171"/>
    </row>
    <row r="118" spans="1:306">
      <c r="A118" s="359"/>
      <c r="B118" s="360"/>
      <c r="C118" s="54"/>
      <c r="D118" s="55" t="s">
        <v>320</v>
      </c>
      <c r="E118" s="356">
        <v>0</v>
      </c>
      <c r="F118" s="17">
        <f>SUM(H118:J118,M118:P118)</f>
        <v>9.9673830784945889E-5</v>
      </c>
      <c r="G118" s="357">
        <f>SUM(R118:T118)/(1-'Common input data'!B144)</f>
        <v>2.7687175218040524E-4</v>
      </c>
      <c r="H118" s="189">
        <v>0</v>
      </c>
      <c r="I118" s="189">
        <v>0</v>
      </c>
      <c r="J118" s="189">
        <v>0</v>
      </c>
      <c r="K118" s="189">
        <v>0</v>
      </c>
      <c r="L118" s="189">
        <v>0</v>
      </c>
      <c r="M118" s="189">
        <v>0</v>
      </c>
      <c r="N118" s="189">
        <v>0</v>
      </c>
      <c r="O118" s="189">
        <f>'Input data fish and seafood'!G18*'Input data fish and seafood'!B44</f>
        <v>9.9673830784945889E-5</v>
      </c>
      <c r="P118" s="189">
        <v>0</v>
      </c>
      <c r="Q118" s="189">
        <v>0</v>
      </c>
      <c r="R118" s="189">
        <f>(F118+Q118)/'Input data fish and seafood'!$H$18</f>
        <v>2.7687175218040524E-4</v>
      </c>
      <c r="S118" s="189">
        <v>0</v>
      </c>
      <c r="T118" s="199">
        <v>0</v>
      </c>
      <c r="V118" s="1263"/>
      <c r="W118" s="1170"/>
      <c r="X118" s="1171"/>
      <c r="Y118" s="1170"/>
      <c r="Z118" s="1263"/>
      <c r="AA118" s="1170"/>
      <c r="AB118" s="1171"/>
      <c r="AC118" s="1170"/>
      <c r="AD118" s="1263"/>
      <c r="AE118" s="1170"/>
      <c r="AF118" s="1171"/>
      <c r="AG118" s="1170"/>
      <c r="AH118" s="1263"/>
      <c r="AI118" s="1170"/>
      <c r="AJ118" s="1171"/>
      <c r="AK118" s="1170"/>
      <c r="AL118" s="1263"/>
      <c r="AM118" s="1170"/>
      <c r="AN118" s="1171"/>
      <c r="AO118" s="1170"/>
      <c r="AP118" s="1263"/>
      <c r="AQ118" s="1170"/>
      <c r="AR118" s="1171"/>
      <c r="AS118" s="1170"/>
      <c r="AT118" s="1263"/>
      <c r="AU118" s="1170"/>
      <c r="AV118" s="1171"/>
      <c r="AX118" s="1263"/>
      <c r="AY118" s="1171"/>
    </row>
    <row r="119" spans="1:306">
      <c r="A119" s="437"/>
      <c r="B119" s="438"/>
      <c r="C119" s="81"/>
      <c r="D119" s="56" t="s">
        <v>398</v>
      </c>
      <c r="E119" s="356">
        <v>0</v>
      </c>
      <c r="F119" s="17">
        <f>SUM(H119:J119,M119:P119)</f>
        <v>2.4000000000000001E-4</v>
      </c>
      <c r="G119" s="357">
        <f>SUM(R119:T119)/(1-'Common input data'!B144)</f>
        <v>6.6666666666666675E-4</v>
      </c>
      <c r="H119" s="210">
        <v>0</v>
      </c>
      <c r="I119" s="210">
        <v>0</v>
      </c>
      <c r="J119" s="210">
        <v>0</v>
      </c>
      <c r="K119" s="210">
        <v>0</v>
      </c>
      <c r="L119" s="210">
        <v>0</v>
      </c>
      <c r="M119" s="210">
        <v>0</v>
      </c>
      <c r="N119" s="210">
        <v>0</v>
      </c>
      <c r="O119" s="210">
        <v>0</v>
      </c>
      <c r="P119" s="210">
        <f>'Input data fish and seafood'!C49</f>
        <v>2.4000000000000001E-4</v>
      </c>
      <c r="Q119" s="210">
        <v>0</v>
      </c>
      <c r="R119" s="210">
        <f>(F119+Q119)/'Input data fish and seafood'!$H$18</f>
        <v>6.6666666666666675E-4</v>
      </c>
      <c r="S119" s="210">
        <v>0</v>
      </c>
      <c r="T119" s="264">
        <v>0</v>
      </c>
      <c r="V119" s="1263"/>
      <c r="W119" s="1170"/>
      <c r="X119" s="1171"/>
      <c r="Y119" s="1170"/>
      <c r="Z119" s="1263"/>
      <c r="AA119" s="1170"/>
      <c r="AB119" s="1171"/>
      <c r="AC119" s="1170"/>
      <c r="AD119" s="1263"/>
      <c r="AE119" s="1170"/>
      <c r="AF119" s="1171"/>
      <c r="AG119" s="1170"/>
      <c r="AH119" s="1263"/>
      <c r="AI119" s="1170"/>
      <c r="AJ119" s="1171"/>
      <c r="AK119" s="1170"/>
      <c r="AL119" s="1263"/>
      <c r="AM119" s="1170"/>
      <c r="AN119" s="1171"/>
      <c r="AO119" s="1170"/>
      <c r="AP119" s="1263"/>
      <c r="AQ119" s="1170"/>
      <c r="AR119" s="1171"/>
      <c r="AS119" s="1170"/>
      <c r="AT119" s="1263"/>
      <c r="AU119" s="1170"/>
      <c r="AV119" s="1171"/>
      <c r="AX119" s="1263"/>
      <c r="AY119" s="1171"/>
    </row>
    <row r="120" spans="1:306">
      <c r="A120" s="374" t="s">
        <v>408</v>
      </c>
      <c r="B120" s="375"/>
      <c r="C120" s="376"/>
      <c r="D120" s="377"/>
      <c r="E120" s="489" t="s">
        <v>395</v>
      </c>
      <c r="F120" s="490" t="s">
        <v>395</v>
      </c>
      <c r="G120" s="491" t="s">
        <v>396</v>
      </c>
      <c r="H120" s="378"/>
      <c r="I120" s="378"/>
      <c r="J120" s="378"/>
      <c r="K120" s="379"/>
      <c r="L120" s="379"/>
      <c r="M120" s="380"/>
      <c r="N120" s="379"/>
      <c r="O120" s="379"/>
      <c r="P120" s="379"/>
      <c r="Q120" s="379"/>
      <c r="R120" s="379"/>
      <c r="S120" s="379"/>
      <c r="T120" s="479"/>
      <c r="V120" s="1263"/>
      <c r="W120" s="1170"/>
      <c r="X120" s="1171"/>
      <c r="Y120" s="1170"/>
      <c r="Z120" s="1263"/>
      <c r="AA120" s="1170"/>
      <c r="AB120" s="1171"/>
      <c r="AC120" s="1170"/>
      <c r="AD120" s="1263"/>
      <c r="AE120" s="1170"/>
      <c r="AF120" s="1171"/>
      <c r="AG120" s="1170"/>
      <c r="AH120" s="1263"/>
      <c r="AI120" s="1170"/>
      <c r="AJ120" s="1171"/>
      <c r="AK120" s="1170"/>
      <c r="AL120" s="1263"/>
      <c r="AM120" s="1170"/>
      <c r="AN120" s="1171"/>
      <c r="AO120" s="1170"/>
      <c r="AP120" s="1263"/>
      <c r="AQ120" s="1170"/>
      <c r="AR120" s="1171"/>
      <c r="AS120" s="1170"/>
      <c r="AT120" s="1263"/>
      <c r="AU120" s="1170"/>
      <c r="AV120" s="1171"/>
      <c r="AX120" s="1263"/>
      <c r="AY120" s="1171"/>
    </row>
    <row r="121" spans="1:306" s="89" customFormat="1">
      <c r="A121" s="381" t="s">
        <v>149</v>
      </c>
      <c r="B121" s="487" t="s">
        <v>225</v>
      </c>
      <c r="C121" s="488">
        <f>'Input data fish and seafood'!E20</f>
        <v>1</v>
      </c>
      <c r="D121" s="384" t="s">
        <v>316</v>
      </c>
      <c r="E121" s="467">
        <f>SUMPRODUCT($BE$8:$BE$11,E122:E125)</f>
        <v>0</v>
      </c>
      <c r="F121" s="468">
        <f>SUMPRODUCT($BE$8:$BE$11,F122:F125)</f>
        <v>0.55364482422473971</v>
      </c>
      <c r="G121" s="469">
        <f>SUMPRODUCT($BE$8:$BE$11,G122:G125)</f>
        <v>2.8672287244620915</v>
      </c>
      <c r="H121" s="451"/>
      <c r="I121" s="452"/>
      <c r="J121" s="452"/>
      <c r="K121" s="453"/>
      <c r="L121" s="453"/>
      <c r="M121" s="453"/>
      <c r="N121" s="453"/>
      <c r="O121" s="453"/>
      <c r="P121" s="453"/>
      <c r="Q121" s="453"/>
      <c r="R121" s="453"/>
      <c r="S121" s="453"/>
      <c r="T121" s="454"/>
      <c r="U121"/>
      <c r="V121" s="1265"/>
      <c r="W121" s="1266"/>
      <c r="X121" s="1267"/>
      <c r="Y121" s="1170"/>
      <c r="Z121" s="1265"/>
      <c r="AA121" s="1266"/>
      <c r="AB121" s="1267"/>
      <c r="AC121" s="1170"/>
      <c r="AD121" s="1265"/>
      <c r="AE121" s="1266"/>
      <c r="AF121" s="1267"/>
      <c r="AG121" s="1170"/>
      <c r="AH121" s="1265"/>
      <c r="AI121" s="1266"/>
      <c r="AJ121" s="1267"/>
      <c r="AK121" s="1170"/>
      <c r="AL121" s="1265"/>
      <c r="AM121" s="1266"/>
      <c r="AN121" s="1267"/>
      <c r="AO121" s="1170"/>
      <c r="AP121" s="1265"/>
      <c r="AQ121" s="1266"/>
      <c r="AR121" s="1267"/>
      <c r="AS121" s="1170"/>
      <c r="AT121" s="1265"/>
      <c r="AU121" s="1266"/>
      <c r="AV121" s="1267"/>
      <c r="AW121"/>
      <c r="AX121" s="1265"/>
      <c r="AY121" s="1267"/>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row>
    <row r="122" spans="1:306">
      <c r="A122" s="68"/>
      <c r="B122" s="55"/>
      <c r="D122" s="174" t="s">
        <v>317</v>
      </c>
      <c r="E122" s="455">
        <f>IF(AND($F$2="No",$F$3="No"),SUM(J122),IF(AND($F$2="Yes", $F$3="No"), SUM(J122)+L122, IF(AND($F$2="No", $F$3="Yes"),SUM(J122)+K122, SUM(J122)+L122+K122)))</f>
        <v>0</v>
      </c>
      <c r="F122" s="17">
        <f>IF(AND($F$2="No",$F$3="No"),SUM(H122:J122,M122:P122),IF(AND($F$2="Yes", $F$3="No"), SUM(H122:J122,M122:P122)+L122, IF(AND($F$2="No", $F$3="Yes"),SUM(H122:J122,M122:P122)+K122, SUM(H122:J122,M122:P122)+L122+K122)))</f>
        <v>0.29030321866469661</v>
      </c>
      <c r="G122" s="456">
        <f>SUM(R122:T122)/(1-'Common input data'!$C$144)</f>
        <v>2.2249321255351573</v>
      </c>
      <c r="H122" s="189">
        <v>0</v>
      </c>
      <c r="I122" s="189">
        <v>0</v>
      </c>
      <c r="J122" s="189">
        <v>0</v>
      </c>
      <c r="K122" s="189">
        <v>0</v>
      </c>
      <c r="L122" s="189">
        <v>0</v>
      </c>
      <c r="M122" s="189">
        <v>0</v>
      </c>
      <c r="N122" s="189">
        <v>0</v>
      </c>
      <c r="O122" s="189">
        <f>'Input data fish and seafood'!G20*'Input data fish and seafood'!B42</f>
        <v>0.29030321866469661</v>
      </c>
      <c r="P122" s="189">
        <v>0</v>
      </c>
      <c r="Q122" s="189">
        <f>'Input data fish and seafood'!B107*('Input data fish and seafood'!B117*'Common input data'!B80+'Input data fish and seafood'!C117*'Common input data'!C80+'Input data fish and seafood'!D117*'Common input data'!E80+'Input data fish and seafood'!F117*'Common input data'!I80+'Input data fish and seafood'!H117*'Common input data'!K80)</f>
        <v>0.41117895280471772</v>
      </c>
      <c r="R122" s="186">
        <f>(F122+Q122)/'Input data fish and seafood'!$H$20</f>
        <v>1.7109321255351571</v>
      </c>
      <c r="S122" s="189">
        <f>'Common input data'!B111</f>
        <v>0.1</v>
      </c>
      <c r="T122" s="199">
        <f>'Input data fish and seafood'!D131*'Common input data'!B126+'Input data fish and seafood'!F131*'Common input data'!B123+'Common input data'!C115</f>
        <v>0.41400000000000003</v>
      </c>
      <c r="V122" s="1263"/>
      <c r="W122" s="1170"/>
      <c r="X122" s="1171"/>
      <c r="Y122" s="1170"/>
      <c r="Z122" s="1263"/>
      <c r="AA122" s="1170"/>
      <c r="AB122" s="1171"/>
      <c r="AC122" s="1170"/>
      <c r="AD122" s="1263"/>
      <c r="AE122" s="1170"/>
      <c r="AF122" s="1171"/>
      <c r="AG122" s="1170"/>
      <c r="AH122" s="1263"/>
      <c r="AI122" s="1170"/>
      <c r="AJ122" s="1171"/>
      <c r="AK122" s="1170"/>
      <c r="AL122" s="1263"/>
      <c r="AM122" s="1170"/>
      <c r="AN122" s="1171"/>
      <c r="AO122" s="1170"/>
      <c r="AP122" s="1263"/>
      <c r="AQ122" s="1170"/>
      <c r="AR122" s="1171"/>
      <c r="AS122" s="1170"/>
      <c r="AT122" s="1263"/>
      <c r="AU122" s="1170"/>
      <c r="AV122" s="1171"/>
      <c r="AX122" s="1263"/>
      <c r="AY122" s="1171"/>
    </row>
    <row r="123" spans="1:306">
      <c r="A123" s="68"/>
      <c r="B123" s="55"/>
      <c r="C123" s="50"/>
      <c r="D123" s="174" t="s">
        <v>367</v>
      </c>
      <c r="E123" s="356">
        <v>0</v>
      </c>
      <c r="F123" s="17">
        <f>SUM(H123:J123,M123:P123)</f>
        <v>1.2859453692958044E-4</v>
      </c>
      <c r="G123" s="456">
        <f>SUM(R123:T123)/(1-'Common input data'!$C$144)</f>
        <v>3.1364521202336695E-4</v>
      </c>
      <c r="H123" s="189">
        <v>0</v>
      </c>
      <c r="I123" s="189">
        <v>0</v>
      </c>
      <c r="J123" s="189">
        <v>0</v>
      </c>
      <c r="K123" s="189">
        <v>0</v>
      </c>
      <c r="L123" s="189">
        <v>0</v>
      </c>
      <c r="M123" s="189">
        <v>0</v>
      </c>
      <c r="N123" s="189">
        <v>0</v>
      </c>
      <c r="O123" s="189">
        <f>'Input data fish and seafood'!G20*'Input data fish and seafood'!B43</f>
        <v>1.2859453692958044E-4</v>
      </c>
      <c r="P123" s="189">
        <v>0</v>
      </c>
      <c r="Q123" s="189">
        <v>0</v>
      </c>
      <c r="R123" s="186">
        <f>(F123+Q123)/'Input data fish and seafood'!$H$20</f>
        <v>3.1364521202336695E-4</v>
      </c>
      <c r="S123" s="189">
        <v>0</v>
      </c>
      <c r="T123" s="199">
        <v>0</v>
      </c>
      <c r="V123" s="1263"/>
      <c r="W123" s="1170"/>
      <c r="X123" s="1171"/>
      <c r="Y123" s="1170"/>
      <c r="Z123" s="1263"/>
      <c r="AA123" s="1170"/>
      <c r="AB123" s="1171"/>
      <c r="AC123" s="1170"/>
      <c r="AD123" s="1263"/>
      <c r="AE123" s="1170"/>
      <c r="AF123" s="1171"/>
      <c r="AG123" s="1170"/>
      <c r="AH123" s="1263"/>
      <c r="AI123" s="1170"/>
      <c r="AJ123" s="1171"/>
      <c r="AK123" s="1170"/>
      <c r="AL123" s="1263"/>
      <c r="AM123" s="1170"/>
      <c r="AN123" s="1171"/>
      <c r="AO123" s="1170"/>
      <c r="AP123" s="1263"/>
      <c r="AQ123" s="1170"/>
      <c r="AR123" s="1171"/>
      <c r="AS123" s="1170"/>
      <c r="AT123" s="1263"/>
      <c r="AU123" s="1170"/>
      <c r="AV123" s="1171"/>
      <c r="AX123" s="1263"/>
      <c r="AY123" s="1171"/>
    </row>
    <row r="124" spans="1:306">
      <c r="A124" s="359"/>
      <c r="B124" s="360"/>
      <c r="C124" s="54"/>
      <c r="D124" s="55" t="s">
        <v>320</v>
      </c>
      <c r="E124" s="356">
        <v>0</v>
      </c>
      <c r="F124" s="17">
        <f>SUM(H124:J124,M124:P124)</f>
        <v>7.8005606701261996E-6</v>
      </c>
      <c r="G124" s="456">
        <f>SUM(R124:T124)/(1-'Common input data'!$C$144)</f>
        <v>1.9025757732015122E-5</v>
      </c>
      <c r="H124" s="189">
        <v>0</v>
      </c>
      <c r="I124" s="189">
        <v>0</v>
      </c>
      <c r="J124" s="189">
        <v>0</v>
      </c>
      <c r="K124" s="189">
        <v>0</v>
      </c>
      <c r="L124" s="189">
        <v>0</v>
      </c>
      <c r="M124" s="189">
        <v>0</v>
      </c>
      <c r="N124" s="189">
        <v>0</v>
      </c>
      <c r="O124" s="189">
        <f>'Input data fish and seafood'!G20*'Input data fish and seafood'!B44</f>
        <v>7.8005606701261996E-6</v>
      </c>
      <c r="P124" s="189">
        <v>0</v>
      </c>
      <c r="Q124" s="189">
        <v>0</v>
      </c>
      <c r="R124" s="186">
        <f>(F124+Q124)/'Input data fish and seafood'!$H$20</f>
        <v>1.9025757732015122E-5</v>
      </c>
      <c r="S124" s="189">
        <v>0</v>
      </c>
      <c r="T124" s="199">
        <v>0</v>
      </c>
      <c r="V124" s="1263"/>
      <c r="W124" s="1170"/>
      <c r="X124" s="1171"/>
      <c r="Y124" s="1170"/>
      <c r="Z124" s="1263"/>
      <c r="AA124" s="1170"/>
      <c r="AB124" s="1171"/>
      <c r="AC124" s="1170"/>
      <c r="AD124" s="1263"/>
      <c r="AE124" s="1170"/>
      <c r="AF124" s="1171"/>
      <c r="AG124" s="1170"/>
      <c r="AH124" s="1263"/>
      <c r="AI124" s="1170"/>
      <c r="AJ124" s="1171"/>
      <c r="AK124" s="1170"/>
      <c r="AL124" s="1263"/>
      <c r="AM124" s="1170"/>
      <c r="AN124" s="1171"/>
      <c r="AO124" s="1170"/>
      <c r="AP124" s="1263"/>
      <c r="AQ124" s="1170"/>
      <c r="AR124" s="1171"/>
      <c r="AS124" s="1170"/>
      <c r="AT124" s="1263"/>
      <c r="AU124" s="1170"/>
      <c r="AV124" s="1171"/>
      <c r="AX124" s="1263"/>
      <c r="AY124" s="1171"/>
    </row>
    <row r="125" spans="1:306">
      <c r="A125" s="359"/>
      <c r="B125" s="360"/>
      <c r="C125" s="54"/>
      <c r="D125" s="55" t="s">
        <v>398</v>
      </c>
      <c r="E125" s="372">
        <v>0</v>
      </c>
      <c r="F125" s="137">
        <f>SUM(H125:J125,M125:P125)</f>
        <v>1.315E-4</v>
      </c>
      <c r="G125" s="458">
        <f>SUM(R125:T125)/(1-'Common input data'!$C$144)</f>
        <v>3.2073170731707317E-4</v>
      </c>
      <c r="H125" s="189">
        <v>0</v>
      </c>
      <c r="I125" s="189">
        <v>0</v>
      </c>
      <c r="J125" s="189">
        <v>0</v>
      </c>
      <c r="K125" s="189">
        <v>0</v>
      </c>
      <c r="L125" s="189">
        <v>0</v>
      </c>
      <c r="M125" s="189">
        <v>0</v>
      </c>
      <c r="N125" s="189">
        <v>0</v>
      </c>
      <c r="O125" s="189">
        <v>0</v>
      </c>
      <c r="P125" s="189">
        <f>AVERAGE('Input data fish and seafood'!B49,'Input data fish and seafood'!C49)</f>
        <v>1.315E-4</v>
      </c>
      <c r="Q125" s="189">
        <v>0</v>
      </c>
      <c r="R125" s="186">
        <f>(F125+Q125)/'Input data fish and seafood'!$H$20</f>
        <v>3.2073170731707317E-4</v>
      </c>
      <c r="S125" s="189">
        <v>0</v>
      </c>
      <c r="T125" s="199">
        <v>0</v>
      </c>
      <c r="V125" s="1263"/>
      <c r="W125" s="1170"/>
      <c r="X125" s="1171"/>
      <c r="Y125" s="1170"/>
      <c r="Z125" s="1263"/>
      <c r="AA125" s="1170"/>
      <c r="AB125" s="1171"/>
      <c r="AC125" s="1170"/>
      <c r="AD125" s="1263"/>
      <c r="AE125" s="1170"/>
      <c r="AF125" s="1171"/>
      <c r="AG125" s="1170"/>
      <c r="AH125" s="1263"/>
      <c r="AI125" s="1170"/>
      <c r="AJ125" s="1171"/>
      <c r="AK125" s="1170"/>
      <c r="AL125" s="1263"/>
      <c r="AM125" s="1170"/>
      <c r="AN125" s="1171"/>
      <c r="AO125" s="1170"/>
      <c r="AP125" s="1263"/>
      <c r="AQ125" s="1170"/>
      <c r="AR125" s="1171"/>
      <c r="AS125" s="1170"/>
      <c r="AT125" s="1263"/>
      <c r="AU125" s="1170"/>
      <c r="AV125" s="1171"/>
      <c r="AX125" s="1263"/>
      <c r="AY125" s="1171"/>
    </row>
    <row r="126" spans="1:306">
      <c r="A126" s="374" t="s">
        <v>409</v>
      </c>
      <c r="B126" s="375"/>
      <c r="C126" s="376"/>
      <c r="D126" s="377"/>
      <c r="E126" s="443" t="s">
        <v>395</v>
      </c>
      <c r="F126" s="444" t="s">
        <v>395</v>
      </c>
      <c r="G126" s="445" t="s">
        <v>396</v>
      </c>
      <c r="H126" s="378"/>
      <c r="I126" s="378"/>
      <c r="J126" s="378"/>
      <c r="K126" s="492"/>
      <c r="L126" s="492"/>
      <c r="M126" s="380"/>
      <c r="N126" s="492"/>
      <c r="O126" s="492"/>
      <c r="P126" s="492"/>
      <c r="Q126" s="492"/>
      <c r="R126" s="492"/>
      <c r="S126" s="492"/>
      <c r="T126" s="493"/>
      <c r="V126" s="1263"/>
      <c r="W126" s="1170"/>
      <c r="X126" s="1171"/>
      <c r="Y126" s="1170"/>
      <c r="Z126" s="1263"/>
      <c r="AA126" s="1170"/>
      <c r="AB126" s="1171"/>
      <c r="AC126" s="1170"/>
      <c r="AD126" s="1263"/>
      <c r="AE126" s="1170"/>
      <c r="AF126" s="1171"/>
      <c r="AG126" s="1170"/>
      <c r="AH126" s="1263"/>
      <c r="AI126" s="1170"/>
      <c r="AJ126" s="1171"/>
      <c r="AK126" s="1170"/>
      <c r="AL126" s="1263"/>
      <c r="AM126" s="1170"/>
      <c r="AN126" s="1171"/>
      <c r="AO126" s="1170"/>
      <c r="AP126" s="1263"/>
      <c r="AQ126" s="1170"/>
      <c r="AR126" s="1171"/>
      <c r="AS126" s="1170"/>
      <c r="AT126" s="1263"/>
      <c r="AU126" s="1170"/>
      <c r="AV126" s="1171"/>
      <c r="AX126" s="1263"/>
      <c r="AY126" s="1171"/>
    </row>
    <row r="127" spans="1:306" s="89" customFormat="1" ht="17.25">
      <c r="A127" s="381" t="s">
        <v>122</v>
      </c>
      <c r="B127" s="382" t="s">
        <v>218</v>
      </c>
      <c r="C127" s="383">
        <f>'Input data fish and seafood'!E22</f>
        <v>1</v>
      </c>
      <c r="D127" s="384" t="s">
        <v>316</v>
      </c>
      <c r="E127" s="430">
        <f>SUMPRODUCT($BE$8:$BE$11,E128:E131)</f>
        <v>0.88200579701186288</v>
      </c>
      <c r="F127" s="431">
        <f>SUMPRODUCT($BE$8:$BE$11,F128:F131)</f>
        <v>2.6247087790126482</v>
      </c>
      <c r="G127" s="432">
        <f>SUMPRODUCT($BE$8:$BE$11,G128:G131)</f>
        <v>4.5246832442830298</v>
      </c>
      <c r="H127" s="451"/>
      <c r="I127" s="452"/>
      <c r="J127" s="452"/>
      <c r="K127" s="464"/>
      <c r="L127" s="464"/>
      <c r="M127" s="464"/>
      <c r="N127" s="464"/>
      <c r="O127" s="464"/>
      <c r="P127" s="464"/>
      <c r="Q127" s="464"/>
      <c r="R127" s="464"/>
      <c r="S127" s="464"/>
      <c r="T127" s="465"/>
      <c r="U127"/>
      <c r="V127" s="1265">
        <f>'Input data fish and seafood'!$I22*(SUMPRODUCT('Input data fish and seafood'!$C91:$C102,'Input data fish and seafood'!B$76:B$87))</f>
        <v>2.8332171597697324</v>
      </c>
      <c r="W127" s="1266">
        <f>V127+V127*'Common input data'!$B$144</f>
        <v>2.8332171597697324</v>
      </c>
      <c r="X127" s="1267">
        <f>W127+W127*'Common input data'!$B$180</f>
        <v>3.1448710473444028</v>
      </c>
      <c r="Y127" s="1170"/>
      <c r="Z127" s="1265">
        <f>'Input data fish and seafood'!$I22*(SUMPRODUCT('Input data fish and seafood'!$C91:$C102,'Input data fish and seafood'!C$76:C$87))</f>
        <v>4.2438679790919503E-2</v>
      </c>
      <c r="AA127" s="1266">
        <f>Z127+Z127*'Common input data'!$B$144</f>
        <v>4.2438679790919503E-2</v>
      </c>
      <c r="AB127" s="1267">
        <f>AA127+AA127*'Common input data'!$B$180</f>
        <v>4.7106934567920651E-2</v>
      </c>
      <c r="AC127" s="1170"/>
      <c r="AD127" s="1265">
        <f>'Input data fish and seafood'!$I22*(SUMPRODUCT('Input data fish and seafood'!$C91:$C102,'Input data fish and seafood'!D$76:D$87))</f>
        <v>5.5661960206732945E-3</v>
      </c>
      <c r="AE127" s="1266">
        <f>AD127+AD127*'Common input data'!$B$144</f>
        <v>5.5661960206732945E-3</v>
      </c>
      <c r="AF127" s="1267">
        <f>AE127+AE127*'Common input data'!$B$180</f>
        <v>6.178477582947357E-3</v>
      </c>
      <c r="AG127" s="1170"/>
      <c r="AH127" s="1265">
        <f>'Input data fish and seafood'!$I22*(SUMPRODUCT('Input data fish and seafood'!$C91:$C102,'Input data fish and seafood'!E$76:E$87))</f>
        <v>2.3996015180623873E-2</v>
      </c>
      <c r="AI127" s="1266">
        <f>AH127+AH127*'Common input data'!$B$144</f>
        <v>2.3996015180623873E-2</v>
      </c>
      <c r="AJ127" s="1267">
        <f>AI127+AI127*'Common input data'!$B$180</f>
        <v>2.6635576850492497E-2</v>
      </c>
      <c r="AK127" s="1170"/>
      <c r="AL127" s="1265">
        <f>('Input data fish and seafood'!$I22*(SUMPRODUCT('Input data fish and seafood'!$C91:$C102,'Input data fish and seafood'!F$76:F$87)))/$AM$2</f>
        <v>2.8493942922828624E-12</v>
      </c>
      <c r="AM127" s="1266">
        <f>AL127+AL127*'Common input data'!$B$144</f>
        <v>2.8493942922828624E-12</v>
      </c>
      <c r="AN127" s="1267">
        <f>AM127+AM127*'Common input data'!$B$180</f>
        <v>3.1628276644339774E-12</v>
      </c>
      <c r="AO127" s="1170"/>
      <c r="AP127" s="1265">
        <f>'Input data fish and seafood'!$I22*(SUMPRODUCT('Input data fish and seafood'!$C91:$C102,'Input data fish and seafood'!I$76:I$87))</f>
        <v>3.1325260312868228E-4</v>
      </c>
      <c r="AQ127" s="1266">
        <f>AP127+AP127*'Common input data'!$B$144</f>
        <v>3.1325260312868228E-4</v>
      </c>
      <c r="AR127" s="1267">
        <f>AQ127+AQ127*'Common input data'!$B$180</f>
        <v>3.4771038947283733E-4</v>
      </c>
      <c r="AS127" s="1170"/>
      <c r="AT127" s="1265">
        <f>'Input data fish and seafood'!$I22*(SUMPRODUCT('Input data fish and seafood'!$C91:$C102,'Input data fish and seafood'!J$76:J$87))</f>
        <v>1.2965686416043197E-3</v>
      </c>
      <c r="AU127" s="1266">
        <f>AT127+AT127*'Common input data'!$B$144</f>
        <v>1.2965686416043197E-3</v>
      </c>
      <c r="AV127" s="1267">
        <f>AU127+AU127*'Common input data'!$B$180</f>
        <v>1.439191192180795E-3</v>
      </c>
      <c r="AW127" s="406"/>
      <c r="AX127" s="1265">
        <f>'Common input data'!$C$202+'Common input data'!$C$202*'Common input data'!$B$144</f>
        <v>0.14319999999999999</v>
      </c>
      <c r="AY127" s="1267">
        <f>AX127+AX127*'Common input data'!$B$180</f>
        <v>0.15895199999999998</v>
      </c>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row>
    <row r="128" spans="1:306">
      <c r="A128" s="68"/>
      <c r="B128" s="55"/>
      <c r="C128" s="24"/>
      <c r="D128" s="174" t="s">
        <v>317</v>
      </c>
      <c r="E128" s="455">
        <f>IF(AND($F$2="No",$F$3="No"),SUM(J128),IF(AND($F$2="Yes", $F$3="No"), SUM(J128)+L128, IF(AND($F$2="No", $F$3="Yes"),SUM(J128)+K128, SUM(J128)+L128+K128)))</f>
        <v>9.1624698016891465E-2</v>
      </c>
      <c r="F128" s="17">
        <f>IF(AND($F$2="No",$F$3="No"),SUM(H128:J128,M128:P128),IF(AND($F$2="Yes", $F$3="No"), SUM(H128:J128,M128:P128)+L128, IF(AND($F$2="No", $F$3="Yes"),SUM(H128:J128,M128:P128)+K128, SUM(H128:J128,M128:P128)+L128+K128)))</f>
        <v>1.5142942164134896</v>
      </c>
      <c r="G128" s="456">
        <f>SUM(R128:T128)/(1-'Common input data'!B144)</f>
        <v>2.7043315023171961</v>
      </c>
      <c r="H128" s="189">
        <f>'Input data fish and seafood'!C56</f>
        <v>0.09</v>
      </c>
      <c r="I128" s="189">
        <f>'Input data fish and seafood'!C65*'Input data fish and seafood'!I22</f>
        <v>1.1866695183965978</v>
      </c>
      <c r="J128" s="189">
        <f>'Input data fish and seafood'!C69*'Input data fish and seafood'!I22</f>
        <v>0</v>
      </c>
      <c r="K128" s="189">
        <f>'Input data fish and seafood'!I22*('Input data fish and seafood'!C93*'Common input data'!C19*'Common input data'!G44+'Input data fish and seafood'!C94*'Common input data'!B19*'Common input data'!G42+'Input data fish and seafood'!C95*'Common input data'!D19*'Common input data'!G40+'Input data fish and seafood'!C96*'Common input data'!C19+'Input data fish and seafood'!C97*'Common input data'!D19*'Input data plant-based products'!B286)</f>
        <v>0.14779728980139353</v>
      </c>
      <c r="L128" s="189">
        <f>'Common input data'!AR27*'Input data fish and seafood'!C93*'Input data fish and seafood'!I22*'Common input data'!G44/'Common input data'!F44</f>
        <v>9.1624698016891465E-2</v>
      </c>
      <c r="M128" s="189">
        <f>'Input data fish and seafood'!I22*'Common input data'!B98</f>
        <v>3.5999999999999997E-2</v>
      </c>
      <c r="N128" s="189">
        <f>'Input data fish and seafood'!C57</f>
        <v>0.11</v>
      </c>
      <c r="O128" s="189">
        <v>0</v>
      </c>
      <c r="P128" s="189">
        <v>0</v>
      </c>
      <c r="Q128" s="189">
        <f>'Input data fish and seafood'!B107*'Input data fish and seafood'!B118*'Common input data'!B80</f>
        <v>5.6048000000000008E-2</v>
      </c>
      <c r="R128" s="186">
        <f>(F128+Q128)/'Input data fish and seafood'!$H$22</f>
        <v>2.5743315023171962</v>
      </c>
      <c r="S128" s="189">
        <f>'Common input data'!B111</f>
        <v>0.1</v>
      </c>
      <c r="T128" s="199">
        <f>'Common input data'!C115</f>
        <v>0.03</v>
      </c>
      <c r="V128" s="1263"/>
      <c r="W128" s="1170"/>
      <c r="X128" s="1171"/>
      <c r="Y128" s="1170"/>
      <c r="Z128" s="1263"/>
      <c r="AA128" s="1170"/>
      <c r="AB128" s="1171"/>
      <c r="AC128" s="1170"/>
      <c r="AD128" s="1263"/>
      <c r="AE128" s="1170"/>
      <c r="AF128" s="1171"/>
      <c r="AG128" s="1170"/>
      <c r="AH128" s="1263"/>
      <c r="AI128" s="1170"/>
      <c r="AJ128" s="1171"/>
      <c r="AK128" s="1170"/>
      <c r="AL128" s="1263"/>
      <c r="AM128" s="1170"/>
      <c r="AN128" s="1171"/>
      <c r="AO128" s="1170"/>
      <c r="AP128" s="1263"/>
      <c r="AQ128" s="1170"/>
      <c r="AR128" s="1171"/>
      <c r="AS128" s="1170"/>
      <c r="AT128" s="1263"/>
      <c r="AU128" s="1170"/>
      <c r="AV128" s="1171"/>
      <c r="AX128" s="1263"/>
      <c r="AY128" s="1171"/>
    </row>
    <row r="129" spans="1:306">
      <c r="A129" s="68"/>
      <c r="B129" s="55"/>
      <c r="C129" s="50"/>
      <c r="D129" s="174" t="s">
        <v>367</v>
      </c>
      <c r="E129" s="356">
        <f>J129</f>
        <v>0</v>
      </c>
      <c r="F129" s="17">
        <f>SUM(H129:J129,M129:P129)</f>
        <v>2.7158723558227976E-4</v>
      </c>
      <c r="G129" s="456">
        <f>SUM(R129:T129)/(1-'Common input data'!B144)</f>
        <v>4.4522497636439307E-4</v>
      </c>
      <c r="H129" s="189">
        <v>0</v>
      </c>
      <c r="I129" s="189">
        <f>'Input data fish and seafood'!C66*'Input data fish and seafood'!I22</f>
        <v>2.7158723558227976E-4</v>
      </c>
      <c r="J129" s="189">
        <f>'Input data fish and seafood'!C70*'Input data fish and seafood'!I22</f>
        <v>0</v>
      </c>
      <c r="K129" s="189">
        <v>0</v>
      </c>
      <c r="L129" s="189">
        <v>0</v>
      </c>
      <c r="M129" s="189">
        <v>0</v>
      </c>
      <c r="N129" s="189">
        <v>0</v>
      </c>
      <c r="O129" s="189">
        <v>0</v>
      </c>
      <c r="P129" s="189">
        <v>0</v>
      </c>
      <c r="Q129" s="189">
        <v>0</v>
      </c>
      <c r="R129" s="186">
        <f>(F129+Q129)/'Input data fish and seafood'!$H$22</f>
        <v>4.4522497636439307E-4</v>
      </c>
      <c r="S129" s="189">
        <v>0</v>
      </c>
      <c r="T129" s="199">
        <v>0</v>
      </c>
      <c r="V129" s="1263"/>
      <c r="W129" s="1170"/>
      <c r="X129" s="1171"/>
      <c r="Y129" s="1170"/>
      <c r="Z129" s="1263"/>
      <c r="AA129" s="1170"/>
      <c r="AB129" s="1171"/>
      <c r="AC129" s="1170"/>
      <c r="AD129" s="1263"/>
      <c r="AE129" s="1170"/>
      <c r="AF129" s="1171"/>
      <c r="AG129" s="1170"/>
      <c r="AH129" s="1263"/>
      <c r="AI129" s="1170"/>
      <c r="AJ129" s="1171"/>
      <c r="AK129" s="1170"/>
      <c r="AL129" s="1263"/>
      <c r="AM129" s="1170"/>
      <c r="AN129" s="1171"/>
      <c r="AO129" s="1170"/>
      <c r="AP129" s="1263"/>
      <c r="AQ129" s="1170"/>
      <c r="AR129" s="1171"/>
      <c r="AS129" s="1170"/>
      <c r="AT129" s="1263"/>
      <c r="AU129" s="1170"/>
      <c r="AV129" s="1171"/>
      <c r="AX129" s="1263"/>
      <c r="AY129" s="1171"/>
    </row>
    <row r="130" spans="1:306">
      <c r="A130" s="359"/>
      <c r="B130" s="360"/>
      <c r="C130" s="54"/>
      <c r="D130" s="55" t="s">
        <v>320</v>
      </c>
      <c r="E130" s="356">
        <f>J130</f>
        <v>2.8951688607874414E-3</v>
      </c>
      <c r="F130" s="17">
        <f>SUM(H130:J130,M130:P130)</f>
        <v>4.0405923342067291E-3</v>
      </c>
      <c r="G130" s="456">
        <f>SUM(R130:T130)/(1-'Common input data'!B144)</f>
        <v>6.623921859355294E-3</v>
      </c>
      <c r="H130" s="189">
        <v>0</v>
      </c>
      <c r="I130" s="189">
        <f>'Input data fish and seafood'!C67*'Input data fish and seafood'!I22</f>
        <v>1.1454234734192882E-3</v>
      </c>
      <c r="J130" s="189">
        <f>'Input data fish and seafood'!C71*'Input data fish and seafood'!I22</f>
        <v>2.8951688607874414E-3</v>
      </c>
      <c r="K130" s="189">
        <v>0</v>
      </c>
      <c r="L130" s="189">
        <v>0</v>
      </c>
      <c r="M130" s="189">
        <v>0</v>
      </c>
      <c r="N130" s="189">
        <v>0</v>
      </c>
      <c r="O130" s="189">
        <v>0</v>
      </c>
      <c r="P130" s="189">
        <v>0</v>
      </c>
      <c r="Q130" s="189">
        <v>0</v>
      </c>
      <c r="R130" s="186">
        <f>(F130+Q130)/'Input data fish and seafood'!$H$22</f>
        <v>6.623921859355294E-3</v>
      </c>
      <c r="S130" s="189">
        <v>0</v>
      </c>
      <c r="T130" s="199">
        <v>0</v>
      </c>
      <c r="V130" s="1263"/>
      <c r="W130" s="1170"/>
      <c r="X130" s="1171"/>
      <c r="Y130" s="1170"/>
      <c r="Z130" s="1263"/>
      <c r="AA130" s="1170"/>
      <c r="AB130" s="1171"/>
      <c r="AC130" s="1170"/>
      <c r="AD130" s="1263"/>
      <c r="AE130" s="1170"/>
      <c r="AF130" s="1171"/>
      <c r="AG130" s="1170"/>
      <c r="AH130" s="1263"/>
      <c r="AI130" s="1170"/>
      <c r="AJ130" s="1171"/>
      <c r="AK130" s="1170"/>
      <c r="AL130" s="1263"/>
      <c r="AM130" s="1170"/>
      <c r="AN130" s="1171"/>
      <c r="AO130" s="1170"/>
      <c r="AP130" s="1263"/>
      <c r="AQ130" s="1170"/>
      <c r="AR130" s="1171"/>
      <c r="AS130" s="1170"/>
      <c r="AT130" s="1263"/>
      <c r="AU130" s="1170"/>
      <c r="AV130" s="1171"/>
      <c r="AX130" s="1263"/>
      <c r="AY130" s="1171"/>
    </row>
    <row r="131" spans="1:306">
      <c r="A131" s="437"/>
      <c r="B131" s="438"/>
      <c r="C131" s="81"/>
      <c r="D131" s="56" t="s">
        <v>398</v>
      </c>
      <c r="E131" s="372">
        <f>J131</f>
        <v>0</v>
      </c>
      <c r="F131" s="137">
        <f>SUM(H131:J131,M131:P131)</f>
        <v>0</v>
      </c>
      <c r="G131" s="458">
        <v>0</v>
      </c>
      <c r="H131" s="186">
        <v>0</v>
      </c>
      <c r="I131" s="186">
        <v>0</v>
      </c>
      <c r="J131" s="186">
        <v>0</v>
      </c>
      <c r="K131" s="186">
        <v>0</v>
      </c>
      <c r="L131" s="186">
        <v>0</v>
      </c>
      <c r="M131" s="186">
        <v>0</v>
      </c>
      <c r="N131" s="186">
        <v>0</v>
      </c>
      <c r="O131" s="189">
        <v>0</v>
      </c>
      <c r="P131" s="189">
        <v>0</v>
      </c>
      <c r="Q131" s="186">
        <v>0</v>
      </c>
      <c r="R131" s="186">
        <v>0</v>
      </c>
      <c r="S131" s="186">
        <v>0</v>
      </c>
      <c r="T131" s="200">
        <v>0</v>
      </c>
      <c r="V131" s="1263"/>
      <c r="W131" s="1170"/>
      <c r="X131" s="1171"/>
      <c r="Y131" s="1170"/>
      <c r="Z131" s="1263"/>
      <c r="AA131" s="1170"/>
      <c r="AB131" s="1171"/>
      <c r="AC131" s="1170"/>
      <c r="AD131" s="1263"/>
      <c r="AE131" s="1170"/>
      <c r="AF131" s="1171"/>
      <c r="AG131" s="1170"/>
      <c r="AH131" s="1263"/>
      <c r="AI131" s="1170"/>
      <c r="AJ131" s="1171"/>
      <c r="AK131" s="1170"/>
      <c r="AL131" s="1263"/>
      <c r="AM131" s="1170"/>
      <c r="AN131" s="1171"/>
      <c r="AO131" s="1170"/>
      <c r="AP131" s="1263"/>
      <c r="AQ131" s="1170"/>
      <c r="AR131" s="1171"/>
      <c r="AS131" s="1170"/>
      <c r="AT131" s="1263"/>
      <c r="AU131" s="1170"/>
      <c r="AV131" s="1171"/>
      <c r="AX131" s="1263"/>
      <c r="AY131" s="1171"/>
    </row>
    <row r="132" spans="1:306">
      <c r="A132" s="374" t="s">
        <v>410</v>
      </c>
      <c r="B132" s="375"/>
      <c r="C132" s="376"/>
      <c r="D132" s="377"/>
      <c r="E132" s="443" t="s">
        <v>395</v>
      </c>
      <c r="F132" s="444" t="s">
        <v>395</v>
      </c>
      <c r="G132" s="445" t="s">
        <v>396</v>
      </c>
      <c r="H132" s="378"/>
      <c r="I132" s="378"/>
      <c r="J132" s="378"/>
      <c r="K132" s="492"/>
      <c r="L132" s="492"/>
      <c r="M132" s="380"/>
      <c r="N132" s="492"/>
      <c r="O132" s="492"/>
      <c r="P132" s="492"/>
      <c r="Q132" s="492"/>
      <c r="R132" s="492"/>
      <c r="S132" s="492"/>
      <c r="T132" s="493"/>
      <c r="V132" s="1265"/>
      <c r="W132" s="1266"/>
      <c r="X132" s="1267"/>
      <c r="Y132" s="1170"/>
      <c r="Z132" s="1265"/>
      <c r="AA132" s="1266"/>
      <c r="AB132" s="1267"/>
      <c r="AC132" s="1170"/>
      <c r="AD132" s="1265"/>
      <c r="AE132" s="1266"/>
      <c r="AF132" s="1267"/>
      <c r="AG132" s="1170"/>
      <c r="AH132" s="1265"/>
      <c r="AI132" s="1266"/>
      <c r="AJ132" s="1267"/>
      <c r="AK132" s="1170"/>
      <c r="AL132" s="1265"/>
      <c r="AM132" s="1266"/>
      <c r="AN132" s="1267"/>
      <c r="AO132" s="1170"/>
      <c r="AP132" s="1265"/>
      <c r="AQ132" s="1266"/>
      <c r="AR132" s="1267"/>
      <c r="AS132" s="1170"/>
      <c r="AT132" s="1265"/>
      <c r="AU132" s="1266"/>
      <c r="AV132" s="1267"/>
      <c r="AX132" s="1265"/>
      <c r="AY132" s="1267"/>
    </row>
    <row r="133" spans="1:306" s="89" customFormat="1" ht="17.25">
      <c r="A133" s="381" t="s">
        <v>233</v>
      </c>
      <c r="B133" s="382" t="s">
        <v>218</v>
      </c>
      <c r="C133" s="383">
        <f>'Input data fish and seafood'!E26</f>
        <v>1</v>
      </c>
      <c r="D133" s="384" t="s">
        <v>316</v>
      </c>
      <c r="E133" s="430">
        <f>SUMPRODUCT($BE$8:$BE$11,E134:E137)</f>
        <v>0.98150675703670798</v>
      </c>
      <c r="F133" s="431">
        <f>SUMPRODUCT($BE$8:$BE$11,F134:F137)</f>
        <v>2.6045421644874738</v>
      </c>
      <c r="G133" s="432">
        <f>SUMPRODUCT($BE$8:$BE$11,G134:G137)</f>
        <v>8.9735720464620918</v>
      </c>
      <c r="H133" s="451"/>
      <c r="I133" s="452"/>
      <c r="J133" s="452"/>
      <c r="K133" s="464"/>
      <c r="L133" s="464"/>
      <c r="M133" s="464"/>
      <c r="N133" s="464"/>
      <c r="O133" s="464"/>
      <c r="P133" s="464"/>
      <c r="Q133" s="464"/>
      <c r="R133" s="464"/>
      <c r="S133" s="464"/>
      <c r="T133" s="465"/>
      <c r="U133"/>
      <c r="V133" s="1263">
        <f>'Input data fish and seafood'!$I26*(SUMPRODUCT('Input data fish and seafood'!$D91:$D102,'Input data fish and seafood'!B$76:B$87))</f>
        <v>3.4731707273787822</v>
      </c>
      <c r="W133" s="1170">
        <f>V133+V133*'Common input data'!$D$144</f>
        <v>3.4731707273787822</v>
      </c>
      <c r="X133" s="1171">
        <f>W133+W133*'Common input data'!$B$180</f>
        <v>3.8552195073904483</v>
      </c>
      <c r="Y133" s="1170"/>
      <c r="Z133" s="1263">
        <f>'Input data fish and seafood'!$I26*(SUMPRODUCT('Input data fish and seafood'!$D91:$D102,'Input data fish and seafood'!C$76:C$87))</f>
        <v>5.7821263996477454E-2</v>
      </c>
      <c r="AA133" s="1170">
        <f>Z133+Z133*'Common input data'!$D$144</f>
        <v>5.7821263996477454E-2</v>
      </c>
      <c r="AB133" s="1171">
        <f>AA133+AA133*'Common input data'!$B$180</f>
        <v>6.4181603036089968E-2</v>
      </c>
      <c r="AC133" s="1170"/>
      <c r="AD133" s="1263">
        <f>'Input data fish and seafood'!$I26*(SUMPRODUCT('Input data fish and seafood'!$D91:$D102,'Input data fish and seafood'!D$76:D$87))</f>
        <v>9.4120579722204167E-3</v>
      </c>
      <c r="AE133" s="1170">
        <f>AD133+AD133*'Common input data'!$D$144</f>
        <v>9.4120579722204167E-3</v>
      </c>
      <c r="AF133" s="1171">
        <f>AE133+AE133*'Common input data'!$B$180</f>
        <v>1.0447384349164663E-2</v>
      </c>
      <c r="AG133" s="1170"/>
      <c r="AH133" s="1263">
        <f>'Input data fish and seafood'!$I26*(SUMPRODUCT('Input data fish and seafood'!$D91:$D102,'Input data fish and seafood'!E$76:E$87))</f>
        <v>0.12746316985639791</v>
      </c>
      <c r="AI133" s="1170">
        <f>AH133+AH133*'Common input data'!$D$144</f>
        <v>0.12746316985639791</v>
      </c>
      <c r="AJ133" s="1171">
        <f>AI133+AI133*'Common input data'!$B$180</f>
        <v>0.14148411854060169</v>
      </c>
      <c r="AK133" s="1170"/>
      <c r="AL133" s="1263">
        <f>('Input data fish and seafood'!$I26*(SUMPRODUCT('Input data fish and seafood'!$D91:$D102,'Input data fish and seafood'!H$76:H$87)))/$AM$2</f>
        <v>1.4291663102890612E-11</v>
      </c>
      <c r="AM133" s="1170">
        <f>AL133+AL133*'Common input data'!$D$144</f>
        <v>1.4291663102890612E-11</v>
      </c>
      <c r="AN133" s="1171">
        <f>AM133+AM133*'Common input data'!$B$180</f>
        <v>1.5863746044208579E-11</v>
      </c>
      <c r="AO133" s="1170"/>
      <c r="AP133" s="1263">
        <f>'Input data fish and seafood'!$I26*(SUMPRODUCT('Input data fish and seafood'!$D91:$D102,'Input data fish and seafood'!I$76:I$87))</f>
        <v>5.5189942306832951E-4</v>
      </c>
      <c r="AQ133" s="1170">
        <f>AP133+AP133*'Common input data'!$D$144</f>
        <v>5.5189942306832951E-4</v>
      </c>
      <c r="AR133" s="1171">
        <f>AQ133+AQ133*'Common input data'!$B$180</f>
        <v>6.1260835960584581E-4</v>
      </c>
      <c r="AS133" s="1170"/>
      <c r="AT133" s="1263">
        <f>'Input data fish and seafood'!$I26*(SUMPRODUCT('Input data fish and seafood'!$D91:$D102,'Input data fish and seafood'!J$76:J$87))</f>
        <v>5.4480378182403841E-4</v>
      </c>
      <c r="AU133" s="1170">
        <f>AT133+AT133*'Common input data'!$D$144</f>
        <v>5.4480378182403841E-4</v>
      </c>
      <c r="AV133" s="1171">
        <f>AU133+AU133*'Common input data'!$B$180</f>
        <v>6.047321978246826E-4</v>
      </c>
      <c r="AW133" s="406"/>
      <c r="AX133" s="1263">
        <f>('Common input data'!$B$221+'Common input data'!$C$221)+('Common input data'!$B$221+'Common input data'!$C$221)*'Common input data'!$D$144</f>
        <v>7.6757000000000009</v>
      </c>
      <c r="AY133" s="1171">
        <f>AX133+AX133*'Common input data'!$B$180</f>
        <v>8.5200270000000007</v>
      </c>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row>
    <row r="134" spans="1:306">
      <c r="A134" s="68"/>
      <c r="B134" s="55"/>
      <c r="C134" s="24"/>
      <c r="D134" s="174" t="s">
        <v>317</v>
      </c>
      <c r="E134" s="455">
        <f>IF(AND($F$2="No",$F$3="No"),SUM(J134),IF(AND($F$2="Yes", $F$3="No"), SUM(J134)+L134, IF(AND($F$2="No", $F$3="Yes"),SUM(J134)+K134, SUM(J134)+L134+K134)))</f>
        <v>0.21088518551661062</v>
      </c>
      <c r="F134" s="17">
        <f>IF(AND($F$2="No",$F$3="No"),SUM(H134:J134,M134:P134),IF(AND($F$2="Yes", $F$3="No"), SUM(H134:J134,M134:P134)+L134, IF(AND($F$2="No", $F$3="Yes"),SUM(H134:J134,M134:P134)+K134, SUM(H134:J134,M134:P134)+L134+K134)))</f>
        <v>1.5218879659532938</v>
      </c>
      <c r="G134" s="456">
        <f>SUM(R134:T134)/(1-'Common input data'!D144)</f>
        <v>5.7892949919497987</v>
      </c>
      <c r="H134" s="189">
        <f>'Input data fish and seafood'!D56</f>
        <v>0.05</v>
      </c>
      <c r="I134" s="189">
        <f>'Input data fish and seafood'!D65*'Input data fish and seafood'!I26</f>
        <v>1.1570027804366829</v>
      </c>
      <c r="J134" s="189">
        <f>'Input data fish and seafood'!D69*'Input data fish and seafood'!I26</f>
        <v>0</v>
      </c>
      <c r="K134" s="189">
        <f>'Input data fish and seafood'!I26*('Input data fish and seafood'!D93*'Common input data'!C19*'Common input data'!G44+'Input data fish and seafood'!D99*'Common input data'!B19*'Common input data'!G41/'Common input data'!F41+'Input data fish and seafood'!D100*'Common input data'!E19+'Input data fish and seafood'!D101*'Common input data'!B19)</f>
        <v>0.14186732906549368</v>
      </c>
      <c r="L134" s="189">
        <f>'Common input data'!AR27*'Input data fish and seafood'!D93*'Input data fish and seafood'!I26*'Common input data'!G44/'Common input data'!F44</f>
        <v>0.21088518551661062</v>
      </c>
      <c r="M134" s="189">
        <f>'Input data fish and seafood'!I26*'Common input data'!B98</f>
        <v>5.3999999999999999E-2</v>
      </c>
      <c r="N134" s="189">
        <f>'Input data fish and seafood'!D57</f>
        <v>0.05</v>
      </c>
      <c r="O134" s="189">
        <v>0</v>
      </c>
      <c r="P134" s="189">
        <v>0</v>
      </c>
      <c r="Q134" s="189">
        <f>'Input data fish and seafood'!B107*('Input data fish and seafood'!B120*'Common input data'!B80+'Input data fish and seafood'!C120*'Common input data'!C80+'Input data fish and seafood'!G120*'Common input data'!J80)</f>
        <v>0.26627233130963801</v>
      </c>
      <c r="R134" s="186">
        <f>(F134+Q134)/'Input data fish and seafood'!$H$26</f>
        <v>5.2592949919497993</v>
      </c>
      <c r="S134" s="189">
        <f>'Common input data'!B111</f>
        <v>0.1</v>
      </c>
      <c r="T134" s="199">
        <f>'Input data fish and seafood'!G134*'Common input data'!B125+'Common input data'!C125</f>
        <v>0.43000000000000005</v>
      </c>
      <c r="V134" s="1263"/>
      <c r="W134" s="1170"/>
      <c r="X134" s="1171"/>
      <c r="Z134" s="1263"/>
      <c r="AA134" s="1170"/>
      <c r="AB134" s="1171"/>
      <c r="AD134" s="1263"/>
      <c r="AE134" s="1170"/>
      <c r="AF134" s="1171"/>
      <c r="AH134" s="1263"/>
      <c r="AI134" s="1170"/>
      <c r="AJ134" s="1171"/>
      <c r="AL134" s="1263"/>
      <c r="AM134" s="1170"/>
      <c r="AN134" s="1171"/>
      <c r="AP134" s="1263"/>
      <c r="AQ134" s="1170"/>
      <c r="AR134" s="1171"/>
      <c r="AT134" s="1263"/>
      <c r="AU134" s="1170"/>
      <c r="AV134" s="1171"/>
      <c r="AX134" s="1263"/>
      <c r="AY134" s="1171"/>
    </row>
    <row r="135" spans="1:306">
      <c r="A135" s="68"/>
      <c r="B135" s="55"/>
      <c r="C135" s="50"/>
      <c r="D135" s="174" t="s">
        <v>367</v>
      </c>
      <c r="E135" s="356">
        <f>J135</f>
        <v>0</v>
      </c>
      <c r="F135" s="17">
        <f>SUM(H135:J135,M135:P135)</f>
        <v>2.6479755469272274E-4</v>
      </c>
      <c r="G135" s="456">
        <f>SUM(R135:T135)/(1-'Common input data'!D144)</f>
        <v>7.7881633733153737E-4</v>
      </c>
      <c r="H135" s="189">
        <v>0</v>
      </c>
      <c r="I135" s="189">
        <f>'Input data fish and seafood'!D66*'Input data fish and seafood'!I26</f>
        <v>2.6479755469272274E-4</v>
      </c>
      <c r="J135" s="189">
        <f>'Input data fish and seafood'!D70*'Input data fish and seafood'!I26</f>
        <v>0</v>
      </c>
      <c r="K135" s="189">
        <v>0</v>
      </c>
      <c r="L135" s="189">
        <v>0</v>
      </c>
      <c r="M135" s="189">
        <v>0</v>
      </c>
      <c r="N135" s="189">
        <v>0</v>
      </c>
      <c r="O135" s="189">
        <v>0</v>
      </c>
      <c r="P135" s="189">
        <v>0</v>
      </c>
      <c r="Q135" s="189">
        <v>0</v>
      </c>
      <c r="R135" s="186">
        <f>(F135+Q135)/'Input data fish and seafood'!$H$26</f>
        <v>7.7881633733153737E-4</v>
      </c>
      <c r="S135" s="189">
        <v>0</v>
      </c>
      <c r="T135" s="199">
        <v>0</v>
      </c>
      <c r="V135" s="1263"/>
      <c r="W135" s="1170"/>
      <c r="X135" s="1171"/>
      <c r="Z135" s="1263"/>
      <c r="AA135" s="1170"/>
      <c r="AB135" s="1171"/>
      <c r="AD135" s="1263"/>
      <c r="AE135" s="1170"/>
      <c r="AF135" s="1171"/>
      <c r="AH135" s="1263"/>
      <c r="AI135" s="1170"/>
      <c r="AJ135" s="1171"/>
      <c r="AL135" s="1263"/>
      <c r="AM135" s="1170"/>
      <c r="AN135" s="1171"/>
      <c r="AP135" s="1263"/>
      <c r="AQ135" s="1170"/>
      <c r="AR135" s="1171"/>
      <c r="AT135" s="1263"/>
      <c r="AU135" s="1170"/>
      <c r="AV135" s="1171"/>
      <c r="AX135" s="1263"/>
      <c r="AY135" s="1171"/>
    </row>
    <row r="136" spans="1:306">
      <c r="A136" s="359"/>
      <c r="B136" s="360"/>
      <c r="C136" s="54"/>
      <c r="D136" s="55" t="s">
        <v>320</v>
      </c>
      <c r="E136" s="356">
        <f>J136</f>
        <v>2.8227896392677559E-3</v>
      </c>
      <c r="F136" s="17">
        <f>SUM(H136:J136,M136:P136)</f>
        <v>3.9395775258515616E-3</v>
      </c>
      <c r="G136" s="456">
        <f>SUM(R136:T136)/(1-'Common input data'!D144)</f>
        <v>1.1586992723092828E-2</v>
      </c>
      <c r="H136" s="189">
        <v>0</v>
      </c>
      <c r="I136" s="189">
        <f>'Input data fish and seafood'!D67*'Input data fish and seafood'!I26</f>
        <v>1.1167878865838061E-3</v>
      </c>
      <c r="J136" s="189">
        <f>'Input data fish and seafood'!D71*'Input data fish and seafood'!I26</f>
        <v>2.8227896392677559E-3</v>
      </c>
      <c r="K136" s="189">
        <v>0</v>
      </c>
      <c r="L136" s="189">
        <v>0</v>
      </c>
      <c r="M136" s="189">
        <v>0</v>
      </c>
      <c r="N136" s="189">
        <v>0</v>
      </c>
      <c r="O136" s="189">
        <v>0</v>
      </c>
      <c r="P136" s="189">
        <v>0</v>
      </c>
      <c r="Q136" s="189">
        <v>0</v>
      </c>
      <c r="R136" s="186">
        <f>(F136+Q136)/'Input data fish and seafood'!$H$26</f>
        <v>1.1586992723092828E-2</v>
      </c>
      <c r="S136" s="189">
        <v>0</v>
      </c>
      <c r="T136" s="199">
        <v>0</v>
      </c>
      <c r="V136" s="1263"/>
      <c r="W136" s="1170"/>
      <c r="X136" s="1171"/>
      <c r="Z136" s="1263"/>
      <c r="AA136" s="1170"/>
      <c r="AB136" s="1171"/>
      <c r="AD136" s="1263"/>
      <c r="AE136" s="1170"/>
      <c r="AF136" s="1171"/>
      <c r="AH136" s="1263"/>
      <c r="AI136" s="1170"/>
      <c r="AJ136" s="1171"/>
      <c r="AL136" s="1263"/>
      <c r="AM136" s="1170"/>
      <c r="AN136" s="1171"/>
      <c r="AP136" s="1263"/>
      <c r="AQ136" s="1170"/>
      <c r="AR136" s="1171"/>
      <c r="AT136" s="1263"/>
      <c r="AU136" s="1170"/>
      <c r="AV136" s="1171"/>
      <c r="AX136" s="1263"/>
      <c r="AY136" s="1171"/>
    </row>
    <row r="137" spans="1:306">
      <c r="A137" s="359"/>
      <c r="B137" s="360"/>
      <c r="C137" s="54"/>
      <c r="D137" s="55" t="s">
        <v>398</v>
      </c>
      <c r="E137" s="372">
        <f>J137</f>
        <v>0</v>
      </c>
      <c r="F137" s="137">
        <f>SUM(H137:J137,M137:P137)</f>
        <v>0</v>
      </c>
      <c r="G137" s="458">
        <v>0</v>
      </c>
      <c r="H137" s="186">
        <v>0</v>
      </c>
      <c r="I137" s="186">
        <v>0</v>
      </c>
      <c r="J137" s="186">
        <v>0</v>
      </c>
      <c r="K137" s="186">
        <v>0</v>
      </c>
      <c r="L137" s="186">
        <v>0</v>
      </c>
      <c r="M137" s="186">
        <v>0</v>
      </c>
      <c r="N137" s="186">
        <v>0</v>
      </c>
      <c r="O137" s="189">
        <v>0</v>
      </c>
      <c r="P137" s="189">
        <v>0</v>
      </c>
      <c r="Q137" s="186">
        <v>0</v>
      </c>
      <c r="R137" s="186">
        <v>0</v>
      </c>
      <c r="S137" s="186">
        <v>0</v>
      </c>
      <c r="T137" s="200">
        <v>0</v>
      </c>
      <c r="V137" s="18"/>
      <c r="X137" s="64"/>
      <c r="Z137" s="18"/>
      <c r="AB137" s="64"/>
      <c r="AD137" s="18"/>
      <c r="AF137" s="64"/>
      <c r="AH137" s="18"/>
      <c r="AJ137" s="64"/>
      <c r="AL137" s="18"/>
      <c r="AN137" s="64"/>
      <c r="AP137" s="18"/>
      <c r="AR137" s="64"/>
      <c r="AT137" s="18"/>
      <c r="AV137" s="64"/>
      <c r="AX137" s="18"/>
      <c r="AY137" s="64"/>
    </row>
    <row r="138" spans="1:306" s="450" customFormat="1">
      <c r="A138" s="374" t="s">
        <v>411</v>
      </c>
      <c r="B138" s="375"/>
      <c r="C138" s="376"/>
      <c r="D138" s="377"/>
      <c r="E138" s="443" t="s">
        <v>395</v>
      </c>
      <c r="F138" s="444" t="s">
        <v>395</v>
      </c>
      <c r="G138" s="445" t="s">
        <v>396</v>
      </c>
      <c r="H138" s="378"/>
      <c r="I138" s="378"/>
      <c r="J138" s="378"/>
      <c r="K138" s="379"/>
      <c r="L138" s="379"/>
      <c r="M138" s="380"/>
      <c r="N138" s="379"/>
      <c r="O138" s="379"/>
      <c r="P138" s="379"/>
      <c r="Q138" s="379"/>
      <c r="R138" s="379"/>
      <c r="S138" s="379"/>
      <c r="T138" s="479"/>
      <c r="U138"/>
      <c r="V138" s="18"/>
      <c r="W138"/>
      <c r="X138" s="64"/>
      <c r="Y138"/>
      <c r="Z138" s="18"/>
      <c r="AA138"/>
      <c r="AB138" s="64"/>
      <c r="AC138"/>
      <c r="AD138" s="18"/>
      <c r="AE138"/>
      <c r="AF138" s="64"/>
      <c r="AG138"/>
      <c r="AH138" s="18"/>
      <c r="AI138"/>
      <c r="AJ138" s="64"/>
      <c r="AK138"/>
      <c r="AL138" s="18"/>
      <c r="AM138"/>
      <c r="AN138" s="64"/>
      <c r="AO138"/>
      <c r="AP138" s="18"/>
      <c r="AQ138"/>
      <c r="AR138" s="64"/>
      <c r="AS138"/>
      <c r="AT138" s="18"/>
      <c r="AU138"/>
      <c r="AV138" s="64"/>
      <c r="AW138"/>
      <c r="AX138" s="18"/>
      <c r="AY138" s="64"/>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row>
    <row r="139" spans="1:306" s="95" customFormat="1">
      <c r="A139" s="381" t="s">
        <v>315</v>
      </c>
      <c r="B139" s="382"/>
      <c r="C139" s="383">
        <f>SUM(C144:C153)</f>
        <v>1</v>
      </c>
      <c r="D139" s="384" t="s">
        <v>316</v>
      </c>
      <c r="E139" s="430">
        <f>SUMPRODUCT($BE$8:$BE$11,E140:E143)</f>
        <v>0</v>
      </c>
      <c r="F139" s="431">
        <f>SUMPRODUCT($BE$8:$BE$11,F140:F143)</f>
        <v>9.380423040544942</v>
      </c>
      <c r="G139" s="432">
        <f>SUMPRODUCT($BE$8:$BE$11,G140:G143)</f>
        <v>19.772143538109216</v>
      </c>
      <c r="H139" s="451"/>
      <c r="I139" s="463"/>
      <c r="J139" s="463"/>
      <c r="K139" s="464"/>
      <c r="L139" s="464"/>
      <c r="M139" s="452"/>
      <c r="N139" s="464"/>
      <c r="O139" s="464"/>
      <c r="P139" s="464"/>
      <c r="Q139" s="464"/>
      <c r="R139" s="464"/>
      <c r="S139" s="464"/>
      <c r="T139" s="465"/>
      <c r="U139"/>
      <c r="V139" s="1265"/>
      <c r="W139" s="1266"/>
      <c r="X139" s="1267"/>
      <c r="Y139"/>
      <c r="Z139" s="1265"/>
      <c r="AA139" s="1266"/>
      <c r="AB139" s="1267"/>
      <c r="AC139"/>
      <c r="AD139" s="1265"/>
      <c r="AE139" s="1266"/>
      <c r="AF139" s="1267"/>
      <c r="AG139"/>
      <c r="AH139" s="1265"/>
      <c r="AI139" s="1266"/>
      <c r="AJ139" s="1267"/>
      <c r="AK139"/>
      <c r="AL139" s="1265"/>
      <c r="AM139" s="1266"/>
      <c r="AN139" s="1267"/>
      <c r="AO139"/>
      <c r="AP139" s="1265"/>
      <c r="AQ139" s="1266"/>
      <c r="AR139" s="1267"/>
      <c r="AS139"/>
      <c r="AT139" s="1265"/>
      <c r="AU139" s="1266"/>
      <c r="AV139" s="1267"/>
      <c r="AW139"/>
      <c r="AX139" s="1265"/>
      <c r="AY139" s="1267"/>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row>
    <row r="140" spans="1:306" ht="13.35" customHeight="1">
      <c r="A140" s="19"/>
      <c r="B140" s="24"/>
      <c r="C140" s="24"/>
      <c r="D140" s="174" t="s">
        <v>317</v>
      </c>
      <c r="E140" s="356">
        <f>$C$144*E145+$C$149*E150</f>
        <v>0</v>
      </c>
      <c r="F140" s="54">
        <f t="shared" ref="F140:T143" si="7">$C$144*F145+$C$149*F150</f>
        <v>8.7413524731258647</v>
      </c>
      <c r="G140" s="357">
        <f t="shared" si="7"/>
        <v>18.467917890315181</v>
      </c>
      <c r="H140" s="189">
        <f t="shared" si="7"/>
        <v>0</v>
      </c>
      <c r="I140" s="189">
        <f t="shared" si="7"/>
        <v>0</v>
      </c>
      <c r="J140" s="189">
        <f t="shared" si="7"/>
        <v>0</v>
      </c>
      <c r="K140" s="189">
        <f t="shared" si="7"/>
        <v>0</v>
      </c>
      <c r="L140" s="189">
        <f t="shared" si="7"/>
        <v>0</v>
      </c>
      <c r="M140" s="189">
        <f t="shared" si="7"/>
        <v>0</v>
      </c>
      <c r="N140" s="189">
        <f t="shared" si="7"/>
        <v>0</v>
      </c>
      <c r="O140" s="189">
        <f t="shared" si="7"/>
        <v>8.7413524731258647</v>
      </c>
      <c r="P140" s="189">
        <f t="shared" si="7"/>
        <v>0</v>
      </c>
      <c r="Q140" s="189">
        <f t="shared" si="7"/>
        <v>0.17121729312857498</v>
      </c>
      <c r="R140" s="189">
        <f t="shared" si="7"/>
        <v>18.188917890315182</v>
      </c>
      <c r="S140" s="189">
        <f t="shared" si="7"/>
        <v>0.1</v>
      </c>
      <c r="T140" s="199">
        <f t="shared" si="7"/>
        <v>0.17900000000000002</v>
      </c>
      <c r="V140" s="1263"/>
      <c r="W140" s="1170"/>
      <c r="X140" s="1171"/>
      <c r="Z140" s="1263"/>
      <c r="AA140" s="1170"/>
      <c r="AB140" s="1171"/>
      <c r="AD140" s="1263"/>
      <c r="AE140" s="1170"/>
      <c r="AF140" s="1171"/>
      <c r="AH140" s="1263"/>
      <c r="AI140" s="1170"/>
      <c r="AJ140" s="1171"/>
      <c r="AL140" s="1263"/>
      <c r="AM140" s="1170"/>
      <c r="AN140" s="1171"/>
      <c r="AP140" s="1263"/>
      <c r="AQ140" s="1170"/>
      <c r="AR140" s="1171"/>
      <c r="AT140" s="1263"/>
      <c r="AU140" s="1170"/>
      <c r="AV140" s="1171"/>
      <c r="AX140" s="1263"/>
      <c r="AY140" s="1171"/>
    </row>
    <row r="141" spans="1:306">
      <c r="A141" s="195"/>
      <c r="B141" s="135"/>
      <c r="C141" s="50"/>
      <c r="D141" s="174" t="s">
        <v>367</v>
      </c>
      <c r="E141" s="356">
        <f>$C$144*E146+$C$149*E151</f>
        <v>0</v>
      </c>
      <c r="F141" s="54">
        <f t="shared" si="7"/>
        <v>3.8721243897684777E-3</v>
      </c>
      <c r="G141" s="357">
        <f t="shared" si="7"/>
        <v>7.9022946729968933E-3</v>
      </c>
      <c r="H141" s="189">
        <f t="shared" si="7"/>
        <v>0</v>
      </c>
      <c r="I141" s="189">
        <f t="shared" si="7"/>
        <v>0</v>
      </c>
      <c r="J141" s="189">
        <f t="shared" si="7"/>
        <v>0</v>
      </c>
      <c r="K141" s="189">
        <f t="shared" si="7"/>
        <v>0</v>
      </c>
      <c r="L141" s="189">
        <f t="shared" si="7"/>
        <v>0</v>
      </c>
      <c r="M141" s="189">
        <f t="shared" si="7"/>
        <v>0</v>
      </c>
      <c r="N141" s="189">
        <f t="shared" si="7"/>
        <v>0</v>
      </c>
      <c r="O141" s="189">
        <f t="shared" si="7"/>
        <v>3.8721243897684777E-3</v>
      </c>
      <c r="P141" s="189">
        <f t="shared" si="7"/>
        <v>0</v>
      </c>
      <c r="Q141" s="189">
        <f t="shared" si="7"/>
        <v>0</v>
      </c>
      <c r="R141" s="189">
        <f t="shared" si="7"/>
        <v>7.9022946729968933E-3</v>
      </c>
      <c r="S141" s="189">
        <f t="shared" si="7"/>
        <v>0</v>
      </c>
      <c r="T141" s="199">
        <f t="shared" si="7"/>
        <v>0</v>
      </c>
      <c r="V141" s="1263"/>
      <c r="W141" s="1170"/>
      <c r="X141" s="1171"/>
      <c r="Z141" s="1263"/>
      <c r="AA141" s="1170"/>
      <c r="AB141" s="1171"/>
      <c r="AD141" s="1263"/>
      <c r="AE141" s="1170"/>
      <c r="AF141" s="1171"/>
      <c r="AH141" s="1263"/>
      <c r="AI141" s="1170"/>
      <c r="AJ141" s="1171"/>
      <c r="AL141" s="1263"/>
      <c r="AM141" s="1170"/>
      <c r="AN141" s="1171"/>
      <c r="AP141" s="1263"/>
      <c r="AQ141" s="1170"/>
      <c r="AR141" s="1171"/>
      <c r="AT141" s="1263"/>
      <c r="AU141" s="1170"/>
      <c r="AV141" s="1171"/>
      <c r="AX141" s="1263"/>
      <c r="AY141" s="1171"/>
    </row>
    <row r="142" spans="1:306">
      <c r="A142" s="195"/>
      <c r="B142" s="135"/>
      <c r="C142" s="54"/>
      <c r="D142" s="55" t="s">
        <v>320</v>
      </c>
      <c r="E142" s="356">
        <f>$C$144*E147+$C$149*E152</f>
        <v>0</v>
      </c>
      <c r="F142" s="54">
        <f t="shared" si="7"/>
        <v>2.3488354906713336E-4</v>
      </c>
      <c r="G142" s="357">
        <f t="shared" si="7"/>
        <v>4.793541817696599E-4</v>
      </c>
      <c r="H142" s="189">
        <f t="shared" si="7"/>
        <v>0</v>
      </c>
      <c r="I142" s="189">
        <f t="shared" si="7"/>
        <v>0</v>
      </c>
      <c r="J142" s="189">
        <f t="shared" si="7"/>
        <v>0</v>
      </c>
      <c r="K142" s="189">
        <f t="shared" si="7"/>
        <v>0</v>
      </c>
      <c r="L142" s="189">
        <f t="shared" si="7"/>
        <v>0</v>
      </c>
      <c r="M142" s="189">
        <f t="shared" si="7"/>
        <v>0</v>
      </c>
      <c r="N142" s="189">
        <f t="shared" si="7"/>
        <v>0</v>
      </c>
      <c r="O142" s="189">
        <f t="shared" si="7"/>
        <v>2.3488354906713336E-4</v>
      </c>
      <c r="P142" s="189">
        <f t="shared" si="7"/>
        <v>0</v>
      </c>
      <c r="Q142" s="189">
        <f t="shared" si="7"/>
        <v>0</v>
      </c>
      <c r="R142" s="189">
        <f t="shared" si="7"/>
        <v>4.793541817696599E-4</v>
      </c>
      <c r="S142" s="189">
        <f t="shared" si="7"/>
        <v>0</v>
      </c>
      <c r="T142" s="199">
        <f t="shared" si="7"/>
        <v>0</v>
      </c>
      <c r="V142" s="1263"/>
      <c r="W142" s="1170"/>
      <c r="X142" s="1171"/>
      <c r="Z142" s="1263"/>
      <c r="AA142" s="1170"/>
      <c r="AB142" s="1171"/>
      <c r="AD142" s="1263"/>
      <c r="AE142" s="1170"/>
      <c r="AF142" s="1171"/>
      <c r="AH142" s="1263"/>
      <c r="AI142" s="1170"/>
      <c r="AJ142" s="1171"/>
      <c r="AL142" s="1263"/>
      <c r="AM142" s="1170"/>
      <c r="AN142" s="1171"/>
      <c r="AP142" s="1263"/>
      <c r="AQ142" s="1170"/>
      <c r="AR142" s="1171"/>
      <c r="AT142" s="1263"/>
      <c r="AU142" s="1170"/>
      <c r="AV142" s="1171"/>
      <c r="AX142" s="1263"/>
      <c r="AY142" s="1171"/>
    </row>
    <row r="143" spans="1:306">
      <c r="A143" s="195"/>
      <c r="B143" s="135"/>
      <c r="C143" s="54"/>
      <c r="D143" s="55" t="s">
        <v>398</v>
      </c>
      <c r="E143" s="356">
        <f>$C$144*E148+$C$149*E153</f>
        <v>0</v>
      </c>
      <c r="F143" s="54">
        <f t="shared" si="7"/>
        <v>2.4000000000000001E-4</v>
      </c>
      <c r="G143" s="357">
        <f t="shared" si="7"/>
        <v>4.8979591836734691E-4</v>
      </c>
      <c r="H143" s="189">
        <f t="shared" si="7"/>
        <v>0</v>
      </c>
      <c r="I143" s="189">
        <f t="shared" si="7"/>
        <v>0</v>
      </c>
      <c r="J143" s="189">
        <f t="shared" si="7"/>
        <v>0</v>
      </c>
      <c r="K143" s="189">
        <f t="shared" si="7"/>
        <v>0</v>
      </c>
      <c r="L143" s="189">
        <f t="shared" si="7"/>
        <v>0</v>
      </c>
      <c r="M143" s="189">
        <f t="shared" si="7"/>
        <v>0</v>
      </c>
      <c r="N143" s="189">
        <f t="shared" si="7"/>
        <v>0</v>
      </c>
      <c r="O143" s="189">
        <f t="shared" si="7"/>
        <v>0</v>
      </c>
      <c r="P143" s="189">
        <f t="shared" si="7"/>
        <v>2.4000000000000001E-4</v>
      </c>
      <c r="Q143" s="189">
        <f t="shared" si="7"/>
        <v>0</v>
      </c>
      <c r="R143" s="189">
        <f t="shared" si="7"/>
        <v>4.8979591836734691E-4</v>
      </c>
      <c r="S143" s="189">
        <f t="shared" si="7"/>
        <v>0</v>
      </c>
      <c r="T143" s="199">
        <f t="shared" si="7"/>
        <v>0</v>
      </c>
      <c r="V143" s="1263"/>
      <c r="W143" s="1170"/>
      <c r="X143" s="1171"/>
      <c r="Z143" s="1263"/>
      <c r="AA143" s="1170"/>
      <c r="AB143" s="1171"/>
      <c r="AD143" s="1263"/>
      <c r="AE143" s="1170"/>
      <c r="AF143" s="1171"/>
      <c r="AH143" s="1263"/>
      <c r="AI143" s="1170"/>
      <c r="AJ143" s="1171"/>
      <c r="AL143" s="1263"/>
      <c r="AM143" s="1170"/>
      <c r="AN143" s="1171"/>
      <c r="AP143" s="1263"/>
      <c r="AQ143" s="1170"/>
      <c r="AR143" s="1171"/>
      <c r="AT143" s="1263"/>
      <c r="AU143" s="1170"/>
      <c r="AV143" s="1171"/>
      <c r="AX143" s="1263"/>
      <c r="AY143" s="1171"/>
    </row>
    <row r="144" spans="1:306" s="12" customFormat="1">
      <c r="A144" s="466" t="s">
        <v>235</v>
      </c>
      <c r="B144" s="75" t="s">
        <v>220</v>
      </c>
      <c r="C144" s="481">
        <f>'Input data fish and seafood'!E28</f>
        <v>0.5</v>
      </c>
      <c r="D144" s="355" t="s">
        <v>316</v>
      </c>
      <c r="E144" s="467">
        <f>SUMPRODUCT($BE$8:$BE$11,E145:E148)</f>
        <v>0</v>
      </c>
      <c r="F144" s="468">
        <f>SUMPRODUCT($BE$8:$BE$11,F145:F148)</f>
        <v>9.380423040544942</v>
      </c>
      <c r="G144" s="469">
        <f>SUMPRODUCT($BE$8:$BE$11,G145:G148)</f>
        <v>19.772143538109216</v>
      </c>
      <c r="H144" s="385"/>
      <c r="I144" s="211"/>
      <c r="J144" s="211"/>
      <c r="K144" s="470"/>
      <c r="L144" s="470"/>
      <c r="M144" s="470"/>
      <c r="N144" s="470"/>
      <c r="O144" s="470"/>
      <c r="P144" s="470"/>
      <c r="Q144" s="470"/>
      <c r="R144" s="470"/>
      <c r="S144" s="470"/>
      <c r="T144" s="471"/>
      <c r="U144"/>
      <c r="V144" s="1263"/>
      <c r="W144" s="1170"/>
      <c r="X144" s="1171"/>
      <c r="Y144"/>
      <c r="Z144" s="1263"/>
      <c r="AA144" s="1170"/>
      <c r="AB144" s="1171"/>
      <c r="AC144"/>
      <c r="AD144" s="1263"/>
      <c r="AE144" s="1170"/>
      <c r="AF144" s="1171"/>
      <c r="AG144"/>
      <c r="AH144" s="1263"/>
      <c r="AI144" s="1170"/>
      <c r="AJ144" s="1171"/>
      <c r="AK144"/>
      <c r="AL144" s="1263"/>
      <c r="AM144" s="1170"/>
      <c r="AN144" s="1171"/>
      <c r="AO144"/>
      <c r="AP144" s="1263"/>
      <c r="AQ144" s="1170"/>
      <c r="AR144" s="1171"/>
      <c r="AS144"/>
      <c r="AT144" s="1263"/>
      <c r="AU144" s="1170"/>
      <c r="AV144" s="1171"/>
      <c r="AW144"/>
      <c r="AX144" s="1263"/>
      <c r="AY144" s="1171"/>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row>
    <row r="145" spans="1:306">
      <c r="A145" s="68"/>
      <c r="B145" s="55"/>
      <c r="C145" s="24"/>
      <c r="D145" s="174" t="s">
        <v>317</v>
      </c>
      <c r="E145" s="455">
        <f>IF(AND($F$2="No",$F$3="No"),SUM(J145),IF(AND($F$2="Yes", $F$3="No"), SUM(J145)+L145, IF(AND($F$2="No", $F$3="Yes"),SUM(J145)+K145, SUM(J145)+L145+K145)))</f>
        <v>0</v>
      </c>
      <c r="F145" s="17">
        <f>IF(AND($F$2="No",$F$3="No"),SUM(H145:J145,M145:P145),IF(AND($F$2="Yes", $F$3="No"), SUM(H145:J145,M145:P145)+L145, IF(AND($F$2="No", $F$3="Yes"),SUM(H145:J145,M145:P145)+K145, SUM(H145:J145,M145:P145)+L145+K145)))</f>
        <v>8.7413524731258647</v>
      </c>
      <c r="G145" s="357">
        <f>SUM(R145:T145)/(1-'Common input data'!B$144)</f>
        <v>18.467917890315181</v>
      </c>
      <c r="H145" s="189">
        <v>0</v>
      </c>
      <c r="I145" s="189">
        <v>0</v>
      </c>
      <c r="J145" s="189">
        <v>0</v>
      </c>
      <c r="K145" s="189">
        <v>0</v>
      </c>
      <c r="L145" s="189">
        <v>0</v>
      </c>
      <c r="M145" s="189">
        <v>0</v>
      </c>
      <c r="N145" s="189">
        <v>0</v>
      </c>
      <c r="O145" s="186">
        <f>'Input data fish and seafood'!G28*'Input data fish and seafood'!B42</f>
        <v>8.7413524731258647</v>
      </c>
      <c r="P145" s="186">
        <v>0</v>
      </c>
      <c r="Q145" s="186">
        <f>'Input data fish and seafood'!B107*('Input data fish and seafood'!B121*'Common input data'!B80+'Input data fish and seafood'!C121*'Common input data'!C80)</f>
        <v>0.17121729312857498</v>
      </c>
      <c r="R145" s="186">
        <f>(F145+Q145)/'Input data fish and seafood'!$H$28</f>
        <v>18.188917890315182</v>
      </c>
      <c r="S145" s="186">
        <f>'Common input data'!B111</f>
        <v>0.1</v>
      </c>
      <c r="T145" s="200">
        <f>'Input data fish and seafood'!B135*'Common input data'!B115+'Input data fish and seafood'!C135*'Common input data'!B119+'Common input data'!C115</f>
        <v>0.17900000000000002</v>
      </c>
      <c r="V145" s="1263"/>
      <c r="W145" s="1170"/>
      <c r="X145" s="1171"/>
      <c r="Z145" s="1263"/>
      <c r="AA145" s="1170"/>
      <c r="AB145" s="1171"/>
      <c r="AD145" s="1263"/>
      <c r="AE145" s="1170"/>
      <c r="AF145" s="1171"/>
      <c r="AH145" s="1263"/>
      <c r="AI145" s="1170"/>
      <c r="AJ145" s="1171"/>
      <c r="AL145" s="1263"/>
      <c r="AM145" s="1170"/>
      <c r="AN145" s="1171"/>
      <c r="AP145" s="1263"/>
      <c r="AQ145" s="1170"/>
      <c r="AR145" s="1171"/>
      <c r="AT145" s="1263"/>
      <c r="AU145" s="1170"/>
      <c r="AV145" s="1171"/>
      <c r="AX145" s="1263"/>
      <c r="AY145" s="1171"/>
    </row>
    <row r="146" spans="1:306">
      <c r="A146" s="472"/>
      <c r="B146" s="29"/>
      <c r="C146" s="473"/>
      <c r="D146" s="174" t="s">
        <v>367</v>
      </c>
      <c r="E146" s="356">
        <v>0</v>
      </c>
      <c r="F146" s="17">
        <f>SUM(H146:J146,M146:P146)</f>
        <v>3.8721243897684777E-3</v>
      </c>
      <c r="G146" s="357">
        <f>SUM(R146:T146)/(1-'Common input data'!B$144)</f>
        <v>7.9022946729968933E-3</v>
      </c>
      <c r="H146" s="189">
        <v>0</v>
      </c>
      <c r="I146" s="189">
        <v>0</v>
      </c>
      <c r="J146" s="189">
        <v>0</v>
      </c>
      <c r="K146" s="189">
        <v>0</v>
      </c>
      <c r="L146" s="189">
        <v>0</v>
      </c>
      <c r="M146" s="189">
        <v>0</v>
      </c>
      <c r="N146" s="189">
        <v>0</v>
      </c>
      <c r="O146" s="186">
        <f>'Input data fish and seafood'!G28*'Input data fish and seafood'!B43</f>
        <v>3.8721243897684777E-3</v>
      </c>
      <c r="P146" s="186">
        <v>0</v>
      </c>
      <c r="Q146" s="186">
        <v>0</v>
      </c>
      <c r="R146" s="186">
        <f>(F146+Q146)/'Input data fish and seafood'!$H$28</f>
        <v>7.9022946729968933E-3</v>
      </c>
      <c r="S146" s="186">
        <v>0</v>
      </c>
      <c r="T146" s="200">
        <v>0</v>
      </c>
      <c r="V146" s="18"/>
      <c r="X146" s="64"/>
      <c r="Z146" s="18"/>
      <c r="AB146" s="64"/>
      <c r="AD146" s="18"/>
      <c r="AF146" s="64"/>
      <c r="AH146" s="18"/>
      <c r="AJ146" s="64"/>
      <c r="AL146" s="18"/>
      <c r="AN146" s="64"/>
      <c r="AP146" s="18"/>
      <c r="AR146" s="64"/>
      <c r="AT146" s="18"/>
      <c r="AV146" s="64"/>
      <c r="AX146" s="18"/>
      <c r="AY146" s="64"/>
    </row>
    <row r="147" spans="1:306">
      <c r="A147" s="359"/>
      <c r="B147" s="360"/>
      <c r="C147" s="54"/>
      <c r="D147" s="55" t="s">
        <v>320</v>
      </c>
      <c r="E147" s="356">
        <v>0</v>
      </c>
      <c r="F147" s="17">
        <f>SUM(H147:J147,M147:P147)</f>
        <v>2.3488354906713336E-4</v>
      </c>
      <c r="G147" s="357">
        <f>SUM(R147:T147)/(1-'Common input data'!B$144)</f>
        <v>4.793541817696599E-4</v>
      </c>
      <c r="H147" s="189">
        <v>0</v>
      </c>
      <c r="I147" s="189">
        <v>0</v>
      </c>
      <c r="J147" s="189">
        <v>0</v>
      </c>
      <c r="K147" s="189">
        <v>0</v>
      </c>
      <c r="L147" s="189">
        <v>0</v>
      </c>
      <c r="M147" s="189">
        <v>0</v>
      </c>
      <c r="N147" s="189">
        <v>0</v>
      </c>
      <c r="O147" s="186">
        <f>'Input data fish and seafood'!G28*'Input data fish and seafood'!B44</f>
        <v>2.3488354906713336E-4</v>
      </c>
      <c r="P147" s="186">
        <v>0</v>
      </c>
      <c r="Q147" s="186">
        <v>0</v>
      </c>
      <c r="R147" s="186">
        <f>(F147+Q147)/'Input data fish and seafood'!$H$28</f>
        <v>4.793541817696599E-4</v>
      </c>
      <c r="S147" s="186">
        <v>0</v>
      </c>
      <c r="T147" s="200">
        <v>0</v>
      </c>
      <c r="V147" s="18"/>
      <c r="X147" s="64"/>
      <c r="Z147" s="18"/>
      <c r="AB147" s="64"/>
      <c r="AD147" s="18"/>
      <c r="AF147" s="64"/>
      <c r="AH147" s="18"/>
      <c r="AJ147" s="64"/>
      <c r="AL147" s="18"/>
      <c r="AN147" s="64"/>
      <c r="AP147" s="18"/>
      <c r="AR147" s="64"/>
      <c r="AT147" s="18"/>
      <c r="AV147" s="64"/>
      <c r="AX147" s="18"/>
      <c r="AY147" s="64"/>
    </row>
    <row r="148" spans="1:306">
      <c r="A148" s="359"/>
      <c r="B148" s="360"/>
      <c r="C148" s="54"/>
      <c r="D148" s="55" t="s">
        <v>398</v>
      </c>
      <c r="E148" s="356">
        <v>0</v>
      </c>
      <c r="F148" s="17">
        <f>SUM(H148:J148,M148:P148)</f>
        <v>2.4000000000000001E-4</v>
      </c>
      <c r="G148" s="357">
        <f>SUM(R148:T148)/(1-'Common input data'!B$144)</f>
        <v>4.8979591836734691E-4</v>
      </c>
      <c r="H148" s="189">
        <v>0</v>
      </c>
      <c r="I148" s="189">
        <v>0</v>
      </c>
      <c r="J148" s="189">
        <v>0</v>
      </c>
      <c r="K148" s="189">
        <v>0</v>
      </c>
      <c r="L148" s="189">
        <v>0</v>
      </c>
      <c r="M148" s="189">
        <v>0</v>
      </c>
      <c r="N148" s="189">
        <v>0</v>
      </c>
      <c r="O148" s="186">
        <v>0</v>
      </c>
      <c r="P148" s="186">
        <f>'Input data fish and seafood'!C49</f>
        <v>2.4000000000000001E-4</v>
      </c>
      <c r="Q148" s="186">
        <v>0</v>
      </c>
      <c r="R148" s="186">
        <f>(F148+Q148)/'Input data fish and seafood'!$H$28</f>
        <v>4.8979591836734691E-4</v>
      </c>
      <c r="S148" s="186">
        <v>0</v>
      </c>
      <c r="T148" s="200">
        <v>0</v>
      </c>
      <c r="V148" s="18"/>
      <c r="X148" s="64"/>
      <c r="Z148" s="18"/>
      <c r="AB148" s="64"/>
      <c r="AD148" s="18"/>
      <c r="AF148" s="64"/>
      <c r="AH148" s="18"/>
      <c r="AJ148" s="64"/>
      <c r="AL148" s="18"/>
      <c r="AN148" s="64"/>
      <c r="AP148" s="18"/>
      <c r="AR148" s="64"/>
      <c r="AT148" s="18"/>
      <c r="AV148" s="64"/>
      <c r="AX148" s="18"/>
      <c r="AY148" s="64"/>
    </row>
    <row r="149" spans="1:306" s="12" customFormat="1">
      <c r="A149" s="466" t="s">
        <v>235</v>
      </c>
      <c r="B149" s="75" t="s">
        <v>412</v>
      </c>
      <c r="C149" s="481">
        <f>'Input data fish and seafood'!E29</f>
        <v>0.5</v>
      </c>
      <c r="D149" s="355" t="s">
        <v>316</v>
      </c>
      <c r="E149" s="467">
        <f>SUMPRODUCT($BE$8:$BE$11,E150:E153)</f>
        <v>0</v>
      </c>
      <c r="F149" s="468">
        <f>SUMPRODUCT($BE$8:$BE$11,F150:F153)</f>
        <v>9.380423040544942</v>
      </c>
      <c r="G149" s="469">
        <f>SUMPRODUCT($BE$8:$BE$11,G150:G153)</f>
        <v>19.772143538109216</v>
      </c>
      <c r="H149" s="385"/>
      <c r="I149" s="211"/>
      <c r="J149" s="211"/>
      <c r="K149" s="470"/>
      <c r="L149" s="470"/>
      <c r="M149" s="470"/>
      <c r="N149" s="470"/>
      <c r="O149" s="470"/>
      <c r="P149" s="470"/>
      <c r="Q149" s="470"/>
      <c r="R149" s="470"/>
      <c r="S149" s="470"/>
      <c r="T149" s="471"/>
      <c r="U149"/>
      <c r="V149" s="1263"/>
      <c r="W149" s="1170"/>
      <c r="X149" s="1171"/>
      <c r="Y149"/>
      <c r="Z149" s="1263"/>
      <c r="AA149" s="1170"/>
      <c r="AB149" s="1171"/>
      <c r="AC149"/>
      <c r="AD149" s="1263"/>
      <c r="AE149" s="1170"/>
      <c r="AF149" s="1171"/>
      <c r="AG149"/>
      <c r="AH149" s="1263"/>
      <c r="AI149" s="1170"/>
      <c r="AJ149" s="1171"/>
      <c r="AK149"/>
      <c r="AL149" s="1263"/>
      <c r="AM149" s="1170"/>
      <c r="AN149" s="1171"/>
      <c r="AO149"/>
      <c r="AP149" s="1263"/>
      <c r="AQ149" s="1170"/>
      <c r="AR149" s="1171"/>
      <c r="AS149"/>
      <c r="AT149" s="1263"/>
      <c r="AU149" s="1170"/>
      <c r="AV149" s="1171"/>
      <c r="AW149"/>
      <c r="AX149" s="1263"/>
      <c r="AY149" s="1171"/>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row>
    <row r="150" spans="1:306">
      <c r="A150" s="68"/>
      <c r="B150" s="55"/>
      <c r="C150" s="24"/>
      <c r="D150" s="174" t="s">
        <v>317</v>
      </c>
      <c r="E150" s="455">
        <f>IF(AND($F$2="No",$F$3="No"),SUM(J150),IF(AND($F$2="Yes", $F$3="No"), SUM(J150)+L150, IF(AND($F$2="No", $F$3="Yes"),SUM(J150)+K150, SUM(J150)+L150+K150)))</f>
        <v>0</v>
      </c>
      <c r="F150" s="17">
        <f>IF(AND($F$2="No",$F$3="No"),SUM(H150:J150,M150:P150),IF(AND($F$2="Yes", $F$3="No"), SUM(H150:J150,M150:P150)+L150, IF(AND($F$2="No", $F$3="Yes"),SUM(H150:J150,M150:P150)+K150, SUM(H150:J150,M150:P150)+L150+K150)))</f>
        <v>8.7413524731258647</v>
      </c>
      <c r="G150" s="357">
        <f>SUM(R150:T150)/(1-'Common input data'!B$144)</f>
        <v>18.467917890315181</v>
      </c>
      <c r="H150" s="189">
        <v>0</v>
      </c>
      <c r="I150" s="189">
        <v>0</v>
      </c>
      <c r="J150" s="189">
        <v>0</v>
      </c>
      <c r="K150" s="189">
        <v>0</v>
      </c>
      <c r="L150" s="189">
        <v>0</v>
      </c>
      <c r="M150" s="189">
        <v>0</v>
      </c>
      <c r="N150" s="189">
        <v>0</v>
      </c>
      <c r="O150" s="474">
        <f>'Input data fish and seafood'!G29*'Input data fish and seafood'!B42</f>
        <v>8.7413524731258647</v>
      </c>
      <c r="P150" s="186">
        <v>0</v>
      </c>
      <c r="Q150" s="186">
        <f>'Input data fish and seafood'!B107*('Input data fish and seafood'!B121*'Common input data'!B80+'Input data fish and seafood'!C121*'Common input data'!C80)</f>
        <v>0.17121729312857498</v>
      </c>
      <c r="R150" s="186">
        <f>(F150+Q150)/'Input data fish and seafood'!$H$29</f>
        <v>18.188917890315182</v>
      </c>
      <c r="S150" s="186">
        <f>'Common input data'!B111</f>
        <v>0.1</v>
      </c>
      <c r="T150" s="200">
        <f>'Input data fish and seafood'!B135*'Common input data'!B115+'Input data fish and seafood'!C135*'Common input data'!B119+'Common input data'!C115</f>
        <v>0.17900000000000002</v>
      </c>
      <c r="V150" s="18"/>
      <c r="X150" s="64"/>
      <c r="Z150" s="18"/>
      <c r="AB150" s="64"/>
      <c r="AD150" s="18"/>
      <c r="AF150" s="64"/>
      <c r="AH150" s="18"/>
      <c r="AJ150" s="64"/>
      <c r="AL150" s="18"/>
      <c r="AN150" s="64"/>
      <c r="AP150" s="18"/>
      <c r="AR150" s="64"/>
      <c r="AT150" s="18"/>
      <c r="AV150" s="64"/>
      <c r="AX150" s="18"/>
      <c r="AY150" s="64"/>
    </row>
    <row r="151" spans="1:306">
      <c r="A151" s="68"/>
      <c r="B151" s="55"/>
      <c r="C151" s="55"/>
      <c r="D151" s="174" t="s">
        <v>367</v>
      </c>
      <c r="E151" s="356">
        <v>0</v>
      </c>
      <c r="F151" s="17">
        <f>SUM(H151:J151,M151:P151)</f>
        <v>3.8721243897684777E-3</v>
      </c>
      <c r="G151" s="357">
        <f>SUM(R151:T151)/(1-'Common input data'!B$144)</f>
        <v>7.9022946729968933E-3</v>
      </c>
      <c r="H151" s="189">
        <v>0</v>
      </c>
      <c r="I151" s="189">
        <v>0</v>
      </c>
      <c r="J151" s="189">
        <v>0</v>
      </c>
      <c r="K151" s="189">
        <v>0</v>
      </c>
      <c r="L151" s="189">
        <v>0</v>
      </c>
      <c r="M151" s="189">
        <v>0</v>
      </c>
      <c r="N151" s="189">
        <v>0</v>
      </c>
      <c r="O151" s="476">
        <f>'Input data fish and seafood'!G29*'Input data fish and seafood'!B43</f>
        <v>3.8721243897684777E-3</v>
      </c>
      <c r="P151" s="186">
        <v>0</v>
      </c>
      <c r="Q151" s="186">
        <v>0</v>
      </c>
      <c r="R151" s="186">
        <f>(F151+Q151)/'Input data fish and seafood'!$H$29</f>
        <v>7.9022946729968933E-3</v>
      </c>
      <c r="S151" s="186">
        <v>0</v>
      </c>
      <c r="T151" s="200">
        <v>0</v>
      </c>
      <c r="V151" s="18"/>
      <c r="X151" s="64"/>
      <c r="Z151" s="18"/>
      <c r="AB151" s="64"/>
      <c r="AD151" s="18"/>
      <c r="AF151" s="64"/>
      <c r="AH151" s="18"/>
      <c r="AJ151" s="64"/>
      <c r="AL151" s="18"/>
      <c r="AN151" s="64"/>
      <c r="AP151" s="18"/>
      <c r="AR151" s="64"/>
      <c r="AT151" s="18"/>
      <c r="AV151" s="64"/>
      <c r="AX151" s="18"/>
      <c r="AY151" s="64"/>
    </row>
    <row r="152" spans="1:306">
      <c r="A152" s="68"/>
      <c r="B152" s="55"/>
      <c r="C152" s="54"/>
      <c r="D152" s="55" t="s">
        <v>320</v>
      </c>
      <c r="E152" s="356">
        <v>0</v>
      </c>
      <c r="F152" s="17">
        <f>SUM(H152:J152,M152:P152)</f>
        <v>2.3488354906713336E-4</v>
      </c>
      <c r="G152" s="357">
        <f>SUM(R152:T152)/(1-'Common input data'!B$144)</f>
        <v>4.793541817696599E-4</v>
      </c>
      <c r="H152" s="189">
        <v>0</v>
      </c>
      <c r="I152" s="189">
        <v>0</v>
      </c>
      <c r="J152" s="189">
        <v>0</v>
      </c>
      <c r="K152" s="189">
        <v>0</v>
      </c>
      <c r="L152" s="189">
        <v>0</v>
      </c>
      <c r="M152" s="189">
        <v>0</v>
      </c>
      <c r="N152" s="189">
        <v>0</v>
      </c>
      <c r="O152" s="186">
        <f>'Input data fish and seafood'!G29*'Input data fish and seafood'!B44</f>
        <v>2.3488354906713336E-4</v>
      </c>
      <c r="P152" s="186">
        <v>0</v>
      </c>
      <c r="Q152" s="477">
        <v>0</v>
      </c>
      <c r="R152" s="186">
        <f>(F152+Q152)/'Input data fish and seafood'!$H$29</f>
        <v>4.793541817696599E-4</v>
      </c>
      <c r="S152" s="478">
        <v>0</v>
      </c>
      <c r="T152" s="200">
        <v>0</v>
      </c>
      <c r="V152" s="18"/>
      <c r="X152" s="64"/>
      <c r="Z152" s="18"/>
      <c r="AB152" s="64"/>
      <c r="AD152" s="18"/>
      <c r="AF152" s="64"/>
      <c r="AH152" s="18"/>
      <c r="AJ152" s="64"/>
      <c r="AL152" s="18"/>
      <c r="AN152" s="64"/>
      <c r="AP152" s="18"/>
      <c r="AR152" s="64"/>
      <c r="AT152" s="18"/>
      <c r="AV152" s="64"/>
      <c r="AX152" s="18"/>
      <c r="AY152" s="64"/>
    </row>
    <row r="153" spans="1:306">
      <c r="A153" s="68"/>
      <c r="B153" s="55"/>
      <c r="C153" s="54"/>
      <c r="D153" s="55" t="s">
        <v>398</v>
      </c>
      <c r="E153" s="372">
        <v>0</v>
      </c>
      <c r="F153" s="137">
        <f>SUM(H153:J153,M153:P153)</f>
        <v>2.4000000000000001E-4</v>
      </c>
      <c r="G153" s="373">
        <f>SUM(R153:T153)/(1-'Common input data'!B$144)</f>
        <v>4.8979591836734691E-4</v>
      </c>
      <c r="H153" s="189">
        <v>0</v>
      </c>
      <c r="I153" s="189">
        <v>0</v>
      </c>
      <c r="J153" s="189">
        <v>0</v>
      </c>
      <c r="K153" s="189">
        <v>0</v>
      </c>
      <c r="L153" s="189">
        <v>0</v>
      </c>
      <c r="M153" s="189">
        <v>0</v>
      </c>
      <c r="N153" s="189">
        <v>0</v>
      </c>
      <c r="O153" s="186">
        <v>0</v>
      </c>
      <c r="P153" s="186">
        <f>'Input data fish and seafood'!C49</f>
        <v>2.4000000000000001E-4</v>
      </c>
      <c r="Q153" s="186">
        <v>0</v>
      </c>
      <c r="R153" s="186">
        <f>(F153+Q153)/'Input data fish and seafood'!$H$29</f>
        <v>4.8979591836734691E-4</v>
      </c>
      <c r="S153" s="186">
        <v>0</v>
      </c>
      <c r="T153" s="200">
        <v>0</v>
      </c>
      <c r="V153" s="18"/>
      <c r="X153" s="64"/>
      <c r="Z153" s="18"/>
      <c r="AB153" s="64"/>
      <c r="AD153" s="18"/>
      <c r="AF153" s="64"/>
      <c r="AH153" s="18"/>
      <c r="AJ153" s="64"/>
      <c r="AL153" s="18"/>
      <c r="AN153" s="64"/>
      <c r="AP153" s="18"/>
      <c r="AR153" s="64"/>
      <c r="AT153" s="18"/>
      <c r="AV153" s="64"/>
      <c r="AX153" s="18"/>
      <c r="AY153" s="64"/>
    </row>
    <row r="154" spans="1:306">
      <c r="A154" s="374" t="s">
        <v>413</v>
      </c>
      <c r="B154" s="375"/>
      <c r="C154" s="376"/>
      <c r="D154" s="377"/>
      <c r="E154" s="443" t="s">
        <v>395</v>
      </c>
      <c r="F154" s="444" t="s">
        <v>395</v>
      </c>
      <c r="G154" s="445" t="s">
        <v>396</v>
      </c>
      <c r="H154" s="378"/>
      <c r="I154" s="378"/>
      <c r="J154" s="378"/>
      <c r="K154" s="379"/>
      <c r="L154" s="379"/>
      <c r="M154" s="380"/>
      <c r="N154" s="379"/>
      <c r="O154" s="379"/>
      <c r="P154" s="379"/>
      <c r="Q154" s="379"/>
      <c r="R154" s="379"/>
      <c r="S154" s="379"/>
      <c r="T154" s="479"/>
      <c r="V154" s="18"/>
      <c r="X154" s="64"/>
      <c r="Z154" s="18"/>
      <c r="AB154" s="64"/>
      <c r="AD154" s="18"/>
      <c r="AF154" s="64"/>
      <c r="AH154" s="18"/>
      <c r="AJ154" s="64"/>
      <c r="AL154" s="18"/>
      <c r="AN154" s="64"/>
      <c r="AP154" s="18"/>
      <c r="AR154" s="64"/>
      <c r="AT154" s="18"/>
      <c r="AV154" s="64"/>
      <c r="AX154" s="18"/>
      <c r="AY154" s="64"/>
    </row>
    <row r="155" spans="1:306" s="89" customFormat="1">
      <c r="A155" s="381" t="s">
        <v>315</v>
      </c>
      <c r="B155" s="382"/>
      <c r="C155" s="383">
        <f>SUM(C160:C169)</f>
        <v>1</v>
      </c>
      <c r="D155" s="384" t="s">
        <v>316</v>
      </c>
      <c r="E155" s="430">
        <f>SUMPRODUCT($BE$8:$BE$11,E156:E159)</f>
        <v>0</v>
      </c>
      <c r="F155" s="431">
        <f>SUMPRODUCT($BE$8:$BE$11,F156:F159)</f>
        <v>2.4770261816855483</v>
      </c>
      <c r="G155" s="432">
        <f>SUMPRODUCT($BE$8:$BE$11,G156:G159)</f>
        <v>6.0476273800844469</v>
      </c>
      <c r="H155" s="451"/>
      <c r="I155" s="463"/>
      <c r="J155" s="463"/>
      <c r="K155" s="464"/>
      <c r="L155" s="464"/>
      <c r="M155" s="452"/>
      <c r="N155" s="464"/>
      <c r="O155" s="464"/>
      <c r="P155" s="464"/>
      <c r="Q155" s="464"/>
      <c r="R155" s="464"/>
      <c r="S155" s="464"/>
      <c r="T155" s="465"/>
      <c r="U155"/>
      <c r="V155" s="1265"/>
      <c r="W155" s="1266"/>
      <c r="X155" s="1267"/>
      <c r="Y155"/>
      <c r="Z155" s="1265"/>
      <c r="AA155" s="1266"/>
      <c r="AB155" s="1267"/>
      <c r="AC155"/>
      <c r="AD155" s="1265"/>
      <c r="AE155" s="1266"/>
      <c r="AF155" s="1267"/>
      <c r="AG155"/>
      <c r="AH155" s="1265"/>
      <c r="AI155" s="1266"/>
      <c r="AJ155" s="1267"/>
      <c r="AK155"/>
      <c r="AL155" s="1265"/>
      <c r="AM155" s="1266"/>
      <c r="AN155" s="1267"/>
      <c r="AO155"/>
      <c r="AP155" s="1265"/>
      <c r="AQ155" s="1266"/>
      <c r="AR155" s="1267"/>
      <c r="AS155"/>
      <c r="AT155" s="1265"/>
      <c r="AU155" s="1266"/>
      <c r="AV155" s="1267"/>
      <c r="AW155"/>
      <c r="AX155" s="1265"/>
      <c r="AY155" s="1267"/>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row>
    <row r="156" spans="1:306">
      <c r="A156" s="19"/>
      <c r="B156" s="24"/>
      <c r="C156" s="24"/>
      <c r="D156" s="174" t="s">
        <v>317</v>
      </c>
      <c r="E156" s="356">
        <f>$C$160*E161+$C$165*E166</f>
        <v>0</v>
      </c>
      <c r="F156" s="54">
        <f t="shared" ref="F156:T159" si="8">$C$160*F161+$C$165*F166</f>
        <v>2.1772741399852249</v>
      </c>
      <c r="G156" s="357">
        <f t="shared" si="8"/>
        <v>5.4820574900838368</v>
      </c>
      <c r="H156" s="189">
        <f>$C$160*H161+$C$165*H166</f>
        <v>0</v>
      </c>
      <c r="I156" s="189">
        <f t="shared" ref="I156:T156" si="9">$C$160*I161+$C$165*I166</f>
        <v>0</v>
      </c>
      <c r="J156" s="189">
        <f t="shared" si="9"/>
        <v>0</v>
      </c>
      <c r="K156" s="189">
        <f t="shared" si="9"/>
        <v>0</v>
      </c>
      <c r="L156" s="189">
        <f t="shared" si="9"/>
        <v>0</v>
      </c>
      <c r="M156" s="189">
        <f t="shared" si="9"/>
        <v>0</v>
      </c>
      <c r="N156" s="189">
        <f t="shared" si="9"/>
        <v>0</v>
      </c>
      <c r="O156" s="189">
        <f t="shared" si="9"/>
        <v>2.1772741399852249</v>
      </c>
      <c r="P156" s="189">
        <f t="shared" si="9"/>
        <v>0</v>
      </c>
      <c r="Q156" s="189">
        <f t="shared" si="9"/>
        <v>0.39431632975920888</v>
      </c>
      <c r="R156" s="189">
        <f t="shared" si="9"/>
        <v>4.8520574900838369</v>
      </c>
      <c r="S156" s="189">
        <f t="shared" si="9"/>
        <v>0.1</v>
      </c>
      <c r="T156" s="199">
        <f t="shared" si="9"/>
        <v>0.53</v>
      </c>
      <c r="V156" s="18"/>
      <c r="X156" s="64"/>
      <c r="Z156" s="18"/>
      <c r="AB156" s="64"/>
      <c r="AD156" s="18"/>
      <c r="AF156" s="64"/>
      <c r="AH156" s="18"/>
      <c r="AJ156" s="64"/>
      <c r="AL156" s="18"/>
      <c r="AN156" s="64"/>
      <c r="AP156" s="18"/>
      <c r="AR156" s="64"/>
      <c r="AT156" s="18"/>
      <c r="AV156" s="64"/>
      <c r="AX156" s="18"/>
      <c r="AY156" s="64"/>
    </row>
    <row r="157" spans="1:306">
      <c r="A157" s="195"/>
      <c r="B157" s="135"/>
      <c r="C157" s="50"/>
      <c r="D157" s="174" t="s">
        <v>367</v>
      </c>
      <c r="E157" s="356">
        <f>$C$160*E162+$C$165*E167</f>
        <v>0</v>
      </c>
      <c r="F157" s="54">
        <f t="shared" si="8"/>
        <v>9.6445902697185333E-4</v>
      </c>
      <c r="G157" s="357">
        <f t="shared" si="8"/>
        <v>1.8197340131544401E-3</v>
      </c>
      <c r="H157" s="189">
        <f t="shared" si="8"/>
        <v>0</v>
      </c>
      <c r="I157" s="189">
        <f t="shared" si="8"/>
        <v>0</v>
      </c>
      <c r="J157" s="189">
        <f t="shared" si="8"/>
        <v>0</v>
      </c>
      <c r="K157" s="189">
        <f t="shared" si="8"/>
        <v>0</v>
      </c>
      <c r="L157" s="189">
        <f t="shared" si="8"/>
        <v>0</v>
      </c>
      <c r="M157" s="189">
        <f t="shared" si="8"/>
        <v>0</v>
      </c>
      <c r="N157" s="189">
        <f t="shared" si="8"/>
        <v>0</v>
      </c>
      <c r="O157" s="189">
        <f t="shared" si="8"/>
        <v>9.6445902697185333E-4</v>
      </c>
      <c r="P157" s="189">
        <f t="shared" si="8"/>
        <v>0</v>
      </c>
      <c r="Q157" s="189">
        <f t="shared" si="8"/>
        <v>0</v>
      </c>
      <c r="R157" s="189">
        <f t="shared" si="8"/>
        <v>1.8197340131544401E-3</v>
      </c>
      <c r="S157" s="189">
        <f t="shared" si="8"/>
        <v>0</v>
      </c>
      <c r="T157" s="199">
        <f t="shared" si="8"/>
        <v>0</v>
      </c>
      <c r="V157" s="18"/>
      <c r="X157" s="64"/>
      <c r="Z157" s="18"/>
      <c r="AB157" s="64"/>
      <c r="AD157" s="18"/>
      <c r="AF157" s="64"/>
      <c r="AH157" s="18"/>
      <c r="AJ157" s="64"/>
      <c r="AL157" s="18"/>
      <c r="AN157" s="64"/>
      <c r="AP157" s="18"/>
      <c r="AR157" s="64"/>
      <c r="AT157" s="18"/>
      <c r="AV157" s="64"/>
      <c r="AX157" s="18"/>
      <c r="AY157" s="64"/>
    </row>
    <row r="158" spans="1:306">
      <c r="A158" s="195"/>
      <c r="B158" s="135"/>
      <c r="C158" s="54"/>
      <c r="D158" s="55" t="s">
        <v>320</v>
      </c>
      <c r="E158" s="356">
        <f>$C$160*E163+$C$165*E168</f>
        <v>0</v>
      </c>
      <c r="F158" s="54">
        <f t="shared" si="8"/>
        <v>5.8504205025946505E-5</v>
      </c>
      <c r="G158" s="357">
        <f t="shared" si="8"/>
        <v>1.1038529250178585E-4</v>
      </c>
      <c r="H158" s="189">
        <f t="shared" si="8"/>
        <v>0</v>
      </c>
      <c r="I158" s="189">
        <f t="shared" si="8"/>
        <v>0</v>
      </c>
      <c r="J158" s="189">
        <f t="shared" si="8"/>
        <v>0</v>
      </c>
      <c r="K158" s="189">
        <f t="shared" si="8"/>
        <v>0</v>
      </c>
      <c r="L158" s="189">
        <f t="shared" si="8"/>
        <v>0</v>
      </c>
      <c r="M158" s="189">
        <f t="shared" si="8"/>
        <v>0</v>
      </c>
      <c r="N158" s="189">
        <f t="shared" si="8"/>
        <v>0</v>
      </c>
      <c r="O158" s="189">
        <f t="shared" si="8"/>
        <v>5.8504205025946505E-5</v>
      </c>
      <c r="P158" s="189">
        <f t="shared" si="8"/>
        <v>0</v>
      </c>
      <c r="Q158" s="189">
        <f t="shared" si="8"/>
        <v>0</v>
      </c>
      <c r="R158" s="189">
        <f>$C$160*R163+$C$165*R168</f>
        <v>1.1038529250178585E-4</v>
      </c>
      <c r="S158" s="189">
        <f t="shared" si="8"/>
        <v>0</v>
      </c>
      <c r="T158" s="199">
        <f t="shared" si="8"/>
        <v>0</v>
      </c>
      <c r="V158" s="18"/>
      <c r="X158" s="64"/>
      <c r="Z158" s="18"/>
      <c r="AB158" s="64"/>
      <c r="AD158" s="18"/>
      <c r="AF158" s="64"/>
      <c r="AH158" s="18"/>
      <c r="AJ158" s="64"/>
      <c r="AL158" s="18"/>
      <c r="AN158" s="64"/>
      <c r="AP158" s="18"/>
      <c r="AR158" s="64"/>
      <c r="AT158" s="18"/>
      <c r="AV158" s="64"/>
      <c r="AX158" s="18"/>
      <c r="AY158" s="64"/>
    </row>
    <row r="159" spans="1:306">
      <c r="A159" s="195"/>
      <c r="B159" s="135"/>
      <c r="C159" s="54"/>
      <c r="D159" s="55" t="s">
        <v>398</v>
      </c>
      <c r="E159" s="356">
        <f>$C$160*E164+$C$165*E169</f>
        <v>0</v>
      </c>
      <c r="F159" s="54">
        <f t="shared" si="8"/>
        <v>1.315E-4</v>
      </c>
      <c r="G159" s="357">
        <f t="shared" si="8"/>
        <v>2.4811320754716977E-4</v>
      </c>
      <c r="H159" s="189">
        <f t="shared" si="8"/>
        <v>0</v>
      </c>
      <c r="I159" s="189">
        <f t="shared" si="8"/>
        <v>0</v>
      </c>
      <c r="J159" s="189">
        <f t="shared" si="8"/>
        <v>0</v>
      </c>
      <c r="K159" s="189">
        <f t="shared" si="8"/>
        <v>0</v>
      </c>
      <c r="L159" s="189">
        <f t="shared" si="8"/>
        <v>0</v>
      </c>
      <c r="M159" s="189">
        <f t="shared" si="8"/>
        <v>0</v>
      </c>
      <c r="N159" s="189">
        <f t="shared" si="8"/>
        <v>0</v>
      </c>
      <c r="O159" s="189">
        <f t="shared" si="8"/>
        <v>0</v>
      </c>
      <c r="P159" s="189">
        <f t="shared" si="8"/>
        <v>1.315E-4</v>
      </c>
      <c r="Q159" s="189">
        <f t="shared" si="8"/>
        <v>0</v>
      </c>
      <c r="R159" s="189">
        <f t="shared" si="8"/>
        <v>2.4811320754716977E-4</v>
      </c>
      <c r="S159" s="189">
        <f t="shared" si="8"/>
        <v>0</v>
      </c>
      <c r="T159" s="199">
        <f t="shared" si="8"/>
        <v>0</v>
      </c>
      <c r="V159" s="18"/>
      <c r="X159" s="64"/>
      <c r="Z159" s="18"/>
      <c r="AB159" s="64"/>
      <c r="AD159" s="18"/>
      <c r="AF159" s="64"/>
      <c r="AH159" s="18"/>
      <c r="AJ159" s="64"/>
      <c r="AL159" s="18"/>
      <c r="AN159" s="64"/>
      <c r="AP159" s="18"/>
      <c r="AR159" s="64"/>
      <c r="AT159" s="18"/>
      <c r="AV159" s="64"/>
      <c r="AX159" s="18"/>
      <c r="AY159" s="64"/>
    </row>
    <row r="160" spans="1:306">
      <c r="A160" s="466" t="s">
        <v>414</v>
      </c>
      <c r="B160" s="75" t="s">
        <v>220</v>
      </c>
      <c r="C160" s="481">
        <f>'Input data fish and seafood'!E30</f>
        <v>0.5</v>
      </c>
      <c r="D160" s="355" t="s">
        <v>316</v>
      </c>
      <c r="E160" s="467">
        <f>SUMPRODUCT($BE$8:$BE$11,E161:E164)</f>
        <v>0</v>
      </c>
      <c r="F160" s="468">
        <f>SUMPRODUCT($BE$8:$BE$11,F161:F164)</f>
        <v>2.4605870247841741</v>
      </c>
      <c r="G160" s="469">
        <f>SUMPRODUCT($BE$8:$BE$11,G161:G164)</f>
        <v>6.0166101029120433</v>
      </c>
      <c r="H160" s="385"/>
      <c r="I160" s="211"/>
      <c r="J160" s="211"/>
      <c r="K160" s="470"/>
      <c r="L160" s="470"/>
      <c r="M160" s="470"/>
      <c r="N160" s="470"/>
      <c r="O160" s="470"/>
      <c r="P160" s="470"/>
      <c r="Q160" s="470"/>
      <c r="R160" s="470"/>
      <c r="S160" s="470"/>
      <c r="T160" s="471"/>
      <c r="V160" s="1263"/>
      <c r="W160" s="1170"/>
      <c r="X160" s="1171"/>
      <c r="Z160" s="1263"/>
      <c r="AA160" s="1170"/>
      <c r="AB160" s="1171"/>
      <c r="AD160" s="1263"/>
      <c r="AE160" s="1170"/>
      <c r="AF160" s="1171"/>
      <c r="AH160" s="1263"/>
      <c r="AI160" s="1170"/>
      <c r="AJ160" s="1171"/>
      <c r="AL160" s="1263"/>
      <c r="AM160" s="1170"/>
      <c r="AN160" s="1171"/>
      <c r="AP160" s="1263"/>
      <c r="AQ160" s="1170"/>
      <c r="AR160" s="1171"/>
      <c r="AT160" s="1263"/>
      <c r="AU160" s="1170"/>
      <c r="AV160" s="1171"/>
      <c r="AX160" s="1263"/>
      <c r="AY160" s="1171"/>
    </row>
    <row r="161" spans="1:51">
      <c r="A161" s="68"/>
      <c r="B161" s="55"/>
      <c r="C161" s="24"/>
      <c r="D161" s="174" t="s">
        <v>317</v>
      </c>
      <c r="E161" s="455">
        <f>IF(AND($F$2="No",$F$3="No"),SUM(J161),IF(AND($F$2="Yes", $F$3="No"), SUM(J161)+L161, IF(AND($F$2="No", $F$3="Yes"),SUM(J161)+K161, SUM(J161)+L161+K161)))</f>
        <v>0</v>
      </c>
      <c r="F161" s="17">
        <f>IF(AND($F$2="No",$F$3="No"),SUM(H161:J161,M161:P161),IF(AND($F$2="Yes", $F$3="No"), SUM(H161:J161,M161:P161)+L161, IF(AND($F$2="No", $F$3="Yes"),SUM(H161:J161,M161:P161)+K161, SUM(H161:J161,M161:P161)+L161+K161)))</f>
        <v>2.1611461833927419</v>
      </c>
      <c r="G161" s="357">
        <f>SUM(R161:T161)/(1-'Common input data'!C$144)</f>
        <v>5.4516273833055671</v>
      </c>
      <c r="H161" s="189">
        <v>0</v>
      </c>
      <c r="I161" s="189">
        <v>0</v>
      </c>
      <c r="J161" s="189">
        <v>0</v>
      </c>
      <c r="K161" s="189">
        <v>0</v>
      </c>
      <c r="L161" s="189">
        <v>0</v>
      </c>
      <c r="M161" s="189">
        <v>0</v>
      </c>
      <c r="N161" s="189">
        <v>0</v>
      </c>
      <c r="O161" s="189">
        <f>'Input data fish and seafood'!G30*'Input data fish and seafood'!B42</f>
        <v>2.1611461833927419</v>
      </c>
      <c r="P161" s="189">
        <v>0</v>
      </c>
      <c r="Q161" s="189">
        <f>'Input data fish and seafood'!B107*('Input data fish and seafood'!B122*'Common input data'!B80+'Input data fish and seafood'!C122*'Common input data'!C80+'Input data fish and seafood'!D122*'Common input data'!E80+'Input data fish and seafood'!E122*'Common input data'!F80+'Input data fish and seafood'!H122*'Common input data'!K80)</f>
        <v>0.39431632975920888</v>
      </c>
      <c r="R161" s="189">
        <f>(F161+Q161)/'Input data fish and seafood'!$H$30</f>
        <v>4.8216273833055672</v>
      </c>
      <c r="S161" s="189">
        <f>'Common input data'!B111</f>
        <v>0.1</v>
      </c>
      <c r="T161" s="199">
        <f>'Input data fish and seafood'!E136*'Common input data'!B127+'Common input data'!C127</f>
        <v>0.53</v>
      </c>
      <c r="V161" s="18"/>
      <c r="X161" s="64"/>
      <c r="Z161" s="18"/>
      <c r="AB161" s="64"/>
      <c r="AD161" s="18"/>
      <c r="AF161" s="64"/>
      <c r="AH161" s="18"/>
      <c r="AJ161" s="64"/>
      <c r="AL161" s="18"/>
      <c r="AN161" s="64"/>
      <c r="AP161" s="18"/>
      <c r="AR161" s="64"/>
      <c r="AT161" s="18"/>
      <c r="AV161" s="64"/>
      <c r="AX161" s="18"/>
      <c r="AY161" s="64"/>
    </row>
    <row r="162" spans="1:51">
      <c r="A162" s="472"/>
      <c r="B162" s="29"/>
      <c r="C162" s="473"/>
      <c r="D162" s="174" t="s">
        <v>367</v>
      </c>
      <c r="E162" s="356">
        <v>0</v>
      </c>
      <c r="F162" s="17">
        <f>SUM(H162:J162,M162:P162)</f>
        <v>9.5731488603132114E-4</v>
      </c>
      <c r="G162" s="357">
        <f>SUM(R162:T162)/(1-'Common input data'!C$144)</f>
        <v>1.8062545019458889E-3</v>
      </c>
      <c r="H162" s="189">
        <v>0</v>
      </c>
      <c r="I162" s="189">
        <v>0</v>
      </c>
      <c r="J162" s="189">
        <v>0</v>
      </c>
      <c r="K162" s="189">
        <v>0</v>
      </c>
      <c r="L162" s="189">
        <v>0</v>
      </c>
      <c r="M162" s="189">
        <v>0</v>
      </c>
      <c r="N162" s="189">
        <v>0</v>
      </c>
      <c r="O162" s="189">
        <f>'Input data fish and seafood'!G30*'Input data fish and seafood'!B43</f>
        <v>9.5731488603132114E-4</v>
      </c>
      <c r="P162" s="189">
        <v>0</v>
      </c>
      <c r="Q162" s="189">
        <v>0</v>
      </c>
      <c r="R162" s="189">
        <f>(F162+Q162)/'Input data fish and seafood'!$H$30</f>
        <v>1.8062545019458889E-3</v>
      </c>
      <c r="S162" s="189">
        <v>0</v>
      </c>
      <c r="T162" s="199">
        <v>0</v>
      </c>
      <c r="V162" s="18"/>
      <c r="X162" s="64"/>
      <c r="Z162" s="18"/>
      <c r="AB162" s="64"/>
      <c r="AD162" s="18"/>
      <c r="AF162" s="64"/>
      <c r="AH162" s="18"/>
      <c r="AJ162" s="64"/>
      <c r="AL162" s="18"/>
      <c r="AN162" s="64"/>
      <c r="AP162" s="18"/>
      <c r="AR162" s="64"/>
      <c r="AT162" s="18"/>
      <c r="AV162" s="64"/>
      <c r="AX162" s="18"/>
      <c r="AY162" s="64"/>
    </row>
    <row r="163" spans="1:51">
      <c r="A163" s="359"/>
      <c r="B163" s="360"/>
      <c r="C163" s="54"/>
      <c r="D163" s="55" t="s">
        <v>320</v>
      </c>
      <c r="E163" s="356">
        <v>0</v>
      </c>
      <c r="F163" s="17">
        <f>SUM(H163:J163,M163:P163)</f>
        <v>5.8070840544272827E-5</v>
      </c>
      <c r="G163" s="357">
        <f>SUM(R163:T163)/(1-'Common input data'!C$144)</f>
        <v>1.095676236684393E-4</v>
      </c>
      <c r="H163" s="189">
        <v>0</v>
      </c>
      <c r="I163" s="189">
        <v>0</v>
      </c>
      <c r="J163" s="189">
        <v>0</v>
      </c>
      <c r="K163" s="189">
        <v>0</v>
      </c>
      <c r="L163" s="189">
        <v>0</v>
      </c>
      <c r="M163" s="189">
        <v>0</v>
      </c>
      <c r="N163" s="189">
        <v>0</v>
      </c>
      <c r="O163" s="189">
        <f>'Input data fish and seafood'!G30*'Input data fish and seafood'!B44</f>
        <v>5.8070840544272827E-5</v>
      </c>
      <c r="P163" s="189">
        <v>0</v>
      </c>
      <c r="Q163" s="189">
        <v>0</v>
      </c>
      <c r="R163" s="189">
        <f>(F163+Q163)/'Input data fish and seafood'!$H$30</f>
        <v>1.095676236684393E-4</v>
      </c>
      <c r="S163" s="189">
        <v>0</v>
      </c>
      <c r="T163" s="199">
        <v>0</v>
      </c>
      <c r="V163" s="18"/>
      <c r="X163" s="64"/>
      <c r="Z163" s="18"/>
      <c r="AB163" s="64"/>
      <c r="AD163" s="18"/>
      <c r="AF163" s="64"/>
      <c r="AH163" s="18"/>
      <c r="AJ163" s="64"/>
      <c r="AL163" s="18"/>
      <c r="AN163" s="64"/>
      <c r="AP163" s="18"/>
      <c r="AR163" s="64"/>
      <c r="AT163" s="18"/>
      <c r="AV163" s="64"/>
      <c r="AX163" s="18"/>
      <c r="AY163" s="64"/>
    </row>
    <row r="164" spans="1:51">
      <c r="A164" s="359"/>
      <c r="B164" s="360"/>
      <c r="C164" s="54"/>
      <c r="D164" s="55" t="s">
        <v>398</v>
      </c>
      <c r="E164" s="356">
        <v>0</v>
      </c>
      <c r="F164" s="17">
        <f>SUM(H164:J164,M164:P164)</f>
        <v>1.315E-4</v>
      </c>
      <c r="G164" s="357">
        <f>SUM(R164:T164)/(1-'Common input data'!C$144)</f>
        <v>2.4811320754716977E-4</v>
      </c>
      <c r="H164" s="189">
        <v>0</v>
      </c>
      <c r="I164" s="189">
        <v>0</v>
      </c>
      <c r="J164" s="189">
        <v>0</v>
      </c>
      <c r="K164" s="189">
        <v>0</v>
      </c>
      <c r="L164" s="189">
        <v>0</v>
      </c>
      <c r="M164" s="189">
        <v>0</v>
      </c>
      <c r="N164" s="189">
        <v>0</v>
      </c>
      <c r="O164" s="189">
        <v>0</v>
      </c>
      <c r="P164" s="189">
        <f>AVERAGE('Input data fish and seafood'!B49,'Input data fish and seafood'!C49)</f>
        <v>1.315E-4</v>
      </c>
      <c r="Q164" s="189">
        <v>0</v>
      </c>
      <c r="R164" s="189">
        <f>(F164+Q164)/'Input data fish and seafood'!$H$30</f>
        <v>2.4811320754716977E-4</v>
      </c>
      <c r="S164" s="189">
        <v>0</v>
      </c>
      <c r="T164" s="199">
        <v>0</v>
      </c>
      <c r="V164" s="18"/>
      <c r="X164" s="64"/>
      <c r="Z164" s="18"/>
      <c r="AB164" s="64"/>
      <c r="AD164" s="18"/>
      <c r="AF164" s="64"/>
      <c r="AH164" s="18"/>
      <c r="AJ164" s="64"/>
      <c r="AL164" s="18"/>
      <c r="AN164" s="64"/>
      <c r="AP164" s="18"/>
      <c r="AR164" s="64"/>
      <c r="AT164" s="18"/>
      <c r="AV164" s="64"/>
      <c r="AX164" s="18"/>
      <c r="AY164" s="64"/>
    </row>
    <row r="165" spans="1:51">
      <c r="A165" s="466" t="s">
        <v>414</v>
      </c>
      <c r="B165" s="75" t="s">
        <v>225</v>
      </c>
      <c r="C165" s="481">
        <f>'Input data fish and seafood'!E31</f>
        <v>0.5</v>
      </c>
      <c r="D165" s="355" t="s">
        <v>316</v>
      </c>
      <c r="E165" s="467">
        <f>SUMPRODUCT($BE$8:$BE$11,E166:E169)</f>
        <v>0</v>
      </c>
      <c r="F165" s="468">
        <f>SUMPRODUCT($BE$8:$BE$11,F166:F169)</f>
        <v>2.4934653385869225</v>
      </c>
      <c r="G165" s="469">
        <f>SUMPRODUCT($BE$8:$BE$11,G166:G169)</f>
        <v>6.0786446572568513</v>
      </c>
      <c r="H165" s="385"/>
      <c r="I165" s="211"/>
      <c r="J165" s="211"/>
      <c r="K165" s="470"/>
      <c r="L165" s="470"/>
      <c r="M165" s="470"/>
      <c r="N165" s="470"/>
      <c r="O165" s="470"/>
      <c r="P165" s="470"/>
      <c r="Q165" s="470"/>
      <c r="R165" s="470"/>
      <c r="S165" s="470"/>
      <c r="T165" s="471"/>
      <c r="V165" s="1263"/>
      <c r="W165" s="1170"/>
      <c r="X165" s="1171"/>
      <c r="Z165" s="1263"/>
      <c r="AA165" s="1170"/>
      <c r="AB165" s="1171"/>
      <c r="AD165" s="1263"/>
      <c r="AE165" s="1170"/>
      <c r="AF165" s="1171"/>
      <c r="AH165" s="1263"/>
      <c r="AI165" s="1170"/>
      <c r="AJ165" s="1171"/>
      <c r="AL165" s="1263"/>
      <c r="AM165" s="1170"/>
      <c r="AN165" s="1171"/>
      <c r="AP165" s="1263"/>
      <c r="AQ165" s="1170"/>
      <c r="AR165" s="1171"/>
      <c r="AT165" s="1263"/>
      <c r="AU165" s="1170"/>
      <c r="AV165" s="1171"/>
      <c r="AX165" s="1263"/>
      <c r="AY165" s="1171"/>
    </row>
    <row r="166" spans="1:51">
      <c r="A166" s="68"/>
      <c r="B166" s="55"/>
      <c r="C166" s="24"/>
      <c r="D166" s="174" t="s">
        <v>317</v>
      </c>
      <c r="E166" s="455">
        <f>IF(AND($F$2="No",$F$3="No"),SUM(J166),IF(AND($F$2="Yes", $F$3="No"), SUM(J166)+L166, IF(AND($F$2="No", $F$3="Yes"),SUM(J166)+K166, SUM(J166)+L166+K166)))</f>
        <v>0</v>
      </c>
      <c r="F166" s="17">
        <f>IF(AND($F$2="No",$F$3="No"),SUM(H166:J166,M166:P166),IF(AND($F$2="Yes", $F$3="No"), SUM(H166:J166,M166:P166)+L166, IF(AND($F$2="No", $F$3="Yes"),SUM(H166:J166,M166:P166)+K166, SUM(H166:J166,M166:P166)+L166+K166)))</f>
        <v>2.1934020965777079</v>
      </c>
      <c r="G166" s="357">
        <f>SUM(R166:T166)/(1-'Common input data'!C$144)</f>
        <v>5.5124875968621065</v>
      </c>
      <c r="H166" s="189">
        <v>0</v>
      </c>
      <c r="I166" s="189">
        <v>0</v>
      </c>
      <c r="J166" s="189">
        <v>0</v>
      </c>
      <c r="K166" s="189">
        <v>0</v>
      </c>
      <c r="L166" s="189">
        <v>0</v>
      </c>
      <c r="M166" s="189">
        <v>0</v>
      </c>
      <c r="N166" s="189">
        <v>0</v>
      </c>
      <c r="O166" s="483">
        <f>'Input data fish and seafood'!G31*'Input data fish and seafood'!B42</f>
        <v>2.1934020965777079</v>
      </c>
      <c r="P166" s="189">
        <v>0</v>
      </c>
      <c r="Q166" s="189">
        <f>'Input data fish and seafood'!B107*('Input data fish and seafood'!B122*'Common input data'!B80+'Input data fish and seafood'!C122*'Common input data'!C80+'Input data fish and seafood'!D122*'Common input data'!E80+'Input data fish and seafood'!E122*'Common input data'!F80+'Input data fish and seafood'!H122*'Common input data'!K80)</f>
        <v>0.39431632975920888</v>
      </c>
      <c r="R166" s="189">
        <f>(F166+Q166)/'Input data fish and seafood'!$H$31</f>
        <v>4.8824875968621066</v>
      </c>
      <c r="S166" s="189">
        <f>'Common input data'!B111</f>
        <v>0.1</v>
      </c>
      <c r="T166" s="199">
        <f>'Input data fish and seafood'!E136*'Common input data'!B127+'Common input data'!C127</f>
        <v>0.53</v>
      </c>
      <c r="V166" s="18"/>
      <c r="X166" s="64"/>
      <c r="Z166" s="18"/>
      <c r="AB166" s="64"/>
      <c r="AD166" s="18"/>
      <c r="AF166" s="64"/>
      <c r="AH166" s="18"/>
      <c r="AJ166" s="64"/>
      <c r="AL166" s="18"/>
      <c r="AN166" s="64"/>
      <c r="AP166" s="18"/>
      <c r="AR166" s="64"/>
      <c r="AT166" s="18"/>
      <c r="AV166" s="64"/>
      <c r="AX166" s="18"/>
      <c r="AY166" s="64"/>
    </row>
    <row r="167" spans="1:51">
      <c r="A167" s="68"/>
      <c r="B167" s="55"/>
      <c r="C167" s="55"/>
      <c r="D167" s="174" t="s">
        <v>367</v>
      </c>
      <c r="E167" s="356">
        <v>0</v>
      </c>
      <c r="F167" s="17">
        <f>SUM(H167:J167,M167:P167)</f>
        <v>9.7160316791238563E-4</v>
      </c>
      <c r="G167" s="357">
        <f>SUM(R167:T167)/(1-'Common input data'!C$144)</f>
        <v>1.8332135243629916E-3</v>
      </c>
      <c r="H167" s="189">
        <v>0</v>
      </c>
      <c r="I167" s="189">
        <v>0</v>
      </c>
      <c r="J167" s="189">
        <v>0</v>
      </c>
      <c r="K167" s="189">
        <v>0</v>
      </c>
      <c r="L167" s="189">
        <v>0</v>
      </c>
      <c r="M167" s="189">
        <v>0</v>
      </c>
      <c r="N167" s="189">
        <v>0</v>
      </c>
      <c r="O167" s="484">
        <f>'Input data fish and seafood'!G31*'Input data fish and seafood'!B43</f>
        <v>9.7160316791238563E-4</v>
      </c>
      <c r="P167" s="189">
        <v>0</v>
      </c>
      <c r="Q167" s="189">
        <v>0</v>
      </c>
      <c r="R167" s="189">
        <f>(F167+Q167)/'Input data fish and seafood'!$H$31</f>
        <v>1.8332135243629916E-3</v>
      </c>
      <c r="S167" s="189">
        <v>0</v>
      </c>
      <c r="T167" s="199">
        <v>0</v>
      </c>
      <c r="V167" s="18"/>
      <c r="X167" s="64"/>
      <c r="Z167" s="18"/>
      <c r="AB167" s="64"/>
      <c r="AD167" s="18"/>
      <c r="AF167" s="64"/>
      <c r="AH167" s="18"/>
      <c r="AJ167" s="64"/>
      <c r="AL167" s="18"/>
      <c r="AN167" s="64"/>
      <c r="AP167" s="18"/>
      <c r="AR167" s="64"/>
      <c r="AT167" s="18"/>
      <c r="AV167" s="64"/>
      <c r="AX167" s="18"/>
      <c r="AY167" s="64"/>
    </row>
    <row r="168" spans="1:51">
      <c r="A168" s="68"/>
      <c r="B168" s="55"/>
      <c r="C168" s="54"/>
      <c r="D168" s="55" t="s">
        <v>320</v>
      </c>
      <c r="E168" s="356">
        <v>0</v>
      </c>
      <c r="F168" s="17">
        <f>SUM(H168:J168,M168:P168)</f>
        <v>5.8937569507620182E-5</v>
      </c>
      <c r="G168" s="357">
        <f>SUM(R168:T168)/(1-'Common input data'!C$144)</f>
        <v>1.1120296133513241E-4</v>
      </c>
      <c r="H168" s="189">
        <v>0</v>
      </c>
      <c r="I168" s="189">
        <v>0</v>
      </c>
      <c r="J168" s="189">
        <v>0</v>
      </c>
      <c r="K168" s="189">
        <v>0</v>
      </c>
      <c r="L168" s="189">
        <v>0</v>
      </c>
      <c r="M168" s="189">
        <v>0</v>
      </c>
      <c r="N168" s="189">
        <v>0</v>
      </c>
      <c r="O168" s="189">
        <f>'Input data fish and seafood'!G31*'Input data fish and seafood'!B44</f>
        <v>5.8937569507620182E-5</v>
      </c>
      <c r="P168" s="189">
        <v>0</v>
      </c>
      <c r="Q168" s="485">
        <v>0</v>
      </c>
      <c r="R168" s="189">
        <f>(F168+Q168)/'Input data fish and seafood'!$H$31</f>
        <v>1.1120296133513241E-4</v>
      </c>
      <c r="S168" s="361">
        <v>0</v>
      </c>
      <c r="T168" s="199">
        <v>0</v>
      </c>
      <c r="V168" s="18"/>
      <c r="X168" s="64"/>
      <c r="Z168" s="18"/>
      <c r="AB168" s="64"/>
      <c r="AD168" s="18"/>
      <c r="AF168" s="64"/>
      <c r="AH168" s="18"/>
      <c r="AJ168" s="64"/>
      <c r="AL168" s="18"/>
      <c r="AN168" s="64"/>
      <c r="AP168" s="18"/>
      <c r="AR168" s="64"/>
      <c r="AT168" s="18"/>
      <c r="AV168" s="64"/>
      <c r="AX168" s="18"/>
      <c r="AY168" s="64"/>
    </row>
    <row r="169" spans="1:51" ht="15.75" thickBot="1">
      <c r="A169" s="71"/>
      <c r="B169" s="56"/>
      <c r="C169" s="81"/>
      <c r="D169" s="56" t="s">
        <v>398</v>
      </c>
      <c r="E169" s="397">
        <v>0</v>
      </c>
      <c r="F169" s="494">
        <f>SUM(H169:J169,M169:P169)</f>
        <v>1.315E-4</v>
      </c>
      <c r="G169" s="398">
        <f>SUM(R169:T169)/(1-'Common input data'!C$144)</f>
        <v>2.4811320754716977E-4</v>
      </c>
      <c r="H169" s="210">
        <v>0</v>
      </c>
      <c r="I169" s="210">
        <v>0</v>
      </c>
      <c r="J169" s="210">
        <v>0</v>
      </c>
      <c r="K169" s="210">
        <v>0</v>
      </c>
      <c r="L169" s="210">
        <v>0</v>
      </c>
      <c r="M169" s="210">
        <v>0</v>
      </c>
      <c r="N169" s="210">
        <v>0</v>
      </c>
      <c r="O169" s="210">
        <v>0</v>
      </c>
      <c r="P169" s="210">
        <f>AVERAGE('Input data fish and seafood'!B49,'Input data fish and seafood'!C49)</f>
        <v>1.315E-4</v>
      </c>
      <c r="Q169" s="210">
        <v>0</v>
      </c>
      <c r="R169" s="210">
        <f>(F169+Q169)/'Input data fish and seafood'!$H$31</f>
        <v>2.4811320754716977E-4</v>
      </c>
      <c r="S169" s="210">
        <v>0</v>
      </c>
      <c r="T169" s="264">
        <v>0</v>
      </c>
      <c r="V169" s="86"/>
      <c r="W169" s="65"/>
      <c r="X169" s="84"/>
      <c r="Z169" s="86"/>
      <c r="AA169" s="65"/>
      <c r="AB169" s="84"/>
      <c r="AD169" s="86"/>
      <c r="AE169" s="65"/>
      <c r="AF169" s="84"/>
      <c r="AH169" s="86"/>
      <c r="AI169" s="65"/>
      <c r="AJ169" s="84"/>
      <c r="AL169" s="86"/>
      <c r="AM169" s="65"/>
      <c r="AN169" s="84"/>
      <c r="AP169" s="86"/>
      <c r="AQ169" s="65"/>
      <c r="AR169" s="84"/>
      <c r="AT169" s="86"/>
      <c r="AU169" s="65"/>
      <c r="AV169" s="84"/>
      <c r="AX169" s="86"/>
      <c r="AY169" s="84"/>
    </row>
  </sheetData>
  <mergeCells count="1">
    <mergeCell ref="I4:J4"/>
  </mergeCells>
  <dataValidations count="2">
    <dataValidation type="list" allowBlank="1" showInputMessage="1" showErrorMessage="1" sqref="F2:F3" xr:uid="{00000000-0002-0000-0600-000000000000}">
      <formula1>"Yes, No"</formula1>
    </dataValidation>
    <dataValidation type="list" allowBlank="1" showInputMessage="1" showErrorMessage="1" sqref="AM2" xr:uid="{00000000-0002-0000-0600-000001000000}">
      <formula1>"1,20,100,500"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'Common input data'!$A$5:$A$15</xm:f>
          </x14:formula1>
          <xm:sqref>F1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CK346"/>
  <sheetViews>
    <sheetView topLeftCell="AT3" zoomScale="70" zoomScaleNormal="70" workbookViewId="0">
      <selection activeCell="BA11" sqref="BA11"/>
    </sheetView>
  </sheetViews>
  <sheetFormatPr defaultColWidth="8.7109375" defaultRowHeight="15"/>
  <cols>
    <col min="1" max="1" width="52.7109375" bestFit="1" customWidth="1"/>
    <col min="2" max="2" width="31" customWidth="1"/>
    <col min="3" max="3" width="26.42578125" bestFit="1" customWidth="1"/>
    <col min="4" max="4" width="19.7109375" customWidth="1"/>
    <col min="5" max="5" width="28" customWidth="1"/>
    <col min="6" max="6" width="43.42578125" style="188" customWidth="1"/>
    <col min="7" max="7" width="21.7109375" style="188" customWidth="1"/>
    <col min="8" max="8" width="27.7109375" style="188" customWidth="1"/>
    <col min="9" max="9" width="49" style="188" bestFit="1" customWidth="1"/>
    <col min="10" max="10" width="45.28515625" style="188" bestFit="1" customWidth="1"/>
    <col min="11" max="11" width="27.7109375" style="188" bestFit="1" customWidth="1"/>
    <col min="12" max="12" width="29.7109375" style="188" bestFit="1" customWidth="1"/>
    <col min="13" max="13" width="29.7109375" style="188" customWidth="1"/>
    <col min="14" max="14" width="34.28515625" style="188" bestFit="1" customWidth="1"/>
    <col min="15" max="15" width="42.7109375" style="188" bestFit="1" customWidth="1"/>
    <col min="16" max="16" width="38.7109375" style="188" bestFit="1" customWidth="1"/>
    <col min="17" max="17" width="33.7109375" style="188" customWidth="1"/>
    <col min="18" max="18" width="36.28515625" style="188" customWidth="1"/>
    <col min="19" max="19" width="24.7109375" style="188" customWidth="1"/>
    <col min="20" max="20" width="36.42578125" style="188" bestFit="1" customWidth="1"/>
    <col min="21" max="21" width="36.28515625" style="188" bestFit="1" customWidth="1"/>
    <col min="22" max="22" width="17.7109375" style="188" customWidth="1"/>
    <col min="23" max="23" width="24.7109375" style="188" bestFit="1" customWidth="1"/>
    <col min="24" max="24" width="8.7109375" style="188"/>
    <col min="25" max="58" width="16.7109375" style="188" customWidth="1"/>
    <col min="59" max="75" width="16.7109375" customWidth="1"/>
    <col min="87" max="89" width="0" hidden="1" customWidth="1"/>
  </cols>
  <sheetData>
    <row r="1" spans="1:89" ht="31.5">
      <c r="A1" s="326" t="s">
        <v>14</v>
      </c>
      <c r="E1" s="762" t="s">
        <v>269</v>
      </c>
      <c r="F1" s="831" t="s">
        <v>270</v>
      </c>
    </row>
    <row r="2" spans="1:89" ht="17.25">
      <c r="E2" s="763" t="s">
        <v>271</v>
      </c>
      <c r="F2" s="832" t="s">
        <v>272</v>
      </c>
      <c r="H2" s="833"/>
      <c r="J2" s="834"/>
      <c r="K2" s="835"/>
      <c r="L2" s="834"/>
      <c r="M2" s="834"/>
      <c r="N2" s="834"/>
      <c r="O2" s="834"/>
      <c r="P2" s="834"/>
      <c r="Q2" s="834"/>
      <c r="R2" s="834"/>
      <c r="S2" s="834"/>
      <c r="T2" s="834"/>
      <c r="U2" s="834"/>
      <c r="V2" s="834"/>
      <c r="W2" s="834"/>
      <c r="X2" s="836"/>
    </row>
    <row r="3" spans="1:89" ht="87.75" thickBot="1">
      <c r="E3" s="764" t="s">
        <v>273</v>
      </c>
      <c r="F3" s="837" t="s">
        <v>272</v>
      </c>
      <c r="H3" s="833"/>
      <c r="AY3" s="1"/>
      <c r="BA3" s="1168" t="s">
        <v>274</v>
      </c>
      <c r="BB3" s="1362">
        <v>1</v>
      </c>
    </row>
    <row r="4" spans="1:89" ht="17.25">
      <c r="E4" s="330"/>
      <c r="F4" s="838"/>
      <c r="H4" s="833"/>
    </row>
    <row r="5" spans="1:89" ht="21.75" thickBot="1">
      <c r="E5" s="774" t="s">
        <v>275</v>
      </c>
      <c r="F5" s="839"/>
      <c r="G5" s="840"/>
      <c r="H5" s="841"/>
      <c r="I5" s="842"/>
      <c r="J5" s="842"/>
      <c r="K5" s="842"/>
      <c r="L5" s="842"/>
      <c r="M5" s="842"/>
      <c r="N5" s="842"/>
      <c r="O5" s="842"/>
      <c r="P5" s="842"/>
      <c r="Q5" s="842"/>
      <c r="R5" s="842"/>
      <c r="S5" s="842"/>
      <c r="T5" s="842"/>
      <c r="U5" s="842"/>
      <c r="V5" s="842"/>
      <c r="W5" s="842"/>
      <c r="Y5" s="843" t="s">
        <v>276</v>
      </c>
      <c r="Z5" s="844"/>
      <c r="AA5" s="844"/>
      <c r="AB5" s="844"/>
      <c r="AC5" s="844"/>
      <c r="AD5" s="845"/>
      <c r="AF5" s="843" t="s">
        <v>278</v>
      </c>
      <c r="AG5" s="844"/>
      <c r="AH5" s="844"/>
      <c r="AI5" s="844"/>
      <c r="AJ5" s="844"/>
      <c r="AK5" s="845"/>
      <c r="AM5" s="843" t="s">
        <v>279</v>
      </c>
      <c r="AN5" s="844"/>
      <c r="AO5" s="844"/>
      <c r="AP5" s="844"/>
      <c r="AQ5" s="844"/>
      <c r="AR5" s="845"/>
      <c r="AT5" s="843" t="s">
        <v>280</v>
      </c>
      <c r="AU5" s="844"/>
      <c r="AV5" s="844"/>
      <c r="AW5" s="844"/>
      <c r="AX5" s="844"/>
      <c r="AY5" s="845"/>
      <c r="BA5" s="843" t="s">
        <v>281</v>
      </c>
      <c r="BB5" s="844"/>
      <c r="BC5" s="844"/>
      <c r="BD5" s="844"/>
      <c r="BE5" s="844"/>
      <c r="BF5" s="845"/>
      <c r="BH5" s="843" t="s">
        <v>282</v>
      </c>
      <c r="BI5" s="844"/>
      <c r="BJ5" s="844"/>
      <c r="BK5" s="844"/>
      <c r="BL5" s="844"/>
      <c r="BM5" s="845"/>
      <c r="BN5" s="406"/>
      <c r="BO5" s="843" t="s">
        <v>283</v>
      </c>
      <c r="BP5" s="844"/>
      <c r="BQ5" s="844"/>
      <c r="BR5" s="844"/>
      <c r="BS5" s="844"/>
      <c r="BT5" s="845"/>
      <c r="BV5" s="843" t="s">
        <v>284</v>
      </c>
      <c r="BW5" s="845"/>
      <c r="CI5" s="6" t="s">
        <v>415</v>
      </c>
      <c r="CK5" s="406"/>
    </row>
    <row r="6" spans="1:89" ht="21">
      <c r="A6" s="761"/>
      <c r="E6" s="775" t="s">
        <v>285</v>
      </c>
      <c r="F6" s="846"/>
      <c r="G6" s="846"/>
      <c r="H6" s="847"/>
      <c r="I6" s="1269" t="s">
        <v>286</v>
      </c>
      <c r="J6" s="846"/>
      <c r="K6" s="846"/>
      <c r="L6" s="846"/>
      <c r="M6" s="846"/>
      <c r="N6" s="846"/>
      <c r="O6" s="846"/>
      <c r="P6" s="846"/>
      <c r="Q6" s="846"/>
      <c r="R6" s="846"/>
      <c r="S6" s="846"/>
      <c r="T6" s="846"/>
      <c r="U6" s="846"/>
      <c r="V6" s="846"/>
      <c r="W6" s="1270"/>
      <c r="Y6" s="850" t="s">
        <v>286</v>
      </c>
      <c r="Z6" s="849"/>
      <c r="AA6" s="849"/>
      <c r="AB6" s="849"/>
      <c r="AC6" s="849"/>
      <c r="AD6" s="851"/>
      <c r="AF6" s="850" t="s">
        <v>286</v>
      </c>
      <c r="AG6" s="849"/>
      <c r="AH6" s="849"/>
      <c r="AI6" s="849"/>
      <c r="AJ6" s="849"/>
      <c r="AK6" s="851"/>
      <c r="AM6" s="850" t="s">
        <v>286</v>
      </c>
      <c r="AN6" s="849"/>
      <c r="AO6" s="849"/>
      <c r="AP6" s="849"/>
      <c r="AQ6" s="849"/>
      <c r="AR6" s="851"/>
      <c r="AT6" s="850" t="s">
        <v>286</v>
      </c>
      <c r="AU6" s="849"/>
      <c r="AV6" s="849"/>
      <c r="AW6" s="849"/>
      <c r="AX6" s="849"/>
      <c r="AY6" s="851"/>
      <c r="BA6" s="850" t="s">
        <v>286</v>
      </c>
      <c r="BB6" s="849"/>
      <c r="BC6" s="849"/>
      <c r="BD6" s="849"/>
      <c r="BE6" s="849"/>
      <c r="BF6" s="851"/>
      <c r="BH6" s="850" t="s">
        <v>286</v>
      </c>
      <c r="BI6" s="849"/>
      <c r="BJ6" s="849"/>
      <c r="BK6" s="849"/>
      <c r="BL6" s="849"/>
      <c r="BM6" s="851"/>
      <c r="BN6" s="406"/>
      <c r="BO6" s="850" t="s">
        <v>286</v>
      </c>
      <c r="BP6" s="849"/>
      <c r="BQ6" s="849"/>
      <c r="BR6" s="849"/>
      <c r="BS6" s="849"/>
      <c r="BT6" s="851"/>
      <c r="BV6" s="850" t="s">
        <v>286</v>
      </c>
      <c r="BW6" s="851"/>
      <c r="CI6" t="s">
        <v>253</v>
      </c>
      <c r="CJ6">
        <v>1</v>
      </c>
      <c r="CK6" s="776" t="s">
        <v>416</v>
      </c>
    </row>
    <row r="7" spans="1:89" ht="17.25">
      <c r="A7" s="339"/>
      <c r="B7" s="332"/>
      <c r="C7" s="765"/>
      <c r="D7" s="406"/>
      <c r="E7" s="773"/>
      <c r="F7" s="852"/>
      <c r="G7" s="852"/>
      <c r="H7" s="852"/>
      <c r="I7" s="855"/>
      <c r="J7" s="854"/>
      <c r="K7" s="853" t="s">
        <v>298</v>
      </c>
      <c r="L7" s="857"/>
      <c r="M7" s="857"/>
      <c r="N7" s="857"/>
      <c r="O7" s="857"/>
      <c r="P7" s="857"/>
      <c r="Q7" s="857"/>
      <c r="R7" s="857"/>
      <c r="S7" s="857"/>
      <c r="T7" s="857"/>
      <c r="U7" s="857"/>
      <c r="V7" s="857"/>
      <c r="W7" s="856"/>
      <c r="Y7" s="1222"/>
      <c r="Z7" s="1223"/>
      <c r="AA7" s="1223"/>
      <c r="AB7" s="1223"/>
      <c r="AC7" s="1223"/>
      <c r="AD7" s="1224"/>
      <c r="AF7" s="1222"/>
      <c r="AG7" s="1223"/>
      <c r="AH7" s="1223"/>
      <c r="AI7" s="1223"/>
      <c r="AJ7" s="1223"/>
      <c r="AK7" s="1224"/>
      <c r="AM7" s="1222"/>
      <c r="AN7" s="1223"/>
      <c r="AO7" s="1223"/>
      <c r="AP7" s="1223"/>
      <c r="AQ7" s="1223"/>
      <c r="AR7" s="1224"/>
      <c r="AT7" s="1222"/>
      <c r="AU7" s="1223"/>
      <c r="AV7" s="1223"/>
      <c r="AW7" s="1223"/>
      <c r="AX7" s="1223"/>
      <c r="AY7" s="1224"/>
      <c r="BA7" s="1222"/>
      <c r="BB7" s="1223"/>
      <c r="BC7" s="1223"/>
      <c r="BD7" s="1223"/>
      <c r="BE7" s="1223"/>
      <c r="BF7" s="1224"/>
      <c r="BH7" s="1222"/>
      <c r="BI7" s="1223"/>
      <c r="BJ7" s="1223"/>
      <c r="BK7" s="1223"/>
      <c r="BL7" s="1223"/>
      <c r="BM7" s="1224"/>
      <c r="BO7" s="1222"/>
      <c r="BP7" s="1223"/>
      <c r="BQ7" s="1223"/>
      <c r="BR7" s="1223"/>
      <c r="BS7" s="1223"/>
      <c r="BT7" s="1224"/>
      <c r="BV7" s="1222"/>
      <c r="BW7" s="1224"/>
      <c r="CI7" t="s">
        <v>397</v>
      </c>
      <c r="CJ7" s="150">
        <f>INDEX('Common input data'!A5:F15,MATCH(F1,'Common input data'!A5:A15,0),3)</f>
        <v>4.7</v>
      </c>
      <c r="CK7" s="406"/>
    </row>
    <row r="8" spans="1:89" s="406" customFormat="1" ht="103.5">
      <c r="A8" s="404"/>
      <c r="B8" s="342" t="s">
        <v>107</v>
      </c>
      <c r="C8" s="347" t="s">
        <v>108</v>
      </c>
      <c r="D8" s="345"/>
      <c r="E8" s="344"/>
      <c r="F8" s="860" t="s">
        <v>295</v>
      </c>
      <c r="G8" s="860" t="s">
        <v>290</v>
      </c>
      <c r="H8" s="860" t="s">
        <v>296</v>
      </c>
      <c r="I8" s="1285" t="s">
        <v>417</v>
      </c>
      <c r="J8" s="971" t="s">
        <v>418</v>
      </c>
      <c r="K8" s="971" t="s">
        <v>299</v>
      </c>
      <c r="L8" s="860" t="s">
        <v>300</v>
      </c>
      <c r="M8" s="1284" t="s">
        <v>419</v>
      </c>
      <c r="N8" s="860" t="s">
        <v>420</v>
      </c>
      <c r="O8" s="860" t="s">
        <v>421</v>
      </c>
      <c r="P8" s="860" t="s">
        <v>422</v>
      </c>
      <c r="Q8" s="860" t="s">
        <v>423</v>
      </c>
      <c r="R8" s="971" t="s">
        <v>302</v>
      </c>
      <c r="S8" s="971" t="s">
        <v>303</v>
      </c>
      <c r="T8" s="860" t="s">
        <v>424</v>
      </c>
      <c r="U8" s="971" t="s">
        <v>306</v>
      </c>
      <c r="V8" s="971" t="s">
        <v>307</v>
      </c>
      <c r="W8" s="1286" t="s">
        <v>308</v>
      </c>
      <c r="X8" s="869"/>
      <c r="Y8" s="957" t="s">
        <v>425</v>
      </c>
      <c r="Z8" s="854" t="s">
        <v>426</v>
      </c>
      <c r="AA8" s="854" t="s">
        <v>427</v>
      </c>
      <c r="AB8" s="958" t="s">
        <v>428</v>
      </c>
      <c r="AC8" s="958" t="s">
        <v>291</v>
      </c>
      <c r="AD8" s="959" t="s">
        <v>292</v>
      </c>
      <c r="AE8" s="869"/>
      <c r="AF8" s="957" t="s">
        <v>429</v>
      </c>
      <c r="AG8" s="854" t="s">
        <v>426</v>
      </c>
      <c r="AH8" s="854" t="s">
        <v>427</v>
      </c>
      <c r="AI8" s="958" t="s">
        <v>428</v>
      </c>
      <c r="AJ8" s="958" t="s">
        <v>291</v>
      </c>
      <c r="AK8" s="959" t="s">
        <v>292</v>
      </c>
      <c r="AL8" s="869"/>
      <c r="AM8" s="957" t="s">
        <v>429</v>
      </c>
      <c r="AN8" s="854" t="s">
        <v>426</v>
      </c>
      <c r="AO8" s="854" t="s">
        <v>427</v>
      </c>
      <c r="AP8" s="958" t="s">
        <v>428</v>
      </c>
      <c r="AQ8" s="958" t="s">
        <v>291</v>
      </c>
      <c r="AR8" s="959" t="s">
        <v>292</v>
      </c>
      <c r="AS8" s="869"/>
      <c r="AT8" s="957" t="s">
        <v>429</v>
      </c>
      <c r="AU8" s="854" t="s">
        <v>426</v>
      </c>
      <c r="AV8" s="854" t="s">
        <v>427</v>
      </c>
      <c r="AW8" s="958" t="s">
        <v>428</v>
      </c>
      <c r="AX8" s="958" t="s">
        <v>291</v>
      </c>
      <c r="AY8" s="959" t="s">
        <v>292</v>
      </c>
      <c r="AZ8" s="869"/>
      <c r="BA8" s="957" t="s">
        <v>429</v>
      </c>
      <c r="BB8" s="854" t="s">
        <v>426</v>
      </c>
      <c r="BC8" s="854" t="s">
        <v>427</v>
      </c>
      <c r="BD8" s="958" t="s">
        <v>428</v>
      </c>
      <c r="BE8" s="958" t="s">
        <v>291</v>
      </c>
      <c r="BF8" s="959" t="s">
        <v>292</v>
      </c>
      <c r="BH8" s="957" t="s">
        <v>429</v>
      </c>
      <c r="BI8" s="854" t="s">
        <v>426</v>
      </c>
      <c r="BJ8" s="854" t="s">
        <v>427</v>
      </c>
      <c r="BK8" s="958" t="s">
        <v>428</v>
      </c>
      <c r="BL8" s="958" t="s">
        <v>291</v>
      </c>
      <c r="BM8" s="959" t="s">
        <v>292</v>
      </c>
      <c r="BO8" s="957" t="s">
        <v>429</v>
      </c>
      <c r="BP8" s="854" t="s">
        <v>426</v>
      </c>
      <c r="BQ8" s="854" t="s">
        <v>427</v>
      </c>
      <c r="BR8" s="958" t="s">
        <v>428</v>
      </c>
      <c r="BS8" s="958" t="s">
        <v>291</v>
      </c>
      <c r="BT8" s="959" t="s">
        <v>292</v>
      </c>
      <c r="BV8" s="1323" t="s">
        <v>291</v>
      </c>
      <c r="BW8" s="959" t="s">
        <v>292</v>
      </c>
      <c r="CI8" t="s">
        <v>256</v>
      </c>
      <c r="CJ8" s="150">
        <f>INDEX('Common input data'!A5:F15,MATCH(F1,'Common input data'!A5:A15,0),5)</f>
        <v>233</v>
      </c>
    </row>
    <row r="9" spans="1:89" s="406" customFormat="1" ht="17.25">
      <c r="A9" s="374" t="s">
        <v>430</v>
      </c>
      <c r="B9" s="375"/>
      <c r="C9" s="767"/>
      <c r="D9" s="54"/>
      <c r="E9" s="939"/>
      <c r="F9" s="892" t="s">
        <v>431</v>
      </c>
      <c r="G9" s="892" t="s">
        <v>431</v>
      </c>
      <c r="H9" s="892" t="s">
        <v>432</v>
      </c>
      <c r="I9" s="1287" t="s">
        <v>309</v>
      </c>
      <c r="J9" s="966" t="s">
        <v>309</v>
      </c>
      <c r="K9" s="966" t="s">
        <v>309</v>
      </c>
      <c r="L9" s="966" t="s">
        <v>309</v>
      </c>
      <c r="M9" s="966"/>
      <c r="N9" s="966" t="s">
        <v>309</v>
      </c>
      <c r="O9" s="966" t="s">
        <v>309</v>
      </c>
      <c r="P9" s="966" t="s">
        <v>309</v>
      </c>
      <c r="Q9" s="966" t="s">
        <v>309</v>
      </c>
      <c r="R9" s="966" t="s">
        <v>309</v>
      </c>
      <c r="S9" s="966" t="s">
        <v>309</v>
      </c>
      <c r="T9" s="966" t="s">
        <v>309</v>
      </c>
      <c r="U9" s="966" t="s">
        <v>309</v>
      </c>
      <c r="V9" s="966" t="s">
        <v>309</v>
      </c>
      <c r="W9" s="1288" t="s">
        <v>309</v>
      </c>
      <c r="X9" s="869"/>
      <c r="Y9" s="1289" t="s">
        <v>309</v>
      </c>
      <c r="Z9" s="889" t="s">
        <v>309</v>
      </c>
      <c r="AA9" s="889" t="s">
        <v>309</v>
      </c>
      <c r="AB9" s="889" t="s">
        <v>309</v>
      </c>
      <c r="AC9" s="889" t="s">
        <v>309</v>
      </c>
      <c r="AD9" s="960" t="s">
        <v>309</v>
      </c>
      <c r="AE9" s="869"/>
      <c r="AF9" s="1289" t="s">
        <v>309</v>
      </c>
      <c r="AG9" s="889" t="s">
        <v>309</v>
      </c>
      <c r="AH9" s="889" t="s">
        <v>309</v>
      </c>
      <c r="AI9" s="889" t="s">
        <v>309</v>
      </c>
      <c r="AJ9" s="889" t="s">
        <v>309</v>
      </c>
      <c r="AK9" s="960" t="s">
        <v>309</v>
      </c>
      <c r="AL9" s="869"/>
      <c r="AM9" s="1289" t="s">
        <v>309</v>
      </c>
      <c r="AN9" s="889" t="s">
        <v>309</v>
      </c>
      <c r="AO9" s="889" t="s">
        <v>309</v>
      </c>
      <c r="AP9" s="889" t="s">
        <v>309</v>
      </c>
      <c r="AQ9" s="889" t="s">
        <v>309</v>
      </c>
      <c r="AR9" s="960" t="s">
        <v>309</v>
      </c>
      <c r="AS9" s="869"/>
      <c r="AT9" s="1289" t="s">
        <v>309</v>
      </c>
      <c r="AU9" s="889" t="s">
        <v>309</v>
      </c>
      <c r="AV9" s="889" t="s">
        <v>309</v>
      </c>
      <c r="AW9" s="889" t="s">
        <v>309</v>
      </c>
      <c r="AX9" s="889" t="s">
        <v>309</v>
      </c>
      <c r="AY9" s="960" t="s">
        <v>309</v>
      </c>
      <c r="AZ9" s="869"/>
      <c r="BA9" s="1289" t="s">
        <v>309</v>
      </c>
      <c r="BB9" s="889" t="s">
        <v>309</v>
      </c>
      <c r="BC9" s="889" t="s">
        <v>309</v>
      </c>
      <c r="BD9" s="889" t="s">
        <v>309</v>
      </c>
      <c r="BE9" s="889" t="s">
        <v>309</v>
      </c>
      <c r="BF9" s="960" t="s">
        <v>309</v>
      </c>
      <c r="BH9" s="1289" t="s">
        <v>309</v>
      </c>
      <c r="BI9" s="889" t="s">
        <v>309</v>
      </c>
      <c r="BJ9" s="889" t="s">
        <v>309</v>
      </c>
      <c r="BK9" s="889" t="s">
        <v>309</v>
      </c>
      <c r="BL9" s="889" t="s">
        <v>309</v>
      </c>
      <c r="BM9" s="960" t="s">
        <v>309</v>
      </c>
      <c r="BO9" s="1289" t="s">
        <v>309</v>
      </c>
      <c r="BP9" s="889" t="s">
        <v>309</v>
      </c>
      <c r="BQ9" s="889" t="s">
        <v>309</v>
      </c>
      <c r="BR9" s="889" t="s">
        <v>309</v>
      </c>
      <c r="BS9" s="889" t="s">
        <v>309</v>
      </c>
      <c r="BT9" s="960" t="s">
        <v>309</v>
      </c>
      <c r="BV9" s="1289" t="s">
        <v>309</v>
      </c>
      <c r="BW9" s="960" t="s">
        <v>309</v>
      </c>
      <c r="CI9" t="s">
        <v>257</v>
      </c>
      <c r="CJ9" s="150">
        <f>INDEX('Common input data'!A5:F15,MATCH(F1,'Common input data'!A5:A15,0),6)</f>
        <v>379</v>
      </c>
    </row>
    <row r="10" spans="1:89" s="406" customFormat="1" ht="17.25">
      <c r="A10" s="497" t="s">
        <v>163</v>
      </c>
      <c r="B10" s="382"/>
      <c r="C10" s="766">
        <f>SUM(C20:C53)</f>
        <v>0.99999999999999978</v>
      </c>
      <c r="D10" s="50"/>
      <c r="E10" s="513" t="s">
        <v>316</v>
      </c>
      <c r="F10" s="872">
        <f>SUMPRODUCT($CJ$6:$CJ$8,F11:F13)</f>
        <v>0.26458173494832005</v>
      </c>
      <c r="G10" s="872">
        <f>SUMPRODUCT($CJ$6:$CJ$8,G11:G13)</f>
        <v>0.45556855899778731</v>
      </c>
      <c r="H10" s="873">
        <f>SUMPRODUCT($CJ$6:$CJ$8,H11:H13)</f>
        <v>0.90742569794655159</v>
      </c>
      <c r="I10" s="930"/>
      <c r="J10" s="884"/>
      <c r="K10" s="884"/>
      <c r="L10" s="884"/>
      <c r="M10" s="884"/>
      <c r="N10" s="884"/>
      <c r="O10" s="884"/>
      <c r="P10" s="884"/>
      <c r="Q10" s="884"/>
      <c r="R10" s="884"/>
      <c r="S10" s="884"/>
      <c r="T10" s="884"/>
      <c r="U10" s="884"/>
      <c r="V10" s="884"/>
      <c r="W10" s="1278"/>
      <c r="X10" s="869"/>
      <c r="Y10" s="883">
        <f t="shared" ref="Y10:AK10" si="0">Y20*$C$20+Y24*$C$25+Y30*$C$30+Y40*$C$40+Y45*$C$45+Y50*$C$50</f>
        <v>1.9126149831911479</v>
      </c>
      <c r="Z10" s="884">
        <f t="shared" si="0"/>
        <v>1.9126149831911479</v>
      </c>
      <c r="AA10" s="884">
        <f t="shared" si="0"/>
        <v>2.4839155625859064</v>
      </c>
      <c r="AB10" s="884">
        <f t="shared" si="0"/>
        <v>2.2603631619531748</v>
      </c>
      <c r="AC10" s="884">
        <f t="shared" si="0"/>
        <v>2.6829669439805492</v>
      </c>
      <c r="AD10" s="885">
        <f t="shared" si="0"/>
        <v>3.5772892586407332</v>
      </c>
      <c r="AE10" s="877"/>
      <c r="AF10" s="883">
        <f t="shared" si="0"/>
        <v>1.8222367044703029E-2</v>
      </c>
      <c r="AG10" s="884">
        <f t="shared" si="0"/>
        <v>1.8222367044703029E-2</v>
      </c>
      <c r="AH10" s="884">
        <f t="shared" si="0"/>
        <v>2.3665411746367573E-2</v>
      </c>
      <c r="AI10" s="884">
        <f t="shared" si="0"/>
        <v>2.1535524689194493E-2</v>
      </c>
      <c r="AJ10" s="884">
        <f t="shared" si="0"/>
        <v>2.5561866267745675E-2</v>
      </c>
      <c r="AK10" s="885">
        <f t="shared" si="0"/>
        <v>3.4082488356994234E-2</v>
      </c>
      <c r="AL10" s="877"/>
      <c r="AM10" s="883">
        <f t="shared" ref="AM10:BW10" si="1">AM20*$C$20+AM24*$C$25+AM30*$C$30+AM40*$C$40+AM45*$C$45+AM50*$C$50</f>
        <v>1.3032344041320994E-3</v>
      </c>
      <c r="AN10" s="884">
        <f t="shared" si="1"/>
        <v>1.3032344041320994E-3</v>
      </c>
      <c r="AO10" s="884">
        <f t="shared" si="1"/>
        <v>1.6925122131585708E-3</v>
      </c>
      <c r="AP10" s="884">
        <f t="shared" si="1"/>
        <v>1.5401861139742994E-3</v>
      </c>
      <c r="AQ10" s="884">
        <f t="shared" si="1"/>
        <v>1.8281435925544905E-3</v>
      </c>
      <c r="AR10" s="885">
        <f t="shared" si="1"/>
        <v>2.4375247900726544E-3</v>
      </c>
      <c r="AS10" s="877"/>
      <c r="AT10" s="883">
        <f t="shared" si="1"/>
        <v>4.2857710404608152E-5</v>
      </c>
      <c r="AU10" s="884">
        <f t="shared" si="1"/>
        <v>4.2857710404608152E-5</v>
      </c>
      <c r="AV10" s="884">
        <f t="shared" si="1"/>
        <v>5.5659364161828774E-5</v>
      </c>
      <c r="AW10" s="884">
        <f t="shared" si="1"/>
        <v>5.0650021387264184E-5</v>
      </c>
      <c r="AX10" s="884">
        <f t="shared" si="1"/>
        <v>6.0119690225580113E-5</v>
      </c>
      <c r="AY10" s="885">
        <f t="shared" si="1"/>
        <v>8.0159586967440164E-5</v>
      </c>
      <c r="AZ10" s="877"/>
      <c r="BA10" s="883">
        <f t="shared" si="1"/>
        <v>1.3529637697475837E-11</v>
      </c>
      <c r="BB10" s="884">
        <f t="shared" si="1"/>
        <v>1.3529637697475837E-11</v>
      </c>
      <c r="BC10" s="884">
        <f t="shared" si="1"/>
        <v>1.7570958048669919E-11</v>
      </c>
      <c r="BD10" s="884">
        <f t="shared" si="1"/>
        <v>1.5989571824289628E-11</v>
      </c>
      <c r="BE10" s="884">
        <f t="shared" si="1"/>
        <v>1.8979026633889434E-11</v>
      </c>
      <c r="BF10" s="885">
        <f t="shared" si="1"/>
        <v>2.5305368845185914E-11</v>
      </c>
      <c r="BG10" s="877"/>
      <c r="BH10" s="883">
        <f t="shared" si="1"/>
        <v>1.2337133302272899E-4</v>
      </c>
      <c r="BI10" s="884">
        <f t="shared" si="1"/>
        <v>1.2337133302272899E-4</v>
      </c>
      <c r="BJ10" s="884">
        <f t="shared" si="1"/>
        <v>1.6022251041912855E-4</v>
      </c>
      <c r="BK10" s="884">
        <f t="shared" si="1"/>
        <v>1.45802484481407E-4</v>
      </c>
      <c r="BL10" s="884">
        <f t="shared" si="1"/>
        <v>1.7306212240507027E-4</v>
      </c>
      <c r="BM10" s="885">
        <f t="shared" si="1"/>
        <v>2.3074949654009372E-4</v>
      </c>
      <c r="BN10" s="877"/>
      <c r="BO10" s="883">
        <f t="shared" si="1"/>
        <v>1.3753755442526361E-3</v>
      </c>
      <c r="BP10" s="884">
        <f t="shared" si="1"/>
        <v>1.3753755442526361E-3</v>
      </c>
      <c r="BQ10" s="884">
        <f t="shared" si="1"/>
        <v>1.7862020055229042E-3</v>
      </c>
      <c r="BR10" s="884">
        <f t="shared" si="1"/>
        <v>1.6254438250258431E-3</v>
      </c>
      <c r="BS10" s="884">
        <f t="shared" si="1"/>
        <v>1.9293413223356991E-3</v>
      </c>
      <c r="BT10" s="885">
        <f t="shared" si="1"/>
        <v>2.572455096447599E-3</v>
      </c>
      <c r="BU10" s="877"/>
      <c r="BV10" s="883">
        <f>BV20*$C$20+BV25*$C$25+BV30*$C$30+BV40*$C$40+BV45*$C$45+BV50*$C$50</f>
        <v>0.20087726476814771</v>
      </c>
      <c r="BW10" s="885">
        <f t="shared" si="1"/>
        <v>0.25481765221361213</v>
      </c>
      <c r="BX10" s="869"/>
      <c r="BY10" s="869"/>
      <c r="BZ10" s="869"/>
      <c r="CA10" s="869"/>
      <c r="CB10" s="869"/>
      <c r="CC10" s="869"/>
      <c r="CD10" s="869"/>
      <c r="CE10" s="869"/>
    </row>
    <row r="11" spans="1:89" s="406" customFormat="1" ht="17.25">
      <c r="A11" s="499"/>
      <c r="B11" s="55"/>
      <c r="C11" s="64"/>
      <c r="D11"/>
      <c r="E11" s="511" t="s">
        <v>317</v>
      </c>
      <c r="F11" s="877">
        <f>F21*$C$20+F26*$C$25+$C$30*F31+$C$40*F41+$C$45*F46+$C$50*F51</f>
        <v>0.10827176798446599</v>
      </c>
      <c r="G11" s="877">
        <f t="shared" ref="G11:W13" si="2">G21*$C$20+G26*$C$25+$C$30*G31+$C$40*G41+$C$45*G46+$C$50*G51</f>
        <v>0.27023933552562762</v>
      </c>
      <c r="H11" s="878">
        <f t="shared" si="2"/>
        <v>0.64712239690592077</v>
      </c>
      <c r="I11" s="928">
        <f t="shared" si="2"/>
        <v>5.7165907786479578E-2</v>
      </c>
      <c r="J11" s="877">
        <f t="shared" si="2"/>
        <v>2.9999999999999992E-2</v>
      </c>
      <c r="K11" s="877">
        <f t="shared" si="2"/>
        <v>0</v>
      </c>
      <c r="L11" s="877">
        <f t="shared" si="2"/>
        <v>0</v>
      </c>
      <c r="M11" s="877"/>
      <c r="N11" s="877">
        <f t="shared" si="2"/>
        <v>3.5778691754682047E-2</v>
      </c>
      <c r="O11" s="877">
        <f t="shared" si="2"/>
        <v>0</v>
      </c>
      <c r="P11" s="877">
        <f t="shared" si="2"/>
        <v>0</v>
      </c>
      <c r="Q11" s="877">
        <f t="shared" si="2"/>
        <v>3.9022967999999998E-2</v>
      </c>
      <c r="R11" s="877">
        <f t="shared" si="2"/>
        <v>0.10827176798446599</v>
      </c>
      <c r="S11" s="877">
        <f t="shared" si="2"/>
        <v>0</v>
      </c>
      <c r="T11" s="877">
        <f t="shared" si="2"/>
        <v>0.12338451092168336</v>
      </c>
      <c r="U11" s="877">
        <f t="shared" si="2"/>
        <v>0.46519181852864022</v>
      </c>
      <c r="V11" s="877">
        <f t="shared" si="2"/>
        <v>4.9999999999999996E-2</v>
      </c>
      <c r="W11" s="878">
        <f t="shared" si="2"/>
        <v>2.9999999999999992E-2</v>
      </c>
      <c r="X11" s="869"/>
      <c r="Y11" s="879"/>
      <c r="Z11" s="877"/>
      <c r="AA11" s="877"/>
      <c r="AB11" s="877"/>
      <c r="AC11" s="877"/>
      <c r="AD11" s="886"/>
      <c r="AE11" s="877"/>
      <c r="AF11" s="879"/>
      <c r="AG11" s="877"/>
      <c r="AH11" s="877"/>
      <c r="AI11" s="877"/>
      <c r="AJ11" s="877"/>
      <c r="AK11" s="886"/>
      <c r="AL11" s="877"/>
      <c r="AM11" s="879"/>
      <c r="AN11" s="877"/>
      <c r="AO11" s="877"/>
      <c r="AP11" s="877"/>
      <c r="AQ11" s="877"/>
      <c r="AR11" s="886"/>
      <c r="AS11" s="877"/>
      <c r="AT11" s="879"/>
      <c r="AU11" s="877"/>
      <c r="AV11" s="877"/>
      <c r="AW11" s="877"/>
      <c r="AX11" s="877"/>
      <c r="AY11" s="886"/>
      <c r="AZ11" s="877"/>
      <c r="BA11" s="879"/>
      <c r="BB11" s="877"/>
      <c r="BC11" s="877"/>
      <c r="BD11" s="877"/>
      <c r="BE11" s="877"/>
      <c r="BF11" s="886"/>
      <c r="BG11" s="877"/>
      <c r="BH11" s="879"/>
      <c r="BI11" s="877"/>
      <c r="BJ11" s="877"/>
      <c r="BK11" s="877"/>
      <c r="BL11" s="877"/>
      <c r="BM11" s="886"/>
      <c r="BN11" s="877"/>
      <c r="BO11" s="879"/>
      <c r="BP11" s="877"/>
      <c r="BQ11" s="877"/>
      <c r="BR11" s="877"/>
      <c r="BS11" s="877"/>
      <c r="BT11" s="886"/>
      <c r="BU11" s="877"/>
      <c r="BV11" s="879"/>
      <c r="BW11" s="886"/>
      <c r="BX11" s="869"/>
      <c r="BY11" s="869"/>
      <c r="BZ11" s="869"/>
      <c r="CA11" s="869"/>
      <c r="CB11" s="869"/>
      <c r="CC11" s="869"/>
      <c r="CD11" s="869"/>
      <c r="CE11" s="869"/>
    </row>
    <row r="12" spans="1:89" s="406" customFormat="1" ht="17.25">
      <c r="A12" s="499"/>
      <c r="B12" s="55"/>
      <c r="C12" s="595"/>
      <c r="D12" s="50"/>
      <c r="E12" s="511" t="s">
        <v>367</v>
      </c>
      <c r="F12" s="877">
        <f>F22*$C$20+F27*$C$25+$C$30*F32+$C$40*F42+$C$45*F47+$C$50*F52</f>
        <v>0</v>
      </c>
      <c r="G12" s="877">
        <f t="shared" si="2"/>
        <v>1.0194326961973615E-4</v>
      </c>
      <c r="H12" s="878">
        <f t="shared" si="2"/>
        <v>1.5542727348630703E-4</v>
      </c>
      <c r="I12" s="928">
        <f t="shared" si="2"/>
        <v>7.1917535619341559E-5</v>
      </c>
      <c r="J12" s="877">
        <f t="shared" si="2"/>
        <v>0</v>
      </c>
      <c r="K12" s="877">
        <f t="shared" si="2"/>
        <v>0</v>
      </c>
      <c r="L12" s="877">
        <f t="shared" si="2"/>
        <v>0</v>
      </c>
      <c r="M12" s="877"/>
      <c r="N12" s="877">
        <f t="shared" si="2"/>
        <v>1.5848754000394593E-5</v>
      </c>
      <c r="O12" s="877">
        <f t="shared" si="2"/>
        <v>0</v>
      </c>
      <c r="P12" s="877">
        <f t="shared" si="2"/>
        <v>0</v>
      </c>
      <c r="Q12" s="877">
        <f t="shared" si="2"/>
        <v>1.4176979999999999E-5</v>
      </c>
      <c r="R12" s="877">
        <f t="shared" si="2"/>
        <v>0</v>
      </c>
      <c r="S12" s="877">
        <f t="shared" si="2"/>
        <v>0</v>
      </c>
      <c r="T12" s="877">
        <f t="shared" si="2"/>
        <v>8.856653850589775E-6</v>
      </c>
      <c r="U12" s="877">
        <f t="shared" si="2"/>
        <v>1.3094536410129427E-4</v>
      </c>
      <c r="V12" s="877">
        <f t="shared" si="2"/>
        <v>0</v>
      </c>
      <c r="W12" s="878">
        <f t="shared" si="2"/>
        <v>0</v>
      </c>
      <c r="X12" s="869"/>
      <c r="Y12" s="879"/>
      <c r="Z12" s="877"/>
      <c r="AA12" s="877"/>
      <c r="AB12" s="877"/>
      <c r="AC12" s="877"/>
      <c r="AD12" s="886"/>
      <c r="AE12" s="877"/>
      <c r="AF12" s="879"/>
      <c r="AG12" s="877"/>
      <c r="AH12" s="877"/>
      <c r="AI12" s="877"/>
      <c r="AJ12" s="877"/>
      <c r="AK12" s="886"/>
      <c r="AL12" s="877"/>
      <c r="AM12" s="879"/>
      <c r="AN12" s="877"/>
      <c r="AO12" s="877"/>
      <c r="AP12" s="877"/>
      <c r="AQ12" s="877"/>
      <c r="AR12" s="886"/>
      <c r="AS12" s="877"/>
      <c r="AT12" s="879"/>
      <c r="AU12" s="877"/>
      <c r="AV12" s="877"/>
      <c r="AW12" s="877"/>
      <c r="AX12" s="877"/>
      <c r="AY12" s="886"/>
      <c r="AZ12" s="877"/>
      <c r="BA12" s="879"/>
      <c r="BB12" s="877"/>
      <c r="BC12" s="877"/>
      <c r="BD12" s="877"/>
      <c r="BE12" s="877"/>
      <c r="BF12" s="886"/>
      <c r="BG12" s="877"/>
      <c r="BH12" s="879"/>
      <c r="BI12" s="877"/>
      <c r="BJ12" s="877"/>
      <c r="BK12" s="877"/>
      <c r="BL12" s="877"/>
      <c r="BM12" s="886"/>
      <c r="BN12" s="877"/>
      <c r="BO12" s="879"/>
      <c r="BP12" s="877"/>
      <c r="BQ12" s="877"/>
      <c r="BR12" s="877"/>
      <c r="BS12" s="877"/>
      <c r="BT12" s="886"/>
      <c r="BU12" s="877"/>
      <c r="BV12" s="879"/>
      <c r="BW12" s="886"/>
      <c r="BX12" s="869"/>
      <c r="BY12" s="869"/>
      <c r="BZ12" s="869"/>
      <c r="CA12" s="869"/>
      <c r="CB12" s="869"/>
      <c r="CC12" s="869"/>
      <c r="CD12" s="869"/>
      <c r="CE12" s="869"/>
    </row>
    <row r="13" spans="1:89" s="406" customFormat="1" ht="17.25">
      <c r="A13" s="18"/>
      <c r="B13" s="360"/>
      <c r="C13" s="83"/>
      <c r="D13" s="54"/>
      <c r="E13" s="512" t="s">
        <v>320</v>
      </c>
      <c r="F13" s="877">
        <f>F23*$C$20+F28*$C$25+$C$30*F33+$C$40*F43+$C$45*F48+$C$50*F53</f>
        <v>6.7085822731267843E-4</v>
      </c>
      <c r="G13" s="877">
        <f t="shared" si="2"/>
        <v>7.9334802620148893E-4</v>
      </c>
      <c r="H13" s="878">
        <f t="shared" si="2"/>
        <v>1.1140463212671468E-3</v>
      </c>
      <c r="I13" s="928">
        <f t="shared" si="2"/>
        <v>1.2020680191181971E-4</v>
      </c>
      <c r="J13" s="877">
        <f t="shared" si="2"/>
        <v>0</v>
      </c>
      <c r="K13" s="877">
        <f t="shared" si="2"/>
        <v>6.0987111573879854E-4</v>
      </c>
      <c r="L13" s="877">
        <f t="shared" si="2"/>
        <v>6.0987111573879846E-5</v>
      </c>
      <c r="M13" s="877"/>
      <c r="N13" s="877">
        <f t="shared" si="2"/>
        <v>9.613873969909297E-7</v>
      </c>
      <c r="O13" s="877">
        <f t="shared" si="2"/>
        <v>0</v>
      </c>
      <c r="P13" s="877">
        <f t="shared" si="2"/>
        <v>0</v>
      </c>
      <c r="Q13" s="877">
        <f t="shared" si="2"/>
        <v>1.3216095799999998E-6</v>
      </c>
      <c r="R13" s="877">
        <f t="shared" si="2"/>
        <v>0</v>
      </c>
      <c r="S13" s="877">
        <f t="shared" si="2"/>
        <v>0</v>
      </c>
      <c r="T13" s="877">
        <f t="shared" si="2"/>
        <v>8.2563695340497978E-7</v>
      </c>
      <c r="U13" s="877">
        <f t="shared" si="2"/>
        <v>9.3856887463760201E-4</v>
      </c>
      <c r="V13" s="877">
        <f t="shared" si="2"/>
        <v>0</v>
      </c>
      <c r="W13" s="878">
        <f t="shared" si="2"/>
        <v>0</v>
      </c>
      <c r="X13" s="869"/>
      <c r="Y13" s="879"/>
      <c r="Z13" s="877"/>
      <c r="AA13" s="877"/>
      <c r="AB13" s="877"/>
      <c r="AC13" s="877"/>
      <c r="AD13" s="886"/>
      <c r="AE13" s="877"/>
      <c r="AF13" s="879"/>
      <c r="AG13" s="877"/>
      <c r="AH13" s="877"/>
      <c r="AI13" s="877"/>
      <c r="AJ13" s="877"/>
      <c r="AK13" s="886"/>
      <c r="AL13" s="877"/>
      <c r="AM13" s="879"/>
      <c r="AN13" s="877"/>
      <c r="AO13" s="877"/>
      <c r="AP13" s="877"/>
      <c r="AQ13" s="877"/>
      <c r="AR13" s="886"/>
      <c r="AS13" s="877"/>
      <c r="AT13" s="879"/>
      <c r="AU13" s="877"/>
      <c r="AV13" s="877"/>
      <c r="AW13" s="877"/>
      <c r="AX13" s="877"/>
      <c r="AY13" s="886"/>
      <c r="AZ13" s="877"/>
      <c r="BA13" s="879"/>
      <c r="BB13" s="877"/>
      <c r="BC13" s="877"/>
      <c r="BD13" s="877"/>
      <c r="BE13" s="877"/>
      <c r="BF13" s="886"/>
      <c r="BG13" s="877"/>
      <c r="BH13" s="879"/>
      <c r="BI13" s="877"/>
      <c r="BJ13" s="877"/>
      <c r="BK13" s="877"/>
      <c r="BL13" s="877"/>
      <c r="BM13" s="886"/>
      <c r="BN13" s="877"/>
      <c r="BO13" s="879"/>
      <c r="BP13" s="877"/>
      <c r="BQ13" s="877"/>
      <c r="BR13" s="877"/>
      <c r="BS13" s="877"/>
      <c r="BT13" s="886"/>
      <c r="BU13" s="877"/>
      <c r="BV13" s="879"/>
      <c r="BW13" s="886"/>
      <c r="BX13" s="869"/>
      <c r="BY13" s="869"/>
      <c r="BZ13" s="869"/>
      <c r="CA13" s="869"/>
      <c r="CB13" s="869"/>
      <c r="CC13" s="869"/>
      <c r="CD13" s="869"/>
      <c r="CE13" s="869"/>
    </row>
    <row r="14" spans="1:89" s="406" customFormat="1" ht="17.25">
      <c r="A14" s="374" t="s">
        <v>433</v>
      </c>
      <c r="B14" s="375"/>
      <c r="C14" s="767"/>
      <c r="D14" s="54"/>
      <c r="E14" s="939"/>
      <c r="F14" s="892" t="s">
        <v>434</v>
      </c>
      <c r="G14" s="892" t="s">
        <v>434</v>
      </c>
      <c r="H14" s="970" t="s">
        <v>435</v>
      </c>
      <c r="I14" s="1272"/>
      <c r="J14" s="880"/>
      <c r="K14" s="880"/>
      <c r="L14" s="880"/>
      <c r="M14" s="880"/>
      <c r="N14" s="880"/>
      <c r="O14" s="882"/>
      <c r="P14" s="880"/>
      <c r="Q14" s="880"/>
      <c r="R14" s="880"/>
      <c r="S14" s="880"/>
      <c r="T14" s="880"/>
      <c r="U14" s="880"/>
      <c r="V14" s="880"/>
      <c r="W14" s="1273"/>
      <c r="X14" s="869"/>
      <c r="Y14" s="879"/>
      <c r="Z14" s="877"/>
      <c r="AA14" s="877"/>
      <c r="AB14" s="877"/>
      <c r="AC14" s="877"/>
      <c r="AD14" s="886"/>
      <c r="AE14" s="877"/>
      <c r="AF14" s="879"/>
      <c r="AG14" s="877"/>
      <c r="AH14" s="877"/>
      <c r="AI14" s="877"/>
      <c r="AJ14" s="877"/>
      <c r="AK14" s="886"/>
      <c r="AL14" s="877"/>
      <c r="AM14" s="879"/>
      <c r="AN14" s="877"/>
      <c r="AO14" s="877"/>
      <c r="AP14" s="877"/>
      <c r="AQ14" s="877"/>
      <c r="AR14" s="886"/>
      <c r="AS14" s="877"/>
      <c r="AT14" s="879"/>
      <c r="AU14" s="877"/>
      <c r="AV14" s="877"/>
      <c r="AW14" s="877"/>
      <c r="AX14" s="877"/>
      <c r="AY14" s="886"/>
      <c r="AZ14" s="877"/>
      <c r="BA14" s="879"/>
      <c r="BB14" s="877"/>
      <c r="BC14" s="877"/>
      <c r="BD14" s="877"/>
      <c r="BE14" s="877"/>
      <c r="BF14" s="886"/>
      <c r="BG14" s="877"/>
      <c r="BH14" s="879"/>
      <c r="BI14" s="877"/>
      <c r="BJ14" s="877"/>
      <c r="BK14" s="877"/>
      <c r="BL14" s="877"/>
      <c r="BM14" s="886"/>
      <c r="BN14" s="877"/>
      <c r="BO14" s="879"/>
      <c r="BP14" s="877"/>
      <c r="BQ14" s="877"/>
      <c r="BR14" s="877"/>
      <c r="BS14" s="877"/>
      <c r="BT14" s="886"/>
      <c r="BU14" s="877"/>
      <c r="BV14" s="879"/>
      <c r="BW14" s="886"/>
      <c r="BX14" s="869"/>
      <c r="BY14" s="869"/>
      <c r="BZ14" s="869"/>
      <c r="CA14" s="869"/>
      <c r="CB14" s="869"/>
      <c r="CC14" s="869"/>
      <c r="CD14" s="869"/>
      <c r="CE14" s="869"/>
    </row>
    <row r="15" spans="1:89" s="406" customFormat="1" ht="17.25">
      <c r="A15" s="497" t="s">
        <v>164</v>
      </c>
      <c r="B15" s="500" t="s">
        <v>121</v>
      </c>
      <c r="C15" s="768"/>
      <c r="D15" s="24"/>
      <c r="E15" s="513" t="s">
        <v>316</v>
      </c>
      <c r="F15" s="872">
        <f>SUMPRODUCT($CJ$6:$CJ$8,F16:F18)</f>
        <v>0.28263738444274022</v>
      </c>
      <c r="G15" s="872">
        <f>SUMPRODUCT($CJ$6:$CJ$8,G16:G18)</f>
        <v>0.48684097796266912</v>
      </c>
      <c r="H15" s="873">
        <f>SUMPRODUCT($CJ$6:$CJ$8,H16:H18)</f>
        <v>0.95129384029535746</v>
      </c>
      <c r="I15" s="1274"/>
      <c r="J15" s="875"/>
      <c r="K15" s="875"/>
      <c r="L15" s="875"/>
      <c r="M15" s="875"/>
      <c r="N15" s="875"/>
      <c r="O15" s="875"/>
      <c r="P15" s="875"/>
      <c r="Q15" s="875"/>
      <c r="R15" s="875"/>
      <c r="S15" s="875"/>
      <c r="T15" s="875"/>
      <c r="U15" s="875"/>
      <c r="V15" s="875"/>
      <c r="W15" s="1271"/>
      <c r="X15" s="869"/>
      <c r="Y15" s="883">
        <f t="shared" ref="Y15:AK15" si="3">Y20*$C$20+Y24*$C$25</f>
        <v>0.61976978780989689</v>
      </c>
      <c r="Z15" s="884">
        <f t="shared" si="3"/>
        <v>0.61976978780989689</v>
      </c>
      <c r="AA15" s="884">
        <f t="shared" si="3"/>
        <v>0.80489582832454143</v>
      </c>
      <c r="AB15" s="884">
        <f t="shared" si="3"/>
        <v>0.7324552037753328</v>
      </c>
      <c r="AC15" s="884">
        <f t="shared" si="3"/>
        <v>0.86939706537142047</v>
      </c>
      <c r="AD15" s="885">
        <f t="shared" si="3"/>
        <v>1.1591960871618943</v>
      </c>
      <c r="AE15" s="877"/>
      <c r="AF15" s="883">
        <f t="shared" si="3"/>
        <v>7.3269045538116254E-3</v>
      </c>
      <c r="AG15" s="884">
        <f t="shared" si="3"/>
        <v>7.3269045538116254E-3</v>
      </c>
      <c r="AH15" s="884">
        <f t="shared" si="3"/>
        <v>9.5154604594956185E-3</v>
      </c>
      <c r="AI15" s="884">
        <f t="shared" si="3"/>
        <v>8.6590690181410131E-3</v>
      </c>
      <c r="AJ15" s="884">
        <f t="shared" si="3"/>
        <v>1.0277992639573781E-2</v>
      </c>
      <c r="AK15" s="885">
        <f t="shared" si="3"/>
        <v>1.3703990186098376E-2</v>
      </c>
      <c r="AL15" s="877"/>
      <c r="AM15" s="883">
        <f t="shared" ref="AM15:BW15" si="4">AM20*$C$20+AM24*$C$25</f>
        <v>5.06210721966873E-4</v>
      </c>
      <c r="AN15" s="884">
        <f t="shared" si="4"/>
        <v>5.06210721966873E-4</v>
      </c>
      <c r="AO15" s="884">
        <f t="shared" si="4"/>
        <v>6.5741652203489998E-4</v>
      </c>
      <c r="AP15" s="884">
        <f t="shared" si="4"/>
        <v>5.9824903505175905E-4</v>
      </c>
      <c r="AQ15" s="884">
        <f t="shared" si="4"/>
        <v>7.1009933816351103E-4</v>
      </c>
      <c r="AR15" s="885">
        <f t="shared" si="4"/>
        <v>9.4679911755134812E-4</v>
      </c>
      <c r="AS15" s="877"/>
      <c r="AT15" s="883">
        <f t="shared" si="4"/>
        <v>0</v>
      </c>
      <c r="AU15" s="884">
        <f t="shared" si="4"/>
        <v>0</v>
      </c>
      <c r="AV15" s="884">
        <f t="shared" si="4"/>
        <v>0</v>
      </c>
      <c r="AW15" s="884">
        <f t="shared" si="4"/>
        <v>0</v>
      </c>
      <c r="AX15" s="884">
        <f t="shared" si="4"/>
        <v>0</v>
      </c>
      <c r="AY15" s="885">
        <f t="shared" si="4"/>
        <v>0</v>
      </c>
      <c r="AZ15" s="877"/>
      <c r="BA15" s="883">
        <f>BA20*$C$20+BA24*$C$25</f>
        <v>4.3841864455745265E-12</v>
      </c>
      <c r="BB15" s="884">
        <f t="shared" si="4"/>
        <v>4.3841864455745265E-12</v>
      </c>
      <c r="BC15" s="884">
        <f t="shared" si="4"/>
        <v>5.693748630616268E-12</v>
      </c>
      <c r="BD15" s="884">
        <f t="shared" si="4"/>
        <v>5.1813112538608043E-12</v>
      </c>
      <c r="BE15" s="884">
        <f t="shared" si="4"/>
        <v>6.1500236132723376E-12</v>
      </c>
      <c r="BF15" s="885">
        <f t="shared" si="4"/>
        <v>8.2000314843631185E-12</v>
      </c>
      <c r="BG15" s="877"/>
      <c r="BH15" s="883">
        <f t="shared" si="4"/>
        <v>3.1159453675034325E-5</v>
      </c>
      <c r="BI15" s="884">
        <f t="shared" si="4"/>
        <v>3.1159453675034325E-5</v>
      </c>
      <c r="BJ15" s="884">
        <f t="shared" si="4"/>
        <v>4.0466822954590028E-5</v>
      </c>
      <c r="BK15" s="884">
        <f t="shared" si="4"/>
        <v>3.6824808888676931E-5</v>
      </c>
      <c r="BL15" s="884">
        <f t="shared" si="4"/>
        <v>4.3709677555242345E-5</v>
      </c>
      <c r="BM15" s="885">
        <f t="shared" si="4"/>
        <v>5.8279570073656469E-5</v>
      </c>
      <c r="BN15" s="877"/>
      <c r="BO15" s="883">
        <f t="shared" si="4"/>
        <v>4.672608072822295E-4</v>
      </c>
      <c r="BP15" s="884">
        <f t="shared" si="4"/>
        <v>4.672608072822295E-4</v>
      </c>
      <c r="BQ15" s="884">
        <f t="shared" si="4"/>
        <v>6.0683221724964868E-4</v>
      </c>
      <c r="BR15" s="884">
        <f t="shared" si="4"/>
        <v>5.5221731769718044E-4</v>
      </c>
      <c r="BS15" s="884">
        <f t="shared" si="4"/>
        <v>6.5546140293443363E-4</v>
      </c>
      <c r="BT15" s="885">
        <f t="shared" si="4"/>
        <v>8.7394853724591143E-4</v>
      </c>
      <c r="BU15" s="877"/>
      <c r="BV15" s="883">
        <f>BV20*$C$20+BV25*$C$25</f>
        <v>6.8655110379596235E-2</v>
      </c>
      <c r="BW15" s="885">
        <f t="shared" si="4"/>
        <v>7.8521446362210201E-2</v>
      </c>
      <c r="BX15" s="869"/>
      <c r="BY15" s="869"/>
      <c r="BZ15" s="869"/>
      <c r="CA15" s="869"/>
      <c r="CB15" s="869"/>
      <c r="CC15" s="869"/>
      <c r="CD15" s="869"/>
      <c r="CE15" s="869"/>
    </row>
    <row r="16" spans="1:89" s="406" customFormat="1" ht="17.25">
      <c r="A16" s="499"/>
      <c r="B16"/>
      <c r="C16" s="64"/>
      <c r="D16"/>
      <c r="E16" s="511" t="s">
        <v>317</v>
      </c>
      <c r="F16" s="877">
        <f>($C$20/($C$20+$C$25))*F21+($C$25/($C$20+$C$25))*F26</f>
        <v>0.108271767984466</v>
      </c>
      <c r="G16" s="877">
        <f>($C$20/($C$20+$C$25))*G21+($C$25/($C$20+$C$25))*G26</f>
        <v>0.27846989162390601</v>
      </c>
      <c r="H16" s="878">
        <f>($C$20/($C$20+$C$25))*H21+($C$25/($C$20+$C$25))*H26</f>
        <v>0.65866800861362307</v>
      </c>
      <c r="I16" s="928">
        <f>($C$20/($C$20+$C$25))*I21+($C$25/($C$20+$C$25))*I26</f>
        <v>6.7252861071622483E-2</v>
      </c>
      <c r="J16" s="877">
        <f t="shared" ref="J16:W16" si="5">($C$20/($C$20+$C$25))*J21+($C$25/($C$20+$C$25))*J26</f>
        <v>0.03</v>
      </c>
      <c r="K16" s="877">
        <f t="shared" si="5"/>
        <v>0</v>
      </c>
      <c r="L16" s="877">
        <f t="shared" si="5"/>
        <v>0</v>
      </c>
      <c r="M16" s="877"/>
      <c r="N16" s="877">
        <f t="shared" si="5"/>
        <v>3.3922294567817493E-2</v>
      </c>
      <c r="O16" s="877">
        <f t="shared" si="5"/>
        <v>0</v>
      </c>
      <c r="P16" s="877">
        <f t="shared" si="5"/>
        <v>0</v>
      </c>
      <c r="Q16" s="877">
        <f t="shared" si="5"/>
        <v>3.9022968000000005E-2</v>
      </c>
      <c r="R16" s="877">
        <f t="shared" si="5"/>
        <v>0.108271767984466</v>
      </c>
      <c r="S16" s="877">
        <f t="shared" si="5"/>
        <v>0</v>
      </c>
      <c r="T16" s="877">
        <f t="shared" si="5"/>
        <v>0.1233845109216834</v>
      </c>
      <c r="U16" s="877">
        <f>($C$20/($C$20+$C$25))*U21+($C$25/($C$20+$C$25))*U26</f>
        <v>0.4749188393720602</v>
      </c>
      <c r="V16" s="877">
        <f t="shared" si="5"/>
        <v>0.05</v>
      </c>
      <c r="W16" s="878">
        <f t="shared" si="5"/>
        <v>0.03</v>
      </c>
      <c r="X16" s="869"/>
      <c r="Y16" s="879"/>
      <c r="Z16" s="877"/>
      <c r="AA16" s="877"/>
      <c r="AB16" s="877"/>
      <c r="AC16" s="877"/>
      <c r="AD16" s="886"/>
      <c r="AE16" s="877"/>
      <c r="AF16" s="879"/>
      <c r="AG16" s="877"/>
      <c r="AH16" s="877"/>
      <c r="AI16" s="877"/>
      <c r="AJ16" s="877"/>
      <c r="AK16" s="886"/>
      <c r="AL16" s="877"/>
      <c r="AM16" s="879"/>
      <c r="AN16" s="877"/>
      <c r="AO16" s="877"/>
      <c r="AP16" s="877"/>
      <c r="AQ16" s="877"/>
      <c r="AR16" s="886"/>
      <c r="AS16" s="877"/>
      <c r="AT16" s="879"/>
      <c r="AU16" s="877"/>
      <c r="AV16" s="877"/>
      <c r="AW16" s="877"/>
      <c r="AX16" s="877"/>
      <c r="AY16" s="886"/>
      <c r="AZ16" s="877"/>
      <c r="BA16" s="879"/>
      <c r="BB16" s="877"/>
      <c r="BC16" s="877"/>
      <c r="BD16" s="877"/>
      <c r="BE16" s="877"/>
      <c r="BF16" s="886"/>
      <c r="BG16" s="877"/>
      <c r="BH16" s="879"/>
      <c r="BI16" s="877"/>
      <c r="BJ16" s="877"/>
      <c r="BK16" s="877"/>
      <c r="BL16" s="877"/>
      <c r="BM16" s="886"/>
      <c r="BN16" s="877"/>
      <c r="BO16" s="879"/>
      <c r="BP16" s="877"/>
      <c r="BQ16" s="877"/>
      <c r="BR16" s="877"/>
      <c r="BS16" s="877"/>
      <c r="BT16" s="886"/>
      <c r="BU16" s="877"/>
      <c r="BV16" s="879"/>
      <c r="BW16" s="886"/>
      <c r="BX16" s="869"/>
      <c r="BY16" s="869"/>
      <c r="BZ16" s="869"/>
      <c r="CA16" s="869"/>
      <c r="CB16" s="869"/>
      <c r="CC16" s="869"/>
      <c r="CD16" s="869"/>
      <c r="CE16" s="869"/>
    </row>
    <row r="17" spans="1:83" s="406" customFormat="1" ht="17.25">
      <c r="A17" s="499"/>
      <c r="B17"/>
      <c r="C17" s="595"/>
      <c r="D17" s="50"/>
      <c r="E17" s="511" t="s">
        <v>367</v>
      </c>
      <c r="F17" s="877">
        <f>($C$20/($C$20+$C$25))*F22+($C$25/($C$20+$C$25))*F27</f>
        <v>0</v>
      </c>
      <c r="G17" s="877">
        <f t="shared" ref="F17:W18" si="6">($C$20/($C$20+$C$25))*G22+($C$25/($C$20+$C$25))*G27</f>
        <v>1.1381083372570167E-4</v>
      </c>
      <c r="H17" s="878">
        <f t="shared" si="6"/>
        <v>1.7207478617532241E-4</v>
      </c>
      <c r="I17" s="928">
        <f t="shared" si="6"/>
        <v>8.4607421081922665E-5</v>
      </c>
      <c r="J17" s="877">
        <f t="shared" si="6"/>
        <v>0</v>
      </c>
      <c r="K17" s="877">
        <f t="shared" si="6"/>
        <v>0</v>
      </c>
      <c r="L17" s="877">
        <f t="shared" si="6"/>
        <v>0</v>
      </c>
      <c r="M17" s="877"/>
      <c r="N17" s="877">
        <f t="shared" si="6"/>
        <v>1.5026432643779007E-5</v>
      </c>
      <c r="O17" s="877">
        <f t="shared" si="6"/>
        <v>0</v>
      </c>
      <c r="P17" s="877">
        <f t="shared" si="6"/>
        <v>0</v>
      </c>
      <c r="Q17" s="877">
        <f t="shared" si="6"/>
        <v>1.4176980000000002E-5</v>
      </c>
      <c r="R17" s="877">
        <f t="shared" si="6"/>
        <v>0</v>
      </c>
      <c r="S17" s="877">
        <f t="shared" si="6"/>
        <v>0</v>
      </c>
      <c r="T17" s="877">
        <f t="shared" si="6"/>
        <v>8.8566538505897767E-6</v>
      </c>
      <c r="U17" s="877">
        <f>($C$20/($C$20+$C$25))*U22+($C$25/($C$20+$C$25))*U27</f>
        <v>1.4497066713561717E-4</v>
      </c>
      <c r="V17" s="877">
        <f t="shared" si="6"/>
        <v>0</v>
      </c>
      <c r="W17" s="878">
        <f t="shared" si="6"/>
        <v>0</v>
      </c>
      <c r="X17" s="869"/>
      <c r="Y17" s="879"/>
      <c r="Z17" s="877"/>
      <c r="AA17" s="877"/>
      <c r="AB17" s="877"/>
      <c r="AC17" s="877"/>
      <c r="AD17" s="886"/>
      <c r="AE17" s="877"/>
      <c r="AF17" s="879"/>
      <c r="AG17" s="877"/>
      <c r="AH17" s="877"/>
      <c r="AI17" s="877"/>
      <c r="AJ17" s="877"/>
      <c r="AK17" s="886"/>
      <c r="AL17" s="877"/>
      <c r="AM17" s="879"/>
      <c r="AN17" s="877"/>
      <c r="AO17" s="877"/>
      <c r="AP17" s="877"/>
      <c r="AQ17" s="877"/>
      <c r="AR17" s="886"/>
      <c r="AS17" s="877"/>
      <c r="AT17" s="879"/>
      <c r="AU17" s="877"/>
      <c r="AV17" s="877"/>
      <c r="AW17" s="877"/>
      <c r="AX17" s="877"/>
      <c r="AY17" s="886"/>
      <c r="AZ17" s="877"/>
      <c r="BA17" s="879"/>
      <c r="BB17" s="877"/>
      <c r="BC17" s="877"/>
      <c r="BD17" s="877"/>
      <c r="BE17" s="877"/>
      <c r="BF17" s="886"/>
      <c r="BG17" s="877"/>
      <c r="BH17" s="879"/>
      <c r="BI17" s="877"/>
      <c r="BJ17" s="877"/>
      <c r="BK17" s="877"/>
      <c r="BL17" s="877"/>
      <c r="BM17" s="886"/>
      <c r="BN17" s="877"/>
      <c r="BO17" s="879"/>
      <c r="BP17" s="877"/>
      <c r="BQ17" s="877"/>
      <c r="BR17" s="877"/>
      <c r="BS17" s="877"/>
      <c r="BT17" s="886"/>
      <c r="BU17" s="877"/>
      <c r="BV17" s="879"/>
      <c r="BW17" s="886"/>
      <c r="BX17" s="869"/>
      <c r="BY17" s="869"/>
      <c r="BZ17" s="869"/>
      <c r="CA17" s="869"/>
      <c r="CB17" s="869"/>
      <c r="CC17" s="869"/>
      <c r="CD17" s="869"/>
      <c r="CE17" s="869"/>
    </row>
    <row r="18" spans="1:83" s="406" customFormat="1" ht="17.25">
      <c r="A18" s="18"/>
      <c r="B18"/>
      <c r="C18" s="83"/>
      <c r="D18" s="54"/>
      <c r="E18" s="512" t="s">
        <v>320</v>
      </c>
      <c r="F18" s="877">
        <f t="shared" si="6"/>
        <v>7.483502852286448E-4</v>
      </c>
      <c r="G18" s="877">
        <f t="shared" si="6"/>
        <v>8.9200075287661912E-4</v>
      </c>
      <c r="H18" s="878">
        <f t="shared" si="6"/>
        <v>1.2524338205438215E-3</v>
      </c>
      <c r="I18" s="928">
        <f t="shared" si="6"/>
        <v>1.4141735278717428E-4</v>
      </c>
      <c r="J18" s="877">
        <f t="shared" si="6"/>
        <v>0</v>
      </c>
      <c r="K18" s="877">
        <f t="shared" si="6"/>
        <v>6.8031844111694979E-4</v>
      </c>
      <c r="L18" s="877">
        <f t="shared" si="6"/>
        <v>6.8031844111694984E-5</v>
      </c>
      <c r="M18" s="877"/>
      <c r="N18" s="877">
        <f t="shared" si="6"/>
        <v>9.1150528080015387E-7</v>
      </c>
      <c r="O18" s="877">
        <f t="shared" si="6"/>
        <v>0</v>
      </c>
      <c r="P18" s="877">
        <f t="shared" si="6"/>
        <v>0</v>
      </c>
      <c r="Q18" s="877">
        <f t="shared" si="6"/>
        <v>1.32160958E-6</v>
      </c>
      <c r="R18" s="877">
        <f t="shared" si="6"/>
        <v>0</v>
      </c>
      <c r="S18" s="877">
        <f t="shared" si="6"/>
        <v>0</v>
      </c>
      <c r="T18" s="877">
        <f t="shared" si="6"/>
        <v>8.256369534049801E-7</v>
      </c>
      <c r="U18" s="877">
        <f t="shared" si="6"/>
        <v>1.0551584607082103E-3</v>
      </c>
      <c r="V18" s="877">
        <f t="shared" si="6"/>
        <v>0</v>
      </c>
      <c r="W18" s="878">
        <f t="shared" si="6"/>
        <v>0</v>
      </c>
      <c r="X18" s="869"/>
      <c r="Y18" s="879"/>
      <c r="Z18" s="877"/>
      <c r="AA18" s="877"/>
      <c r="AB18" s="877"/>
      <c r="AC18" s="877"/>
      <c r="AD18" s="886"/>
      <c r="AE18" s="877"/>
      <c r="AF18" s="879"/>
      <c r="AG18" s="877"/>
      <c r="AH18" s="877"/>
      <c r="AI18" s="877"/>
      <c r="AJ18" s="877"/>
      <c r="AK18" s="886"/>
      <c r="AL18" s="877"/>
      <c r="AM18" s="879"/>
      <c r="AN18" s="877"/>
      <c r="AO18" s="877"/>
      <c r="AP18" s="877"/>
      <c r="AQ18" s="877"/>
      <c r="AR18" s="886"/>
      <c r="AS18" s="877"/>
      <c r="AT18" s="879"/>
      <c r="AU18" s="877"/>
      <c r="AV18" s="877"/>
      <c r="AW18" s="877"/>
      <c r="AX18" s="877"/>
      <c r="AY18" s="886"/>
      <c r="AZ18" s="877"/>
      <c r="BA18" s="879"/>
      <c r="BB18" s="877"/>
      <c r="BC18" s="877"/>
      <c r="BD18" s="877"/>
      <c r="BE18" s="877"/>
      <c r="BF18" s="886"/>
      <c r="BG18" s="877"/>
      <c r="BH18" s="879"/>
      <c r="BI18" s="877"/>
      <c r="BJ18" s="877"/>
      <c r="BK18" s="877"/>
      <c r="BL18" s="877"/>
      <c r="BM18" s="886"/>
      <c r="BN18" s="877"/>
      <c r="BO18" s="879"/>
      <c r="BP18" s="877"/>
      <c r="BQ18" s="877"/>
      <c r="BR18" s="877"/>
      <c r="BS18" s="877"/>
      <c r="BT18" s="886"/>
      <c r="BU18" s="877"/>
      <c r="BV18" s="879"/>
      <c r="BW18" s="886"/>
      <c r="BX18" s="869"/>
      <c r="BY18" s="869"/>
      <c r="BZ18" s="869"/>
      <c r="CA18" s="869"/>
      <c r="CB18" s="869"/>
      <c r="CC18" s="869"/>
      <c r="CD18" s="869"/>
      <c r="CE18" s="869"/>
    </row>
    <row r="19" spans="1:83" s="406" customFormat="1" ht="17.25">
      <c r="A19" s="501" t="s">
        <v>165</v>
      </c>
      <c r="B19" s="1283"/>
      <c r="C19" s="769"/>
      <c r="D19" s="54"/>
      <c r="E19" s="760"/>
      <c r="F19" s="1268"/>
      <c r="G19" s="1268"/>
      <c r="H19" s="887"/>
      <c r="I19" s="1275"/>
      <c r="J19" s="1268"/>
      <c r="K19" s="1268"/>
      <c r="L19" s="1268"/>
      <c r="M19" s="1268"/>
      <c r="N19" s="1268"/>
      <c r="O19" s="1276"/>
      <c r="P19" s="1268"/>
      <c r="Q19" s="1268"/>
      <c r="R19" s="1268"/>
      <c r="S19" s="1268"/>
      <c r="T19" s="1268"/>
      <c r="U19" s="1268"/>
      <c r="V19" s="1268"/>
      <c r="W19" s="887"/>
      <c r="X19" s="869"/>
      <c r="Y19" s="879"/>
      <c r="Z19" s="877"/>
      <c r="AA19" s="877"/>
      <c r="AB19" s="877"/>
      <c r="AC19" s="877"/>
      <c r="AD19" s="886"/>
      <c r="AE19" s="877"/>
      <c r="AF19" s="879"/>
      <c r="AG19" s="877"/>
      <c r="AH19" s="877"/>
      <c r="AI19" s="877"/>
      <c r="AJ19" s="877"/>
      <c r="AK19" s="886"/>
      <c r="AL19" s="877"/>
      <c r="AM19" s="879"/>
      <c r="AN19" s="877"/>
      <c r="AO19" s="877"/>
      <c r="AP19" s="877"/>
      <c r="AQ19" s="877"/>
      <c r="AR19" s="886"/>
      <c r="AS19" s="877"/>
      <c r="AT19" s="879"/>
      <c r="AU19" s="877"/>
      <c r="AV19" s="877"/>
      <c r="AW19" s="877"/>
      <c r="AX19" s="877"/>
      <c r="AY19" s="886"/>
      <c r="AZ19" s="877"/>
      <c r="BA19" s="879"/>
      <c r="BB19" s="877"/>
      <c r="BC19" s="877"/>
      <c r="BD19" s="877"/>
      <c r="BE19" s="877"/>
      <c r="BF19" s="886"/>
      <c r="BG19" s="877"/>
      <c r="BH19" s="879"/>
      <c r="BI19" s="877"/>
      <c r="BJ19" s="877"/>
      <c r="BK19" s="877"/>
      <c r="BL19" s="877"/>
      <c r="BM19" s="886"/>
      <c r="BN19" s="877"/>
      <c r="BO19" s="879"/>
      <c r="BP19" s="877"/>
      <c r="BQ19" s="877"/>
      <c r="BR19" s="877"/>
      <c r="BS19" s="877"/>
      <c r="BT19" s="886"/>
      <c r="BU19" s="877"/>
      <c r="BV19" s="879"/>
      <c r="BW19" s="886"/>
      <c r="BX19" s="869"/>
      <c r="BY19" s="869"/>
      <c r="BZ19" s="869"/>
      <c r="CA19" s="869"/>
      <c r="CB19" s="869"/>
      <c r="CC19" s="869"/>
      <c r="CD19" s="869"/>
      <c r="CE19" s="869"/>
    </row>
    <row r="20" spans="1:83" s="406" customFormat="1" ht="17.25">
      <c r="A20" s="20" t="s">
        <v>122</v>
      </c>
      <c r="B20" s="164" t="s">
        <v>121</v>
      </c>
      <c r="C20" s="87">
        <f>'Input data plant-based products'!D6</f>
        <v>0.20899264366725692</v>
      </c>
      <c r="D20" s="54"/>
      <c r="E20" s="513" t="s">
        <v>316</v>
      </c>
      <c r="F20" s="872">
        <f>SUMPRODUCT($CJ$6:$CJ$8,F21:F23)</f>
        <v>0.27746058269608065</v>
      </c>
      <c r="G20" s="872">
        <f>SUMPRODUCT($CJ$6:$CJ$8,G21:G23)</f>
        <v>0.47482957213075744</v>
      </c>
      <c r="H20" s="873">
        <f>SUMPRODUCT($CJ$6:$CJ$8,H21:H23)</f>
        <v>0.93444455014497629</v>
      </c>
      <c r="I20" s="1277"/>
      <c r="J20" s="884"/>
      <c r="K20" s="884"/>
      <c r="L20" s="884"/>
      <c r="M20" s="884"/>
      <c r="N20" s="884"/>
      <c r="O20" s="884"/>
      <c r="P20" s="884"/>
      <c r="Q20" s="884"/>
      <c r="R20" s="884"/>
      <c r="S20" s="884"/>
      <c r="T20" s="884"/>
      <c r="U20" s="884"/>
      <c r="V20" s="884"/>
      <c r="W20" s="1278"/>
      <c r="X20" s="869"/>
      <c r="Y20" s="1361">
        <f>1/'Input data plant-based products'!E6*10^4</f>
        <v>1.4858841010401187</v>
      </c>
      <c r="Z20" s="877">
        <f>$Y20*'Input data plant-based products'!Z6</f>
        <v>1.4858841010401187</v>
      </c>
      <c r="AA20" s="877">
        <f>$Y20*'Input data plant-based products'!AA6</f>
        <v>1.9297196117404138</v>
      </c>
      <c r="AB20" s="877">
        <f>$Y20*'Input data plant-based products'!AB6</f>
        <v>1.7560448466837768</v>
      </c>
      <c r="AC20" s="877">
        <f>$Y20*'Input data plant-based products'!AC6</f>
        <v>2.0843598741579408</v>
      </c>
      <c r="AD20" s="886">
        <f>$Y20*'Input data plant-based products'!AD6</f>
        <v>2.7791464988772545</v>
      </c>
      <c r="AE20" s="877"/>
      <c r="AF20" s="879">
        <f>SUM('Input data plant-based products'!F6,'Input data plant-based products'!Q6)/'Input data plant-based products'!E6</f>
        <v>2.1297672114908371E-2</v>
      </c>
      <c r="AG20" s="877">
        <f>$AF20*'Input data plant-based products'!Z6</f>
        <v>2.1297672114908371E-2</v>
      </c>
      <c r="AH20" s="877">
        <f>$AF20*'Input data plant-based products'!AA6</f>
        <v>2.7659314434945938E-2</v>
      </c>
      <c r="AI20" s="877">
        <f>$AF20*'Input data plant-based products'!AB6</f>
        <v>2.5169976135800805E-2</v>
      </c>
      <c r="AJ20" s="877">
        <f>$AF20*'Input data plant-based products'!AC6</f>
        <v>2.987582486293049E-2</v>
      </c>
      <c r="AK20" s="886">
        <f>$AF20*'Input data plant-based products'!AD6</f>
        <v>3.9834433150573986E-2</v>
      </c>
      <c r="AL20" s="877"/>
      <c r="AM20" s="879">
        <f>'Input data plant-based products'!R6/'Input data plant-based products'!E6</f>
        <v>1.2877662209014363E-3</v>
      </c>
      <c r="AN20" s="877">
        <f>$AM20*'Input data plant-based products'!Z6</f>
        <v>1.2877662209014363E-3</v>
      </c>
      <c r="AO20" s="877">
        <f>$AM20*'Input data plant-based products'!AA6</f>
        <v>1.6724236635083589E-3</v>
      </c>
      <c r="AP20" s="877">
        <f>$AM20*'Input data plant-based products'!AB6</f>
        <v>1.5219055337926067E-3</v>
      </c>
      <c r="AQ20" s="877">
        <f>$AM20*'Input data plant-based products'!AC6</f>
        <v>1.8064452242702157E-3</v>
      </c>
      <c r="AR20" s="886">
        <f>$AM20*'Input data plant-based products'!AD6</f>
        <v>2.4085936323602875E-3</v>
      </c>
      <c r="AS20" s="877"/>
      <c r="AT20" s="879">
        <f>'Input data plant-based products'!S6</f>
        <v>0</v>
      </c>
      <c r="AU20" s="877">
        <f>$AT20*'Input data plant-based products'!Z6</f>
        <v>0</v>
      </c>
      <c r="AV20" s="877">
        <f>$AT20*'Input data plant-based products'!AA6</f>
        <v>0</v>
      </c>
      <c r="AW20" s="877">
        <f>$AT20*'Input data plant-based products'!AB6</f>
        <v>0</v>
      </c>
      <c r="AX20" s="877">
        <f>$AT20*'Input data plant-based products'!AC6</f>
        <v>0</v>
      </c>
      <c r="AY20" s="886">
        <f>$AT20*'Input data plant-based products'!AD6</f>
        <v>0</v>
      </c>
      <c r="AZ20" s="877"/>
      <c r="BA20" s="879">
        <f>((SUM('Input data plant-based products'!U6:Y6)*'Grains, oil crops, sugar'!Y20)/('Common input data'!$B$192/10^6))/$BB$3</f>
        <v>1.0510988214664233E-11</v>
      </c>
      <c r="BB20" s="877">
        <f>$BA20*'Input data plant-based products'!Z6</f>
        <v>1.0510988214664233E-11</v>
      </c>
      <c r="BC20" s="877">
        <f>$BA20*'Input data plant-based products'!AA6</f>
        <v>1.3650634045018484E-11</v>
      </c>
      <c r="BD20" s="877">
        <f>$BA20*'Input data plant-based products'!AB6</f>
        <v>1.2422076980966822E-11</v>
      </c>
      <c r="BE20" s="877">
        <f>$BA20*'Input data plant-based products'!AC6</f>
        <v>1.4744543034720584E-11</v>
      </c>
      <c r="BF20" s="886">
        <f>$BA20*'Input data plant-based products'!AD6</f>
        <v>1.9659390712960783E-11</v>
      </c>
      <c r="BG20" s="877"/>
      <c r="BH20" s="879">
        <f>'Input data plant-based products'!T6/'Input data plant-based products'!E6</f>
        <v>9.2867756315007425E-5</v>
      </c>
      <c r="BI20" s="877">
        <f>$BH20*'Input data plant-based products'!Z6</f>
        <v>9.2867756315007425E-5</v>
      </c>
      <c r="BJ20" s="877">
        <f>$BH20*'Input data plant-based products'!AA6</f>
        <v>1.2060747573377588E-4</v>
      </c>
      <c r="BK20" s="877">
        <f>$BH20*'Input data plant-based products'!AB6</f>
        <v>1.0975280291773606E-4</v>
      </c>
      <c r="BL20" s="877">
        <f>$BH20*'Input data plant-based products'!AC6</f>
        <v>1.3027249213487131E-4</v>
      </c>
      <c r="BM20" s="886">
        <f>$BH20*'Input data plant-based products'!AD6</f>
        <v>1.7369665617982842E-4</v>
      </c>
      <c r="BN20" s="877"/>
      <c r="BO20" s="879">
        <f>('Input data plant-based products'!F6/'Input data plant-based products'!E6*'Common input data'!$B$195+'Input data plant-based products'!G6/'Input data plant-based products'!E6*'Common input data'!$B$196)/'Common input data'!$B$198</f>
        <v>1.1005780319349983E-3</v>
      </c>
      <c r="BP20" s="877">
        <f>$BO20*'Input data plant-based products'!Z6</f>
        <v>1.1005780319349983E-3</v>
      </c>
      <c r="BQ20" s="877">
        <f>$BO20*'Input data plant-based products'!AA6</f>
        <v>1.4293221193961017E-3</v>
      </c>
      <c r="BR20" s="877">
        <f>$BO20*'Input data plant-based products'!AB6</f>
        <v>1.3006831286504527E-3</v>
      </c>
      <c r="BS20" s="877">
        <f>$BO20*'Input data plant-based products'!AC6</f>
        <v>1.5438624631216036E-3</v>
      </c>
      <c r="BT20" s="886">
        <f>$BO20*'Input data plant-based products'!AD6</f>
        <v>2.0584832841621381E-3</v>
      </c>
      <c r="BU20" s="877"/>
      <c r="BV20" s="879">
        <f>'Common input data'!$C$202*'Input data plant-based products'!AC6</f>
        <v>0.20087726476814774</v>
      </c>
      <c r="BW20" s="886">
        <f>$BV$20*'Input data plant-based products'!AD6</f>
        <v>0.37571392458782621</v>
      </c>
      <c r="BX20" s="869"/>
      <c r="BY20" s="869"/>
      <c r="BZ20" s="869"/>
      <c r="CA20" s="869"/>
      <c r="CB20" s="869"/>
      <c r="CC20" s="869"/>
      <c r="CD20" s="869"/>
      <c r="CE20" s="869"/>
    </row>
    <row r="21" spans="1:83" s="406" customFormat="1" ht="17.25">
      <c r="A21" s="499"/>
      <c r="B21"/>
      <c r="C21" s="64"/>
      <c r="D21"/>
      <c r="E21" s="511" t="s">
        <v>317</v>
      </c>
      <c r="F21" s="877">
        <f>IF(AND($F$2="No",$F$3="No"),SUM(K21:L21),IF(AND($F$2="Yes", $F$3="No"), (SUM(K21:L21)+S21), IF(AND($F$2="No", $F$3="Yes"),(SUM(K21:L21)+R21), (SUM(K21:L21)+S21+R21))))</f>
        <v>0.108271767984466</v>
      </c>
      <c r="G21" s="877">
        <f>IF(AND($F$2="No",$F$3="No"),SUM(I21:Q21),IF(AND($F$2="Yes", $F$3="No"), (SUM(I21:Q21)+S21), IF(AND($F$2="No", $F$3="Yes"),(SUM(I21:Q21)+R21), (SUM(I21:Q21)+S21+R21))))</f>
        <v>0.2719042413690439</v>
      </c>
      <c r="H21" s="878">
        <f>SUM(U21:W21)/(1-'Common input data'!$B$141)</f>
        <v>0.64945788386068315</v>
      </c>
      <c r="I21" s="928">
        <f>('Input data plant-based products'!$F$6*('Common input data'!$B$93*'Common input data'!B86+'Common input data'!$B$94*'Common input data'!C86))/'Input data plant-based products'!$E$6</f>
        <v>6.6813535102259874E-2</v>
      </c>
      <c r="J21" s="877">
        <f>'Common input data'!$B$98</f>
        <v>0.03</v>
      </c>
      <c r="K21" s="877">
        <v>0</v>
      </c>
      <c r="L21" s="877">
        <v>0</v>
      </c>
      <c r="M21" s="877"/>
      <c r="N21" s="877">
        <f>('Input data plant-based products'!$P$6*'Common input data'!$C$76*'Common input data'!H66)/'Input data plant-based products'!$E$6</f>
        <v>2.7795970282317978E-2</v>
      </c>
      <c r="O21" s="877">
        <v>0</v>
      </c>
      <c r="P21" s="877">
        <v>0</v>
      </c>
      <c r="Q21" s="877">
        <f>'Input data plant-based products'!$B$267*'Common input data'!$B$76*'Common input data'!B66+'Input data plant-based products'!C$267*'Common input data'!B80</f>
        <v>3.9022968000000005E-2</v>
      </c>
      <c r="R21" s="877">
        <f>'Common input data'!B$19</f>
        <v>0.108271767984466</v>
      </c>
      <c r="S21" s="877">
        <v>0</v>
      </c>
      <c r="T21" s="877">
        <f>'Input data plant-based products'!$E$267*'Common input data'!$B$76*'Common input data'!B66+'Input data plant-based products'!F$267*'Common input data'!B80</f>
        <v>0.1233845109216834</v>
      </c>
      <c r="U21" s="877">
        <f>(G21+T21)*'Common input data'!$D$42/'Common input data'!$C$42</f>
        <v>0.46715943452540498</v>
      </c>
      <c r="V21" s="877">
        <f>'Common input data'!$B$105</f>
        <v>0.05</v>
      </c>
      <c r="W21" s="878">
        <f>'Common input data'!C$115</f>
        <v>0.03</v>
      </c>
      <c r="X21" s="869"/>
      <c r="Y21" s="879"/>
      <c r="Z21" s="877"/>
      <c r="AA21" s="877"/>
      <c r="AB21" s="877"/>
      <c r="AC21" s="877"/>
      <c r="AD21" s="886"/>
      <c r="AE21" s="877"/>
      <c r="AF21" s="879"/>
      <c r="AG21" s="877"/>
      <c r="AH21" s="877"/>
      <c r="AI21" s="877"/>
      <c r="AJ21" s="877"/>
      <c r="AK21" s="886"/>
      <c r="AL21" s="877"/>
      <c r="AM21" s="879"/>
      <c r="AN21" s="877"/>
      <c r="AO21" s="877"/>
      <c r="AP21" s="877"/>
      <c r="AQ21" s="877"/>
      <c r="AR21" s="886"/>
      <c r="AS21" s="877"/>
      <c r="AT21" s="879"/>
      <c r="AU21" s="877"/>
      <c r="AV21" s="877"/>
      <c r="AW21" s="877"/>
      <c r="AX21" s="877"/>
      <c r="AY21" s="886"/>
      <c r="AZ21" s="877"/>
      <c r="BA21" s="879"/>
      <c r="BB21" s="877"/>
      <c r="BC21" s="877"/>
      <c r="BD21" s="877"/>
      <c r="BE21" s="877"/>
      <c r="BF21" s="886"/>
      <c r="BG21" s="877"/>
      <c r="BH21" s="879"/>
      <c r="BI21" s="877"/>
      <c r="BJ21" s="877"/>
      <c r="BK21" s="877"/>
      <c r="BL21" s="877"/>
      <c r="BM21" s="886"/>
      <c r="BN21" s="877"/>
      <c r="BO21" s="879"/>
      <c r="BP21" s="877"/>
      <c r="BQ21" s="877"/>
      <c r="BR21" s="877"/>
      <c r="BS21" s="877"/>
      <c r="BT21" s="886"/>
      <c r="BU21" s="877"/>
      <c r="BV21" s="879"/>
      <c r="BW21" s="886"/>
      <c r="BX21" s="869"/>
      <c r="BY21" s="869"/>
      <c r="BZ21" s="869"/>
      <c r="CA21" s="869"/>
      <c r="CB21" s="869"/>
      <c r="CC21" s="869"/>
      <c r="CD21" s="869"/>
      <c r="CE21" s="869"/>
    </row>
    <row r="22" spans="1:83" s="406" customFormat="1" ht="17.25">
      <c r="A22" s="499"/>
      <c r="B22"/>
      <c r="C22" s="595"/>
      <c r="D22" s="50"/>
      <c r="E22" s="511" t="s">
        <v>367</v>
      </c>
      <c r="F22" s="877">
        <f>SUM(K22:L22)</f>
        <v>0</v>
      </c>
      <c r="G22" s="877">
        <f>SUM(I22:Q22)</f>
        <v>1.1054438487576975E-4</v>
      </c>
      <c r="H22" s="878">
        <f>SUM(U22:W22)/(1-'Common input data'!$B$141)</f>
        <v>1.6749269601834348E-4</v>
      </c>
      <c r="I22" s="928">
        <f>('Input data plant-based products'!$F$6*('Common input data'!$B$93*'Common input data'!B87+'Common input data'!$B$94*'Common input data'!C87))/'Input data plant-based products'!$E$6</f>
        <v>8.4054727312619668E-5</v>
      </c>
      <c r="J22" s="877">
        <v>0</v>
      </c>
      <c r="K22" s="877">
        <v>0</v>
      </c>
      <c r="L22" s="877">
        <v>0</v>
      </c>
      <c r="M22" s="877"/>
      <c r="N22" s="877">
        <f>('Input data plant-based products'!$P$6*'Common input data'!$C$76*'Common input data'!H67)/'Input data plant-based products'!$E$6</f>
        <v>1.2312677563150076E-5</v>
      </c>
      <c r="O22" s="877">
        <v>0</v>
      </c>
      <c r="P22" s="877">
        <v>0</v>
      </c>
      <c r="Q22" s="877">
        <f>'Input data plant-based products'!$B$267*'Common input data'!$B$76*'Common input data'!B67</f>
        <v>1.4176980000000002E-5</v>
      </c>
      <c r="R22" s="877">
        <v>0</v>
      </c>
      <c r="S22" s="877">
        <v>0</v>
      </c>
      <c r="T22" s="877">
        <f>'Input data plant-based products'!$E$267*'Common input data'!$B$76*'Common input data'!B67</f>
        <v>8.8566538505897767E-6</v>
      </c>
      <c r="U22" s="877">
        <f>(G22+T22)*'Common input data'!$D$42/'Common input data'!$C$42</f>
        <v>1.4111031849478852E-4</v>
      </c>
      <c r="V22" s="877">
        <v>0</v>
      </c>
      <c r="W22" s="878">
        <v>0</v>
      </c>
      <c r="X22" s="869"/>
      <c r="Y22" s="879"/>
      <c r="Z22" s="877"/>
      <c r="AA22" s="877"/>
      <c r="AB22" s="877"/>
      <c r="AC22" s="877"/>
      <c r="AD22" s="886"/>
      <c r="AE22" s="877"/>
      <c r="AF22" s="879"/>
      <c r="AG22" s="877"/>
      <c r="AH22" s="877"/>
      <c r="AI22" s="877"/>
      <c r="AJ22" s="877"/>
      <c r="AK22" s="886"/>
      <c r="AL22" s="877"/>
      <c r="AM22" s="879"/>
      <c r="AN22" s="877"/>
      <c r="AO22" s="877"/>
      <c r="AP22" s="877"/>
      <c r="AQ22" s="877"/>
      <c r="AR22" s="886"/>
      <c r="AS22" s="877"/>
      <c r="AT22" s="879"/>
      <c r="AU22" s="877"/>
      <c r="AV22" s="877"/>
      <c r="AW22" s="877"/>
      <c r="AX22" s="877"/>
      <c r="AY22" s="886"/>
      <c r="AZ22" s="877"/>
      <c r="BA22" s="879"/>
      <c r="BB22" s="877"/>
      <c r="BC22" s="877"/>
      <c r="BD22" s="877"/>
      <c r="BE22" s="877"/>
      <c r="BF22" s="886"/>
      <c r="BG22" s="877"/>
      <c r="BH22" s="879"/>
      <c r="BI22" s="877"/>
      <c r="BJ22" s="877"/>
      <c r="BK22" s="877"/>
      <c r="BL22" s="877"/>
      <c r="BM22" s="886"/>
      <c r="BN22" s="877"/>
      <c r="BO22" s="879"/>
      <c r="BP22" s="877"/>
      <c r="BQ22" s="877"/>
      <c r="BR22" s="877"/>
      <c r="BS22" s="877"/>
      <c r="BT22" s="886"/>
      <c r="BU22" s="877"/>
      <c r="BV22" s="879"/>
      <c r="BW22" s="886"/>
      <c r="BX22" s="869"/>
      <c r="BY22" s="869"/>
      <c r="BZ22" s="869"/>
      <c r="CA22" s="869"/>
      <c r="CB22" s="869"/>
      <c r="CC22" s="869"/>
      <c r="CD22" s="869"/>
      <c r="CE22" s="869"/>
    </row>
    <row r="23" spans="1:83" s="406" customFormat="1" ht="17.25">
      <c r="A23" s="18"/>
      <c r="B23"/>
      <c r="C23" s="83"/>
      <c r="D23" s="54"/>
      <c r="E23" s="512" t="s">
        <v>320</v>
      </c>
      <c r="F23" s="877">
        <f>SUM(K23:L23)</f>
        <v>7.2613225198117886E-4</v>
      </c>
      <c r="G23" s="877">
        <f>SUM(I23:Q23)</f>
        <v>8.6869430108496755E-4</v>
      </c>
      <c r="H23" s="878">
        <f>SUM(U23:W23)/(1-'Common input data'!$B$141)</f>
        <v>1.2197401313862959E-3</v>
      </c>
      <c r="I23" s="928">
        <f>('Input data plant-based products'!$F$6*('Common input data'!$B$93*'Common input data'!B88+'Common input data'!$B$94*'Common input data'!C88))/'Input data plant-based products'!$E$6</f>
        <v>1.4049355096509635E-4</v>
      </c>
      <c r="J23" s="877">
        <v>0</v>
      </c>
      <c r="K23" s="877">
        <f>(SUM(('Input data plant-based products'!$F$6*'Input data plant-based products'!$B$258),(('Input data plant-based products'!$G$6+'Input data plant-based products'!$H$6)*'Input data plant-based products'!$B$259))*44/28)/'Input data plant-based products'!$E$6</f>
        <v>6.6012022907379893E-4</v>
      </c>
      <c r="L23" s="877">
        <f>K23*'Input data plant-based products'!$B$261</f>
        <v>6.6012022907379895E-5</v>
      </c>
      <c r="M23" s="877"/>
      <c r="N23" s="877">
        <f>('Input data plant-based products'!$P$6*'Common input data'!$C$76*'Common input data'!H68)/'Input data plant-based products'!$E$6</f>
        <v>7.4688855869242201E-7</v>
      </c>
      <c r="O23" s="877">
        <v>0</v>
      </c>
      <c r="P23" s="877">
        <v>0</v>
      </c>
      <c r="Q23" s="877">
        <f>'Input data plant-based products'!$B$267*'Common input data'!$B$76*'Common input data'!B68</f>
        <v>1.32160958E-6</v>
      </c>
      <c r="R23" s="877">
        <v>0</v>
      </c>
      <c r="S23" s="877">
        <v>0</v>
      </c>
      <c r="T23" s="877">
        <f>'Input data plant-based products'!$E$267*'Common input data'!$B$76*'Common input data'!B68</f>
        <v>8.256369534049801E-7</v>
      </c>
      <c r="U23" s="877">
        <f>(G23+T23)*'Common input data'!$D$42/'Common input data'!$C$42</f>
        <v>1.0276144722271674E-3</v>
      </c>
      <c r="V23" s="877">
        <v>0</v>
      </c>
      <c r="W23" s="878">
        <v>0</v>
      </c>
      <c r="X23" s="869"/>
      <c r="Y23" s="879"/>
      <c r="Z23" s="877"/>
      <c r="AA23" s="877"/>
      <c r="AB23" s="877"/>
      <c r="AC23" s="877"/>
      <c r="AD23" s="886"/>
      <c r="AE23" s="877"/>
      <c r="AF23" s="879"/>
      <c r="AG23" s="877"/>
      <c r="AH23" s="877"/>
      <c r="AI23" s="877"/>
      <c r="AJ23" s="877"/>
      <c r="AK23" s="886"/>
      <c r="AL23" s="877"/>
      <c r="AM23" s="879"/>
      <c r="AN23" s="877"/>
      <c r="AO23" s="877"/>
      <c r="AP23" s="877"/>
      <c r="AQ23" s="877"/>
      <c r="AR23" s="886"/>
      <c r="AS23" s="877"/>
      <c r="AT23" s="879"/>
      <c r="AU23" s="877"/>
      <c r="AV23" s="877"/>
      <c r="AW23" s="877"/>
      <c r="AX23" s="877"/>
      <c r="AY23" s="886"/>
      <c r="AZ23" s="877"/>
      <c r="BA23" s="879"/>
      <c r="BB23" s="877"/>
      <c r="BC23" s="877"/>
      <c r="BD23" s="877"/>
      <c r="BE23" s="877"/>
      <c r="BF23" s="886"/>
      <c r="BG23" s="877"/>
      <c r="BH23" s="879"/>
      <c r="BI23" s="877"/>
      <c r="BJ23" s="877"/>
      <c r="BK23" s="877"/>
      <c r="BL23" s="877"/>
      <c r="BM23" s="886"/>
      <c r="BN23" s="877"/>
      <c r="BO23" s="879"/>
      <c r="BP23" s="877"/>
      <c r="BQ23" s="877"/>
      <c r="BR23" s="877"/>
      <c r="BS23" s="877"/>
      <c r="BT23" s="886"/>
      <c r="BU23" s="877"/>
      <c r="BV23" s="879"/>
      <c r="BW23" s="886"/>
      <c r="BX23" s="869"/>
      <c r="BY23" s="869"/>
      <c r="BZ23" s="869"/>
      <c r="CA23" s="869"/>
      <c r="CB23" s="869"/>
      <c r="CC23" s="869"/>
      <c r="CD23" s="869"/>
      <c r="CE23" s="869"/>
    </row>
    <row r="24" spans="1:83" s="406" customFormat="1" ht="17.25">
      <c r="A24" s="501" t="s">
        <v>166</v>
      </c>
      <c r="B24" s="1283"/>
      <c r="C24" s="769"/>
      <c r="D24" s="54"/>
      <c r="E24" s="760"/>
      <c r="F24" s="1268"/>
      <c r="G24" s="1268"/>
      <c r="H24" s="887"/>
      <c r="I24" s="1275"/>
      <c r="J24" s="1268"/>
      <c r="K24" s="1268"/>
      <c r="L24" s="1268"/>
      <c r="M24" s="1268"/>
      <c r="N24" s="1268"/>
      <c r="O24" s="1276"/>
      <c r="P24" s="1268"/>
      <c r="Q24" s="1268"/>
      <c r="R24" s="1268"/>
      <c r="S24" s="1268"/>
      <c r="T24" s="1268"/>
      <c r="U24" s="1268"/>
      <c r="V24" s="1268"/>
      <c r="W24" s="887"/>
      <c r="X24" s="869"/>
      <c r="Y24" s="879">
        <f>1/'Input data plant-based products'!E7*10^4</f>
        <v>2.3288309268747089</v>
      </c>
      <c r="Z24" s="877">
        <f>$Y24*'Input data plant-based products'!Z7</f>
        <v>2.3288309268747089</v>
      </c>
      <c r="AA24" s="877">
        <f>$Y24*'Input data plant-based products'!AA7</f>
        <v>3.0244557491879336</v>
      </c>
      <c r="AB24" s="877">
        <f>$Y24*'Input data plant-based products'!AB7</f>
        <v>2.75225473176102</v>
      </c>
      <c r="AC24" s="877">
        <f>$Y24*'Input data plant-based products'!AC7</f>
        <v>3.2668239294557391</v>
      </c>
      <c r="AD24" s="886">
        <f>$Y24*'Input data plant-based products'!AD7</f>
        <v>4.3557652392743194</v>
      </c>
      <c r="AE24" s="877"/>
      <c r="AF24" s="879">
        <f>SUM('Input data plant-based products'!F7,'Input data plant-based products'!Q7)/'Input data plant-based products'!E7</f>
        <v>2.1658127619934794E-2</v>
      </c>
      <c r="AG24" s="877">
        <f>$AF24*'Input data plant-based products'!Z7</f>
        <v>2.1658127619934794E-2</v>
      </c>
      <c r="AH24" s="877">
        <f>$AF24*'Input data plant-based products'!AA7</f>
        <v>2.8127438467447783E-2</v>
      </c>
      <c r="AI24" s="877">
        <f>$AF24*'Input data plant-based products'!AB7</f>
        <v>2.5595969005377486E-2</v>
      </c>
      <c r="AJ24" s="877">
        <f>$AF24*'Input data plant-based products'!AC7</f>
        <v>3.0381462543938375E-2</v>
      </c>
      <c r="AK24" s="886">
        <f>$AF24*'Input data plant-based products'!AD7</f>
        <v>4.0508616725251169E-2</v>
      </c>
      <c r="AL24" s="877"/>
      <c r="AM24" s="879">
        <f>'Input data plant-based products'!R7/'Input data plant-based products'!E7</f>
        <v>1.785437043937277E-3</v>
      </c>
      <c r="AN24" s="877">
        <f>$AM24*'Input data plant-based products'!Z7</f>
        <v>1.785437043937277E-3</v>
      </c>
      <c r="AO24" s="877">
        <f>$AM24*'Input data plant-based products'!AA7</f>
        <v>2.3187494077107494E-3</v>
      </c>
      <c r="AP24" s="877">
        <f>$AM24*'Input data plant-based products'!AB7</f>
        <v>2.1100619610167821E-3</v>
      </c>
      <c r="AQ24" s="877">
        <f>$AM24*'Input data plant-based products'!AC7</f>
        <v>2.5045650125827337E-3</v>
      </c>
      <c r="AR24" s="886">
        <f>$AM24*'Input data plant-based products'!AD7</f>
        <v>3.3394200167769783E-3</v>
      </c>
      <c r="AS24" s="877"/>
      <c r="AT24" s="879">
        <f>'Input data plant-based products'!S7</f>
        <v>0</v>
      </c>
      <c r="AU24" s="877">
        <f>$AT24*'Input data plant-based products'!Z7</f>
        <v>0</v>
      </c>
      <c r="AV24" s="877">
        <f>$AT24*'Input data plant-based products'!AA7</f>
        <v>0</v>
      </c>
      <c r="AW24" s="877">
        <f>$AT24*'Input data plant-based products'!AB7</f>
        <v>0</v>
      </c>
      <c r="AX24" s="877">
        <f>$AT24*'Input data plant-based products'!AC7</f>
        <v>0</v>
      </c>
      <c r="AY24" s="886">
        <f>$AT24*'Input data plant-based products'!AD7</f>
        <v>0</v>
      </c>
      <c r="AZ24" s="877"/>
      <c r="BA24" s="879">
        <f>((SUM('Input data plant-based products'!U7:Y7)*'Grains, oil crops, sugar'!Y24)/('Common input data'!$B$192/10^6))/$BB$3</f>
        <v>1.647390560891716E-11</v>
      </c>
      <c r="BB24" s="877">
        <f>$BA24*'Input data plant-based products'!Z7</f>
        <v>1.647390560891716E-11</v>
      </c>
      <c r="BC24" s="877">
        <f>$BA24*'Input data plant-based products'!AA7</f>
        <v>2.1394682608983325E-11</v>
      </c>
      <c r="BD24" s="877">
        <f>$BA24*'Input data plant-based products'!AB7</f>
        <v>1.9469161174174826E-11</v>
      </c>
      <c r="BE24" s="877">
        <f>$BA24*'Input data plant-based products'!AC7</f>
        <v>2.3109169684133568E-11</v>
      </c>
      <c r="BF24" s="886">
        <f>$BA24*'Input data plant-based products'!AD7</f>
        <v>3.0812226245511426E-11</v>
      </c>
      <c r="BG24" s="877"/>
      <c r="BH24" s="879">
        <f>'Input data plant-based products'!T7/'Input data plant-based products'!E7</f>
        <v>8.849557522123894E-5</v>
      </c>
      <c r="BI24" s="877">
        <f>$BH24*'Input data plant-based products'!Z7</f>
        <v>8.849557522123894E-5</v>
      </c>
      <c r="BJ24" s="877">
        <f>$BH24*'Input data plant-based products'!AA7</f>
        <v>1.1492931846914148E-4</v>
      </c>
      <c r="BK24" s="877">
        <f>$BH24*'Input data plant-based products'!AB7</f>
        <v>1.0458567980691875E-4</v>
      </c>
      <c r="BL24" s="877">
        <f>$BH24*'Input data plant-based products'!AC7</f>
        <v>1.241393093193181E-4</v>
      </c>
      <c r="BM24" s="886">
        <f>$BH24*'Input data plant-based products'!AD7</f>
        <v>1.6551907909242414E-4</v>
      </c>
      <c r="BN24" s="877"/>
      <c r="BO24" s="879">
        <f>('Input data plant-based products'!F7/'Input data plant-based products'!E7*'Common input data'!$B$195+'Input data plant-based products'!G7/'Input data plant-based products'!E7*'Common input data'!$B$196)/'Common input data'!$B$198</f>
        <v>1.7867251516300534E-3</v>
      </c>
      <c r="BP24" s="877">
        <f>$BO24*'Input data plant-based products'!Z7</f>
        <v>1.7867251516300534E-3</v>
      </c>
      <c r="BQ24" s="877">
        <f>$BO24*'Input data plant-based products'!AA7</f>
        <v>2.320422274844225E-3</v>
      </c>
      <c r="BR24" s="877">
        <f>$BO24*'Input data plant-based products'!AB7</f>
        <v>2.1115842701082449E-3</v>
      </c>
      <c r="BS24" s="877">
        <f>$BO24*'Input data plant-based products'!AC7</f>
        <v>2.5063719368149384E-3</v>
      </c>
      <c r="BT24" s="886">
        <f>$BO24*'Input data plant-based products'!AD7</f>
        <v>3.3418292490865848E-3</v>
      </c>
      <c r="BU24" s="877"/>
      <c r="BV24" s="879"/>
      <c r="BW24" s="886"/>
      <c r="BX24" s="869"/>
      <c r="BY24" s="869"/>
      <c r="BZ24" s="869"/>
      <c r="CA24" s="869"/>
      <c r="CB24" s="869"/>
      <c r="CC24" s="869"/>
      <c r="CD24" s="869"/>
      <c r="CE24" s="869"/>
    </row>
    <row r="25" spans="1:83" s="406" customFormat="1" ht="17.25">
      <c r="A25" s="20" t="s">
        <v>122</v>
      </c>
      <c r="B25" s="164" t="s">
        <v>121</v>
      </c>
      <c r="C25" s="87">
        <f>'Input data plant-based products'!D7</f>
        <v>0.13278376621585189</v>
      </c>
      <c r="D25" s="54"/>
      <c r="E25" s="513" t="s">
        <v>316</v>
      </c>
      <c r="F25" s="872">
        <f>SUMPRODUCT($CJ$6:$CJ$8,F26:F28)</f>
        <v>0.29078531934177682</v>
      </c>
      <c r="G25" s="872">
        <f>SUMPRODUCT($CJ$6:$CJ$8,G26:G28)</f>
        <v>0.50574611622249832</v>
      </c>
      <c r="H25" s="873">
        <f>SUMPRODUCT($CJ$6:$CJ$8,H26:H28)</f>
        <v>0.97781348040498139</v>
      </c>
      <c r="I25" s="1277"/>
      <c r="J25" s="884"/>
      <c r="K25" s="884"/>
      <c r="L25" s="884"/>
      <c r="M25" s="884"/>
      <c r="N25" s="884"/>
      <c r="O25" s="884"/>
      <c r="P25" s="884"/>
      <c r="Q25" s="884"/>
      <c r="R25" s="884"/>
      <c r="S25" s="884"/>
      <c r="T25" s="884"/>
      <c r="U25" s="884"/>
      <c r="V25" s="884"/>
      <c r="W25" s="1278"/>
      <c r="X25" s="869"/>
      <c r="Y25" s="879"/>
      <c r="Z25" s="877"/>
      <c r="AA25" s="877"/>
      <c r="AB25" s="877"/>
      <c r="AC25" s="877"/>
      <c r="AD25" s="886"/>
      <c r="AE25" s="877"/>
      <c r="AF25" s="879"/>
      <c r="AG25" s="877"/>
      <c r="AH25" s="877"/>
      <c r="AI25" s="877"/>
      <c r="AJ25" s="877"/>
      <c r="AK25" s="886"/>
      <c r="AL25" s="877"/>
      <c r="AM25" s="879"/>
      <c r="AN25" s="877"/>
      <c r="AO25" s="877"/>
      <c r="AP25" s="877"/>
      <c r="AQ25" s="877"/>
      <c r="AR25" s="886"/>
      <c r="AS25" s="877"/>
      <c r="AT25" s="879"/>
      <c r="AU25" s="877"/>
      <c r="AV25" s="877"/>
      <c r="AW25" s="877"/>
      <c r="AX25" s="877"/>
      <c r="AY25" s="886"/>
      <c r="AZ25" s="877"/>
      <c r="BA25" s="879"/>
      <c r="BB25" s="877"/>
      <c r="BC25" s="877"/>
      <c r="BD25" s="877"/>
      <c r="BE25" s="877"/>
      <c r="BF25" s="886"/>
      <c r="BG25" s="877"/>
      <c r="BH25" s="879"/>
      <c r="BI25" s="877"/>
      <c r="BJ25" s="877"/>
      <c r="BK25" s="877"/>
      <c r="BL25" s="877"/>
      <c r="BM25" s="886"/>
      <c r="BN25" s="877"/>
      <c r="BO25" s="879"/>
      <c r="BP25" s="877"/>
      <c r="BQ25" s="877"/>
      <c r="BR25" s="877"/>
      <c r="BS25" s="877"/>
      <c r="BT25" s="886"/>
      <c r="BU25" s="877"/>
      <c r="BV25" s="879">
        <f>'Common input data'!$C$202*'Input data plant-based products'!AC7</f>
        <v>0.20087726476814774</v>
      </c>
      <c r="BW25" s="886">
        <f>'Common input data'!$C$202*'Input data plant-based products'!AD7</f>
        <v>0.267836353024197</v>
      </c>
      <c r="BX25" s="869"/>
      <c r="BY25" s="869"/>
      <c r="BZ25" s="869"/>
      <c r="CA25" s="869"/>
      <c r="CB25" s="869"/>
      <c r="CC25" s="869"/>
      <c r="CD25" s="869"/>
      <c r="CE25" s="869"/>
    </row>
    <row r="26" spans="1:83" s="406" customFormat="1" ht="17.25">
      <c r="A26" s="68"/>
      <c r="B26"/>
      <c r="C26" s="64"/>
      <c r="D26"/>
      <c r="E26" s="511" t="s">
        <v>317</v>
      </c>
      <c r="F26" s="877">
        <f>IF(AND($F$2="No",$F$3="No"),SUM(K26:L26),IF(AND($F$2="Yes", $F$3="No"), (SUM(K26:L26)+S26), IF(AND($F$2="No", $F$3="Yes"),(SUM(K26:L26)+R26), (SUM(K26:L26)+S26+R26))))</f>
        <v>0.108271767984466</v>
      </c>
      <c r="G26" s="877">
        <f>IF(AND($F$2="No",$F$3="No"),SUM(I26:Q26),IF(AND($F$2="Yes", $F$3="No"), (SUM(I26:Q26)+S26), IF(AND($F$2="No", $F$3="Yes"),(SUM(I26:Q26)+R26), (SUM(I26:Q26)+S26+R26))))</f>
        <v>0.28880377989401007</v>
      </c>
      <c r="H26" s="878">
        <f>SUM(U26:W26)/(1-'Common input data'!$B$141)</f>
        <v>0.67316412041612406</v>
      </c>
      <c r="I26" s="928">
        <f>('Input data plant-based products'!$F$7*('Common input data'!$B$93*'Common input data'!B86+'Common input data'!$B$94*'Common input data'!C86))/'Input data plant-based products'!$E$7</f>
        <v>6.7944330355748039E-2</v>
      </c>
      <c r="J26" s="877">
        <f>'Common input data'!$B$98</f>
        <v>0.03</v>
      </c>
      <c r="K26" s="877">
        <v>0</v>
      </c>
      <c r="L26" s="877">
        <v>0</v>
      </c>
      <c r="M26" s="877"/>
      <c r="N26" s="877">
        <f>('Input data plant-based products'!$P$7*'Common input data'!$C$76*'Common input data'!H66)/'Input data plant-based products'!$E$7</f>
        <v>4.3564713553795993E-2</v>
      </c>
      <c r="O26" s="877">
        <v>0</v>
      </c>
      <c r="P26" s="877">
        <v>0</v>
      </c>
      <c r="Q26" s="877">
        <f>'Input data plant-based products'!$B$267*'Common input data'!$B$76*'Common input data'!B66+'Input data plant-based products'!C$267*'Common input data'!B80</f>
        <v>3.9022968000000005E-2</v>
      </c>
      <c r="R26" s="877">
        <f>'Common input data'!B$19</f>
        <v>0.108271767984466</v>
      </c>
      <c r="S26" s="877">
        <v>0</v>
      </c>
      <c r="T26" s="877">
        <f>'Input data plant-based products'!$E$267*'Common input data'!$B$76*'Common input data'!B66+'Input data plant-based products'!F$267*'Common input data'!B80</f>
        <v>0.1233845109216834</v>
      </c>
      <c r="U26" s="877">
        <f>(G26+T26)*'Common input data'!$D$42/'Common input data'!$C$42</f>
        <v>0.4871316164185468</v>
      </c>
      <c r="V26" s="877">
        <f>'Common input data'!$B$105</f>
        <v>0.05</v>
      </c>
      <c r="W26" s="878">
        <f>'Common input data'!C$115</f>
        <v>0.03</v>
      </c>
      <c r="X26" s="869"/>
      <c r="Y26" s="879"/>
      <c r="Z26" s="877"/>
      <c r="AA26" s="877"/>
      <c r="AB26" s="877"/>
      <c r="AC26" s="877"/>
      <c r="AD26" s="886"/>
      <c r="AE26" s="877"/>
      <c r="AF26" s="879"/>
      <c r="AG26" s="877"/>
      <c r="AH26" s="877"/>
      <c r="AI26" s="877"/>
      <c r="AJ26" s="877"/>
      <c r="AK26" s="886"/>
      <c r="AL26" s="877"/>
      <c r="AM26" s="879"/>
      <c r="AN26" s="877"/>
      <c r="AO26" s="877"/>
      <c r="AP26" s="877"/>
      <c r="AQ26" s="877"/>
      <c r="AR26" s="886"/>
      <c r="AS26" s="877"/>
      <c r="AT26" s="879"/>
      <c r="AU26" s="877"/>
      <c r="AV26" s="877"/>
      <c r="AW26" s="877"/>
      <c r="AX26" s="877"/>
      <c r="AY26" s="886"/>
      <c r="AZ26" s="877"/>
      <c r="BA26" s="879"/>
      <c r="BB26" s="877"/>
      <c r="BC26" s="877"/>
      <c r="BD26" s="877"/>
      <c r="BE26" s="877"/>
      <c r="BF26" s="886"/>
      <c r="BG26" s="877"/>
      <c r="BH26" s="879"/>
      <c r="BI26" s="877"/>
      <c r="BJ26" s="877"/>
      <c r="BK26" s="877"/>
      <c r="BL26" s="877"/>
      <c r="BM26" s="886"/>
      <c r="BN26" s="877"/>
      <c r="BO26" s="879"/>
      <c r="BP26" s="877"/>
      <c r="BQ26" s="877"/>
      <c r="BR26" s="877"/>
      <c r="BS26" s="877"/>
      <c r="BT26" s="886"/>
      <c r="BU26" s="877"/>
      <c r="BV26" s="879"/>
      <c r="BW26" s="886"/>
      <c r="BX26" s="869"/>
      <c r="BY26" s="869"/>
      <c r="BZ26" s="869"/>
      <c r="CA26" s="869"/>
      <c r="CB26" s="869"/>
      <c r="CC26" s="869"/>
      <c r="CD26" s="869"/>
      <c r="CE26" s="869"/>
    </row>
    <row r="27" spans="1:83" s="406" customFormat="1" ht="17.25">
      <c r="A27" s="18"/>
      <c r="B27" s="23"/>
      <c r="C27" s="595"/>
      <c r="D27" s="50"/>
      <c r="E27" s="511" t="s">
        <v>367</v>
      </c>
      <c r="F27" s="877">
        <f>SUM(K27:L27)</f>
        <v>0</v>
      </c>
      <c r="G27" s="877">
        <f>SUM(I27:Q27)</f>
        <v>1.1895200271048111E-4</v>
      </c>
      <c r="H27" s="878">
        <f>SUM(U27:W27)/(1-'Common input data'!$B$141)</f>
        <v>1.7928668536089037E-4</v>
      </c>
      <c r="I27" s="928">
        <f>('Input data plant-based products'!$F$7*('Common input data'!$B$93*'Common input data'!B87+'Common input data'!$B$94*'Common input data'!C87))/'Input data plant-based products'!$E$7</f>
        <v>8.5477323595436872E-5</v>
      </c>
      <c r="J27" s="877">
        <v>0</v>
      </c>
      <c r="K27" s="877">
        <v>0</v>
      </c>
      <c r="L27" s="877">
        <v>0</v>
      </c>
      <c r="M27" s="877"/>
      <c r="N27" s="877">
        <f>('Input data plant-based products'!$P$7*'Common input data'!$C$76*'Common input data'!H67)/'Input data plant-based products'!$E$7</f>
        <v>1.9297699115044249E-5</v>
      </c>
      <c r="O27" s="877">
        <v>0</v>
      </c>
      <c r="P27" s="877">
        <v>0</v>
      </c>
      <c r="Q27" s="877">
        <f>'Input data plant-based products'!$B$267*'Common input data'!$B$76*'Common input data'!B67</f>
        <v>1.4176980000000002E-5</v>
      </c>
      <c r="R27" s="877">
        <v>0</v>
      </c>
      <c r="S27" s="877">
        <v>0</v>
      </c>
      <c r="T27" s="877">
        <f>'Input data plant-based products'!$E$267*'Common input data'!$B$76*'Common input data'!B67</f>
        <v>8.8566538505897767E-6</v>
      </c>
      <c r="U27" s="877">
        <f>(G27+T27)*'Common input data'!$D$42/'Common input data'!$C$42</f>
        <v>1.5104659411762923E-4</v>
      </c>
      <c r="V27" s="877">
        <v>0</v>
      </c>
      <c r="W27" s="878">
        <v>0</v>
      </c>
      <c r="X27" s="869"/>
      <c r="Y27" s="879"/>
      <c r="Z27" s="877"/>
      <c r="AA27" s="877"/>
      <c r="AB27" s="877"/>
      <c r="AC27" s="877"/>
      <c r="AD27" s="886"/>
      <c r="AE27" s="877"/>
      <c r="AF27" s="879"/>
      <c r="AG27" s="877"/>
      <c r="AH27" s="877"/>
      <c r="AI27" s="877"/>
      <c r="AJ27" s="877"/>
      <c r="AK27" s="886"/>
      <c r="AL27" s="877"/>
      <c r="AM27" s="879"/>
      <c r="AN27" s="877"/>
      <c r="AO27" s="877"/>
      <c r="AP27" s="877"/>
      <c r="AQ27" s="877"/>
      <c r="AR27" s="886"/>
      <c r="AS27" s="877"/>
      <c r="AT27" s="879"/>
      <c r="AU27" s="877"/>
      <c r="AV27" s="877"/>
      <c r="AW27" s="877"/>
      <c r="AX27" s="877"/>
      <c r="AY27" s="886"/>
      <c r="AZ27" s="877"/>
      <c r="BA27" s="879"/>
      <c r="BB27" s="877"/>
      <c r="BC27" s="877"/>
      <c r="BD27" s="877"/>
      <c r="BE27" s="877"/>
      <c r="BF27" s="886"/>
      <c r="BG27" s="877"/>
      <c r="BH27" s="879"/>
      <c r="BI27" s="877"/>
      <c r="BJ27" s="877"/>
      <c r="BK27" s="877"/>
      <c r="BL27" s="877"/>
      <c r="BM27" s="886"/>
      <c r="BN27" s="877"/>
      <c r="BO27" s="879"/>
      <c r="BP27" s="877"/>
      <c r="BQ27" s="877"/>
      <c r="BR27" s="877"/>
      <c r="BS27" s="877"/>
      <c r="BT27" s="886"/>
      <c r="BU27" s="877"/>
      <c r="BV27" s="879"/>
      <c r="BW27" s="886"/>
      <c r="BX27" s="869"/>
      <c r="BY27" s="869"/>
      <c r="BZ27" s="869"/>
      <c r="CA27" s="869"/>
      <c r="CB27" s="869"/>
      <c r="CC27" s="869"/>
      <c r="CD27" s="869"/>
      <c r="CE27" s="869"/>
    </row>
    <row r="28" spans="1:83" s="406" customFormat="1" ht="17.25">
      <c r="A28" s="359"/>
      <c r="B28"/>
      <c r="C28" s="83"/>
      <c r="D28" s="54"/>
      <c r="E28" s="512" t="s">
        <v>320</v>
      </c>
      <c r="F28" s="877">
        <f>SUM(K28:L28)</f>
        <v>7.8331996290691337E-4</v>
      </c>
      <c r="G28" s="877">
        <f>SUM(I28:Q28)</f>
        <v>9.2868352753540308E-4</v>
      </c>
      <c r="H28" s="878">
        <f>SUM(U28:W28)/(1-'Common input data'!$B$141)</f>
        <v>1.3038914702474729E-3</v>
      </c>
      <c r="I28" s="928">
        <f>('Input data plant-based products'!$F$7*('Common input data'!$B$93*'Common input data'!B88+'Common input data'!$B$94*'Common input data'!C88))/'Input data plant-based products'!$E$7</f>
        <v>1.4287135421011061E-4</v>
      </c>
      <c r="J28" s="877">
        <v>0</v>
      </c>
      <c r="K28" s="877">
        <f>(SUM(('Input data plant-based products'!$F$7*'Input data plant-based products'!$B$258),(('Input data plant-based products'!$G$7+'Input data plant-based products'!$H$7)*'Input data plant-based products'!$B$259))*44/28)/'Input data plant-based products'!$E$7</f>
        <v>7.1210905718810304E-4</v>
      </c>
      <c r="L28" s="877">
        <f>K28*'Input data plant-based products'!$B$261</f>
        <v>7.1210905718810313E-5</v>
      </c>
      <c r="M28" s="877"/>
      <c r="N28" s="877">
        <f>('Input data plant-based products'!$P$7*'Common input data'!$C$76*'Common input data'!H68)/'Input data plant-based products'!$E$7</f>
        <v>1.1706008383791338E-6</v>
      </c>
      <c r="O28" s="877">
        <v>0</v>
      </c>
      <c r="P28" s="877">
        <v>0</v>
      </c>
      <c r="Q28" s="877">
        <f>'Input data plant-based products'!$B$267*'Common input data'!$B$76*'Common input data'!B68</f>
        <v>1.32160958E-6</v>
      </c>
      <c r="R28" s="877">
        <v>0</v>
      </c>
      <c r="S28" s="877">
        <v>0</v>
      </c>
      <c r="T28" s="877">
        <f>'Input data plant-based products'!$E$267*'Common input data'!$B$76*'Common input data'!B68</f>
        <v>8.256369534049801E-7</v>
      </c>
      <c r="U28" s="877">
        <f>(G28+T28)*'Common input data'!$D$42/'Common input data'!$C$42</f>
        <v>1.0985108307595005E-3</v>
      </c>
      <c r="V28" s="877">
        <v>0</v>
      </c>
      <c r="W28" s="878">
        <v>0</v>
      </c>
      <c r="X28" s="869"/>
      <c r="Y28" s="879"/>
      <c r="Z28" s="877"/>
      <c r="AA28" s="877"/>
      <c r="AB28" s="877"/>
      <c r="AC28" s="877"/>
      <c r="AD28" s="886"/>
      <c r="AE28" s="877"/>
      <c r="AF28" s="879"/>
      <c r="AG28" s="877"/>
      <c r="AH28" s="877"/>
      <c r="AI28" s="877"/>
      <c r="AJ28" s="877"/>
      <c r="AK28" s="886"/>
      <c r="AL28" s="877"/>
      <c r="AM28" s="879"/>
      <c r="AN28" s="877"/>
      <c r="AO28" s="877"/>
      <c r="AP28" s="877"/>
      <c r="AQ28" s="877"/>
      <c r="AR28" s="886"/>
      <c r="AS28" s="877"/>
      <c r="AT28" s="879"/>
      <c r="AU28" s="877"/>
      <c r="AV28" s="877"/>
      <c r="AW28" s="877"/>
      <c r="AX28" s="877"/>
      <c r="AY28" s="886"/>
      <c r="AZ28" s="877"/>
      <c r="BA28" s="879"/>
      <c r="BB28" s="877"/>
      <c r="BC28" s="877"/>
      <c r="BD28" s="877"/>
      <c r="BE28" s="877"/>
      <c r="BF28" s="886"/>
      <c r="BG28" s="877"/>
      <c r="BH28" s="879"/>
      <c r="BI28" s="877"/>
      <c r="BJ28" s="877"/>
      <c r="BK28" s="877"/>
      <c r="BL28" s="877"/>
      <c r="BM28" s="886"/>
      <c r="BN28" s="877"/>
      <c r="BO28" s="879"/>
      <c r="BP28" s="877"/>
      <c r="BQ28" s="877"/>
      <c r="BR28" s="877"/>
      <c r="BS28" s="877"/>
      <c r="BT28" s="886"/>
      <c r="BU28" s="877"/>
      <c r="BV28" s="879"/>
      <c r="BW28" s="886"/>
      <c r="BX28" s="869"/>
      <c r="BY28" s="869"/>
      <c r="BZ28" s="869"/>
      <c r="CA28" s="869"/>
      <c r="CB28" s="869"/>
      <c r="CC28" s="869"/>
      <c r="CD28" s="869"/>
      <c r="CE28" s="869"/>
    </row>
    <row r="29" spans="1:83" s="406" customFormat="1" ht="17.25">
      <c r="A29" s="362" t="s">
        <v>436</v>
      </c>
      <c r="B29" s="363"/>
      <c r="C29" s="770"/>
      <c r="D29" s="54"/>
      <c r="E29" s="939"/>
      <c r="F29" s="892" t="s">
        <v>437</v>
      </c>
      <c r="G29" s="892" t="s">
        <v>437</v>
      </c>
      <c r="H29" s="970" t="s">
        <v>438</v>
      </c>
      <c r="I29" s="1279"/>
      <c r="J29" s="889"/>
      <c r="K29" s="889"/>
      <c r="L29" s="889"/>
      <c r="M29" s="889"/>
      <c r="N29" s="889"/>
      <c r="O29" s="891"/>
      <c r="P29" s="889"/>
      <c r="Q29" s="889"/>
      <c r="R29" s="889"/>
      <c r="S29" s="889"/>
      <c r="T29" s="889"/>
      <c r="U29" s="889"/>
      <c r="V29" s="889"/>
      <c r="W29" s="1280"/>
      <c r="X29" s="869"/>
      <c r="Y29" s="879"/>
      <c r="Z29" s="877"/>
      <c r="AA29" s="877"/>
      <c r="AB29" s="877"/>
      <c r="AC29" s="877"/>
      <c r="AD29" s="886"/>
      <c r="AE29" s="877"/>
      <c r="AF29" s="879"/>
      <c r="AG29" s="877"/>
      <c r="AH29" s="877"/>
      <c r="AI29" s="877"/>
      <c r="AJ29" s="877"/>
      <c r="AK29" s="886"/>
      <c r="AL29" s="877"/>
      <c r="AM29" s="879"/>
      <c r="AN29" s="877"/>
      <c r="AO29" s="877"/>
      <c r="AP29" s="877"/>
      <c r="AQ29" s="877"/>
      <c r="AR29" s="886"/>
      <c r="AS29" s="877"/>
      <c r="AT29" s="879"/>
      <c r="AU29" s="877"/>
      <c r="AV29" s="877"/>
      <c r="AW29" s="877"/>
      <c r="AX29" s="877"/>
      <c r="AY29" s="886"/>
      <c r="AZ29" s="877"/>
      <c r="BA29" s="879"/>
      <c r="BB29" s="877"/>
      <c r="BC29" s="877"/>
      <c r="BD29" s="877"/>
      <c r="BE29" s="877"/>
      <c r="BF29" s="886"/>
      <c r="BG29" s="877"/>
      <c r="BH29" s="879"/>
      <c r="BI29" s="877"/>
      <c r="BJ29" s="877"/>
      <c r="BK29" s="877"/>
      <c r="BL29" s="877"/>
      <c r="BM29" s="886"/>
      <c r="BN29" s="877"/>
      <c r="BO29" s="879"/>
      <c r="BP29" s="877"/>
      <c r="BQ29" s="877"/>
      <c r="BR29" s="877"/>
      <c r="BS29" s="877"/>
      <c r="BT29" s="886"/>
      <c r="BU29" s="877"/>
      <c r="BV29" s="879"/>
      <c r="BW29" s="886"/>
      <c r="BX29" s="869"/>
      <c r="BY29" s="869"/>
      <c r="BZ29" s="869"/>
      <c r="CA29" s="869"/>
      <c r="CB29" s="869"/>
      <c r="CC29" s="869"/>
      <c r="CD29" s="869"/>
      <c r="CE29" s="869"/>
    </row>
    <row r="30" spans="1:83" s="406" customFormat="1" ht="17.25">
      <c r="A30" s="497" t="s">
        <v>122</v>
      </c>
      <c r="B30" s="500" t="s">
        <v>121</v>
      </c>
      <c r="C30" s="133">
        <f>'Input data plant-based products'!D8</f>
        <v>0.19348621637462843</v>
      </c>
      <c r="D30" s="54"/>
      <c r="E30" s="513" t="s">
        <v>316</v>
      </c>
      <c r="F30" s="872">
        <f>SUMPRODUCT($CJ$6:$CJ$8,F31:F33)</f>
        <v>0.23875761515275171</v>
      </c>
      <c r="G30" s="872">
        <f>SUMPRODUCT($CJ$6:$CJ$8,G31:G33)</f>
        <v>0.40971275415993202</v>
      </c>
      <c r="H30" s="873">
        <f>SUMPRODUCT($CJ$6:$CJ$8,H31:H33)</f>
        <v>0.84310035821491491</v>
      </c>
      <c r="I30" s="1274"/>
      <c r="J30" s="875"/>
      <c r="K30" s="875"/>
      <c r="L30" s="875"/>
      <c r="M30" s="875"/>
      <c r="N30" s="875"/>
      <c r="O30" s="875"/>
      <c r="P30" s="875"/>
      <c r="Q30" s="875"/>
      <c r="R30" s="875"/>
      <c r="S30" s="875"/>
      <c r="T30" s="875"/>
      <c r="U30" s="875"/>
      <c r="V30" s="875"/>
      <c r="W30" s="1271"/>
      <c r="X30" s="869"/>
      <c r="Y30" s="883">
        <f>1/'Input data plant-based products'!E8*10^4</f>
        <v>1.6622340425531914</v>
      </c>
      <c r="Z30" s="884">
        <f>$Y30*'Input data plant-based products'!Z8</f>
        <v>1.6622340425531914</v>
      </c>
      <c r="AA30" s="884">
        <f>$Y30*'Input data plant-based products'!AA8</f>
        <v>2.1587455098093393</v>
      </c>
      <c r="AB30" s="884">
        <f>$Y30*'Input data plant-based products'!AB8</f>
        <v>1.9644584139264991</v>
      </c>
      <c r="AC30" s="884">
        <f>$Y30*'Input data plant-based products'!AC8</f>
        <v>2.3317390214566061</v>
      </c>
      <c r="AD30" s="885">
        <f>$Y30*'Input data plant-based products'!AD8</f>
        <v>3.1089853619421417</v>
      </c>
      <c r="AE30" s="877"/>
      <c r="AF30" s="883">
        <f>SUM('Input data plant-based products'!F8,'Input data plant-based products'!Q8)/'Input data plant-based products'!E8</f>
        <v>1.4960106382978724E-2</v>
      </c>
      <c r="AG30" s="884">
        <f>$AF30*'Input data plant-based products'!Z8</f>
        <v>1.4960106382978724E-2</v>
      </c>
      <c r="AH30" s="884">
        <f>$AF30*'Input data plant-based products'!AA8</f>
        <v>1.9428709588284056E-2</v>
      </c>
      <c r="AI30" s="884">
        <f>$AF30*'Input data plant-based products'!AB8</f>
        <v>1.7680125725338492E-2</v>
      </c>
      <c r="AJ30" s="884">
        <f>$AF30*'Input data plant-based products'!AC8</f>
        <v>2.098565119310946E-2</v>
      </c>
      <c r="AK30" s="885">
        <f>$AF30*'Input data plant-based products'!AD8</f>
        <v>2.798086825747928E-2</v>
      </c>
      <c r="AL30" s="877"/>
      <c r="AM30" s="883">
        <f>'Input data plant-based products'!R8/'Input data plant-based products'!E8</f>
        <v>1.0527482269503546E-3</v>
      </c>
      <c r="AN30" s="884">
        <f>$AM30*'Input data plant-based products'!Z8</f>
        <v>1.0527482269503546E-3</v>
      </c>
      <c r="AO30" s="884">
        <f>$AM30*'Input data plant-based products'!AA8</f>
        <v>1.3672054895459151E-3</v>
      </c>
      <c r="AP30" s="884">
        <f>$AM30*'Input data plant-based products'!AB8</f>
        <v>1.2441569954867828E-3</v>
      </c>
      <c r="AQ30" s="884">
        <f>$AM30*'Input data plant-based products'!AC8</f>
        <v>1.4767680469225174E-3</v>
      </c>
      <c r="AR30" s="885">
        <f>$AM30*'Input data plant-based products'!AD8</f>
        <v>1.9690240625633566E-3</v>
      </c>
      <c r="AS30" s="877"/>
      <c r="AT30" s="883">
        <f>'Input data plant-based products'!S8</f>
        <v>0</v>
      </c>
      <c r="AU30" s="884">
        <f>$AT30*'Input data plant-based products'!Z8</f>
        <v>0</v>
      </c>
      <c r="AV30" s="884">
        <f>$AT30*'Input data plant-based products'!AA8</f>
        <v>0</v>
      </c>
      <c r="AW30" s="884">
        <f>$AT30*'Input data plant-based products'!AB8</f>
        <v>0</v>
      </c>
      <c r="AX30" s="884">
        <f>$AT30*'Input data plant-based products'!AC8</f>
        <v>0</v>
      </c>
      <c r="AY30" s="885">
        <f>$AT30*'Input data plant-based products'!AD8</f>
        <v>0</v>
      </c>
      <c r="AZ30" s="877"/>
      <c r="BA30" s="883">
        <f>((SUM('Input data plant-based products'!U8:Y8)*'Grains, oil crops, sugar'!Y30)/('Common input data'!$B$192/10^6))/$BB$3</f>
        <v>1.1758469196258358E-11</v>
      </c>
      <c r="BB30" s="884">
        <f>$BA30*'Input data plant-based products'!Z8</f>
        <v>1.1758469196258358E-11</v>
      </c>
      <c r="BC30" s="884">
        <f>$BA30*'Input data plant-based products'!AA8</f>
        <v>1.5270739215919947E-11</v>
      </c>
      <c r="BD30" s="884">
        <f>$BA30*'Input data plant-based products'!AB8</f>
        <v>1.3896372686487152E-11</v>
      </c>
      <c r="BE30" s="884">
        <f>$BA30*'Input data plant-based products'!AC8</f>
        <v>1.6494477164838687E-11</v>
      </c>
      <c r="BF30" s="885">
        <f>$BA30*'Input data plant-based products'!AD8</f>
        <v>2.1992636219784916E-11</v>
      </c>
      <c r="BG30" s="877"/>
      <c r="BH30" s="883">
        <f>'Input data plant-based products'!T8/'Input data plant-based products'!E8</f>
        <v>2.0029920212765958E-4</v>
      </c>
      <c r="BI30" s="884">
        <f>$BH30*'Input data plant-based products'!Z8</f>
        <v>2.0029920212765958E-4</v>
      </c>
      <c r="BJ30" s="884">
        <f>$BH30*'Input data plant-based products'!AA8</f>
        <v>2.6012883393202542E-4</v>
      </c>
      <c r="BK30" s="884">
        <f>$BH30*'Input data plant-based products'!AB8</f>
        <v>2.3671723887814315E-4</v>
      </c>
      <c r="BL30" s="884">
        <f>$BH30*'Input data plant-based products'!AC8</f>
        <v>2.809745520855211E-4</v>
      </c>
      <c r="BM30" s="885">
        <f>$BH30*'Input data plant-based products'!AD8</f>
        <v>3.7463273611402815E-4</v>
      </c>
      <c r="BN30" s="877"/>
      <c r="BO30" s="883">
        <f>('Input data plant-based products'!F8/'Input data plant-based products'!E8*'Common input data'!$B$195+'Input data plant-based products'!G8/'Input data plant-based products'!E8*'Common input data'!$B$196)/'Common input data'!$B$198</f>
        <v>9.7798870677693055E-4</v>
      </c>
      <c r="BP30" s="884">
        <f>$BO30*'Input data plant-based products'!Z8</f>
        <v>9.7798870677693055E-4</v>
      </c>
      <c r="BQ30" s="884">
        <f>$BO30*'Input data plant-based products'!AA8</f>
        <v>1.2701152036064033E-3</v>
      </c>
      <c r="BR30" s="884">
        <f>$BO30*'Input data plant-based products'!AB8</f>
        <v>1.1558048352818271E-3</v>
      </c>
      <c r="BS30" s="884">
        <f>$BO30*'Input data plant-based products'!AC8</f>
        <v>1.3718973211696082E-3</v>
      </c>
      <c r="BT30" s="885">
        <f>$BO30*'Input data plant-based products'!AD8</f>
        <v>1.8291964282261444E-3</v>
      </c>
      <c r="BU30" s="877"/>
      <c r="BV30" s="883">
        <f>'Common input data'!$C$202*'Input data plant-based products'!AC8</f>
        <v>0.20087726476814774</v>
      </c>
      <c r="BW30" s="885">
        <f>'Common input data'!$C$202*'Input data plant-based products'!AD8</f>
        <v>0.267836353024197</v>
      </c>
      <c r="BX30" s="869"/>
      <c r="BY30" s="869"/>
      <c r="BZ30" s="869"/>
      <c r="CA30" s="869"/>
      <c r="CB30" s="869"/>
      <c r="CC30" s="869"/>
      <c r="CD30" s="869"/>
      <c r="CE30" s="869"/>
    </row>
    <row r="31" spans="1:83" s="406" customFormat="1" ht="17.25">
      <c r="A31" s="18"/>
      <c r="B31"/>
      <c r="C31" s="64"/>
      <c r="D31"/>
      <c r="E31" s="511" t="s">
        <v>317</v>
      </c>
      <c r="F31" s="877">
        <f>IF(AND($F$2="No",$F$3="No"),SUM(K31:L31),IF(AND($F$2="Yes", $F$3="No"), (SUM(K31:L31)+S31), IF(AND($F$2="No", $F$3="Yes"),(SUM(K31:L31)+R31), (SUM(K31:L31)+S31+R31))))</f>
        <v>0.108271767984466</v>
      </c>
      <c r="G31" s="877">
        <f>IF(AND($F$2="No",$F$3="No"),SUM(I31:Q31),IF(AND($F$2="Yes", $F$3="No"), (SUM(I31:Q31)+S31), IF(AND($F$2="No", $F$3="Yes"),(SUM(I31:Q31)+R31), (SUM(I31:Q31)+S31+R31))))</f>
        <v>0.25532140634966127</v>
      </c>
      <c r="H31" s="878">
        <f>SUM(U31:W31)/(1-'Common input data'!$B$141)</f>
        <v>0.62619591081043846</v>
      </c>
      <c r="I31" s="928">
        <f>('Input data plant-based products'!$F$8*('Common input data'!$B$93*'Common input data'!B86+'Common input data'!$B$94*'Common input data'!C86))/'Input data plant-based products'!$E$8</f>
        <v>4.6931776748174024E-2</v>
      </c>
      <c r="J31" s="877">
        <f>'Common input data'!$B$98</f>
        <v>0.03</v>
      </c>
      <c r="K31" s="877">
        <v>0</v>
      </c>
      <c r="L31" s="877">
        <v>0</v>
      </c>
      <c r="M31" s="877"/>
      <c r="N31" s="877">
        <f>('Input data plant-based products'!$P$8*'Common input data'!$C$76*'Common input data'!H66)/'Input data plant-based products'!$E$8</f>
        <v>3.1094893617021276E-2</v>
      </c>
      <c r="O31" s="877">
        <v>0</v>
      </c>
      <c r="P31" s="877">
        <v>0</v>
      </c>
      <c r="Q31" s="877">
        <f>'Input data plant-based products'!$B$267*'Common input data'!$B$76*'Common input data'!B66+'Input data plant-based products'!C$267*'Common input data'!B80</f>
        <v>3.9022968000000005E-2</v>
      </c>
      <c r="R31" s="877">
        <f>'Common input data'!B$19</f>
        <v>0.108271767984466</v>
      </c>
      <c r="S31" s="877">
        <v>0</v>
      </c>
      <c r="T31" s="877">
        <f>'Input data plant-based products'!$E$267*'Common input data'!$B$76*'Common input data'!B66+'Input data plant-based products'!F$267*'Common input data'!B80</f>
        <v>0.1233845109216834</v>
      </c>
      <c r="U31" s="877">
        <f>(G31+T31)*'Common input data'!$D$42/'Common input data'!$C$42</f>
        <v>0.44756153859340736</v>
      </c>
      <c r="V31" s="877">
        <f>'Common input data'!$B$105</f>
        <v>0.05</v>
      </c>
      <c r="W31" s="878">
        <f>'Common input data'!C$115</f>
        <v>0.03</v>
      </c>
      <c r="X31" s="869"/>
      <c r="Y31" s="879"/>
      <c r="Z31" s="877"/>
      <c r="AA31" s="877"/>
      <c r="AB31" s="877"/>
      <c r="AC31" s="877"/>
      <c r="AD31" s="886"/>
      <c r="AE31" s="877"/>
      <c r="AF31" s="879"/>
      <c r="AG31" s="877"/>
      <c r="AH31" s="877"/>
      <c r="AI31" s="877"/>
      <c r="AJ31" s="877"/>
      <c r="AK31" s="886"/>
      <c r="AL31" s="877"/>
      <c r="AM31" s="879"/>
      <c r="AN31" s="877"/>
      <c r="AO31" s="877"/>
      <c r="AP31" s="877"/>
      <c r="AQ31" s="877"/>
      <c r="AR31" s="886"/>
      <c r="AS31" s="877"/>
      <c r="AT31" s="879"/>
      <c r="AU31" s="877"/>
      <c r="AV31" s="877"/>
      <c r="AW31" s="877"/>
      <c r="AX31" s="877"/>
      <c r="AY31" s="886"/>
      <c r="AZ31" s="877"/>
      <c r="BA31" s="879"/>
      <c r="BB31" s="877"/>
      <c r="BC31" s="877"/>
      <c r="BD31" s="877"/>
      <c r="BE31" s="877"/>
      <c r="BF31" s="886"/>
      <c r="BG31" s="877"/>
      <c r="BH31" s="879"/>
      <c r="BI31" s="877"/>
      <c r="BJ31" s="877"/>
      <c r="BK31" s="877"/>
      <c r="BL31" s="877"/>
      <c r="BM31" s="886"/>
      <c r="BN31" s="877"/>
      <c r="BO31" s="879"/>
      <c r="BP31" s="877"/>
      <c r="BQ31" s="877"/>
      <c r="BR31" s="877"/>
      <c r="BS31" s="877"/>
      <c r="BT31" s="886"/>
      <c r="BU31" s="877"/>
      <c r="BV31" s="879"/>
      <c r="BW31" s="886"/>
      <c r="BX31" s="869"/>
      <c r="BY31" s="869"/>
      <c r="BZ31" s="869"/>
      <c r="CA31" s="869"/>
      <c r="CB31" s="869"/>
      <c r="CC31" s="869"/>
      <c r="CD31" s="869"/>
      <c r="CE31" s="869"/>
    </row>
    <row r="32" spans="1:83" s="406" customFormat="1" ht="17.25">
      <c r="A32" s="18"/>
      <c r="B32"/>
      <c r="C32" s="595"/>
      <c r="D32" s="50"/>
      <c r="E32" s="511" t="s">
        <v>367</v>
      </c>
      <c r="F32" s="877">
        <f>SUM(K32:L32)</f>
        <v>0</v>
      </c>
      <c r="G32" s="877">
        <f>SUM(I32:Q32)</f>
        <v>8.699346263536044E-5</v>
      </c>
      <c r="H32" s="878">
        <f>SUM(U32:W32)/(1-'Common input data'!$B$141)</f>
        <v>1.3445607002378508E-4</v>
      </c>
      <c r="I32" s="928">
        <f>('Input data plant-based products'!$F$8*('Common input data'!$B$93*'Common input data'!B87+'Common input data'!$B$94*'Common input data'!C87))/'Input data plant-based products'!$E$8</f>
        <v>5.9042493273658297E-5</v>
      </c>
      <c r="J32" s="877">
        <v>0</v>
      </c>
      <c r="K32" s="877">
        <v>0</v>
      </c>
      <c r="L32" s="877">
        <v>0</v>
      </c>
      <c r="M32" s="877"/>
      <c r="N32" s="877">
        <f>('Input data plant-based products'!$P$8*'Common input data'!$C$76*'Common input data'!H67)/'Input data plant-based products'!$E$8</f>
        <v>1.3773989361702129E-5</v>
      </c>
      <c r="O32" s="877">
        <v>0</v>
      </c>
      <c r="P32" s="877">
        <v>0</v>
      </c>
      <c r="Q32" s="877">
        <f>'Input data plant-based products'!$B$267*'Common input data'!$B$76*'Common input data'!B67</f>
        <v>1.4176980000000002E-5</v>
      </c>
      <c r="R32" s="877">
        <v>0</v>
      </c>
      <c r="S32" s="877">
        <v>0</v>
      </c>
      <c r="T32" s="877">
        <f>'Input data plant-based products'!$E$267*'Common input data'!$B$76*'Common input data'!B67</f>
        <v>8.8566538505897767E-6</v>
      </c>
      <c r="U32" s="877">
        <f>(G32+T32)*'Common input data'!$D$42/'Common input data'!$C$42</f>
        <v>1.1327741039248662E-4</v>
      </c>
      <c r="V32" s="877">
        <v>0</v>
      </c>
      <c r="W32" s="878">
        <v>0</v>
      </c>
      <c r="X32" s="869"/>
      <c r="Y32" s="879"/>
      <c r="Z32" s="877"/>
      <c r="AA32" s="877"/>
      <c r="AB32" s="877"/>
      <c r="AC32" s="877"/>
      <c r="AD32" s="886"/>
      <c r="AE32" s="877"/>
      <c r="AF32" s="879"/>
      <c r="AG32" s="877"/>
      <c r="AH32" s="877"/>
      <c r="AI32" s="877"/>
      <c r="AJ32" s="877"/>
      <c r="AK32" s="886"/>
      <c r="AL32" s="877"/>
      <c r="AM32" s="879"/>
      <c r="AN32" s="877"/>
      <c r="AO32" s="877"/>
      <c r="AP32" s="877"/>
      <c r="AQ32" s="877"/>
      <c r="AR32" s="886"/>
      <c r="AS32" s="877"/>
      <c r="AT32" s="879"/>
      <c r="AU32" s="877"/>
      <c r="AV32" s="877"/>
      <c r="AW32" s="877"/>
      <c r="AX32" s="877"/>
      <c r="AY32" s="886"/>
      <c r="AZ32" s="877"/>
      <c r="BA32" s="879"/>
      <c r="BB32" s="877"/>
      <c r="BC32" s="877"/>
      <c r="BD32" s="877"/>
      <c r="BE32" s="877"/>
      <c r="BF32" s="886"/>
      <c r="BG32" s="877"/>
      <c r="BH32" s="879"/>
      <c r="BI32" s="877"/>
      <c r="BJ32" s="877"/>
      <c r="BK32" s="877"/>
      <c r="BL32" s="877"/>
      <c r="BM32" s="886"/>
      <c r="BN32" s="877"/>
      <c r="BO32" s="879"/>
      <c r="BP32" s="877"/>
      <c r="BQ32" s="877"/>
      <c r="BR32" s="877"/>
      <c r="BS32" s="877"/>
      <c r="BT32" s="886"/>
      <c r="BU32" s="877"/>
      <c r="BV32" s="879"/>
      <c r="BW32" s="886"/>
      <c r="BX32" s="869"/>
      <c r="BY32" s="869"/>
      <c r="BZ32" s="869"/>
      <c r="CA32" s="869"/>
      <c r="CB32" s="869"/>
      <c r="CC32" s="869"/>
      <c r="CD32" s="869"/>
      <c r="CE32" s="869"/>
    </row>
    <row r="33" spans="1:83" s="406" customFormat="1" ht="17.25">
      <c r="A33" s="18"/>
      <c r="B33"/>
      <c r="C33" s="83"/>
      <c r="D33" s="54"/>
      <c r="E33" s="512" t="s">
        <v>320</v>
      </c>
      <c r="F33" s="877">
        <f>SUM(K33:L33)</f>
        <v>5.6002509514285715E-4</v>
      </c>
      <c r="G33" s="877">
        <f>SUM(I33:Q33)</f>
        <v>6.6086900659177901E-4</v>
      </c>
      <c r="H33" s="878">
        <f>SUM(U33:W33)/(1-'Common input data'!$B$141)</f>
        <v>9.2820817113890407E-4</v>
      </c>
      <c r="I33" s="928">
        <f>('Input data plant-based products'!$F$8*('Common input data'!$B$93*'Common input data'!B88+'Common input data'!$B$94*'Common input data'!C88))/'Input data plant-based products'!$E$8</f>
        <v>9.8686769954028239E-5</v>
      </c>
      <c r="J33" s="877">
        <v>0</v>
      </c>
      <c r="K33" s="877">
        <f>(SUM(('Input data plant-based products'!$F$8*'Input data plant-based products'!$B$258),(('Input data plant-based products'!$G$8+'Input data plant-based products'!$H$8)*'Input data plant-based products'!$B$259))*44/28)/'Input data plant-based products'!$E$8</f>
        <v>5.0911372285714291E-4</v>
      </c>
      <c r="L33" s="877">
        <f>K33*'Input data plant-based products'!$B$261</f>
        <v>5.0911372285714295E-5</v>
      </c>
      <c r="M33" s="877"/>
      <c r="N33" s="877">
        <f>('Input data plant-based products'!$P$8*'Common input data'!$C$76*'Common input data'!H68)/'Input data plant-based products'!$E$8</f>
        <v>8.3553191489361703E-7</v>
      </c>
      <c r="O33" s="877">
        <v>0</v>
      </c>
      <c r="P33" s="877">
        <v>0</v>
      </c>
      <c r="Q33" s="877">
        <f>'Input data plant-based products'!$B$267*'Common input data'!$B$76*'Common input data'!B68</f>
        <v>1.32160958E-6</v>
      </c>
      <c r="R33" s="877">
        <v>0</v>
      </c>
      <c r="S33" s="877">
        <v>0</v>
      </c>
      <c r="T33" s="877">
        <f>'Input data plant-based products'!$E$267*'Common input data'!$B$76*'Common input data'!B68</f>
        <v>8.256369534049801E-7</v>
      </c>
      <c r="U33" s="877">
        <f>(G33+T33)*'Common input data'!$D$42/'Common input data'!$C$42</f>
        <v>7.8200276055339919E-4</v>
      </c>
      <c r="V33" s="877">
        <v>0</v>
      </c>
      <c r="W33" s="878">
        <v>0</v>
      </c>
      <c r="X33" s="869"/>
      <c r="Y33" s="879"/>
      <c r="Z33" s="877"/>
      <c r="AA33" s="877"/>
      <c r="AB33" s="877"/>
      <c r="AC33" s="877"/>
      <c r="AD33" s="886"/>
      <c r="AE33" s="877"/>
      <c r="AF33" s="879"/>
      <c r="AG33" s="877"/>
      <c r="AH33" s="877"/>
      <c r="AI33" s="877"/>
      <c r="AJ33" s="877"/>
      <c r="AK33" s="886"/>
      <c r="AL33" s="877"/>
      <c r="AM33" s="879"/>
      <c r="AN33" s="877"/>
      <c r="AO33" s="877"/>
      <c r="AP33" s="877"/>
      <c r="AQ33" s="877"/>
      <c r="AR33" s="886"/>
      <c r="AS33" s="877"/>
      <c r="AT33" s="879"/>
      <c r="AU33" s="877"/>
      <c r="AV33" s="877"/>
      <c r="AW33" s="877"/>
      <c r="AX33" s="877"/>
      <c r="AY33" s="886"/>
      <c r="AZ33" s="877"/>
      <c r="BA33" s="879"/>
      <c r="BB33" s="877"/>
      <c r="BC33" s="877"/>
      <c r="BD33" s="877"/>
      <c r="BE33" s="877"/>
      <c r="BF33" s="886"/>
      <c r="BG33" s="877"/>
      <c r="BH33" s="879"/>
      <c r="BI33" s="877"/>
      <c r="BJ33" s="877"/>
      <c r="BK33" s="877"/>
      <c r="BL33" s="877"/>
      <c r="BM33" s="886"/>
      <c r="BN33" s="877"/>
      <c r="BO33" s="879"/>
      <c r="BP33" s="877"/>
      <c r="BQ33" s="877"/>
      <c r="BR33" s="877"/>
      <c r="BS33" s="877"/>
      <c r="BT33" s="886"/>
      <c r="BU33" s="877"/>
      <c r="BV33" s="879"/>
      <c r="BW33" s="886"/>
      <c r="BX33" s="869"/>
      <c r="BY33" s="869"/>
      <c r="BZ33" s="869"/>
      <c r="CA33" s="869"/>
      <c r="CB33" s="869"/>
      <c r="CC33" s="869"/>
      <c r="CD33" s="869"/>
      <c r="CE33" s="869"/>
    </row>
    <row r="34" spans="1:83" s="406" customFormat="1" ht="17.25">
      <c r="A34" s="362" t="s">
        <v>439</v>
      </c>
      <c r="B34" s="363"/>
      <c r="C34" s="770"/>
      <c r="D34" s="54"/>
      <c r="E34" s="939"/>
      <c r="F34" s="892" t="s">
        <v>440</v>
      </c>
      <c r="G34" s="892" t="s">
        <v>440</v>
      </c>
      <c r="H34" s="970" t="s">
        <v>441</v>
      </c>
      <c r="I34" s="1279"/>
      <c r="J34" s="889"/>
      <c r="K34" s="889"/>
      <c r="L34" s="889"/>
      <c r="M34" s="889"/>
      <c r="N34" s="889"/>
      <c r="O34" s="891"/>
      <c r="P34" s="889"/>
      <c r="Q34" s="889"/>
      <c r="R34" s="889"/>
      <c r="S34" s="889"/>
      <c r="T34" s="889"/>
      <c r="U34" s="889"/>
      <c r="V34" s="889"/>
      <c r="W34" s="1280"/>
      <c r="X34" s="869"/>
      <c r="Y34" s="879"/>
      <c r="Z34" s="877"/>
      <c r="AA34" s="877"/>
      <c r="AB34" s="877"/>
      <c r="AC34" s="877"/>
      <c r="AD34" s="886"/>
      <c r="AE34" s="877"/>
      <c r="AF34" s="879"/>
      <c r="AG34" s="877"/>
      <c r="AH34" s="877"/>
      <c r="AI34" s="877"/>
      <c r="AJ34" s="877"/>
      <c r="AK34" s="886"/>
      <c r="AL34" s="877"/>
      <c r="AM34" s="879"/>
      <c r="AN34" s="877"/>
      <c r="AO34" s="877"/>
      <c r="AP34" s="877"/>
      <c r="AQ34" s="877"/>
      <c r="AR34" s="886"/>
      <c r="AS34" s="877"/>
      <c r="AT34" s="879"/>
      <c r="AU34" s="877"/>
      <c r="AV34" s="877"/>
      <c r="AW34" s="877"/>
      <c r="AX34" s="877"/>
      <c r="AY34" s="886"/>
      <c r="AZ34" s="877"/>
      <c r="BA34" s="879"/>
      <c r="BB34" s="877"/>
      <c r="BC34" s="877"/>
      <c r="BD34" s="877"/>
      <c r="BE34" s="877"/>
      <c r="BF34" s="886"/>
      <c r="BG34" s="877"/>
      <c r="BH34" s="879"/>
      <c r="BI34" s="877"/>
      <c r="BJ34" s="877"/>
      <c r="BK34" s="877"/>
      <c r="BL34" s="877"/>
      <c r="BM34" s="886"/>
      <c r="BN34" s="877"/>
      <c r="BO34" s="879"/>
      <c r="BP34" s="877"/>
      <c r="BQ34" s="877"/>
      <c r="BR34" s="877"/>
      <c r="BS34" s="877"/>
      <c r="BT34" s="886"/>
      <c r="BU34" s="877"/>
      <c r="BV34" s="879"/>
      <c r="BW34" s="886"/>
      <c r="BX34" s="869"/>
      <c r="BY34" s="869"/>
      <c r="BZ34" s="869"/>
      <c r="CA34" s="869"/>
      <c r="CB34" s="869"/>
      <c r="CC34" s="869"/>
      <c r="CD34" s="869"/>
      <c r="CE34" s="869"/>
    </row>
    <row r="35" spans="1:83" s="406" customFormat="1" ht="17.25">
      <c r="A35" s="497" t="s">
        <v>167</v>
      </c>
      <c r="B35" s="500" t="s">
        <v>121</v>
      </c>
      <c r="C35" s="768"/>
      <c r="D35" s="24"/>
      <c r="E35" s="513" t="s">
        <v>316</v>
      </c>
      <c r="F35" s="872">
        <f>SUMPRODUCT($CJ$6:$CJ$8,F36:F38)</f>
        <v>0.26604055699621698</v>
      </c>
      <c r="G35" s="872">
        <f>SUMPRODUCT($CJ$6:$CJ$8,G36:G38)</f>
        <v>0.45583748546816499</v>
      </c>
      <c r="H35" s="873">
        <f>SUMPRODUCT($CJ$6:$CJ$8,H36:H38)</f>
        <v>0.90780294105963266</v>
      </c>
      <c r="I35" s="1274"/>
      <c r="J35" s="875"/>
      <c r="K35" s="875"/>
      <c r="L35" s="875"/>
      <c r="M35" s="875"/>
      <c r="N35" s="875"/>
      <c r="O35" s="875"/>
      <c r="P35" s="875"/>
      <c r="Q35" s="875"/>
      <c r="R35" s="875"/>
      <c r="S35" s="875"/>
      <c r="T35" s="875"/>
      <c r="U35" s="875"/>
      <c r="V35" s="875"/>
      <c r="W35" s="1271"/>
      <c r="X35" s="869"/>
      <c r="Y35" s="883">
        <f t="shared" ref="Y35:BW35" si="7">Y40*$C$40+Y45*$C$45</f>
        <v>0.64987079559944416</v>
      </c>
      <c r="Z35" s="884">
        <f t="shared" si="7"/>
        <v>0.64987079559944416</v>
      </c>
      <c r="AA35" s="884">
        <f t="shared" si="7"/>
        <v>0.84398804623304435</v>
      </c>
      <c r="AB35" s="884">
        <f t="shared" si="7"/>
        <v>0.76802912207207041</v>
      </c>
      <c r="AC35" s="884">
        <f t="shared" si="7"/>
        <v>0.91162198235137137</v>
      </c>
      <c r="AD35" s="885">
        <f t="shared" si="7"/>
        <v>1.2154959764684952</v>
      </c>
      <c r="AE35" s="877"/>
      <c r="AF35" s="883">
        <f t="shared" si="7"/>
        <v>5.9656396239460407E-3</v>
      </c>
      <c r="AG35" s="884">
        <f t="shared" si="7"/>
        <v>5.9656396239460407E-3</v>
      </c>
      <c r="AH35" s="884">
        <f t="shared" si="7"/>
        <v>7.7475839272026503E-3</v>
      </c>
      <c r="AI35" s="884">
        <f t="shared" si="7"/>
        <v>7.0503013737544112E-3</v>
      </c>
      <c r="AJ35" s="884">
        <f t="shared" si="7"/>
        <v>8.3684453229801829E-3</v>
      </c>
      <c r="AK35" s="885">
        <f t="shared" si="7"/>
        <v>1.1157927097306911E-2</v>
      </c>
      <c r="AL35" s="877"/>
      <c r="AM35" s="883">
        <f t="shared" si="7"/>
        <v>3.576710598875069E-4</v>
      </c>
      <c r="AN35" s="884">
        <f t="shared" si="7"/>
        <v>3.576710598875069E-4</v>
      </c>
      <c r="AO35" s="884">
        <f t="shared" si="7"/>
        <v>4.645078699837752E-4</v>
      </c>
      <c r="AP35" s="884">
        <f t="shared" si="7"/>
        <v>4.2270216168523546E-4</v>
      </c>
      <c r="AQ35" s="884">
        <f t="shared" si="7"/>
        <v>5.0173173321876223E-4</v>
      </c>
      <c r="AR35" s="885">
        <f t="shared" si="7"/>
        <v>6.6897564429168298E-4</v>
      </c>
      <c r="AS35" s="877"/>
      <c r="AT35" s="883">
        <f t="shared" si="7"/>
        <v>0</v>
      </c>
      <c r="AU35" s="884">
        <f t="shared" si="7"/>
        <v>0</v>
      </c>
      <c r="AV35" s="884">
        <f t="shared" si="7"/>
        <v>0</v>
      </c>
      <c r="AW35" s="884">
        <f t="shared" si="7"/>
        <v>0</v>
      </c>
      <c r="AX35" s="884">
        <f t="shared" si="7"/>
        <v>0</v>
      </c>
      <c r="AY35" s="885">
        <f t="shared" si="7"/>
        <v>0</v>
      </c>
      <c r="AZ35" s="877"/>
      <c r="BA35" s="883">
        <f t="shared" si="7"/>
        <v>4.5971178161329527E-12</v>
      </c>
      <c r="BB35" s="884">
        <f t="shared" si="7"/>
        <v>4.5971178161329527E-12</v>
      </c>
      <c r="BC35" s="884">
        <f t="shared" si="7"/>
        <v>5.9702828780947435E-12</v>
      </c>
      <c r="BD35" s="884">
        <f t="shared" si="7"/>
        <v>5.4329574190662179E-12</v>
      </c>
      <c r="BE35" s="884">
        <f t="shared" si="7"/>
        <v>6.4487182452633265E-12</v>
      </c>
      <c r="BF35" s="885">
        <f t="shared" si="7"/>
        <v>8.5982909936844343E-12</v>
      </c>
      <c r="BG35" s="877"/>
      <c r="BH35" s="883">
        <f t="shared" si="7"/>
        <v>4.2209318739588863E-5</v>
      </c>
      <c r="BI35" s="884">
        <f t="shared" si="7"/>
        <v>4.2209318739588863E-5</v>
      </c>
      <c r="BJ35" s="884">
        <f t="shared" si="7"/>
        <v>5.4817297064401121E-5</v>
      </c>
      <c r="BK35" s="884">
        <f t="shared" si="7"/>
        <v>4.9883740328605023E-5</v>
      </c>
      <c r="BL35" s="884">
        <f t="shared" si="7"/>
        <v>5.9210143129438081E-5</v>
      </c>
      <c r="BM35" s="885">
        <f t="shared" si="7"/>
        <v>7.8946857505917442E-5</v>
      </c>
      <c r="BN35" s="877"/>
      <c r="BO35" s="883">
        <f t="shared" si="7"/>
        <v>5.0498451776255699E-4</v>
      </c>
      <c r="BP35" s="884">
        <f t="shared" si="7"/>
        <v>5.0498451776255699E-4</v>
      </c>
      <c r="BQ35" s="884">
        <f t="shared" si="7"/>
        <v>6.558240490422819E-4</v>
      </c>
      <c r="BR35" s="884">
        <f t="shared" si="7"/>
        <v>5.9679988462847645E-4</v>
      </c>
      <c r="BS35" s="884">
        <f t="shared" si="7"/>
        <v>7.0837925054751793E-4</v>
      </c>
      <c r="BT35" s="885">
        <f t="shared" si="7"/>
        <v>9.4450566739669075E-4</v>
      </c>
      <c r="BU35" s="877"/>
      <c r="BV35" s="883">
        <f>BV40*$C$40+BV45*$C$45</f>
        <v>6.7159598237865409E-2</v>
      </c>
      <c r="BW35" s="885">
        <f t="shared" si="7"/>
        <v>8.954613098382054E-2</v>
      </c>
      <c r="BX35" s="869"/>
      <c r="BY35" s="869"/>
      <c r="BZ35" s="869"/>
      <c r="CA35" s="869"/>
      <c r="CB35" s="869"/>
      <c r="CC35" s="869"/>
      <c r="CD35" s="869"/>
      <c r="CE35" s="869"/>
    </row>
    <row r="36" spans="1:83" s="406" customFormat="1" ht="17.25">
      <c r="A36" s="68"/>
      <c r="B36"/>
      <c r="C36" s="64"/>
      <c r="D36"/>
      <c r="E36" s="511" t="s">
        <v>317</v>
      </c>
      <c r="F36" s="877">
        <f t="shared" ref="F36:W38" si="8">($C$40/($C$40+$C$45))*F41+($C$45/($C$40+$C$45))*F46</f>
        <v>0.108271767984466</v>
      </c>
      <c r="G36" s="877">
        <f t="shared" si="8"/>
        <v>0.26963395051322614</v>
      </c>
      <c r="H36" s="878">
        <f t="shared" si="8"/>
        <v>0.64627317843229759</v>
      </c>
      <c r="I36" s="928">
        <f t="shared" si="8"/>
        <v>5.5977310149372864E-2</v>
      </c>
      <c r="J36" s="877">
        <f t="shared" si="8"/>
        <v>0.03</v>
      </c>
      <c r="K36" s="877">
        <f t="shared" si="8"/>
        <v>0</v>
      </c>
      <c r="L36" s="877">
        <f t="shared" si="8"/>
        <v>0</v>
      </c>
      <c r="M36" s="877"/>
      <c r="N36" s="877">
        <f t="shared" si="8"/>
        <v>3.6361904379387293E-2</v>
      </c>
      <c r="O36" s="877">
        <f t="shared" si="8"/>
        <v>0</v>
      </c>
      <c r="P36" s="877">
        <f t="shared" si="8"/>
        <v>0</v>
      </c>
      <c r="Q36" s="877">
        <f t="shared" si="8"/>
        <v>3.9022968000000005E-2</v>
      </c>
      <c r="R36" s="877">
        <f t="shared" si="8"/>
        <v>0.108271767984466</v>
      </c>
      <c r="S36" s="877">
        <f t="shared" si="8"/>
        <v>0</v>
      </c>
      <c r="T36" s="877">
        <f t="shared" si="8"/>
        <v>0.1233845109216834</v>
      </c>
      <c r="U36" s="877">
        <f t="shared" si="8"/>
        <v>0.46447636351398403</v>
      </c>
      <c r="V36" s="877">
        <f t="shared" si="8"/>
        <v>0.05</v>
      </c>
      <c r="W36" s="878">
        <f t="shared" si="8"/>
        <v>0.03</v>
      </c>
      <c r="X36" s="869"/>
      <c r="Y36" s="879"/>
      <c r="Z36" s="877"/>
      <c r="AA36" s="877"/>
      <c r="AB36" s="877"/>
      <c r="AC36" s="877"/>
      <c r="AD36" s="886"/>
      <c r="AE36" s="877"/>
      <c r="AF36" s="879"/>
      <c r="AG36" s="877"/>
      <c r="AH36" s="877"/>
      <c r="AI36" s="877"/>
      <c r="AJ36" s="877"/>
      <c r="AK36" s="886"/>
      <c r="AL36" s="877"/>
      <c r="AM36" s="879"/>
      <c r="AN36" s="877"/>
      <c r="AO36" s="877"/>
      <c r="AP36" s="877"/>
      <c r="AQ36" s="877"/>
      <c r="AR36" s="886"/>
      <c r="AS36" s="877"/>
      <c r="AT36" s="879"/>
      <c r="AU36" s="877"/>
      <c r="AV36" s="877"/>
      <c r="AW36" s="877"/>
      <c r="AX36" s="877"/>
      <c r="AY36" s="886"/>
      <c r="AZ36" s="877"/>
      <c r="BA36" s="879"/>
      <c r="BB36" s="877"/>
      <c r="BC36" s="877"/>
      <c r="BD36" s="877"/>
      <c r="BE36" s="877"/>
      <c r="BF36" s="886"/>
      <c r="BG36" s="877"/>
      <c r="BH36" s="879"/>
      <c r="BI36" s="877"/>
      <c r="BJ36" s="877"/>
      <c r="BK36" s="877"/>
      <c r="BL36" s="877"/>
      <c r="BM36" s="886"/>
      <c r="BN36" s="877"/>
      <c r="BO36" s="879"/>
      <c r="BP36" s="877"/>
      <c r="BQ36" s="877"/>
      <c r="BR36" s="877"/>
      <c r="BS36" s="877"/>
      <c r="BT36" s="886"/>
      <c r="BU36" s="877"/>
      <c r="BV36" s="879"/>
      <c r="BW36" s="886"/>
      <c r="BX36" s="869"/>
      <c r="BY36" s="869"/>
      <c r="BZ36" s="869"/>
      <c r="CA36" s="869"/>
      <c r="CB36" s="869"/>
      <c r="CC36" s="869"/>
      <c r="CD36" s="869"/>
      <c r="CE36" s="869"/>
    </row>
    <row r="37" spans="1:83" s="406" customFormat="1" ht="17.25">
      <c r="A37" s="18"/>
      <c r="B37" s="23"/>
      <c r="C37" s="595"/>
      <c r="D37" s="50"/>
      <c r="E37" s="511" t="s">
        <v>367</v>
      </c>
      <c r="F37" s="877">
        <f t="shared" si="8"/>
        <v>0</v>
      </c>
      <c r="G37" s="877">
        <f t="shared" si="8"/>
        <v>1.0070629861025186E-4</v>
      </c>
      <c r="H37" s="878">
        <f t="shared" si="8"/>
        <v>1.5369208247385804E-4</v>
      </c>
      <c r="I37" s="928">
        <f t="shared" si="8"/>
        <v>7.0422221082870487E-5</v>
      </c>
      <c r="J37" s="877">
        <f t="shared" si="8"/>
        <v>0</v>
      </c>
      <c r="K37" s="877">
        <f t="shared" si="8"/>
        <v>0</v>
      </c>
      <c r="L37" s="877">
        <f t="shared" si="8"/>
        <v>0</v>
      </c>
      <c r="M37" s="877"/>
      <c r="N37" s="877">
        <f t="shared" si="8"/>
        <v>1.6107097527381384E-5</v>
      </c>
      <c r="O37" s="877">
        <f t="shared" si="8"/>
        <v>0</v>
      </c>
      <c r="P37" s="877">
        <f t="shared" si="8"/>
        <v>0</v>
      </c>
      <c r="Q37" s="877">
        <f t="shared" si="8"/>
        <v>1.4176980000000002E-5</v>
      </c>
      <c r="R37" s="877">
        <f t="shared" si="8"/>
        <v>0</v>
      </c>
      <c r="S37" s="877">
        <f t="shared" si="8"/>
        <v>0</v>
      </c>
      <c r="T37" s="877">
        <f t="shared" si="8"/>
        <v>8.8566538505897784E-6</v>
      </c>
      <c r="U37" s="877">
        <f t="shared" si="8"/>
        <v>1.2948348927190376E-4</v>
      </c>
      <c r="V37" s="877">
        <f t="shared" si="8"/>
        <v>0</v>
      </c>
      <c r="W37" s="878">
        <f t="shared" si="8"/>
        <v>0</v>
      </c>
      <c r="X37" s="869"/>
      <c r="Y37" s="879"/>
      <c r="Z37" s="877"/>
      <c r="AA37" s="877"/>
      <c r="AB37" s="877"/>
      <c r="AC37" s="877"/>
      <c r="AD37" s="886"/>
      <c r="AE37" s="877"/>
      <c r="AF37" s="879"/>
      <c r="AG37" s="877"/>
      <c r="AH37" s="877"/>
      <c r="AI37" s="877"/>
      <c r="AJ37" s="877"/>
      <c r="AK37" s="886"/>
      <c r="AL37" s="877"/>
      <c r="AM37" s="879"/>
      <c r="AN37" s="877"/>
      <c r="AO37" s="877"/>
      <c r="AP37" s="877"/>
      <c r="AQ37" s="877"/>
      <c r="AR37" s="886"/>
      <c r="AS37" s="877"/>
      <c r="AT37" s="879"/>
      <c r="AU37" s="877"/>
      <c r="AV37" s="877"/>
      <c r="AW37" s="877"/>
      <c r="AX37" s="877"/>
      <c r="AY37" s="886"/>
      <c r="AZ37" s="877"/>
      <c r="BA37" s="879"/>
      <c r="BB37" s="877"/>
      <c r="BC37" s="877"/>
      <c r="BD37" s="877"/>
      <c r="BE37" s="877"/>
      <c r="BF37" s="886"/>
      <c r="BG37" s="877"/>
      <c r="BH37" s="879"/>
      <c r="BI37" s="877"/>
      <c r="BJ37" s="877"/>
      <c r="BK37" s="877"/>
      <c r="BL37" s="877"/>
      <c r="BM37" s="886"/>
      <c r="BN37" s="877"/>
      <c r="BO37" s="879"/>
      <c r="BP37" s="877"/>
      <c r="BQ37" s="877"/>
      <c r="BR37" s="877"/>
      <c r="BS37" s="877"/>
      <c r="BT37" s="886"/>
      <c r="BU37" s="877"/>
      <c r="BV37" s="879"/>
      <c r="BW37" s="886"/>
      <c r="BX37" s="869"/>
      <c r="BY37" s="869"/>
      <c r="BZ37" s="869"/>
      <c r="CA37" s="869"/>
      <c r="CB37" s="869"/>
      <c r="CC37" s="869"/>
      <c r="CD37" s="869"/>
      <c r="CE37" s="869"/>
    </row>
    <row r="38" spans="1:83" s="406" customFormat="1" ht="17.25">
      <c r="A38" s="359"/>
      <c r="B38"/>
      <c r="C38" s="83"/>
      <c r="D38" s="54"/>
      <c r="E38" s="512" t="s">
        <v>320</v>
      </c>
      <c r="F38" s="877">
        <f t="shared" si="8"/>
        <v>6.771192661448541E-4</v>
      </c>
      <c r="G38" s="877">
        <f t="shared" si="8"/>
        <v>7.9712538777455214E-4</v>
      </c>
      <c r="H38" s="878">
        <f t="shared" si="8"/>
        <v>1.119345106608189E-3</v>
      </c>
      <c r="I38" s="928">
        <f t="shared" si="8"/>
        <v>1.1770745350209611E-4</v>
      </c>
      <c r="J38" s="877">
        <f t="shared" si="8"/>
        <v>0</v>
      </c>
      <c r="K38" s="877">
        <f t="shared" si="8"/>
        <v>6.155629692225946E-4</v>
      </c>
      <c r="L38" s="877">
        <f t="shared" si="8"/>
        <v>6.1556296922259476E-5</v>
      </c>
      <c r="M38" s="877"/>
      <c r="N38" s="877">
        <f t="shared" si="8"/>
        <v>9.7705854760208225E-7</v>
      </c>
      <c r="O38" s="877">
        <f t="shared" si="8"/>
        <v>0</v>
      </c>
      <c r="P38" s="877">
        <f t="shared" si="8"/>
        <v>0</v>
      </c>
      <c r="Q38" s="877">
        <f t="shared" si="8"/>
        <v>1.3216095800000002E-6</v>
      </c>
      <c r="R38" s="877">
        <f t="shared" si="8"/>
        <v>0</v>
      </c>
      <c r="S38" s="877">
        <f t="shared" si="8"/>
        <v>0</v>
      </c>
      <c r="T38" s="877">
        <f t="shared" si="8"/>
        <v>8.256369534049801E-7</v>
      </c>
      <c r="U38" s="877">
        <f t="shared" si="8"/>
        <v>9.4303302922394945E-4</v>
      </c>
      <c r="V38" s="877">
        <f t="shared" si="8"/>
        <v>0</v>
      </c>
      <c r="W38" s="878">
        <f t="shared" si="8"/>
        <v>0</v>
      </c>
      <c r="X38" s="869"/>
      <c r="Y38" s="879"/>
      <c r="Z38" s="877"/>
      <c r="AA38" s="877"/>
      <c r="AB38" s="877"/>
      <c r="AC38" s="877"/>
      <c r="AD38" s="886"/>
      <c r="AE38" s="877"/>
      <c r="AF38" s="879"/>
      <c r="AG38" s="877"/>
      <c r="AH38" s="877"/>
      <c r="AI38" s="877"/>
      <c r="AJ38" s="877"/>
      <c r="AK38" s="886"/>
      <c r="AL38" s="877"/>
      <c r="AM38" s="879"/>
      <c r="AN38" s="877"/>
      <c r="AO38" s="877"/>
      <c r="AP38" s="877"/>
      <c r="AQ38" s="877"/>
      <c r="AR38" s="886"/>
      <c r="AS38" s="877"/>
      <c r="AT38" s="879"/>
      <c r="AU38" s="877"/>
      <c r="AV38" s="877"/>
      <c r="AW38" s="877"/>
      <c r="AX38" s="877"/>
      <c r="AY38" s="886"/>
      <c r="AZ38" s="877"/>
      <c r="BA38" s="879"/>
      <c r="BB38" s="877"/>
      <c r="BC38" s="877"/>
      <c r="BD38" s="877"/>
      <c r="BE38" s="877"/>
      <c r="BF38" s="886"/>
      <c r="BG38" s="877"/>
      <c r="BH38" s="879"/>
      <c r="BI38" s="877"/>
      <c r="BJ38" s="877"/>
      <c r="BK38" s="877"/>
      <c r="BL38" s="877"/>
      <c r="BM38" s="886"/>
      <c r="BN38" s="877"/>
      <c r="BO38" s="879"/>
      <c r="BP38" s="877"/>
      <c r="BQ38" s="877"/>
      <c r="BR38" s="877"/>
      <c r="BS38" s="877"/>
      <c r="BT38" s="886"/>
      <c r="BU38" s="877"/>
      <c r="BV38" s="879"/>
      <c r="BW38" s="886"/>
      <c r="BX38" s="869"/>
      <c r="BY38" s="869"/>
      <c r="BZ38" s="869"/>
      <c r="CA38" s="869"/>
      <c r="CB38" s="869"/>
      <c r="CC38" s="869"/>
      <c r="CD38" s="869"/>
      <c r="CE38" s="869"/>
    </row>
    <row r="39" spans="1:83" s="406" customFormat="1" ht="17.25">
      <c r="A39" s="501" t="s">
        <v>168</v>
      </c>
      <c r="B39" s="1283"/>
      <c r="C39" s="769"/>
      <c r="D39" s="54"/>
      <c r="E39" s="760"/>
      <c r="F39" s="1268"/>
      <c r="G39" s="1268"/>
      <c r="H39" s="887"/>
      <c r="I39" s="1275"/>
      <c r="J39" s="1268"/>
      <c r="K39" s="1268"/>
      <c r="L39" s="1268"/>
      <c r="M39" s="1268"/>
      <c r="N39" s="1268"/>
      <c r="O39" s="1276"/>
      <c r="P39" s="1268"/>
      <c r="Q39" s="1268"/>
      <c r="R39" s="1268"/>
      <c r="S39" s="1268"/>
      <c r="T39" s="1268"/>
      <c r="U39" s="1268"/>
      <c r="V39" s="1268"/>
      <c r="W39" s="887"/>
      <c r="X39" s="869"/>
      <c r="Y39" s="879"/>
      <c r="Z39" s="877"/>
      <c r="AA39" s="877"/>
      <c r="AB39" s="877"/>
      <c r="AC39" s="877"/>
      <c r="AD39" s="886"/>
      <c r="AE39" s="877"/>
      <c r="AF39" s="879"/>
      <c r="AG39" s="877"/>
      <c r="AH39" s="877"/>
      <c r="AI39" s="877"/>
      <c r="AJ39" s="877"/>
      <c r="AK39" s="886"/>
      <c r="AL39" s="877"/>
      <c r="AM39" s="879"/>
      <c r="AN39" s="877"/>
      <c r="AO39" s="877"/>
      <c r="AP39" s="877"/>
      <c r="AQ39" s="877"/>
      <c r="AR39" s="886"/>
      <c r="AS39" s="877"/>
      <c r="AT39" s="879"/>
      <c r="AU39" s="877"/>
      <c r="AV39" s="877"/>
      <c r="AW39" s="877"/>
      <c r="AX39" s="877"/>
      <c r="AY39" s="886"/>
      <c r="AZ39" s="877"/>
      <c r="BA39" s="879"/>
      <c r="BB39" s="877"/>
      <c r="BC39" s="877"/>
      <c r="BD39" s="877"/>
      <c r="BE39" s="877"/>
      <c r="BF39" s="886"/>
      <c r="BG39" s="877"/>
      <c r="BH39" s="879"/>
      <c r="BI39" s="877"/>
      <c r="BJ39" s="877"/>
      <c r="BK39" s="877"/>
      <c r="BL39" s="877"/>
      <c r="BM39" s="886"/>
      <c r="BN39" s="877"/>
      <c r="BO39" s="879"/>
      <c r="BP39" s="877"/>
      <c r="BQ39" s="877"/>
      <c r="BR39" s="877"/>
      <c r="BS39" s="877"/>
      <c r="BT39" s="886"/>
      <c r="BU39" s="877"/>
      <c r="BV39" s="879"/>
      <c r="BW39" s="886"/>
      <c r="BX39" s="869"/>
      <c r="BY39" s="869"/>
      <c r="BZ39" s="869"/>
      <c r="CA39" s="869"/>
      <c r="CB39" s="869"/>
      <c r="CC39" s="869"/>
      <c r="CD39" s="869"/>
      <c r="CE39" s="869"/>
    </row>
    <row r="40" spans="1:83" s="406" customFormat="1" ht="17.25">
      <c r="A40" s="20" t="s">
        <v>122</v>
      </c>
      <c r="B40" s="164" t="s">
        <v>121</v>
      </c>
      <c r="C40" s="87">
        <f>'Input data plant-based products'!D9</f>
        <v>0.18527174967850224</v>
      </c>
      <c r="D40" s="54"/>
      <c r="E40" s="513" t="s">
        <v>316</v>
      </c>
      <c r="F40" s="872">
        <f>SUMPRODUCT($CJ$6:$CJ$8,F41:F43)</f>
        <v>0.26879330069073515</v>
      </c>
      <c r="G40" s="872">
        <f>SUMPRODUCT($CJ$6:$CJ$8,G41:G43)</f>
        <v>0.4584878934188823</v>
      </c>
      <c r="H40" s="873">
        <f>SUMPRODUCT($CJ$6:$CJ$8,H41:H43)</f>
        <v>0.91152086493993911</v>
      </c>
      <c r="I40" s="1277"/>
      <c r="J40" s="884"/>
      <c r="K40" s="884"/>
      <c r="L40" s="884"/>
      <c r="M40" s="884"/>
      <c r="N40" s="884"/>
      <c r="O40" s="884"/>
      <c r="P40" s="884"/>
      <c r="Q40" s="884"/>
      <c r="R40" s="884"/>
      <c r="S40" s="884"/>
      <c r="T40" s="884"/>
      <c r="U40" s="884"/>
      <c r="V40" s="884"/>
      <c r="W40" s="1278"/>
      <c r="X40" s="869"/>
      <c r="Y40" s="879">
        <f>1/'Input data plant-based products'!E9*10^4</f>
        <v>1.7494751574527641</v>
      </c>
      <c r="Z40" s="877">
        <f>$Y40*'Input data plant-based products'!Z9</f>
        <v>1.7494751574527641</v>
      </c>
      <c r="AA40" s="877">
        <f>$Y40*'Input data plant-based products'!AA9</f>
        <v>2.2720456590295637</v>
      </c>
      <c r="AB40" s="877">
        <f>$Y40*'Input data plant-based products'!AB9</f>
        <v>2.0675615497169031</v>
      </c>
      <c r="AC40" s="877">
        <f>$Y40*'Input data plant-based products'!AC9</f>
        <v>2.4541186062076528</v>
      </c>
      <c r="AD40" s="886">
        <f>$Y40*'Input data plant-based products'!AD9</f>
        <v>3.2721581416102037</v>
      </c>
      <c r="AE40" s="877"/>
      <c r="AF40" s="879">
        <f>SUM('Input data plant-based products'!F9,'Input data plant-based products'!Q9)/'Input data plant-based products'!E9</f>
        <v>1.8602752507581057E-2</v>
      </c>
      <c r="AG40" s="877">
        <f>$AF40*'Input data plant-based products'!Z9</f>
        <v>1.8602752507581057E-2</v>
      </c>
      <c r="AH40" s="877">
        <f>$AF40*'Input data plant-based products'!AA9</f>
        <v>2.4159418841014361E-2</v>
      </c>
      <c r="AI40" s="877">
        <f>$AF40*'Input data plant-based products'!AB9</f>
        <v>2.1985071145323068E-2</v>
      </c>
      <c r="AJ40" s="877">
        <f>$AF40*'Input data plant-based products'!AC9</f>
        <v>2.6095461179341372E-2</v>
      </c>
      <c r="AK40" s="886">
        <f>$AF40*'Input data plant-based products'!AD9</f>
        <v>3.4793948239121832E-2</v>
      </c>
      <c r="AL40" s="877"/>
      <c r="AM40" s="879">
        <f>'Input data plant-based products'!R9/'Input data plant-based products'!E9</f>
        <v>6.9979006298110562E-4</v>
      </c>
      <c r="AN40" s="877">
        <f>$AM40*'Input data plant-based products'!Z9</f>
        <v>6.9979006298110562E-4</v>
      </c>
      <c r="AO40" s="877">
        <f>$AM40*'Input data plant-based products'!AA9</f>
        <v>9.0881826361182544E-4</v>
      </c>
      <c r="AP40" s="877">
        <f>$AM40*'Input data plant-based products'!AB9</f>
        <v>8.2702461988676127E-4</v>
      </c>
      <c r="AQ40" s="877">
        <f>$AM40*'Input data plant-based products'!AC9</f>
        <v>9.8164744248306103E-4</v>
      </c>
      <c r="AR40" s="886">
        <f>$AM40*'Input data plant-based products'!AD9</f>
        <v>1.3088632566440816E-3</v>
      </c>
      <c r="AS40" s="877"/>
      <c r="AT40" s="879">
        <f>'Input data plant-based products'!S9</f>
        <v>0</v>
      </c>
      <c r="AU40" s="877">
        <f>$AT40*'Input data plant-based products'!Z9</f>
        <v>0</v>
      </c>
      <c r="AV40" s="877">
        <f>$AT40*'Input data plant-based products'!AA9</f>
        <v>0</v>
      </c>
      <c r="AW40" s="877">
        <f>$AT40*'Input data plant-based products'!AB9</f>
        <v>0</v>
      </c>
      <c r="AX40" s="877">
        <f>$AT40*'Input data plant-based products'!AC9</f>
        <v>0</v>
      </c>
      <c r="AY40" s="886">
        <f>$AT40*'Input data plant-based products'!AD9</f>
        <v>0</v>
      </c>
      <c r="AZ40" s="877"/>
      <c r="BA40" s="879">
        <f>((SUM('Input data plant-based products'!U9:Y9)*'Grains, oil crops, sugar'!Y40)/('Common input data'!$B$192/10^6))/$BB$3</f>
        <v>1.2375603688714186E-11</v>
      </c>
      <c r="BB40" s="877">
        <f>$BA40*'Input data plant-based products'!Z9</f>
        <v>1.2375603688714186E-11</v>
      </c>
      <c r="BC40" s="877">
        <f>$BA40*'Input data plant-based products'!AA9</f>
        <v>1.6072212582745694E-11</v>
      </c>
      <c r="BD40" s="877">
        <f>$BA40*'Input data plant-based products'!AB9</f>
        <v>1.4625713450298584E-11</v>
      </c>
      <c r="BE40" s="877">
        <f>$BA40*'Input data plant-based products'!AC9</f>
        <v>1.7360177505890403E-11</v>
      </c>
      <c r="BF40" s="886">
        <f>$BA40*'Input data plant-based products'!AD9</f>
        <v>2.3146903341187201E-11</v>
      </c>
      <c r="BG40" s="877"/>
      <c r="BH40" s="879">
        <f>'Input data plant-based products'!T9/'Input data plant-based products'!E9</f>
        <v>1.4870538838348497E-4</v>
      </c>
      <c r="BI40" s="877">
        <f>$BH40*'Input data plant-based products'!Z9</f>
        <v>1.4870538838348497E-4</v>
      </c>
      <c r="BJ40" s="877">
        <f>$BH40*'Input data plant-based products'!AA9</f>
        <v>1.9312388101751295E-4</v>
      </c>
      <c r="BK40" s="877">
        <f>$BH40*'Input data plant-based products'!AB9</f>
        <v>1.7574273172593679E-4</v>
      </c>
      <c r="BL40" s="877">
        <f>$BH40*'Input data plant-based products'!AC9</f>
        <v>2.0860008152765052E-4</v>
      </c>
      <c r="BM40" s="886">
        <f>$BH40*'Input data plant-based products'!AD9</f>
        <v>2.7813344203686736E-4</v>
      </c>
      <c r="BN40" s="877"/>
      <c r="BO40" s="879">
        <f>('Input data plant-based products'!F9/'Input data plant-based products'!E9*'Common input data'!$B$195+'Input data plant-based products'!G9/'Input data plant-based products'!E9*'Common input data'!$B$196)/'Common input data'!$B$198</f>
        <v>1.4356999247052468E-3</v>
      </c>
      <c r="BP40" s="877">
        <f>$BO40*'Input data plant-based products'!Z9</f>
        <v>1.4356999247052468E-3</v>
      </c>
      <c r="BQ40" s="877">
        <f>$BO40*'Input data plant-based products'!AA9</f>
        <v>1.8645453567600607E-3</v>
      </c>
      <c r="BR40" s="877">
        <f>$BO40*'Input data plant-based products'!AB9</f>
        <v>1.6967362746516553E-3</v>
      </c>
      <c r="BS40" s="877">
        <f>$BO40*'Input data plant-based products'!AC9</f>
        <v>2.0139628065825813E-3</v>
      </c>
      <c r="BT40" s="886">
        <f>$BO40*'Input data plant-based products'!AD9</f>
        <v>2.6852837421101087E-3</v>
      </c>
      <c r="BU40" s="877"/>
      <c r="BV40" s="879">
        <f>'Common input data'!$C$202*'Input data plant-based products'!AC9</f>
        <v>0.20087726476814774</v>
      </c>
      <c r="BW40" s="886">
        <f>'Common input data'!$C$202*'Input data plant-based products'!AD9</f>
        <v>0.267836353024197</v>
      </c>
      <c r="BX40" s="869"/>
      <c r="BY40" s="869"/>
      <c r="BZ40" s="869"/>
      <c r="CA40" s="869"/>
      <c r="CB40" s="869"/>
      <c r="CC40" s="869"/>
      <c r="CD40" s="869"/>
      <c r="CE40" s="869"/>
    </row>
    <row r="41" spans="1:83" s="406" customFormat="1" ht="17.25">
      <c r="A41" s="68"/>
      <c r="B41" s="55"/>
      <c r="C41" s="64"/>
      <c r="D41"/>
      <c r="E41" s="511" t="s">
        <v>317</v>
      </c>
      <c r="F41" s="877">
        <f>IF(AND($F$2="No",$F$3="No"),SUM(K41:L41),IF(AND($F$2="Yes", $F$3="No"), (SUM(K41:L41)+S41), IF(AND($F$2="No", $F$3="Yes"),(SUM(K41:L41)+R41), (SUM(K41:L41)+S41+R41))))</f>
        <v>0.108271767984466</v>
      </c>
      <c r="G41" s="877">
        <f>IF(AND($F$2="No",$F$3="No"),SUM(I41:Q41),IF(AND($F$2="Yes", $F$3="No"), (SUM(I41:Q41)+S41), IF(AND($F$2="No", $F$3="Yes"),(SUM(I41:Q41)+R41), (SUM(I41:Q41)+S41+R41))))</f>
        <v>0.26838084779830096</v>
      </c>
      <c r="H41" s="878">
        <f>SUM(U41:W41)/(1-'Common input data'!$B$141)</f>
        <v>0.64451535827972983</v>
      </c>
      <c r="I41" s="928">
        <f>('Input data plant-based products'!$F$9*('Common input data'!$B$93*'Common input data'!B86+'Common input data'!$B$94*'Common input data'!C86))/'Input data plant-based products'!$E$9</f>
        <v>5.8359225879615222E-2</v>
      </c>
      <c r="J41" s="877">
        <f>'Common input data'!$B$98</f>
        <v>0.03</v>
      </c>
      <c r="K41" s="877">
        <v>0</v>
      </c>
      <c r="L41" s="877">
        <v>0</v>
      </c>
      <c r="M41" s="877"/>
      <c r="N41" s="877">
        <f>('Input data plant-based products'!$P$9*'Common input data'!$C$76*'Common input data'!H66)/'Input data plant-based products'!$E$9</f>
        <v>3.2726885934219734E-2</v>
      </c>
      <c r="O41" s="877">
        <v>0</v>
      </c>
      <c r="P41" s="877">
        <v>0</v>
      </c>
      <c r="Q41" s="877">
        <f>'Input data plant-based products'!$B$267*'Common input data'!$B$76*'Common input data'!B66+'Input data plant-based products'!C$267*'Common input data'!B80</f>
        <v>3.9022968000000005E-2</v>
      </c>
      <c r="R41" s="877">
        <f>'Common input data'!B$19</f>
        <v>0.108271767984466</v>
      </c>
      <c r="S41" s="877">
        <v>0</v>
      </c>
      <c r="T41" s="877">
        <f>'Input data plant-based products'!$E$267*'Common input data'!$B$76*'Common input data'!B66+'Input data plant-based products'!F$267*'Common input data'!B80</f>
        <v>0.1233845109216834</v>
      </c>
      <c r="U41" s="877">
        <f>(G41+T41)*'Common input data'!$D$42/'Common input data'!$C$42</f>
        <v>0.46299542394179971</v>
      </c>
      <c r="V41" s="877">
        <f>'Common input data'!$B$105</f>
        <v>0.05</v>
      </c>
      <c r="W41" s="878">
        <f>'Common input data'!C$115</f>
        <v>0.03</v>
      </c>
      <c r="X41" s="869"/>
      <c r="Y41" s="879"/>
      <c r="Z41" s="877"/>
      <c r="AA41" s="877"/>
      <c r="AB41" s="877"/>
      <c r="AC41" s="877"/>
      <c r="AD41" s="886"/>
      <c r="AE41" s="877"/>
      <c r="AF41" s="879"/>
      <c r="AG41" s="877"/>
      <c r="AH41" s="877"/>
      <c r="AI41" s="877"/>
      <c r="AJ41" s="877"/>
      <c r="AK41" s="886"/>
      <c r="AL41" s="877"/>
      <c r="AM41" s="879"/>
      <c r="AN41" s="877"/>
      <c r="AO41" s="877"/>
      <c r="AP41" s="877"/>
      <c r="AQ41" s="877"/>
      <c r="AR41" s="886"/>
      <c r="AS41" s="877"/>
      <c r="AT41" s="879"/>
      <c r="AU41" s="877"/>
      <c r="AV41" s="877"/>
      <c r="AW41" s="877"/>
      <c r="AX41" s="877"/>
      <c r="AY41" s="886"/>
      <c r="AZ41" s="877"/>
      <c r="BA41" s="879"/>
      <c r="BB41" s="877"/>
      <c r="BC41" s="877"/>
      <c r="BD41" s="877"/>
      <c r="BE41" s="877"/>
      <c r="BF41" s="886"/>
      <c r="BG41" s="877"/>
      <c r="BH41" s="879"/>
      <c r="BI41" s="877"/>
      <c r="BJ41" s="877"/>
      <c r="BK41" s="877"/>
      <c r="BL41" s="877"/>
      <c r="BM41" s="886"/>
      <c r="BN41" s="877"/>
      <c r="BO41" s="879"/>
      <c r="BP41" s="877"/>
      <c r="BQ41" s="877"/>
      <c r="BR41" s="877"/>
      <c r="BS41" s="877"/>
      <c r="BT41" s="886"/>
      <c r="BU41" s="877"/>
      <c r="BV41" s="879"/>
      <c r="BW41" s="886"/>
      <c r="BX41" s="869"/>
      <c r="BY41" s="869"/>
      <c r="BZ41" s="869"/>
      <c r="CA41" s="869"/>
      <c r="CB41" s="869"/>
      <c r="CC41" s="869"/>
      <c r="CD41" s="869"/>
      <c r="CE41" s="869"/>
    </row>
    <row r="42" spans="1:83" s="406" customFormat="1" ht="17.25">
      <c r="A42" s="18"/>
      <c r="B42" s="55"/>
      <c r="C42" s="595"/>
      <c r="D42" s="50"/>
      <c r="E42" s="511" t="s">
        <v>367</v>
      </c>
      <c r="F42" s="877">
        <f>SUM(K42:L42)</f>
        <v>0</v>
      </c>
      <c r="G42" s="877">
        <f>SUM(I42:Q42)</f>
        <v>1.0209267565057845E-4</v>
      </c>
      <c r="H42" s="878">
        <f>SUM(U42:W42)/(1-'Common input data'!$B$141)</f>
        <v>1.5563685641099606E-4</v>
      </c>
      <c r="I42" s="928">
        <f>('Input data plant-based products'!$F$9*('Common input data'!$B$93*'Common input data'!B87+'Common input data'!$B$94*'Common input data'!C87))/'Input data plant-based products'!$E$9</f>
        <v>7.3418788722656828E-5</v>
      </c>
      <c r="J42" s="877">
        <v>0</v>
      </c>
      <c r="K42" s="877">
        <v>0</v>
      </c>
      <c r="L42" s="877">
        <v>0</v>
      </c>
      <c r="M42" s="877"/>
      <c r="N42" s="877">
        <f>('Input data plant-based products'!$P$9*'Common input data'!$C$76*'Common input data'!H67)/'Input data plant-based products'!$E$9</f>
        <v>1.4496906927921624E-5</v>
      </c>
      <c r="O42" s="877">
        <v>0</v>
      </c>
      <c r="P42" s="877">
        <v>0</v>
      </c>
      <c r="Q42" s="877">
        <f>'Input data plant-based products'!$B$267*'Common input data'!$B$76*'Common input data'!B67</f>
        <v>1.4176980000000002E-5</v>
      </c>
      <c r="R42" s="877">
        <v>0</v>
      </c>
      <c r="S42" s="877">
        <v>0</v>
      </c>
      <c r="T42" s="877">
        <f>'Input data plant-based products'!$E$267*'Common input data'!$B$76*'Common input data'!B67</f>
        <v>8.8566538505897767E-6</v>
      </c>
      <c r="U42" s="877">
        <f>(G42+T42)*'Common input data'!$D$42/'Common input data'!$C$42</f>
        <v>1.3112193486501699E-4</v>
      </c>
      <c r="V42" s="877">
        <v>0</v>
      </c>
      <c r="W42" s="878">
        <v>0</v>
      </c>
      <c r="X42" s="869"/>
      <c r="Y42" s="879"/>
      <c r="Z42" s="877"/>
      <c r="AA42" s="877"/>
      <c r="AB42" s="877"/>
      <c r="AC42" s="877"/>
      <c r="AD42" s="886"/>
      <c r="AE42" s="877"/>
      <c r="AF42" s="879"/>
      <c r="AG42" s="877"/>
      <c r="AH42" s="877"/>
      <c r="AI42" s="877"/>
      <c r="AJ42" s="877"/>
      <c r="AK42" s="886"/>
      <c r="AL42" s="877"/>
      <c r="AM42" s="879"/>
      <c r="AN42" s="877"/>
      <c r="AO42" s="877"/>
      <c r="AP42" s="877"/>
      <c r="AQ42" s="877"/>
      <c r="AR42" s="886"/>
      <c r="AS42" s="877"/>
      <c r="AT42" s="879"/>
      <c r="AU42" s="877"/>
      <c r="AV42" s="877"/>
      <c r="AW42" s="877"/>
      <c r="AX42" s="877"/>
      <c r="AY42" s="886"/>
      <c r="AZ42" s="877"/>
      <c r="BA42" s="879"/>
      <c r="BB42" s="877"/>
      <c r="BC42" s="877"/>
      <c r="BD42" s="877"/>
      <c r="BE42" s="877"/>
      <c r="BF42" s="886"/>
      <c r="BG42" s="877"/>
      <c r="BH42" s="879"/>
      <c r="BI42" s="877"/>
      <c r="BJ42" s="877"/>
      <c r="BK42" s="877"/>
      <c r="BL42" s="877"/>
      <c r="BM42" s="886"/>
      <c r="BN42" s="877"/>
      <c r="BO42" s="879"/>
      <c r="BP42" s="877"/>
      <c r="BQ42" s="877"/>
      <c r="BR42" s="877"/>
      <c r="BS42" s="877"/>
      <c r="BT42" s="886"/>
      <c r="BU42" s="877"/>
      <c r="BV42" s="879"/>
      <c r="BW42" s="886"/>
      <c r="BX42" s="869"/>
      <c r="BY42" s="869"/>
      <c r="BZ42" s="869"/>
      <c r="CA42" s="869"/>
      <c r="CB42" s="869"/>
      <c r="CC42" s="869"/>
      <c r="CD42" s="869"/>
      <c r="CE42" s="869"/>
    </row>
    <row r="43" spans="1:83" s="406" customFormat="1" ht="17.25">
      <c r="A43" s="359"/>
      <c r="B43" s="360"/>
      <c r="C43" s="83"/>
      <c r="D43" s="54"/>
      <c r="E43" s="512" t="s">
        <v>320</v>
      </c>
      <c r="F43" s="877">
        <f>SUM(K43:L43)</f>
        <v>6.889336167651038E-4</v>
      </c>
      <c r="G43" s="877">
        <f>SUM(I43:Q43)</f>
        <v>8.1385068688851359E-4</v>
      </c>
      <c r="H43" s="878">
        <f>SUM(U43:W43)/(1-'Common input data'!$B$141)</f>
        <v>1.1428069246140669E-3</v>
      </c>
      <c r="I43" s="928">
        <f>('Input data plant-based products'!$F$9*('Common input data'!$B$93*'Common input data'!B88+'Common input data'!$B$94*'Common input data'!C88))/'Input data plant-based products'!$E$9</f>
        <v>1.2271607635866533E-4</v>
      </c>
      <c r="J43" s="877">
        <v>0</v>
      </c>
      <c r="K43" s="877">
        <f>(SUM(('Input data plant-based products'!$F$9*'Input data plant-based products'!$B$258),(('Input data plant-based products'!$G$9+'Input data plant-based products'!$H$9)*'Input data plant-based products'!$B$259))*44/28)/'Input data plant-based products'!$E$9</f>
        <v>6.2630328796827622E-4</v>
      </c>
      <c r="L43" s="877">
        <f>K43*'Input data plant-based products'!$B$261</f>
        <v>6.263032879682763E-5</v>
      </c>
      <c r="M43" s="877"/>
      <c r="N43" s="877">
        <f>('Input data plant-based products'!$P$9*'Common input data'!$C$76*'Common input data'!H68)/'Input data plant-based products'!$E$9</f>
        <v>8.793841847445767E-7</v>
      </c>
      <c r="O43" s="877">
        <v>0</v>
      </c>
      <c r="P43" s="877">
        <v>0</v>
      </c>
      <c r="Q43" s="877">
        <f>'Input data plant-based products'!$B$267*'Common input data'!$B$76*'Common input data'!B68</f>
        <v>1.32160958E-6</v>
      </c>
      <c r="R43" s="877">
        <v>0</v>
      </c>
      <c r="S43" s="877">
        <v>0</v>
      </c>
      <c r="T43" s="877">
        <f>'Input data plant-based products'!$E$267*'Common input data'!$B$76*'Common input data'!B68</f>
        <v>8.256369534049801E-7</v>
      </c>
      <c r="U43" s="877">
        <f>(G43+T43)*'Common input data'!$D$42/'Common input data'!$C$42</f>
        <v>9.6279929181317656E-4</v>
      </c>
      <c r="V43" s="877">
        <v>0</v>
      </c>
      <c r="W43" s="878">
        <v>0</v>
      </c>
      <c r="X43" s="869"/>
      <c r="Y43" s="879"/>
      <c r="Z43" s="877"/>
      <c r="AA43" s="877"/>
      <c r="AB43" s="877"/>
      <c r="AC43" s="877"/>
      <c r="AD43" s="886"/>
      <c r="AE43" s="877"/>
      <c r="AF43" s="879"/>
      <c r="AG43" s="877"/>
      <c r="AH43" s="877"/>
      <c r="AI43" s="877"/>
      <c r="AJ43" s="877"/>
      <c r="AK43" s="886"/>
      <c r="AL43" s="877"/>
      <c r="AM43" s="879"/>
      <c r="AN43" s="877"/>
      <c r="AO43" s="877"/>
      <c r="AP43" s="877"/>
      <c r="AQ43" s="877"/>
      <c r="AR43" s="886"/>
      <c r="AS43" s="877"/>
      <c r="AT43" s="879"/>
      <c r="AU43" s="877"/>
      <c r="AV43" s="877"/>
      <c r="AW43" s="877"/>
      <c r="AX43" s="877"/>
      <c r="AY43" s="886"/>
      <c r="AZ43" s="877"/>
      <c r="BA43" s="879"/>
      <c r="BB43" s="877"/>
      <c r="BC43" s="877"/>
      <c r="BD43" s="877"/>
      <c r="BE43" s="877"/>
      <c r="BF43" s="886"/>
      <c r="BG43" s="877"/>
      <c r="BH43" s="879"/>
      <c r="BI43" s="877"/>
      <c r="BJ43" s="877"/>
      <c r="BK43" s="877"/>
      <c r="BL43" s="877"/>
      <c r="BM43" s="886"/>
      <c r="BN43" s="877"/>
      <c r="BO43" s="879"/>
      <c r="BP43" s="877"/>
      <c r="BQ43" s="877"/>
      <c r="BR43" s="877"/>
      <c r="BS43" s="877"/>
      <c r="BT43" s="886"/>
      <c r="BU43" s="877"/>
      <c r="BV43" s="879"/>
      <c r="BW43" s="886"/>
      <c r="BX43" s="869"/>
      <c r="BY43" s="869"/>
      <c r="BZ43" s="869"/>
      <c r="CA43" s="869"/>
      <c r="CB43" s="869"/>
      <c r="CC43" s="869"/>
      <c r="CD43" s="869"/>
      <c r="CE43" s="869"/>
    </row>
    <row r="44" spans="1:83" s="406" customFormat="1" ht="17.25">
      <c r="A44" s="501" t="s">
        <v>169</v>
      </c>
      <c r="B44" s="1283"/>
      <c r="C44" s="769"/>
      <c r="D44" s="54"/>
      <c r="E44" s="760"/>
      <c r="F44" s="1268"/>
      <c r="G44" s="1268"/>
      <c r="H44" s="887"/>
      <c r="I44" s="1275"/>
      <c r="J44" s="1268"/>
      <c r="K44" s="1268"/>
      <c r="L44" s="1268"/>
      <c r="M44" s="1268"/>
      <c r="N44" s="1268"/>
      <c r="O44" s="1276"/>
      <c r="P44" s="1268"/>
      <c r="Q44" s="1268"/>
      <c r="R44" s="1268"/>
      <c r="S44" s="1268"/>
      <c r="T44" s="1268"/>
      <c r="U44" s="1268"/>
      <c r="V44" s="1268"/>
      <c r="W44" s="887"/>
      <c r="X44" s="869"/>
      <c r="Y44" s="879"/>
      <c r="Z44" s="877"/>
      <c r="AA44" s="877"/>
      <c r="AB44" s="877"/>
      <c r="AC44" s="877"/>
      <c r="AD44" s="886"/>
      <c r="AE44" s="877"/>
      <c r="AF44" s="879"/>
      <c r="AG44" s="877"/>
      <c r="AH44" s="877"/>
      <c r="AI44" s="877"/>
      <c r="AJ44" s="877"/>
      <c r="AK44" s="886"/>
      <c r="AL44" s="877"/>
      <c r="AM44" s="879"/>
      <c r="AN44" s="877"/>
      <c r="AO44" s="877"/>
      <c r="AP44" s="877"/>
      <c r="AQ44" s="877"/>
      <c r="AR44" s="886"/>
      <c r="AS44" s="877"/>
      <c r="AT44" s="879"/>
      <c r="AU44" s="877"/>
      <c r="AV44" s="877"/>
      <c r="AW44" s="877"/>
      <c r="AX44" s="877"/>
      <c r="AY44" s="886"/>
      <c r="AZ44" s="877"/>
      <c r="BA44" s="879"/>
      <c r="BB44" s="877"/>
      <c r="BC44" s="877"/>
      <c r="BD44" s="877"/>
      <c r="BE44" s="877"/>
      <c r="BF44" s="886"/>
      <c r="BG44" s="877"/>
      <c r="BH44" s="879"/>
      <c r="BI44" s="877"/>
      <c r="BJ44" s="877"/>
      <c r="BK44" s="877"/>
      <c r="BL44" s="877"/>
      <c r="BM44" s="886"/>
      <c r="BN44" s="877"/>
      <c r="BO44" s="879"/>
      <c r="BP44" s="877"/>
      <c r="BQ44" s="877"/>
      <c r="BR44" s="877"/>
      <c r="BS44" s="877"/>
      <c r="BT44" s="886"/>
      <c r="BU44" s="877"/>
      <c r="BV44" s="879"/>
      <c r="BW44" s="886"/>
      <c r="BX44" s="869"/>
      <c r="BY44" s="869"/>
      <c r="BZ44" s="869"/>
      <c r="CA44" s="869"/>
      <c r="CB44" s="869"/>
      <c r="CC44" s="869"/>
      <c r="CD44" s="869"/>
      <c r="CE44" s="869"/>
    </row>
    <row r="45" spans="1:83" s="406" customFormat="1" ht="17.25">
      <c r="A45" s="20" t="s">
        <v>122</v>
      </c>
      <c r="B45" s="164" t="s">
        <v>121</v>
      </c>
      <c r="C45" s="87">
        <f>'Input data plant-based products'!D10</f>
        <v>0.14905975526000295</v>
      </c>
      <c r="D45" s="54"/>
      <c r="E45" s="513" t="s">
        <v>316</v>
      </c>
      <c r="F45" s="872">
        <f>SUMPRODUCT($CJ$6:$CJ$8,F46:F48)</f>
        <v>0.26261907250625349</v>
      </c>
      <c r="G45" s="872">
        <f>SUMPRODUCT($CJ$6:$CJ$8,G46:G48)</f>
        <v>0.45254319776767404</v>
      </c>
      <c r="H45" s="873">
        <f>SUMPRODUCT($CJ$6:$CJ$8,H46:H48)</f>
        <v>0.90318179928146247</v>
      </c>
      <c r="I45" s="1277"/>
      <c r="J45" s="884"/>
      <c r="K45" s="884"/>
      <c r="L45" s="884"/>
      <c r="M45" s="884"/>
      <c r="N45" s="884"/>
      <c r="O45" s="884"/>
      <c r="P45" s="884"/>
      <c r="Q45" s="884"/>
      <c r="R45" s="884"/>
      <c r="S45" s="884"/>
      <c r="T45" s="884"/>
      <c r="U45" s="884"/>
      <c r="V45" s="884"/>
      <c r="W45" s="1278"/>
      <c r="X45" s="869"/>
      <c r="Y45" s="879">
        <f>1/'Input data plant-based products'!E10*10^4</f>
        <v>2.1853146853146854</v>
      </c>
      <c r="Z45" s="877">
        <f>$Y45*'Input data plant-based products'!Z10</f>
        <v>2.1853146853146854</v>
      </c>
      <c r="AA45" s="877">
        <f>$Y45*'Input data plant-based products'!AA10</f>
        <v>2.8380710198892016</v>
      </c>
      <c r="AB45" s="877">
        <f>$Y45*'Input data plant-based products'!AB10</f>
        <v>2.5826446280991737</v>
      </c>
      <c r="AC45" s="877">
        <f>$Y45*'Input data plant-based products'!AC10</f>
        <v>3.0655030491877064</v>
      </c>
      <c r="AD45" s="886">
        <f>$Y45*'Input data plant-based products'!AD10</f>
        <v>4.0873373989169419</v>
      </c>
      <c r="AE45" s="877"/>
      <c r="AF45" s="879">
        <f>SUM('Input data plant-based products'!F10,'Input data plant-based products'!Q10)/'Input data plant-based products'!E10</f>
        <v>1.68997668997669E-2</v>
      </c>
      <c r="AG45" s="877">
        <f>$AF45*'Input data plant-based products'!Z10</f>
        <v>1.68997668997669E-2</v>
      </c>
      <c r="AH45" s="877">
        <f>$AF45*'Input data plant-based products'!AA10</f>
        <v>2.1947749220476494E-2</v>
      </c>
      <c r="AI45" s="877">
        <f>$AF45*'Input data plant-based products'!AB10</f>
        <v>1.9972451790633609E-2</v>
      </c>
      <c r="AJ45" s="877">
        <f>$AF45*'Input data plant-based products'!AC10</f>
        <v>2.3706556913718261E-2</v>
      </c>
      <c r="AK45" s="886">
        <f>$AF45*'Input data plant-based products'!AD10</f>
        <v>3.1608742551624353E-2</v>
      </c>
      <c r="AL45" s="877"/>
      <c r="AM45" s="879">
        <f>'Input data plant-based products'!R10/'Input data plant-based products'!E10</f>
        <v>1.5297202797202797E-3</v>
      </c>
      <c r="AN45" s="877">
        <f>$AM45*'Input data plant-based products'!Z10</f>
        <v>1.5297202797202797E-3</v>
      </c>
      <c r="AO45" s="877">
        <f>$AM45*'Input data plant-based products'!AA10</f>
        <v>1.9866497139224412E-3</v>
      </c>
      <c r="AP45" s="877">
        <f>$AM45*'Input data plant-based products'!AB10</f>
        <v>1.8078512396694215E-3</v>
      </c>
      <c r="AQ45" s="877">
        <f>$AM45*'Input data plant-based products'!AC10</f>
        <v>2.1458521344313946E-3</v>
      </c>
      <c r="AR45" s="886">
        <f>$AM45*'Input data plant-based products'!AD10</f>
        <v>2.8611361792418594E-3</v>
      </c>
      <c r="AS45" s="877"/>
      <c r="AT45" s="879">
        <f>'Input data plant-based products'!S10</f>
        <v>0</v>
      </c>
      <c r="AU45" s="877">
        <f>$AT45*'Input data plant-based products'!Z10</f>
        <v>0</v>
      </c>
      <c r="AV45" s="877">
        <f>$AT45*'Input data plant-based products'!AA10</f>
        <v>0</v>
      </c>
      <c r="AW45" s="877">
        <f>$AT45*'Input data plant-based products'!AB10</f>
        <v>0</v>
      </c>
      <c r="AX45" s="877">
        <f>$AT45*'Input data plant-based products'!AC10</f>
        <v>0</v>
      </c>
      <c r="AY45" s="886">
        <f>$AT45*'Input data plant-based products'!AD10</f>
        <v>0</v>
      </c>
      <c r="AZ45" s="877"/>
      <c r="BA45" s="879">
        <f>((SUM('Input data plant-based products'!U10:Y10)*'Grains, oil crops, sugar'!Y45)/('Common input data'!$B$192/10^6))/$BB$3</f>
        <v>1.5458686775500502E-11</v>
      </c>
      <c r="BB45" s="877">
        <f>$BA45*'Input data plant-based products'!Z10</f>
        <v>1.5458686775500502E-11</v>
      </c>
      <c r="BC45" s="877">
        <f>$BA45*'Input data plant-based products'!AA10</f>
        <v>2.0076216591559094E-11</v>
      </c>
      <c r="BD45" s="877">
        <f>$BA45*'Input data plant-based products'!AB10</f>
        <v>1.8269357098318777E-11</v>
      </c>
      <c r="BE45" s="877">
        <f>$BA45*'Input data plant-based products'!AC10</f>
        <v>2.168504690202569E-11</v>
      </c>
      <c r="BF45" s="886">
        <f>$BA45*'Input data plant-based products'!AD10</f>
        <v>2.8913395869367585E-11</v>
      </c>
      <c r="BG45" s="877"/>
      <c r="BH45" s="879">
        <f>'Input data plant-based products'!T10/'Input data plant-based products'!E10</f>
        <v>9.8339160839160846E-5</v>
      </c>
      <c r="BI45" s="877">
        <f>$BH45*'Input data plant-based products'!Z10</f>
        <v>9.8339160839160846E-5</v>
      </c>
      <c r="BJ45" s="877">
        <f>$BH45*'Input data plant-based products'!AA10</f>
        <v>1.2771319589501408E-4</v>
      </c>
      <c r="BK45" s="877">
        <f>$BH45*'Input data plant-based products'!AB10</f>
        <v>1.1621900826446282E-4</v>
      </c>
      <c r="BL45" s="877">
        <f>$BH45*'Input data plant-based products'!AC10</f>
        <v>1.379476372134468E-4</v>
      </c>
      <c r="BM45" s="886">
        <f>$BH45*'Input data plant-based products'!AD10</f>
        <v>1.8393018295126238E-4</v>
      </c>
      <c r="BN45" s="877"/>
      <c r="BO45" s="879">
        <f>('Input data plant-based products'!F10/'Input data plant-based products'!E10*'Common input data'!$B$195+'Input data plant-based products'!G10/'Input data plant-based products'!E10*'Common input data'!$B$196)/'Common input data'!$B$198</f>
        <v>1.6033159338163083E-3</v>
      </c>
      <c r="BP45" s="877">
        <f>$BO45*'Input data plant-based products'!Z10</f>
        <v>1.6033159338163083E-3</v>
      </c>
      <c r="BQ45" s="877">
        <f>$BO45*'Input data plant-based products'!AA10</f>
        <v>2.0822284854757249E-3</v>
      </c>
      <c r="BR45" s="877">
        <f>$BO45*'Input data plant-based products'!AB10</f>
        <v>1.89482792178291E-3</v>
      </c>
      <c r="BS45" s="877">
        <f>$BO45*'Input data plant-based products'!AC10</f>
        <v>2.2490902188841383E-3</v>
      </c>
      <c r="BT45" s="886">
        <f>$BO45*'Input data plant-based products'!AD10</f>
        <v>2.9987869585121848E-3</v>
      </c>
      <c r="BU45" s="877"/>
      <c r="BV45" s="879">
        <f>'Common input data'!$C$202*'Input data plant-based products'!AC10</f>
        <v>0.20087726476814774</v>
      </c>
      <c r="BW45" s="886">
        <f>'Common input data'!$C$202*'Input data plant-based products'!AD10</f>
        <v>0.267836353024197</v>
      </c>
      <c r="BX45" s="869"/>
      <c r="BY45" s="869"/>
      <c r="BZ45" s="869"/>
      <c r="CA45" s="869"/>
      <c r="CB45" s="869"/>
      <c r="CC45" s="869"/>
      <c r="CD45" s="869"/>
      <c r="CE45" s="869"/>
    </row>
    <row r="46" spans="1:83" s="406" customFormat="1" ht="17.25">
      <c r="A46" s="68"/>
      <c r="B46" s="55"/>
      <c r="C46" s="64"/>
      <c r="D46"/>
      <c r="E46" s="511" t="s">
        <v>317</v>
      </c>
      <c r="F46" s="877">
        <f>IF(AND($F$2="No",$F$3="No"),SUM(K46:L46),IF(AND($F$2="Yes", $F$3="No"), (SUM(K46:L46)+S46), IF(AND($F$2="No", $F$3="Yes"),(SUM(K46:L46)+R46), (SUM(K46:L46)+S46+R46))))</f>
        <v>0.108271767984466</v>
      </c>
      <c r="G46" s="877">
        <f>IF(AND($F$2="No",$F$3="No"),SUM(I46:Q46),IF(AND($F$2="Yes", $F$3="No"), (SUM(I46:Q46)+S46), IF(AND($F$2="No", $F$3="Yes"),(SUM(I46:Q46)+R46), (SUM(I46:Q46)+S46+R46))))</f>
        <v>0.27119147710459957</v>
      </c>
      <c r="H46" s="878">
        <f>SUM(U46:W46)/(1-'Common input data'!$B$141)</f>
        <v>0.64845803654318268</v>
      </c>
      <c r="I46" s="928">
        <f>('Input data plant-based products'!$F$10*('Common input data'!$B$93*'Common input data'!B86+'Common input data'!$B$94*'Common input data'!C86))/'Input data plant-based products'!$E$10</f>
        <v>5.3016741120133597E-2</v>
      </c>
      <c r="J46" s="877">
        <f>'Common input data'!$B$98</f>
        <v>0.03</v>
      </c>
      <c r="K46" s="877">
        <v>0</v>
      </c>
      <c r="L46" s="877">
        <v>0</v>
      </c>
      <c r="M46" s="877"/>
      <c r="N46" s="877">
        <f>('Input data plant-based products'!$P$10*'Common input data'!$C$76*'Common input data'!H66)/'Input data plant-based products'!$E$10</f>
        <v>4.088E-2</v>
      </c>
      <c r="O46" s="877">
        <v>0</v>
      </c>
      <c r="P46" s="877">
        <v>0</v>
      </c>
      <c r="Q46" s="877">
        <f>'Input data plant-based products'!$B$267*'Common input data'!$B$76*'Common input data'!B66+'Input data plant-based products'!C$267*'Common input data'!B80</f>
        <v>3.9022968000000005E-2</v>
      </c>
      <c r="R46" s="877">
        <f>'Common input data'!B$19</f>
        <v>0.108271767984466</v>
      </c>
      <c r="S46" s="877">
        <v>0</v>
      </c>
      <c r="T46" s="877">
        <f>'Input data plant-based products'!$E$267*'Common input data'!$B$76*'Common input data'!B66+'Input data plant-based products'!F$267*'Common input data'!B80</f>
        <v>0.1233845109216834</v>
      </c>
      <c r="U46" s="877">
        <f>(G46+T46)*'Common input data'!$D$42/'Common input data'!$C$42</f>
        <v>0.46631707675833439</v>
      </c>
      <c r="V46" s="877">
        <f>'Common input data'!$B$105</f>
        <v>0.05</v>
      </c>
      <c r="W46" s="878">
        <f>'Common input data'!C$115</f>
        <v>0.03</v>
      </c>
      <c r="X46" s="869"/>
      <c r="Y46" s="879"/>
      <c r="Z46" s="877"/>
      <c r="AA46" s="877"/>
      <c r="AB46" s="877"/>
      <c r="AC46" s="877"/>
      <c r="AD46" s="886"/>
      <c r="AE46" s="877"/>
      <c r="AF46" s="879"/>
      <c r="AG46" s="877"/>
      <c r="AH46" s="877"/>
      <c r="AI46" s="877"/>
      <c r="AJ46" s="877"/>
      <c r="AK46" s="886"/>
      <c r="AL46" s="877"/>
      <c r="AM46" s="879"/>
      <c r="AN46" s="877"/>
      <c r="AO46" s="877"/>
      <c r="AP46" s="877"/>
      <c r="AQ46" s="877"/>
      <c r="AR46" s="886"/>
      <c r="AS46" s="877"/>
      <c r="AT46" s="879"/>
      <c r="AU46" s="877"/>
      <c r="AV46" s="877"/>
      <c r="AW46" s="877"/>
      <c r="AX46" s="877"/>
      <c r="AY46" s="886"/>
      <c r="AZ46" s="877"/>
      <c r="BA46" s="879"/>
      <c r="BB46" s="877"/>
      <c r="BC46" s="877"/>
      <c r="BD46" s="877"/>
      <c r="BE46" s="877"/>
      <c r="BF46" s="886"/>
      <c r="BG46" s="877"/>
      <c r="BH46" s="879"/>
      <c r="BI46" s="877"/>
      <c r="BJ46" s="877"/>
      <c r="BK46" s="877"/>
      <c r="BL46" s="877"/>
      <c r="BM46" s="886"/>
      <c r="BN46" s="877"/>
      <c r="BO46" s="879"/>
      <c r="BP46" s="877"/>
      <c r="BQ46" s="877"/>
      <c r="BR46" s="877"/>
      <c r="BS46" s="877"/>
      <c r="BT46" s="886"/>
      <c r="BU46" s="877"/>
      <c r="BV46" s="879"/>
      <c r="BW46" s="886"/>
      <c r="BX46" s="869"/>
      <c r="BY46" s="869"/>
      <c r="BZ46" s="869"/>
      <c r="CA46" s="869"/>
      <c r="CB46" s="869"/>
      <c r="CC46" s="869"/>
      <c r="CD46" s="869"/>
      <c r="CE46" s="869"/>
    </row>
    <row r="47" spans="1:83" s="406" customFormat="1" ht="17.25">
      <c r="A47" s="18"/>
      <c r="B47" s="55"/>
      <c r="C47" s="595"/>
      <c r="D47" s="50"/>
      <c r="E47" s="511" t="s">
        <v>367</v>
      </c>
      <c r="F47" s="877">
        <f>SUM(K47:L47)</f>
        <v>0</v>
      </c>
      <c r="G47" s="877">
        <f>SUM(I47:Q47)</f>
        <v>9.8983120549699045E-5</v>
      </c>
      <c r="H47" s="878">
        <f>SUM(U47:W47)/(1-'Common input data'!$B$141)</f>
        <v>1.5127485275659314E-4</v>
      </c>
      <c r="I47" s="928">
        <f>('Input data plant-based products'!$F$10*('Common input data'!$B$93*'Common input data'!B87+'Common input data'!$B$94*'Common input data'!C87))/'Input data plant-based products'!$E$10</f>
        <v>6.6697679011237511E-5</v>
      </c>
      <c r="J47" s="877">
        <v>0</v>
      </c>
      <c r="K47" s="877">
        <v>0</v>
      </c>
      <c r="L47" s="877">
        <v>0</v>
      </c>
      <c r="M47" s="877"/>
      <c r="N47" s="877">
        <f>('Input data plant-based products'!$P$10*'Common input data'!$C$76*'Common input data'!H67)/'Input data plant-based products'!$E$10</f>
        <v>1.8108461538461539E-5</v>
      </c>
      <c r="O47" s="877">
        <v>0</v>
      </c>
      <c r="P47" s="877">
        <v>0</v>
      </c>
      <c r="Q47" s="877">
        <f>'Input data plant-based products'!$B$267*'Common input data'!$B$76*'Common input data'!B67</f>
        <v>1.4176980000000002E-5</v>
      </c>
      <c r="R47" s="877">
        <v>0</v>
      </c>
      <c r="S47" s="877">
        <v>0</v>
      </c>
      <c r="T47" s="877">
        <f>'Input data plant-based products'!$E$267*'Common input data'!$B$76*'Common input data'!B67</f>
        <v>8.8566538505897767E-6</v>
      </c>
      <c r="U47" s="877">
        <f>(G47+T47)*'Common input data'!$D$42/'Common input data'!$C$42</f>
        <v>1.2744700610943223E-4</v>
      </c>
      <c r="V47" s="877">
        <v>0</v>
      </c>
      <c r="W47" s="878">
        <v>0</v>
      </c>
      <c r="X47" s="869"/>
      <c r="Y47" s="879"/>
      <c r="Z47" s="877"/>
      <c r="AA47" s="877"/>
      <c r="AB47" s="877"/>
      <c r="AC47" s="877"/>
      <c r="AD47" s="886"/>
      <c r="AE47" s="877"/>
      <c r="AF47" s="879"/>
      <c r="AG47" s="877"/>
      <c r="AH47" s="877"/>
      <c r="AI47" s="877"/>
      <c r="AJ47" s="877"/>
      <c r="AK47" s="886"/>
      <c r="AL47" s="877"/>
      <c r="AM47" s="879"/>
      <c r="AN47" s="877"/>
      <c r="AO47" s="877"/>
      <c r="AP47" s="877"/>
      <c r="AQ47" s="877"/>
      <c r="AR47" s="886"/>
      <c r="AS47" s="877"/>
      <c r="AT47" s="879"/>
      <c r="AU47" s="877"/>
      <c r="AV47" s="877"/>
      <c r="AW47" s="877"/>
      <c r="AX47" s="877"/>
      <c r="AY47" s="886"/>
      <c r="AZ47" s="877"/>
      <c r="BA47" s="879"/>
      <c r="BB47" s="877"/>
      <c r="BC47" s="877"/>
      <c r="BD47" s="877"/>
      <c r="BE47" s="877"/>
      <c r="BF47" s="886"/>
      <c r="BG47" s="877"/>
      <c r="BH47" s="879"/>
      <c r="BI47" s="877"/>
      <c r="BJ47" s="877"/>
      <c r="BK47" s="877"/>
      <c r="BL47" s="877"/>
      <c r="BM47" s="886"/>
      <c r="BN47" s="877"/>
      <c r="BO47" s="879"/>
      <c r="BP47" s="877"/>
      <c r="BQ47" s="877"/>
      <c r="BR47" s="877"/>
      <c r="BS47" s="877"/>
      <c r="BT47" s="886"/>
      <c r="BU47" s="877"/>
      <c r="BV47" s="879"/>
      <c r="BW47" s="886"/>
      <c r="BX47" s="869"/>
      <c r="BY47" s="869"/>
      <c r="BZ47" s="869"/>
      <c r="CA47" s="869"/>
      <c r="CB47" s="869"/>
      <c r="CC47" s="869"/>
      <c r="CD47" s="869"/>
      <c r="CE47" s="869"/>
    </row>
    <row r="48" spans="1:83" s="406" customFormat="1" ht="17.25">
      <c r="A48" s="359"/>
      <c r="B48" s="360"/>
      <c r="C48" s="83"/>
      <c r="D48" s="54"/>
      <c r="E48" s="512" t="s">
        <v>320</v>
      </c>
      <c r="F48" s="877">
        <f>SUM(K48:L48)</f>
        <v>6.6243478335531122E-4</v>
      </c>
      <c r="G48" s="877">
        <f>SUM(I48:Q48)</f>
        <v>7.7633690985618397E-4</v>
      </c>
      <c r="H48" s="878">
        <f>SUM(U48:W48)/(1-'Common input data'!$B$141)</f>
        <v>1.0901835662245657E-3</v>
      </c>
      <c r="I48" s="928">
        <f>('Input data plant-based products'!$F$10*('Common input data'!$B$93*'Common input data'!B88+'Common input data'!$B$94*'Common input data'!C88))/'Input data plant-based products'!$E$10</f>
        <v>1.1148205538241118E-4</v>
      </c>
      <c r="J48" s="877">
        <v>0</v>
      </c>
      <c r="K48" s="877">
        <f>(SUM(('Input data plant-based products'!$F$10*'Input data plant-based products'!$B$258),(('Input data plant-based products'!$G$10+'Input data plant-based products'!$H$10)*'Input data plant-based products'!$B$259))*44/28)/'Input data plant-based products'!$E$10</f>
        <v>6.022134394139193E-4</v>
      </c>
      <c r="L48" s="877">
        <f>K48*'Input data plant-based products'!$B$261</f>
        <v>6.0221343941391933E-5</v>
      </c>
      <c r="M48" s="877"/>
      <c r="N48" s="877">
        <f>('Input data plant-based products'!$P$10*'Common input data'!$C$76*'Common input data'!H68)/'Input data plant-based products'!$E$10</f>
        <v>1.0984615384615385E-6</v>
      </c>
      <c r="O48" s="877">
        <v>0</v>
      </c>
      <c r="P48" s="877">
        <v>0</v>
      </c>
      <c r="Q48" s="877">
        <f>'Input data plant-based products'!$B$267*'Common input data'!$B$76*'Common input data'!B68</f>
        <v>1.32160958E-6</v>
      </c>
      <c r="R48" s="877">
        <v>0</v>
      </c>
      <c r="S48" s="877">
        <v>0</v>
      </c>
      <c r="T48" s="877">
        <f>'Input data plant-based products'!$E$267*'Common input data'!$B$76*'Common input data'!B68</f>
        <v>8.256369534049801E-7</v>
      </c>
      <c r="U48" s="877">
        <f>(G48+T48)*'Common input data'!$D$42/'Common input data'!$C$42</f>
        <v>9.1846482804769597E-4</v>
      </c>
      <c r="V48" s="877">
        <v>0</v>
      </c>
      <c r="W48" s="878">
        <v>0</v>
      </c>
      <c r="X48" s="869"/>
      <c r="Y48" s="879"/>
      <c r="Z48" s="877"/>
      <c r="AA48" s="877"/>
      <c r="AB48" s="877"/>
      <c r="AC48" s="877"/>
      <c r="AD48" s="886"/>
      <c r="AE48" s="877"/>
      <c r="AF48" s="879"/>
      <c r="AG48" s="877"/>
      <c r="AH48" s="877"/>
      <c r="AI48" s="877"/>
      <c r="AJ48" s="877"/>
      <c r="AK48" s="886"/>
      <c r="AL48" s="877"/>
      <c r="AM48" s="879"/>
      <c r="AN48" s="877"/>
      <c r="AO48" s="877"/>
      <c r="AP48" s="877"/>
      <c r="AQ48" s="877"/>
      <c r="AR48" s="886"/>
      <c r="AS48" s="877"/>
      <c r="AT48" s="879"/>
      <c r="AU48" s="877"/>
      <c r="AV48" s="877"/>
      <c r="AW48" s="877"/>
      <c r="AX48" s="877"/>
      <c r="AY48" s="886"/>
      <c r="AZ48" s="877"/>
      <c r="BA48" s="879"/>
      <c r="BB48" s="877"/>
      <c r="BC48" s="877"/>
      <c r="BD48" s="877"/>
      <c r="BE48" s="877"/>
      <c r="BF48" s="886"/>
      <c r="BG48" s="877"/>
      <c r="BH48" s="879"/>
      <c r="BI48" s="877"/>
      <c r="BJ48" s="877"/>
      <c r="BK48" s="877"/>
      <c r="BL48" s="877"/>
      <c r="BM48" s="886"/>
      <c r="BN48" s="877"/>
      <c r="BO48" s="879"/>
      <c r="BP48" s="877"/>
      <c r="BQ48" s="877"/>
      <c r="BR48" s="877"/>
      <c r="BS48" s="877"/>
      <c r="BT48" s="886"/>
      <c r="BU48" s="877"/>
      <c r="BV48" s="879"/>
      <c r="BW48" s="886"/>
      <c r="BX48" s="869"/>
      <c r="BY48" s="869"/>
      <c r="BZ48" s="869"/>
      <c r="CA48" s="869"/>
      <c r="CB48" s="869"/>
      <c r="CC48" s="869"/>
      <c r="CD48" s="869"/>
      <c r="CE48" s="869"/>
    </row>
    <row r="49" spans="1:83" s="406" customFormat="1" ht="17.25">
      <c r="A49" s="362" t="s">
        <v>442</v>
      </c>
      <c r="B49" s="363"/>
      <c r="C49" s="770"/>
      <c r="D49" s="54"/>
      <c r="E49" s="939"/>
      <c r="F49" s="892" t="s">
        <v>443</v>
      </c>
      <c r="G49" s="892" t="s">
        <v>443</v>
      </c>
      <c r="H49" s="970" t="s">
        <v>444</v>
      </c>
      <c r="I49" s="1279"/>
      <c r="J49" s="889"/>
      <c r="K49" s="889"/>
      <c r="L49" s="889"/>
      <c r="M49" s="889"/>
      <c r="N49" s="889"/>
      <c r="O49" s="891"/>
      <c r="P49" s="889"/>
      <c r="Q49" s="889"/>
      <c r="R49" s="889"/>
      <c r="S49" s="889"/>
      <c r="T49" s="889"/>
      <c r="U49" s="889"/>
      <c r="V49" s="889"/>
      <c r="W49" s="1280"/>
      <c r="X49" s="869"/>
      <c r="Y49" s="879"/>
      <c r="Z49" s="877"/>
      <c r="AA49" s="877"/>
      <c r="AB49" s="877"/>
      <c r="AC49" s="877"/>
      <c r="AD49" s="886"/>
      <c r="AE49" s="877"/>
      <c r="AF49" s="879"/>
      <c r="AG49" s="877"/>
      <c r="AH49" s="877"/>
      <c r="AI49" s="877"/>
      <c r="AJ49" s="877"/>
      <c r="AK49" s="886"/>
      <c r="AL49" s="877"/>
      <c r="AM49" s="879"/>
      <c r="AN49" s="877"/>
      <c r="AO49" s="877"/>
      <c r="AP49" s="877"/>
      <c r="AQ49" s="877"/>
      <c r="AR49" s="886"/>
      <c r="AS49" s="877"/>
      <c r="AT49" s="879"/>
      <c r="AU49" s="877"/>
      <c r="AV49" s="877"/>
      <c r="AW49" s="877"/>
      <c r="AX49" s="877"/>
      <c r="AY49" s="886"/>
      <c r="AZ49" s="877"/>
      <c r="BA49" s="879"/>
      <c r="BB49" s="877"/>
      <c r="BC49" s="877"/>
      <c r="BD49" s="877"/>
      <c r="BE49" s="877"/>
      <c r="BF49" s="886"/>
      <c r="BG49" s="877"/>
      <c r="BH49" s="879"/>
      <c r="BI49" s="877"/>
      <c r="BJ49" s="877"/>
      <c r="BK49" s="877"/>
      <c r="BL49" s="877"/>
      <c r="BM49" s="886"/>
      <c r="BN49" s="877"/>
      <c r="BO49" s="879"/>
      <c r="BP49" s="877"/>
      <c r="BQ49" s="877"/>
      <c r="BR49" s="877"/>
      <c r="BS49" s="877"/>
      <c r="BT49" s="886"/>
      <c r="BU49" s="877"/>
      <c r="BV49" s="879"/>
      <c r="BW49" s="886"/>
      <c r="BX49" s="869"/>
      <c r="BY49" s="869"/>
      <c r="BZ49" s="869"/>
      <c r="CA49" s="869"/>
      <c r="CB49" s="869"/>
      <c r="CC49" s="869"/>
      <c r="CD49" s="869"/>
      <c r="CE49" s="869"/>
    </row>
    <row r="50" spans="1:83" s="406" customFormat="1" ht="17.25">
      <c r="A50" s="497" t="s">
        <v>122</v>
      </c>
      <c r="B50" s="500" t="s">
        <v>121</v>
      </c>
      <c r="C50" s="133">
        <f>'Input data plant-based products'!D11</f>
        <v>0.13040586880375737</v>
      </c>
      <c r="D50" s="54"/>
      <c r="E50" s="513" t="s">
        <v>316</v>
      </c>
      <c r="F50" s="872">
        <f>SUMPRODUCT($CJ$6:$CJ$8,F51:F53)</f>
        <v>0.25183603555749656</v>
      </c>
      <c r="G50" s="872">
        <f>SUMPRODUCT($CJ$6:$CJ$8,G51:G53)</f>
        <v>0.44095557022414156</v>
      </c>
      <c r="H50" s="873">
        <f>SUMPRODUCT($CJ$6:$CJ$8,H51:H53)</f>
        <v>0.88692697437855161</v>
      </c>
      <c r="I50" s="1274"/>
      <c r="J50" s="875"/>
      <c r="K50" s="875"/>
      <c r="L50" s="875"/>
      <c r="M50" s="875"/>
      <c r="N50" s="875"/>
      <c r="O50" s="875"/>
      <c r="P50" s="875"/>
      <c r="Q50" s="875"/>
      <c r="R50" s="875"/>
      <c r="S50" s="875"/>
      <c r="T50" s="875"/>
      <c r="U50" s="875"/>
      <c r="V50" s="875"/>
      <c r="W50" s="1271"/>
      <c r="X50" s="869"/>
      <c r="Y50" s="883">
        <f>1/'Input data plant-based products'!E11*10^4</f>
        <v>2.4642681123706263</v>
      </c>
      <c r="Z50" s="884">
        <f>$Y50*'Input data plant-based products'!Z11</f>
        <v>2.4642681123706263</v>
      </c>
      <c r="AA50" s="884">
        <f>$Y50*'Input data plant-based products'!AA11</f>
        <v>3.2003481978839301</v>
      </c>
      <c r="AB50" s="884">
        <f>$Y50*'Input data plant-based products'!AB11</f>
        <v>2.9123168600743767</v>
      </c>
      <c r="AC50" s="884">
        <f>$Y50*'Input data plant-based products'!AC11</f>
        <v>3.456811718354595</v>
      </c>
      <c r="AD50" s="885">
        <f>$Y50*'Input data plant-based products'!AD11</f>
        <v>4.60908229113946</v>
      </c>
      <c r="AE50" s="877"/>
      <c r="AF50" s="883">
        <f>SUM('Input data plant-based products'!F11,'Input data plant-based products'!Q11)/'Input data plant-based products'!E11</f>
        <v>1.5607031378347298E-2</v>
      </c>
      <c r="AG50" s="884">
        <f>$AF50*'Input data plant-based products'!Z11</f>
        <v>1.5607031378347298E-2</v>
      </c>
      <c r="AH50" s="884">
        <f>$AF50*'Input data plant-based products'!AA11</f>
        <v>2.0268871919931555E-2</v>
      </c>
      <c r="AI50" s="884">
        <f>$AF50*'Input data plant-based products'!AB11</f>
        <v>1.8444673447137717E-2</v>
      </c>
      <c r="AJ50" s="884">
        <f>$AF50*'Input data plant-based products'!AC11</f>
        <v>2.1893140882912433E-2</v>
      </c>
      <c r="AK50" s="885">
        <f>$AF50*'Input data plant-based products'!AD11</f>
        <v>2.919085451054991E-2</v>
      </c>
      <c r="AL50" s="877"/>
      <c r="AM50" s="883">
        <f>'Input data plant-based products'!R11/'Input data plant-based products'!E11</f>
        <v>1.8071299490717923E-3</v>
      </c>
      <c r="AN50" s="884">
        <f>$AM50*'Input data plant-based products'!Z11</f>
        <v>1.8071299490717923E-3</v>
      </c>
      <c r="AO50" s="884">
        <f>$AM50*'Input data plant-based products'!AA11</f>
        <v>2.3469220117815484E-3</v>
      </c>
      <c r="AP50" s="884">
        <f>$AM50*'Input data plant-based products'!AB11</f>
        <v>2.135699030721209E-3</v>
      </c>
      <c r="AQ50" s="884">
        <f>$AM50*'Input data plant-based products'!AC11</f>
        <v>2.5349952601267023E-3</v>
      </c>
      <c r="AR50" s="885">
        <f>$AM50*'Input data plant-based products'!AD11</f>
        <v>3.3799936801689368E-3</v>
      </c>
      <c r="AS50" s="877"/>
      <c r="AT50" s="883">
        <f>'Input data plant-based products'!S11</f>
        <v>3.2864863213405697E-4</v>
      </c>
      <c r="AU50" s="884">
        <f>$AT50*'Input data plant-based products'!Z11</f>
        <v>3.2864863213405697E-4</v>
      </c>
      <c r="AV50" s="884">
        <f>$AT50*'Input data plant-based products'!AA11</f>
        <v>4.2681640536890516E-4</v>
      </c>
      <c r="AW50" s="884">
        <f>$AT50*'Input data plant-based products'!AB11</f>
        <v>3.8840292888570369E-4</v>
      </c>
      <c r="AX50" s="884">
        <f>$AT50*'Input data plant-based products'!AC11</f>
        <v>4.6101982048102341E-4</v>
      </c>
      <c r="AY50" s="885">
        <f>$AT50*'Input data plant-based products'!AD11</f>
        <v>6.1469309397469796E-4</v>
      </c>
      <c r="AZ50" s="877"/>
      <c r="BA50" s="883">
        <f>((SUM('Input data plant-based products'!U11:Y11)*'Grains, oil crops, sugar'!Y50)/('Common input data'!$B$192/10^6))/$BB$3</f>
        <v>1.7431974047484058E-11</v>
      </c>
      <c r="BB50" s="884">
        <f>$BA50*'Input data plant-based products'!Z11</f>
        <v>1.7431974047484058E-11</v>
      </c>
      <c r="BC50" s="884">
        <f>$BA50*'Input data plant-based products'!AA11</f>
        <v>2.2638927334394881E-11</v>
      </c>
      <c r="BD50" s="884">
        <f>$BA50*'Input data plant-based products'!AB11</f>
        <v>2.0601423874299343E-11</v>
      </c>
      <c r="BE50" s="884">
        <f>$BA50*'Input data plant-based products'!AC11</f>
        <v>2.445312336709452E-11</v>
      </c>
      <c r="BF50" s="885">
        <f>$BA50*'Input data plant-based products'!AD11</f>
        <v>3.2604164489459359E-11</v>
      </c>
      <c r="BG50" s="877"/>
      <c r="BH50" s="883">
        <f>'Input data plant-based products'!T11/'Input data plant-based products'!E11</f>
        <v>8.6249383932971902E-5</v>
      </c>
      <c r="BI50" s="884">
        <f>$BH50*'Input data plant-based products'!Z11</f>
        <v>8.6249383932971902E-5</v>
      </c>
      <c r="BJ50" s="884">
        <f>$BH50*'Input data plant-based products'!AA11</f>
        <v>1.1201218692593754E-4</v>
      </c>
      <c r="BK50" s="884">
        <f>$BH50*'Input data plant-based products'!AB11</f>
        <v>1.0193109010260316E-4</v>
      </c>
      <c r="BL50" s="884">
        <f>$BH50*'Input data plant-based products'!AC11</f>
        <v>1.209884101424108E-4</v>
      </c>
      <c r="BM50" s="885">
        <f>$BH50*'Input data plant-based products'!AD11</f>
        <v>1.6131788018988106E-4</v>
      </c>
      <c r="BN50" s="877"/>
      <c r="BO50" s="883">
        <f>('Input data plant-based products'!F11/'Input data plant-based products'!E11*'Common input data'!$B$195+'Input data plant-based products'!G11/'Input data plant-based products'!E11*'Common input data'!$B$196)/'Common input data'!$B$198</f>
        <v>1.6402857220970586E-3</v>
      </c>
      <c r="BP50" s="884">
        <f>$BO50*'Input data plant-based products'!Z11</f>
        <v>1.6402857220970586E-3</v>
      </c>
      <c r="BQ50" s="884">
        <f>$BO50*'Input data plant-based products'!AA11</f>
        <v>2.1302411975286477E-3</v>
      </c>
      <c r="BR50" s="884">
        <f>$BO50*'Input data plant-based products'!AB11</f>
        <v>1.9385194897510694E-3</v>
      </c>
      <c r="BS50" s="884">
        <f>$BO50*'Input data plant-based products'!AC11</f>
        <v>2.3009504838903861E-3</v>
      </c>
      <c r="BT50" s="885">
        <f>$BO50*'Input data plant-based products'!AD11</f>
        <v>3.0679339785205147E-3</v>
      </c>
      <c r="BU50" s="877"/>
      <c r="BV50" s="883">
        <f>'Common input data'!$C$202*'Input data plant-based products'!AC11</f>
        <v>0.20087726476814774</v>
      </c>
      <c r="BW50" s="885">
        <f>'Common input data'!$C$202*'Input data plant-based products'!AD11</f>
        <v>0.267836353024197</v>
      </c>
      <c r="BX50" s="869"/>
      <c r="BY50" s="869"/>
      <c r="BZ50" s="869"/>
      <c r="CA50" s="869"/>
      <c r="CB50" s="869"/>
      <c r="CC50" s="869"/>
      <c r="CD50" s="869"/>
      <c r="CE50" s="869"/>
    </row>
    <row r="51" spans="1:83" s="406" customFormat="1" ht="17.25">
      <c r="A51" s="68"/>
      <c r="B51" s="55"/>
      <c r="C51" s="64"/>
      <c r="D51"/>
      <c r="E51" s="511" t="s">
        <v>317</v>
      </c>
      <c r="F51" s="877">
        <f>IF(AND($F$2="No",$F$3="No"),SUM(K51:L51),IF(AND($F$2="Yes", $F$3="No"), (SUM(K51:L51)+S51), IF(AND($F$2="No", $F$3="Yes"),(SUM(K51:L51)+R51), (SUM(K51:L51)+S51+R51))))</f>
        <v>0.108271767984466</v>
      </c>
      <c r="G51" s="877">
        <f>IF(AND($F$2="No",$F$3="No"),SUM(I51:Q51),IF(AND($F$2="Yes", $F$3="No"), (SUM(I51:Q51)+S51), IF(AND($F$2="No", $F$3="Yes"),(SUM(I51:Q51)+R51), (SUM(I51:Q51)+S51+R51))))</f>
        <v>0.27235429432759506</v>
      </c>
      <c r="H51" s="878">
        <f>SUM(U51:W51)/(1-'Common input data'!$B$141)</f>
        <v>0.65008920653746094</v>
      </c>
      <c r="I51" s="928">
        <f>('Input data plant-based products'!$F$11*('Common input data'!$B$93*'Common input data'!B86+'Common input data'!$B$94*'Common input data'!C86))/'Input data plant-based products'!$E$11</f>
        <v>4.8961263616662865E-2</v>
      </c>
      <c r="J51" s="877">
        <f>'Common input data'!$B$98</f>
        <v>0.03</v>
      </c>
      <c r="K51" s="877">
        <v>0</v>
      </c>
      <c r="L51" s="877">
        <v>0</v>
      </c>
      <c r="M51" s="877"/>
      <c r="N51" s="877">
        <f>('Input data plant-based products'!$P$11*'Common input data'!$C$76*'Common input data'!H66)/'Input data plant-based products'!$E$11</f>
        <v>4.6098294726466239E-2</v>
      </c>
      <c r="O51" s="877">
        <v>0</v>
      </c>
      <c r="P51" s="877">
        <v>0</v>
      </c>
      <c r="Q51" s="877">
        <f>'Input data plant-based products'!$B$267*'Common input data'!$B$76*'Common input data'!B66+'Input data plant-based products'!C$267*'Common input data'!B80</f>
        <v>3.9022968000000005E-2</v>
      </c>
      <c r="R51" s="877">
        <f>'Common input data'!B$19</f>
        <v>0.108271767984466</v>
      </c>
      <c r="S51" s="877">
        <v>0</v>
      </c>
      <c r="T51" s="877">
        <f>'Input data plant-based products'!$E$267*'Common input data'!$B$76*'Common input data'!B66+'Input data plant-based products'!F$267*'Common input data'!B80</f>
        <v>0.1233845109216834</v>
      </c>
      <c r="U51" s="877">
        <f>(G51+T51)*'Common input data'!$D$42/'Common input data'!$C$42</f>
        <v>0.46769131529460184</v>
      </c>
      <c r="V51" s="877">
        <f>'Common input data'!$B$105</f>
        <v>0.05</v>
      </c>
      <c r="W51" s="878">
        <f>'Common input data'!C$115</f>
        <v>0.03</v>
      </c>
      <c r="X51" s="869"/>
      <c r="Y51" s="879"/>
      <c r="Z51" s="877"/>
      <c r="AA51" s="877"/>
      <c r="AB51" s="877"/>
      <c r="AC51" s="877"/>
      <c r="AD51" s="886"/>
      <c r="AE51" s="877"/>
      <c r="AF51" s="879"/>
      <c r="AG51" s="877"/>
      <c r="AH51" s="877"/>
      <c r="AI51" s="877"/>
      <c r="AJ51" s="877"/>
      <c r="AK51" s="886"/>
      <c r="AL51" s="877"/>
      <c r="AM51" s="879"/>
      <c r="AN51" s="877"/>
      <c r="AO51" s="877"/>
      <c r="AP51" s="877"/>
      <c r="AQ51" s="877"/>
      <c r="AR51" s="886"/>
      <c r="AS51" s="877"/>
      <c r="AT51" s="879"/>
      <c r="AU51" s="877"/>
      <c r="AV51" s="877"/>
      <c r="AW51" s="877"/>
      <c r="AX51" s="877"/>
      <c r="AY51" s="886"/>
      <c r="AZ51" s="877"/>
      <c r="BA51" s="879"/>
      <c r="BB51" s="877"/>
      <c r="BC51" s="877"/>
      <c r="BD51" s="877"/>
      <c r="BE51" s="877"/>
      <c r="BF51" s="886"/>
      <c r="BG51" s="877"/>
      <c r="BH51" s="879"/>
      <c r="BI51" s="877"/>
      <c r="BJ51" s="877"/>
      <c r="BK51" s="877"/>
      <c r="BL51" s="877"/>
      <c r="BM51" s="886"/>
      <c r="BN51" s="877"/>
      <c r="BO51" s="879"/>
      <c r="BP51" s="877"/>
      <c r="BQ51" s="877"/>
      <c r="BR51" s="877"/>
      <c r="BS51" s="877"/>
      <c r="BT51" s="886"/>
      <c r="BU51" s="877"/>
      <c r="BV51" s="879"/>
      <c r="BW51" s="886"/>
      <c r="BX51" s="869"/>
      <c r="BY51" s="869"/>
      <c r="BZ51" s="869"/>
      <c r="CA51" s="869"/>
      <c r="CB51" s="869"/>
      <c r="CC51" s="869"/>
      <c r="CD51" s="869"/>
      <c r="CE51" s="869"/>
    </row>
    <row r="52" spans="1:83" s="406" customFormat="1" ht="17.25">
      <c r="A52" s="18"/>
      <c r="B52" s="55"/>
      <c r="C52" s="595"/>
      <c r="D52" s="50"/>
      <c r="E52" s="511" t="s">
        <v>367</v>
      </c>
      <c r="F52" s="877">
        <f>SUM(K52:L52)</f>
        <v>0</v>
      </c>
      <c r="G52" s="877">
        <f>SUM(I52:Q52)</f>
        <v>9.6192658140593229E-5</v>
      </c>
      <c r="H52" s="878">
        <f>SUM(U52:W52)/(1-'Common input data'!$B$141)</f>
        <v>1.4736046409612169E-4</v>
      </c>
      <c r="I52" s="928">
        <f>('Input data plant-based products'!$F$11*('Common input data'!$B$93*'Common input data'!B87+'Common input data'!$B$94*'Common input data'!C87))/'Input data plant-based products'!$E$11</f>
        <v>6.1595687997665683E-5</v>
      </c>
      <c r="J52" s="877">
        <v>0</v>
      </c>
      <c r="K52" s="877">
        <v>0</v>
      </c>
      <c r="L52" s="877">
        <v>0</v>
      </c>
      <c r="M52" s="877"/>
      <c r="N52" s="877">
        <f>('Input data plant-based products'!$P$11*'Common input data'!$C$76*'Common input data'!H67)/'Input data plant-based products'!$E$11</f>
        <v>2.041999014292755E-5</v>
      </c>
      <c r="O52" s="877">
        <v>0</v>
      </c>
      <c r="P52" s="877">
        <v>0</v>
      </c>
      <c r="Q52" s="877">
        <f>'Input data plant-based products'!$B$267*'Common input data'!$B$76*'Common input data'!B67</f>
        <v>1.4176980000000002E-5</v>
      </c>
      <c r="R52" s="877">
        <v>0</v>
      </c>
      <c r="S52" s="877">
        <v>0</v>
      </c>
      <c r="T52" s="877">
        <f>'Input data plant-based products'!$E$267*'Common input data'!$B$76*'Common input data'!B67</f>
        <v>8.8566538505897767E-6</v>
      </c>
      <c r="U52" s="877">
        <f>(G52+T52)*'Common input data'!$D$42/'Common input data'!$C$42</f>
        <v>1.2414918689867082E-4</v>
      </c>
      <c r="V52" s="877">
        <v>0</v>
      </c>
      <c r="W52" s="878">
        <v>0</v>
      </c>
      <c r="X52" s="869"/>
      <c r="Y52" s="879"/>
      <c r="Z52" s="877"/>
      <c r="AA52" s="877"/>
      <c r="AB52" s="877"/>
      <c r="AC52" s="877"/>
      <c r="AD52" s="886"/>
      <c r="AE52" s="877"/>
      <c r="AF52" s="879"/>
      <c r="AG52" s="877"/>
      <c r="AH52" s="877"/>
      <c r="AI52" s="877"/>
      <c r="AJ52" s="877"/>
      <c r="AK52" s="886"/>
      <c r="AL52" s="877"/>
      <c r="AM52" s="879"/>
      <c r="AN52" s="877"/>
      <c r="AO52" s="877"/>
      <c r="AP52" s="877"/>
      <c r="AQ52" s="877"/>
      <c r="AR52" s="886"/>
      <c r="AS52" s="877"/>
      <c r="AT52" s="879"/>
      <c r="AU52" s="877"/>
      <c r="AV52" s="877"/>
      <c r="AW52" s="877"/>
      <c r="AX52" s="877"/>
      <c r="AY52" s="886"/>
      <c r="AZ52" s="877"/>
      <c r="BA52" s="879"/>
      <c r="BB52" s="877"/>
      <c r="BC52" s="877"/>
      <c r="BD52" s="877"/>
      <c r="BE52" s="877"/>
      <c r="BF52" s="886"/>
      <c r="BG52" s="877"/>
      <c r="BH52" s="879"/>
      <c r="BI52" s="877"/>
      <c r="BJ52" s="877"/>
      <c r="BK52" s="877"/>
      <c r="BL52" s="877"/>
      <c r="BM52" s="886"/>
      <c r="BN52" s="877"/>
      <c r="BO52" s="879"/>
      <c r="BP52" s="877"/>
      <c r="BQ52" s="877"/>
      <c r="BR52" s="877"/>
      <c r="BS52" s="877"/>
      <c r="BT52" s="886"/>
      <c r="BU52" s="877"/>
      <c r="BV52" s="879"/>
      <c r="BW52" s="886"/>
      <c r="BX52" s="869"/>
      <c r="BY52" s="869"/>
      <c r="BZ52" s="869"/>
      <c r="CA52" s="869"/>
      <c r="CB52" s="869"/>
      <c r="CC52" s="869"/>
      <c r="CD52" s="869"/>
      <c r="CE52" s="869"/>
    </row>
    <row r="53" spans="1:83" s="406" customFormat="1" ht="17.25">
      <c r="A53" s="359"/>
      <c r="B53" s="360"/>
      <c r="C53" s="83"/>
      <c r="D53" s="54"/>
      <c r="E53" s="512" t="s">
        <v>320</v>
      </c>
      <c r="F53" s="877">
        <f>SUM(K53:L53)</f>
        <v>6.1615565481987374E-4</v>
      </c>
      <c r="G53" s="877">
        <f>SUM(I53:Q53)</f>
        <v>7.216702592415695E-4</v>
      </c>
      <c r="H53" s="878">
        <f>SUM(U53:W53)/(1-'Common input data'!$B$141)</f>
        <v>1.0134985993984502E-3</v>
      </c>
      <c r="I53" s="928">
        <f>('Input data plant-based products'!$F$11*('Common input data'!$B$93*'Common input data'!B88+'Common input data'!$B$94*'Common input data'!C88))/'Input data plant-based products'!$E$11</f>
        <v>1.0295431568940405E-4</v>
      </c>
      <c r="J53" s="877">
        <v>0</v>
      </c>
      <c r="K53" s="877">
        <f>(SUM(('Input data plant-based products'!$F$11*'Input data plant-based products'!$B$258),(('Input data plant-based products'!$G$11+'Input data plant-based products'!$H$11)*'Input data plant-based products'!$B$259))*44/28)/'Input data plant-based products'!$E$11</f>
        <v>5.601415043817034E-4</v>
      </c>
      <c r="L53" s="877">
        <f>K53*'Input data plant-based products'!$B$261</f>
        <v>5.601415043817034E-5</v>
      </c>
      <c r="M53" s="877"/>
      <c r="N53" s="877">
        <f>('Input data plant-based products'!$P$11*'Common input data'!$C$76*'Common input data'!H68)/'Input data plant-based products'!$E$11</f>
        <v>1.2386791522917695E-6</v>
      </c>
      <c r="O53" s="877">
        <v>0</v>
      </c>
      <c r="P53" s="877">
        <v>0</v>
      </c>
      <c r="Q53" s="877">
        <f>'Input data plant-based products'!$B$267*'Common input data'!$B$76*'Common input data'!B68</f>
        <v>1.32160958E-6</v>
      </c>
      <c r="R53" s="877">
        <v>0</v>
      </c>
      <c r="S53" s="877">
        <v>0</v>
      </c>
      <c r="T53" s="877">
        <f>'Input data plant-based products'!$E$267*'Common input data'!$B$76*'Common input data'!B68</f>
        <v>8.256369534049801E-7</v>
      </c>
      <c r="U53" s="877">
        <f>(G53+T53)*'Common input data'!$D$42/'Common input data'!$C$42</f>
        <v>8.5385878641224249E-4</v>
      </c>
      <c r="V53" s="877">
        <v>0</v>
      </c>
      <c r="W53" s="878">
        <v>0</v>
      </c>
      <c r="X53" s="869"/>
      <c r="Y53" s="879"/>
      <c r="Z53" s="877"/>
      <c r="AA53" s="877"/>
      <c r="AB53" s="877"/>
      <c r="AC53" s="877"/>
      <c r="AD53" s="886"/>
      <c r="AE53" s="877"/>
      <c r="AF53" s="879"/>
      <c r="AG53" s="877"/>
      <c r="AH53" s="877"/>
      <c r="AI53" s="877"/>
      <c r="AJ53" s="877"/>
      <c r="AK53" s="886"/>
      <c r="AL53" s="877"/>
      <c r="AM53" s="879"/>
      <c r="AN53" s="877"/>
      <c r="AO53" s="877"/>
      <c r="AP53" s="877"/>
      <c r="AQ53" s="877"/>
      <c r="AR53" s="886"/>
      <c r="AS53" s="877"/>
      <c r="AT53" s="879"/>
      <c r="AU53" s="877"/>
      <c r="AV53" s="877"/>
      <c r="AW53" s="877"/>
      <c r="AX53" s="877"/>
      <c r="AY53" s="886"/>
      <c r="AZ53" s="877"/>
      <c r="BA53" s="879"/>
      <c r="BB53" s="877"/>
      <c r="BC53" s="877"/>
      <c r="BD53" s="877"/>
      <c r="BE53" s="877"/>
      <c r="BF53" s="886"/>
      <c r="BG53" s="877"/>
      <c r="BH53" s="879"/>
      <c r="BI53" s="877"/>
      <c r="BJ53" s="877"/>
      <c r="BK53" s="877"/>
      <c r="BL53" s="877"/>
      <c r="BM53" s="886"/>
      <c r="BN53" s="877"/>
      <c r="BO53" s="879"/>
      <c r="BP53" s="877"/>
      <c r="BQ53" s="877"/>
      <c r="BR53" s="877"/>
      <c r="BS53" s="877"/>
      <c r="BT53" s="886"/>
      <c r="BU53" s="877"/>
      <c r="BV53" s="879"/>
      <c r="BW53" s="886"/>
      <c r="BX53" s="869"/>
      <c r="BY53" s="869"/>
      <c r="BZ53" s="869"/>
      <c r="CA53" s="869"/>
      <c r="CB53" s="869"/>
      <c r="CC53" s="869"/>
      <c r="CD53" s="869"/>
      <c r="CE53" s="869"/>
    </row>
    <row r="54" spans="1:83" s="406" customFormat="1" ht="17.25">
      <c r="A54" s="362" t="s">
        <v>445</v>
      </c>
      <c r="B54" s="363"/>
      <c r="C54" s="770"/>
      <c r="D54" s="54"/>
      <c r="E54" s="939"/>
      <c r="F54" s="892" t="s">
        <v>446</v>
      </c>
      <c r="G54" s="892" t="s">
        <v>446</v>
      </c>
      <c r="H54" s="970" t="s">
        <v>447</v>
      </c>
      <c r="I54" s="1279"/>
      <c r="J54" s="889"/>
      <c r="K54" s="889"/>
      <c r="L54" s="889"/>
      <c r="M54" s="889"/>
      <c r="N54" s="889"/>
      <c r="O54" s="891"/>
      <c r="P54" s="889"/>
      <c r="Q54" s="889"/>
      <c r="R54" s="889"/>
      <c r="S54" s="889"/>
      <c r="T54" s="889"/>
      <c r="U54" s="889"/>
      <c r="V54" s="889"/>
      <c r="W54" s="1280"/>
      <c r="X54" s="869"/>
      <c r="Y54" s="879"/>
      <c r="Z54" s="877"/>
      <c r="AA54" s="877"/>
      <c r="AB54" s="877"/>
      <c r="AC54" s="877"/>
      <c r="AD54" s="886"/>
      <c r="AE54" s="877"/>
      <c r="AF54" s="879"/>
      <c r="AG54" s="877"/>
      <c r="AH54" s="877"/>
      <c r="AI54" s="877"/>
      <c r="AJ54" s="877"/>
      <c r="AK54" s="886"/>
      <c r="AL54" s="877"/>
      <c r="AM54" s="879"/>
      <c r="AN54" s="877"/>
      <c r="AO54" s="877"/>
      <c r="AP54" s="877"/>
      <c r="AQ54" s="877"/>
      <c r="AR54" s="886"/>
      <c r="AS54" s="877"/>
      <c r="AT54" s="879"/>
      <c r="AU54" s="877"/>
      <c r="AV54" s="877"/>
      <c r="AW54" s="877"/>
      <c r="AX54" s="877"/>
      <c r="AY54" s="886"/>
      <c r="AZ54" s="877"/>
      <c r="BA54" s="879"/>
      <c r="BB54" s="877"/>
      <c r="BC54" s="877"/>
      <c r="BD54" s="877"/>
      <c r="BE54" s="877"/>
      <c r="BF54" s="886"/>
      <c r="BG54" s="877"/>
      <c r="BH54" s="879"/>
      <c r="BI54" s="877"/>
      <c r="BJ54" s="877"/>
      <c r="BK54" s="877"/>
      <c r="BL54" s="877"/>
      <c r="BM54" s="886"/>
      <c r="BN54" s="877"/>
      <c r="BO54" s="879"/>
      <c r="BP54" s="877"/>
      <c r="BQ54" s="877"/>
      <c r="BR54" s="877"/>
      <c r="BS54" s="877"/>
      <c r="BT54" s="886"/>
      <c r="BU54" s="877"/>
      <c r="BV54" s="879"/>
      <c r="BW54" s="886"/>
      <c r="BX54" s="869"/>
      <c r="BY54" s="869"/>
      <c r="BZ54" s="869"/>
      <c r="CA54" s="869"/>
      <c r="CB54" s="869"/>
      <c r="CC54" s="869"/>
      <c r="CD54" s="869"/>
      <c r="CE54" s="869"/>
    </row>
    <row r="55" spans="1:83" s="406" customFormat="1" ht="17.25">
      <c r="A55" s="20" t="s">
        <v>120</v>
      </c>
      <c r="B55" s="93"/>
      <c r="C55" s="771">
        <f>SUM(C59:C70)</f>
        <v>1</v>
      </c>
      <c r="D55" s="50"/>
      <c r="E55" s="513" t="s">
        <v>316</v>
      </c>
      <c r="F55" s="872">
        <f>SUMPRODUCT($CJ$6:$CJ$8,F56:F58)</f>
        <v>0.39055756185355273</v>
      </c>
      <c r="G55" s="872">
        <f>SUMPRODUCT($CJ$6:$CJ$8,G56:G58)</f>
        <v>1.0706559563821869</v>
      </c>
      <c r="H55" s="873">
        <f>SUMPRODUCT($CJ$6:$CJ$8,H56:H58)</f>
        <v>2.3833565872892115</v>
      </c>
      <c r="I55" s="930"/>
      <c r="J55" s="884"/>
      <c r="K55" s="884"/>
      <c r="L55" s="884"/>
      <c r="M55" s="884"/>
      <c r="N55" s="884"/>
      <c r="O55" s="884"/>
      <c r="P55" s="884"/>
      <c r="Q55" s="884"/>
      <c r="R55" s="884"/>
      <c r="S55" s="884"/>
      <c r="T55" s="884"/>
      <c r="U55" s="884"/>
      <c r="V55" s="884"/>
      <c r="W55" s="1278"/>
      <c r="X55" s="869"/>
      <c r="Y55" s="883">
        <f t="shared" ref="Y55:BW55" si="9">Y59*$C$59+Y63*$C$63+Y67*$C$67</f>
        <v>2.2786178840126294</v>
      </c>
      <c r="Z55" s="884">
        <f t="shared" si="9"/>
        <v>2.6128151736678151</v>
      </c>
      <c r="AA55" s="884">
        <f t="shared" si="9"/>
        <v>4.2142180220448626</v>
      </c>
      <c r="AB55" s="884">
        <f t="shared" si="9"/>
        <v>3.8244028550057134</v>
      </c>
      <c r="AC55" s="884">
        <f t="shared" si="9"/>
        <v>4.4676993009655961</v>
      </c>
      <c r="AD55" s="885">
        <f t="shared" si="9"/>
        <v>5.956932401287462</v>
      </c>
      <c r="AE55" s="877"/>
      <c r="AF55" s="883">
        <f t="shared" si="9"/>
        <v>2.8410408215656026E-2</v>
      </c>
      <c r="AG55" s="884">
        <f t="shared" si="9"/>
        <v>3.2577268087285574E-2</v>
      </c>
      <c r="AH55" s="884">
        <f t="shared" si="9"/>
        <v>5.254398078594448E-2</v>
      </c>
      <c r="AI55" s="884">
        <f t="shared" si="9"/>
        <v>4.7683662563244619E-2</v>
      </c>
      <c r="AJ55" s="884">
        <f t="shared" si="9"/>
        <v>5.5811595286739762E-2</v>
      </c>
      <c r="AK55" s="885">
        <f t="shared" si="9"/>
        <v>7.4415460382319693E-2</v>
      </c>
      <c r="AL55" s="877"/>
      <c r="AM55" s="883">
        <f t="shared" si="9"/>
        <v>6.7306961349408107E-3</v>
      </c>
      <c r="AN55" s="884">
        <f t="shared" si="9"/>
        <v>7.7178649013987972E-3</v>
      </c>
      <c r="AO55" s="884">
        <f t="shared" si="9"/>
        <v>1.244816919580451E-2</v>
      </c>
      <c r="AP55" s="884">
        <f t="shared" si="9"/>
        <v>1.1296713545192592E-2</v>
      </c>
      <c r="AQ55" s="884">
        <f t="shared" si="9"/>
        <v>1.3207642493584925E-2</v>
      </c>
      <c r="AR55" s="885">
        <f t="shared" si="9"/>
        <v>1.7610189991446566E-2</v>
      </c>
      <c r="AS55" s="877"/>
      <c r="AT55" s="883">
        <f t="shared" si="9"/>
        <v>0.36007720296039342</v>
      </c>
      <c r="AU55" s="884">
        <f t="shared" si="9"/>
        <v>0.41288852606125115</v>
      </c>
      <c r="AV55" s="884">
        <f t="shared" si="9"/>
        <v>0.66594923558266328</v>
      </c>
      <c r="AW55" s="884">
        <f t="shared" si="9"/>
        <v>0.60434893129126688</v>
      </c>
      <c r="AX55" s="884">
        <f t="shared" si="9"/>
        <v>0.70808279378527605</v>
      </c>
      <c r="AY55" s="885">
        <f t="shared" si="9"/>
        <v>0.94411039171370148</v>
      </c>
      <c r="AZ55" s="877"/>
      <c r="BA55" s="883">
        <f t="shared" si="9"/>
        <v>1.6221643821245416E-9</v>
      </c>
      <c r="BB55" s="884">
        <f t="shared" si="9"/>
        <v>1.8600818248361411E-9</v>
      </c>
      <c r="BC55" s="884">
        <f t="shared" si="9"/>
        <v>3.0001319755421638E-9</v>
      </c>
      <c r="BD55" s="884">
        <f t="shared" si="9"/>
        <v>2.7226197678045132E-9</v>
      </c>
      <c r="BE55" s="884">
        <f t="shared" si="9"/>
        <v>3.1898588511692165E-9</v>
      </c>
      <c r="BF55" s="885">
        <f t="shared" si="9"/>
        <v>4.2531451348922898E-9</v>
      </c>
      <c r="BG55" s="877"/>
      <c r="BH55" s="883">
        <f t="shared" si="9"/>
        <v>4.4497562963678803E-4</v>
      </c>
      <c r="BI55" s="884">
        <f t="shared" si="9"/>
        <v>5.1023872198351691E-4</v>
      </c>
      <c r="BJ55" s="884">
        <f t="shared" si="9"/>
        <v>8.2296568061857587E-4</v>
      </c>
      <c r="BK55" s="884">
        <f t="shared" si="9"/>
        <v>7.4684135516135761E-4</v>
      </c>
      <c r="BL55" s="884">
        <f t="shared" si="9"/>
        <v>8.7331432265099558E-4</v>
      </c>
      <c r="BM55" s="885">
        <f t="shared" si="9"/>
        <v>1.1644190968679942E-3</v>
      </c>
      <c r="BN55" s="877"/>
      <c r="BO55" s="883">
        <f t="shared" si="9"/>
        <v>5.3342443241108655E-4</v>
      </c>
      <c r="BP55" s="884">
        <f t="shared" si="9"/>
        <v>6.1166001583137927E-4</v>
      </c>
      <c r="BQ55" s="884">
        <f t="shared" si="9"/>
        <v>9.8654841263125671E-4</v>
      </c>
      <c r="BR55" s="884">
        <f t="shared" si="9"/>
        <v>8.9529268446286562E-4</v>
      </c>
      <c r="BS55" s="884">
        <f t="shared" si="9"/>
        <v>1.0486241422875654E-3</v>
      </c>
      <c r="BT55" s="885">
        <f t="shared" si="9"/>
        <v>1.3981655230500874E-3</v>
      </c>
      <c r="BU55" s="877"/>
      <c r="BV55" s="883">
        <f>BV59*$C$59+BV63*$C$63+BV67*$C$67</f>
        <v>10.390854027799792</v>
      </c>
      <c r="BW55" s="885">
        <f t="shared" si="9"/>
        <v>13.85447203706639</v>
      </c>
      <c r="BX55" s="869"/>
      <c r="BY55" s="869"/>
      <c r="BZ55" s="869"/>
      <c r="CA55" s="869"/>
      <c r="CB55" s="869"/>
      <c r="CC55" s="869"/>
      <c r="CD55" s="869"/>
      <c r="CE55" s="869"/>
    </row>
    <row r="56" spans="1:83" s="406" customFormat="1" ht="17.25">
      <c r="A56" s="499"/>
      <c r="B56" s="55"/>
      <c r="C56" s="64"/>
      <c r="D56"/>
      <c r="E56" s="511" t="s">
        <v>317</v>
      </c>
      <c r="F56" s="877">
        <f t="shared" ref="F56:W58" si="10">F60*$C$59+F64*$C$63+$C$67*F68</f>
        <v>0.12415162728885436</v>
      </c>
      <c r="G56" s="877">
        <f t="shared" si="10"/>
        <v>0.74966246302217088</v>
      </c>
      <c r="H56" s="878">
        <f t="shared" si="10"/>
        <v>1.8336850834683192</v>
      </c>
      <c r="I56" s="928">
        <f t="shared" si="10"/>
        <v>8.6590247229898748E-2</v>
      </c>
      <c r="J56" s="877">
        <f t="shared" si="10"/>
        <v>0.03</v>
      </c>
      <c r="K56" s="877">
        <f t="shared" si="10"/>
        <v>0</v>
      </c>
      <c r="L56" s="877">
        <f t="shared" si="10"/>
        <v>0</v>
      </c>
      <c r="M56" s="877"/>
      <c r="N56" s="877">
        <f t="shared" si="10"/>
        <v>0.12178683950698414</v>
      </c>
      <c r="O56" s="877">
        <f t="shared" si="10"/>
        <v>0</v>
      </c>
      <c r="P56" s="877">
        <f t="shared" si="10"/>
        <v>0.16223094412582009</v>
      </c>
      <c r="Q56" s="877">
        <f t="shared" si="10"/>
        <v>0.14489560495123577</v>
      </c>
      <c r="R56" s="877">
        <f t="shared" si="10"/>
        <v>0.108271767984466</v>
      </c>
      <c r="S56" s="877">
        <f t="shared" si="10"/>
        <v>0</v>
      </c>
      <c r="T56" s="877">
        <f t="shared" si="10"/>
        <v>1.0047752834545492E-2</v>
      </c>
      <c r="U56" s="877">
        <f t="shared" si="10"/>
        <v>1.1119951949838227</v>
      </c>
      <c r="V56" s="877">
        <f t="shared" si="10"/>
        <v>0.05</v>
      </c>
      <c r="W56" s="878">
        <f t="shared" si="10"/>
        <v>0.40299045107397824</v>
      </c>
      <c r="X56" s="869"/>
      <c r="Y56" s="879"/>
      <c r="Z56" s="877"/>
      <c r="AA56" s="877"/>
      <c r="AB56" s="877"/>
      <c r="AC56" s="877"/>
      <c r="AD56" s="886"/>
      <c r="AE56" s="877"/>
      <c r="AF56" s="879"/>
      <c r="AG56" s="877"/>
      <c r="AH56" s="877"/>
      <c r="AI56" s="877"/>
      <c r="AJ56" s="877"/>
      <c r="AK56" s="886"/>
      <c r="AL56" s="877"/>
      <c r="AM56" s="879"/>
      <c r="AN56" s="877"/>
      <c r="AO56" s="877"/>
      <c r="AP56" s="877"/>
      <c r="AQ56" s="877"/>
      <c r="AR56" s="886"/>
      <c r="AS56" s="877"/>
      <c r="AT56" s="879"/>
      <c r="AU56" s="877"/>
      <c r="AV56" s="877"/>
      <c r="AW56" s="877"/>
      <c r="AX56" s="877"/>
      <c r="AY56" s="886"/>
      <c r="AZ56" s="877"/>
      <c r="BA56" s="879"/>
      <c r="BB56" s="877"/>
      <c r="BC56" s="877"/>
      <c r="BD56" s="877"/>
      <c r="BE56" s="877"/>
      <c r="BF56" s="886"/>
      <c r="BG56" s="877"/>
      <c r="BH56" s="879"/>
      <c r="BI56" s="877"/>
      <c r="BJ56" s="877"/>
      <c r="BK56" s="877"/>
      <c r="BL56" s="877"/>
      <c r="BM56" s="886"/>
      <c r="BN56" s="877"/>
      <c r="BO56" s="879"/>
      <c r="BP56" s="877"/>
      <c r="BQ56" s="877"/>
      <c r="BR56" s="877"/>
      <c r="BS56" s="877"/>
      <c r="BT56" s="886"/>
      <c r="BU56" s="877"/>
      <c r="BV56" s="879"/>
      <c r="BW56" s="886"/>
      <c r="BX56" s="869"/>
      <c r="BY56" s="869"/>
      <c r="BZ56" s="869"/>
      <c r="CA56" s="869"/>
      <c r="CB56" s="869"/>
      <c r="CC56" s="869"/>
      <c r="CD56" s="869"/>
      <c r="CE56" s="869"/>
    </row>
    <row r="57" spans="1:83" s="406" customFormat="1" ht="17.25">
      <c r="A57" s="499"/>
      <c r="B57" s="55"/>
      <c r="C57" s="595"/>
      <c r="D57" s="50"/>
      <c r="E57" s="511" t="s">
        <v>367</v>
      </c>
      <c r="F57" s="877">
        <f t="shared" si="10"/>
        <v>2.5501250574338354E-2</v>
      </c>
      <c r="G57" s="877">
        <f t="shared" si="10"/>
        <v>2.5794624186496175E-2</v>
      </c>
      <c r="H57" s="878">
        <f t="shared" si="10"/>
        <v>4.4141002551712265E-2</v>
      </c>
      <c r="I57" s="928">
        <f t="shared" si="10"/>
        <v>1.8170255708489533E-4</v>
      </c>
      <c r="J57" s="877">
        <f t="shared" si="10"/>
        <v>0</v>
      </c>
      <c r="K57" s="877">
        <f t="shared" si="10"/>
        <v>2.2239462710178792E-2</v>
      </c>
      <c r="L57" s="877">
        <f t="shared" si="10"/>
        <v>0</v>
      </c>
      <c r="M57" s="877"/>
      <c r="N57" s="877">
        <f t="shared" si="10"/>
        <v>5.3947463285298705E-5</v>
      </c>
      <c r="O57" s="877">
        <f t="shared" si="10"/>
        <v>0</v>
      </c>
      <c r="P57" s="877">
        <f t="shared" si="10"/>
        <v>0</v>
      </c>
      <c r="Q57" s="877">
        <f t="shared" si="10"/>
        <v>2.0199060000000005E-5</v>
      </c>
      <c r="R57" s="877">
        <f t="shared" si="10"/>
        <v>0</v>
      </c>
      <c r="S57" s="877">
        <f t="shared" si="10"/>
        <v>0</v>
      </c>
      <c r="T57" s="877">
        <f t="shared" si="10"/>
        <v>0</v>
      </c>
      <c r="U57" s="877">
        <f t="shared" si="10"/>
        <v>3.7755841047169801E-2</v>
      </c>
      <c r="V57" s="877">
        <f t="shared" si="10"/>
        <v>0</v>
      </c>
      <c r="W57" s="878">
        <f t="shared" si="10"/>
        <v>0</v>
      </c>
      <c r="X57" s="869"/>
      <c r="Y57" s="879"/>
      <c r="Z57" s="877"/>
      <c r="AA57" s="877"/>
      <c r="AB57" s="877"/>
      <c r="AC57" s="877"/>
      <c r="AD57" s="886"/>
      <c r="AE57" s="877"/>
      <c r="AF57" s="879"/>
      <c r="AG57" s="877"/>
      <c r="AH57" s="877"/>
      <c r="AI57" s="877"/>
      <c r="AJ57" s="877"/>
      <c r="AK57" s="886"/>
      <c r="AL57" s="877"/>
      <c r="AM57" s="879"/>
      <c r="AN57" s="877"/>
      <c r="AO57" s="877"/>
      <c r="AP57" s="877"/>
      <c r="AQ57" s="877"/>
      <c r="AR57" s="886"/>
      <c r="AS57" s="877"/>
      <c r="AT57" s="879"/>
      <c r="AU57" s="877"/>
      <c r="AV57" s="877"/>
      <c r="AW57" s="877"/>
      <c r="AX57" s="877"/>
      <c r="AY57" s="886"/>
      <c r="AZ57" s="877"/>
      <c r="BA57" s="879"/>
      <c r="BB57" s="877"/>
      <c r="BC57" s="877"/>
      <c r="BD57" s="877"/>
      <c r="BE57" s="877"/>
      <c r="BF57" s="886"/>
      <c r="BG57" s="877"/>
      <c r="BH57" s="879"/>
      <c r="BI57" s="877"/>
      <c r="BJ57" s="877"/>
      <c r="BK57" s="877"/>
      <c r="BL57" s="877"/>
      <c r="BM57" s="886"/>
      <c r="BN57" s="877"/>
      <c r="BO57" s="879"/>
      <c r="BP57" s="877"/>
      <c r="BQ57" s="877"/>
      <c r="BR57" s="877"/>
      <c r="BS57" s="877"/>
      <c r="BT57" s="886"/>
      <c r="BU57" s="877"/>
      <c r="BV57" s="879"/>
      <c r="BW57" s="886"/>
      <c r="BX57" s="869"/>
      <c r="BY57" s="869"/>
      <c r="BZ57" s="869"/>
      <c r="CA57" s="869"/>
      <c r="CB57" s="869"/>
      <c r="CC57" s="869"/>
      <c r="CD57" s="869"/>
      <c r="CE57" s="869"/>
    </row>
    <row r="58" spans="1:83" s="406" customFormat="1" ht="17.25">
      <c r="A58" s="18"/>
      <c r="B58" s="360"/>
      <c r="C58" s="83"/>
      <c r="D58" s="54"/>
      <c r="E58" s="512" t="s">
        <v>320</v>
      </c>
      <c r="F58" s="877">
        <f t="shared" si="10"/>
        <v>6.2897020113866146E-4</v>
      </c>
      <c r="G58" s="877">
        <f t="shared" si="10"/>
        <v>8.5733373254714192E-4</v>
      </c>
      <c r="H58" s="878">
        <f t="shared" si="10"/>
        <v>1.468707261063712E-3</v>
      </c>
      <c r="I58" s="928">
        <f t="shared" si="10"/>
        <v>1.9399878138709237E-4</v>
      </c>
      <c r="J58" s="877">
        <f t="shared" si="10"/>
        <v>0</v>
      </c>
      <c r="K58" s="877">
        <f t="shared" si="10"/>
        <v>4.986550220443933E-4</v>
      </c>
      <c r="L58" s="877">
        <f t="shared" si="10"/>
        <v>4.9865502204439328E-5</v>
      </c>
      <c r="M58" s="877"/>
      <c r="N58" s="877">
        <f t="shared" si="10"/>
        <v>3.2724598603035784E-6</v>
      </c>
      <c r="O58" s="877">
        <f t="shared" si="10"/>
        <v>0</v>
      </c>
      <c r="P58" s="877">
        <f t="shared" si="10"/>
        <v>0</v>
      </c>
      <c r="Q58" s="877">
        <f t="shared" si="10"/>
        <v>1.8830012600000001E-6</v>
      </c>
      <c r="R58" s="877">
        <f t="shared" si="10"/>
        <v>0</v>
      </c>
      <c r="S58" s="877">
        <f t="shared" si="10"/>
        <v>0</v>
      </c>
      <c r="T58" s="877">
        <f t="shared" si="10"/>
        <v>0</v>
      </c>
      <c r="U58" s="877">
        <f t="shared" si="10"/>
        <v>1.2548876811073087E-3</v>
      </c>
      <c r="V58" s="877">
        <f t="shared" si="10"/>
        <v>0</v>
      </c>
      <c r="W58" s="878">
        <f t="shared" si="10"/>
        <v>0</v>
      </c>
      <c r="X58" s="869"/>
      <c r="Y58" s="879"/>
      <c r="Z58" s="877"/>
      <c r="AA58" s="877"/>
      <c r="AB58" s="877"/>
      <c r="AC58" s="877"/>
      <c r="AD58" s="886"/>
      <c r="AE58" s="877"/>
      <c r="AF58" s="879"/>
      <c r="AG58" s="877"/>
      <c r="AH58" s="877"/>
      <c r="AI58" s="877"/>
      <c r="AJ58" s="877"/>
      <c r="AK58" s="886"/>
      <c r="AL58" s="877"/>
      <c r="AM58" s="879"/>
      <c r="AN58" s="877"/>
      <c r="AO58" s="877"/>
      <c r="AP58" s="877"/>
      <c r="AQ58" s="877"/>
      <c r="AR58" s="886"/>
      <c r="AS58" s="877"/>
      <c r="AT58" s="879"/>
      <c r="AU58" s="877"/>
      <c r="AV58" s="877"/>
      <c r="AW58" s="877"/>
      <c r="AX58" s="877"/>
      <c r="AY58" s="886"/>
      <c r="AZ58" s="877"/>
      <c r="BA58" s="879"/>
      <c r="BB58" s="877"/>
      <c r="BC58" s="877"/>
      <c r="BD58" s="877"/>
      <c r="BE58" s="877"/>
      <c r="BF58" s="886"/>
      <c r="BG58" s="877"/>
      <c r="BH58" s="879"/>
      <c r="BI58" s="877"/>
      <c r="BJ58" s="877"/>
      <c r="BK58" s="877"/>
      <c r="BL58" s="877"/>
      <c r="BM58" s="886"/>
      <c r="BN58" s="877"/>
      <c r="BO58" s="879"/>
      <c r="BP58" s="877"/>
      <c r="BQ58" s="877"/>
      <c r="BR58" s="877"/>
      <c r="BS58" s="877"/>
      <c r="BT58" s="886"/>
      <c r="BU58" s="877"/>
      <c r="BV58" s="879"/>
      <c r="BW58" s="886"/>
      <c r="BX58" s="869"/>
      <c r="BY58" s="869"/>
      <c r="BZ58" s="869"/>
      <c r="CA58" s="869"/>
      <c r="CB58" s="869"/>
      <c r="CC58" s="869"/>
      <c r="CD58" s="869"/>
      <c r="CE58" s="869"/>
    </row>
    <row r="59" spans="1:83" s="406" customFormat="1" ht="17.25">
      <c r="A59" s="20" t="s">
        <v>170</v>
      </c>
      <c r="B59" s="93" t="s">
        <v>121</v>
      </c>
      <c r="C59" s="87">
        <f>'Input data plant-based products'!D13</f>
        <v>0.16193741936094433</v>
      </c>
      <c r="D59" s="54"/>
      <c r="E59" s="513" t="s">
        <v>316</v>
      </c>
      <c r="F59" s="872">
        <f>SUMPRODUCT($CJ$6:$CJ$8,F60:F62)</f>
        <v>0.49474547347256714</v>
      </c>
      <c r="G59" s="872">
        <f>SUMPRODUCT($CJ$6:$CJ$8,G60:G62)</f>
        <v>1.1245845490170561</v>
      </c>
      <c r="H59" s="873">
        <f>SUMPRODUCT($CJ$6:$CJ$8,H60:H62)</f>
        <v>2.4402896820436895</v>
      </c>
      <c r="I59" s="1277"/>
      <c r="J59" s="884"/>
      <c r="K59" s="884"/>
      <c r="L59" s="884"/>
      <c r="M59" s="884"/>
      <c r="N59" s="884"/>
      <c r="O59" s="884"/>
      <c r="P59" s="884"/>
      <c r="Q59" s="884"/>
      <c r="R59" s="884"/>
      <c r="S59" s="884"/>
      <c r="T59" s="884"/>
      <c r="U59" s="884"/>
      <c r="V59" s="884"/>
      <c r="W59" s="1278"/>
      <c r="X59" s="869"/>
      <c r="Y59" s="879">
        <f>1/'Input data plant-based products'!E13*10^4</f>
        <v>3.3160016977928697</v>
      </c>
      <c r="Z59" s="877">
        <f>$Y59*'Input data plant-based products'!Z13</f>
        <v>3.8023486134691575</v>
      </c>
      <c r="AA59" s="877">
        <f>$Y59*'Input data plant-based products'!AA13</f>
        <v>6.1328203443050926</v>
      </c>
      <c r="AB59" s="877">
        <f>$Y59*'Input data plant-based products'!AB13</f>
        <v>5.5655344624568714</v>
      </c>
      <c r="AC59" s="877">
        <f>$Y59*'Input data plant-based products'!AC13</f>
        <v>6.3280592773139226</v>
      </c>
      <c r="AD59" s="886">
        <f>$Y59*'Input data plant-based products'!AD13</f>
        <v>8.4374123697518968</v>
      </c>
      <c r="AE59" s="877"/>
      <c r="AF59" s="879">
        <f>SUM('Input data plant-based products'!F13,'Input data plant-based products'!Q13)/'Input data plant-based products'!E13</f>
        <v>3.1502016129032258E-2</v>
      </c>
      <c r="AG59" s="877">
        <f>$AF59*'Input data plant-based products'!Z13</f>
        <v>3.6122311827956992E-2</v>
      </c>
      <c r="AH59" s="877">
        <f>$AF59*'Input data plant-based products'!AA13</f>
        <v>5.8261793270898372E-2</v>
      </c>
      <c r="AI59" s="877">
        <f>$AF59*'Input data plant-based products'!AB13</f>
        <v>5.2872577393340274E-2</v>
      </c>
      <c r="AJ59" s="877">
        <f>$AF59*'Input data plant-based products'!AC13</f>
        <v>6.0116563134482257E-2</v>
      </c>
      <c r="AK59" s="886">
        <f>$AF59*'Input data plant-based products'!AD13</f>
        <v>8.0155417512643004E-2</v>
      </c>
      <c r="AL59" s="877"/>
      <c r="AM59" s="879">
        <f>'Input data plant-based products'!R13/'Input data plant-based products'!E13</f>
        <v>1.0942805602716469E-2</v>
      </c>
      <c r="AN59" s="877">
        <f>$AM59*'Input data plant-based products'!Z13</f>
        <v>1.2547750424448218E-2</v>
      </c>
      <c r="AO59" s="877">
        <f>$AM59*'Input data plant-based products'!AA13</f>
        <v>2.0238307136206803E-2</v>
      </c>
      <c r="AP59" s="877">
        <f>$AM59*'Input data plant-based products'!AB13</f>
        <v>1.8366263726107675E-2</v>
      </c>
      <c r="AQ59" s="877">
        <f>$AM59*'Input data plant-based products'!AC13</f>
        <v>2.0882595615135943E-2</v>
      </c>
      <c r="AR59" s="886">
        <f>$AM59*'Input data plant-based products'!AD13</f>
        <v>2.7843460820181257E-2</v>
      </c>
      <c r="AS59" s="877"/>
      <c r="AT59" s="879">
        <f>'Input data plant-based products'!S13</f>
        <v>0.37553238827474744</v>
      </c>
      <c r="AU59" s="877">
        <f>$AT59*'Input data plant-based products'!Z13</f>
        <v>0.43061047188837709</v>
      </c>
      <c r="AV59" s="877">
        <f>$AT59*'Input data plant-based products'!AA13</f>
        <v>0.69453301917480181</v>
      </c>
      <c r="AW59" s="877">
        <f>$AT59*'Input data plant-based products'!AB13</f>
        <v>0.63028871490113259</v>
      </c>
      <c r="AX59" s="877">
        <f>$AT59*'Input data plant-based products'!AC13</f>
        <v>0.71664354548901321</v>
      </c>
      <c r="AY59" s="886">
        <f>$AT59*'Input data plant-based products'!AD13</f>
        <v>0.95552472731868432</v>
      </c>
      <c r="AZ59" s="877"/>
      <c r="BA59" s="879">
        <f>((SUM('Input data plant-based products'!U13:Y13)*'Grains, oil crops, sugar'!Y59)/('Common input data'!$B$192/10^6))/$BB$3</f>
        <v>1.6004074978925935E-9</v>
      </c>
      <c r="BB59" s="877">
        <f>$BA59*'Input data plant-based products'!Z13</f>
        <v>1.8351339309168406E-9</v>
      </c>
      <c r="BC59" s="877">
        <f>$BA59*'Input data plant-based products'!AA13</f>
        <v>2.9598934369626464E-9</v>
      </c>
      <c r="BD59" s="877">
        <f>$BA59*'Input data plant-based products'!AB13</f>
        <v>2.6861032940436013E-9</v>
      </c>
      <c r="BE59" s="877">
        <f>$BA59*'Input data plant-based products'!AC13</f>
        <v>3.0541219328273665E-9</v>
      </c>
      <c r="BF59" s="886">
        <f>$BA59*'Input data plant-based products'!AD13</f>
        <v>4.0721625771031556E-9</v>
      </c>
      <c r="BG59" s="877"/>
      <c r="BH59" s="879">
        <f>'Input data plant-based products'!T13/'Input data plant-based products'!E13</f>
        <v>5.2055195135531209E-4</v>
      </c>
      <c r="BI59" s="877">
        <f>$BH59*'Input data plant-based products'!Z13</f>
        <v>5.9689957088742459E-4</v>
      </c>
      <c r="BJ59" s="877">
        <f>$BH59*'Input data plant-based products'!AA13</f>
        <v>9.6274124336681382E-4</v>
      </c>
      <c r="BK59" s="877">
        <f>$BH59*'Input data plant-based products'!AB13</f>
        <v>8.7368767835538353E-4</v>
      </c>
      <c r="BL59" s="877">
        <f>$BH59*'Input data plant-based products'!AC13</f>
        <v>9.9339020462214781E-4</v>
      </c>
      <c r="BM59" s="886">
        <f>$BH59*'Input data plant-based products'!AD13</f>
        <v>1.3245202728295303E-3</v>
      </c>
      <c r="BN59" s="877"/>
      <c r="BO59" s="879">
        <f>('Input data plant-based products'!F13/'Input data plant-based products'!E13*'Common input data'!$B$195+'Input data plant-based products'!G13/'Input data plant-based products'!E13*'Common input data'!$B$196)/'Common input data'!$B$198</f>
        <v>5.2495339501301978E-4</v>
      </c>
      <c r="BP59" s="877">
        <f>$BO59*'Input data plant-based products'!Z13</f>
        <v>6.0194655961492939E-4</v>
      </c>
      <c r="BQ59" s="877">
        <f>$BO59*'Input data plant-based products'!AA13</f>
        <v>9.7088154776601521E-4</v>
      </c>
      <c r="BR59" s="877">
        <f>$BO59*'Input data plant-based products'!AB13</f>
        <v>8.8107500459765878E-4</v>
      </c>
      <c r="BS59" s="877">
        <f>$BO59*'Input data plant-based products'!AC13</f>
        <v>1.0017896564047781E-3</v>
      </c>
      <c r="BT59" s="886">
        <f>$BO59*'Input data plant-based products'!AD13</f>
        <v>1.3357195418730375E-3</v>
      </c>
      <c r="BU59" s="877"/>
      <c r="BV59" s="879">
        <f>('Common input data'!$C$202+'Common input data'!$B$220)*'Input data plant-based products'!AC13</f>
        <v>13.89061733722836</v>
      </c>
      <c r="BW59" s="886">
        <f>('Common input data'!$C$202+'Common input data'!$B$220)*'Input data plant-based products'!AD13</f>
        <v>18.520823116304481</v>
      </c>
      <c r="BX59" s="869"/>
      <c r="BY59" s="869"/>
      <c r="BZ59" s="869"/>
      <c r="CA59" s="869"/>
      <c r="CB59" s="869"/>
      <c r="CC59" s="869"/>
      <c r="CD59" s="869"/>
      <c r="CE59" s="869"/>
    </row>
    <row r="60" spans="1:83" s="406" customFormat="1" ht="17.25">
      <c r="A60" s="499"/>
      <c r="B60" s="55"/>
      <c r="C60" s="64"/>
      <c r="D60"/>
      <c r="E60" s="511" t="s">
        <v>317</v>
      </c>
      <c r="F60" s="877">
        <f>IF(AND($F$2="No",$F$3="No"),SUM(K60:L60)*'Input data plant-based products'!O$269,IF(AND($F$2="Yes", $F$3="No"), (SUM(K60:L60)+S60)*'Input data plant-based products'!O$269, IF(AND($F$2="No", $F$3="Yes"),(SUM(K60:L60)+R60)*'Input data plant-based products'!O$269, (SUM(K60:L60)+S60+R60)*'Input data plant-based products'!O$269)))</f>
        <v>0.12415162728885436</v>
      </c>
      <c r="G60" s="877">
        <f>IF(AND($F$2="No",$F$3="No"),SUM(I60:Q60)*'Input data plant-based products'!O$269,IF(AND($F$2="Yes", $F$3="No"), (SUM(I60:Q60)+S60)*'Input data plant-based products'!O$269, IF(AND($F$2="No", $F$3="Yes"),(SUM(I60:Q60)+R60)*'Input data plant-based products'!O$269, (SUM(I60:Q60)+S60+R60)*'Input data plant-based products'!O$269)))</f>
        <v>0.69912421584541573</v>
      </c>
      <c r="H60" s="878">
        <f>SUM(U60:W60)/(1-'Common input data'!$D$141)</f>
        <v>1.7322172557230906</v>
      </c>
      <c r="I60" s="928">
        <f>('Input data plant-based products'!$F$13*('Common input data'!$D$93*'Common input data'!B86+'Common input data'!$D$94*'Common input data'!C86))/'Input data plant-based products'!$E$13</f>
        <v>8.601026362922233E-2</v>
      </c>
      <c r="J60" s="877">
        <f>'Common input data'!$B$98</f>
        <v>0.03</v>
      </c>
      <c r="K60" s="877">
        <v>0</v>
      </c>
      <c r="L60" s="877">
        <v>0</v>
      </c>
      <c r="M60" s="877"/>
      <c r="N60" s="877">
        <f>('Input data plant-based products'!$P$13*'Common input data'!$C$76*'Common input data'!H66)/'Input data plant-based products'!$E$13</f>
        <v>0.17723259762308999</v>
      </c>
      <c r="O60" s="877">
        <v>0</v>
      </c>
      <c r="P60" s="877">
        <f>'Input data plant-based products'!B$309*'Input data plant-based products'!E314</f>
        <v>2.9209871422646201E-2</v>
      </c>
      <c r="Q60" s="877">
        <f>'Input data plant-based products'!$B$269*'Common input data'!$B$76*'Common input data'!B66+'Input data plant-based products'!C$269*'Common input data'!G80</f>
        <v>0.17897685036855432</v>
      </c>
      <c r="R60" s="877">
        <f>'Common input data'!B$19</f>
        <v>0.108271767984466</v>
      </c>
      <c r="S60" s="877">
        <v>0</v>
      </c>
      <c r="T60" s="877">
        <f>'Input data plant-based products'!F269*'Common input data'!G80</f>
        <v>1.3781372416779826E-2</v>
      </c>
      <c r="U60" s="877">
        <f>(G60+T60)*'Common input data'!$D$41/'Common input data'!$C$41</f>
        <v>1.0434868086257136</v>
      </c>
      <c r="V60" s="877">
        <f>'Common input data'!$B$105</f>
        <v>0.05</v>
      </c>
      <c r="W60" s="878">
        <f>'Common input data'!B125+'Common input data'!C125</f>
        <v>0.43000000000000005</v>
      </c>
      <c r="X60" s="869"/>
      <c r="Y60" s="879"/>
      <c r="Z60" s="877"/>
      <c r="AA60" s="877"/>
      <c r="AB60" s="877"/>
      <c r="AC60" s="877"/>
      <c r="AD60" s="886"/>
      <c r="AE60" s="877"/>
      <c r="AF60" s="879"/>
      <c r="AG60" s="877"/>
      <c r="AH60" s="877"/>
      <c r="AI60" s="877"/>
      <c r="AJ60" s="877"/>
      <c r="AK60" s="886"/>
      <c r="AL60" s="877"/>
      <c r="AM60" s="879"/>
      <c r="AN60" s="877"/>
      <c r="AO60" s="877"/>
      <c r="AP60" s="877"/>
      <c r="AQ60" s="877"/>
      <c r="AR60" s="886"/>
      <c r="AS60" s="877"/>
      <c r="AT60" s="879"/>
      <c r="AU60" s="877"/>
      <c r="AV60" s="877"/>
      <c r="AW60" s="877"/>
      <c r="AX60" s="877"/>
      <c r="AY60" s="886"/>
      <c r="AZ60" s="877"/>
      <c r="BA60" s="879"/>
      <c r="BB60" s="877"/>
      <c r="BC60" s="877"/>
      <c r="BD60" s="877"/>
      <c r="BE60" s="877"/>
      <c r="BF60" s="886"/>
      <c r="BG60" s="877"/>
      <c r="BH60" s="879"/>
      <c r="BI60" s="877"/>
      <c r="BJ60" s="877"/>
      <c r="BK60" s="877"/>
      <c r="BL60" s="877"/>
      <c r="BM60" s="886"/>
      <c r="BN60" s="877"/>
      <c r="BO60" s="879"/>
      <c r="BP60" s="877"/>
      <c r="BQ60" s="877"/>
      <c r="BR60" s="877"/>
      <c r="BS60" s="877"/>
      <c r="BT60" s="886"/>
      <c r="BU60" s="877"/>
      <c r="BV60" s="879"/>
      <c r="BW60" s="886"/>
      <c r="BX60" s="869"/>
      <c r="BY60" s="869"/>
      <c r="BZ60" s="869"/>
      <c r="CA60" s="869"/>
      <c r="CB60" s="869"/>
      <c r="CC60" s="869"/>
      <c r="CD60" s="869"/>
      <c r="CE60" s="869"/>
    </row>
    <row r="61" spans="1:83" s="406" customFormat="1" ht="17.25">
      <c r="A61" s="18"/>
      <c r="B61" s="55"/>
      <c r="C61" s="595"/>
      <c r="D61" s="50"/>
      <c r="E61" s="511" t="s">
        <v>367</v>
      </c>
      <c r="F61" s="877">
        <f>SUM(K61:L61)*'Input data plant-based products'!O$269</f>
        <v>4.1384741574449629E-2</v>
      </c>
      <c r="G61" s="877">
        <f>SUM(I61:Q61)*'Input data plant-based products'!O$269</f>
        <v>4.1707267636712432E-2</v>
      </c>
      <c r="H61" s="878">
        <f>SUM(U61:W61)/(1-'Common input data'!$D$141)</f>
        <v>6.9411326716598457E-2</v>
      </c>
      <c r="I61" s="928">
        <f>('Input data plant-based products'!$F$13*('Common input data'!$D$93*'Common input data'!B87+'Common input data'!$D$94*'Common input data'!C87))/'Input data plant-based products'!$E$13</f>
        <v>1.8256560420144342E-4</v>
      </c>
      <c r="J61" s="877">
        <v>0</v>
      </c>
      <c r="K61" s="877">
        <f>'Input data plant-based products'!B314</f>
        <v>3.6091344396322347E-2</v>
      </c>
      <c r="L61" s="877">
        <v>0</v>
      </c>
      <c r="M61" s="877"/>
      <c r="N61" s="877">
        <f>('Input data plant-based products'!$P$13*'Common input data'!$C$76*'Common input data'!H67)/'Input data plant-based products'!$E$13</f>
        <v>7.8508064516129053E-5</v>
      </c>
      <c r="O61" s="877">
        <v>0</v>
      </c>
      <c r="P61" s="877">
        <v>0</v>
      </c>
      <c r="Q61" s="877">
        <f>'Input data plant-based products'!$B$269*'Common input data'!$B$76*'Common input data'!B67</f>
        <v>2.0199060000000005E-5</v>
      </c>
      <c r="R61" s="877">
        <v>0</v>
      </c>
      <c r="S61" s="877">
        <v>0</v>
      </c>
      <c r="T61" s="877">
        <v>0</v>
      </c>
      <c r="U61" s="877">
        <f>(G61+T61)*'Common input data'!$D$41/'Common input data'!$C$41</f>
        <v>6.1047331258575047E-2</v>
      </c>
      <c r="V61" s="877">
        <v>0</v>
      </c>
      <c r="W61" s="878">
        <v>0</v>
      </c>
      <c r="X61" s="869"/>
      <c r="Y61" s="879"/>
      <c r="Z61" s="877"/>
      <c r="AA61" s="877"/>
      <c r="AB61" s="877"/>
      <c r="AC61" s="877"/>
      <c r="AD61" s="886"/>
      <c r="AE61" s="877"/>
      <c r="AF61" s="879"/>
      <c r="AG61" s="877"/>
      <c r="AH61" s="877"/>
      <c r="AI61" s="877"/>
      <c r="AJ61" s="877"/>
      <c r="AK61" s="886"/>
      <c r="AL61" s="877"/>
      <c r="AM61" s="879"/>
      <c r="AN61" s="877"/>
      <c r="AO61" s="877"/>
      <c r="AP61" s="877"/>
      <c r="AQ61" s="877"/>
      <c r="AR61" s="886"/>
      <c r="AS61" s="877"/>
      <c r="AT61" s="879"/>
      <c r="AU61" s="877"/>
      <c r="AV61" s="877"/>
      <c r="AW61" s="877"/>
      <c r="AX61" s="877"/>
      <c r="AY61" s="886"/>
      <c r="AZ61" s="877"/>
      <c r="BA61" s="879"/>
      <c r="BB61" s="877"/>
      <c r="BC61" s="877"/>
      <c r="BD61" s="877"/>
      <c r="BE61" s="877"/>
      <c r="BF61" s="886"/>
      <c r="BG61" s="877"/>
      <c r="BH61" s="879"/>
      <c r="BI61" s="877"/>
      <c r="BJ61" s="877"/>
      <c r="BK61" s="877"/>
      <c r="BL61" s="877"/>
      <c r="BM61" s="886"/>
      <c r="BN61" s="877"/>
      <c r="BO61" s="879"/>
      <c r="BP61" s="877"/>
      <c r="BQ61" s="877"/>
      <c r="BR61" s="877"/>
      <c r="BS61" s="877"/>
      <c r="BT61" s="886"/>
      <c r="BU61" s="877"/>
      <c r="BV61" s="879"/>
      <c r="BW61" s="886"/>
      <c r="BX61" s="869"/>
      <c r="BY61" s="869"/>
      <c r="BZ61" s="869"/>
      <c r="CA61" s="869"/>
      <c r="CB61" s="869"/>
      <c r="CC61" s="869"/>
      <c r="CD61" s="869"/>
      <c r="CE61" s="869"/>
    </row>
    <row r="62" spans="1:83" s="406" customFormat="1" ht="17.25">
      <c r="A62" s="359"/>
      <c r="B62" s="360"/>
      <c r="C62" s="83"/>
      <c r="D62" s="54"/>
      <c r="E62" s="512" t="s">
        <v>320</v>
      </c>
      <c r="F62" s="877">
        <f>SUM(K62:L62)*'Input data plant-based products'!O$269</f>
        <v>7.5573202053132844E-4</v>
      </c>
      <c r="G62" s="877">
        <f>SUM(I62:Q62)*'Input data plant-based products'!O$269</f>
        <v>9.8470461493172499E-4</v>
      </c>
      <c r="H62" s="878">
        <f>SUM(U62:W62)/(1-'Common input data'!$D$141)</f>
        <v>1.6387948100969362E-3</v>
      </c>
      <c r="I62" s="928">
        <f>('Input data plant-based products'!$F$13*('Common input data'!$D$93*'Common input data'!B88+'Common input data'!$D$94*'Common input data'!C88))/'Input data plant-based products'!$E$13</f>
        <v>1.9304009183506701E-4</v>
      </c>
      <c r="J62" s="877">
        <v>0</v>
      </c>
      <c r="K62" s="877">
        <f>(SUM(('Input data plant-based products'!$F$13*'Input data plant-based products'!$B$258),(('Input data plant-based products'!$G$13+'Input data plant-based products'!$H$13)*'Input data plant-based products'!$B$259))*44/28)/'Input data plant-based products'!$E$13</f>
        <v>5.9915329323308273E-4</v>
      </c>
      <c r="L62" s="877">
        <f>K62*'Input data plant-based products'!$B$261</f>
        <v>5.9915329323308273E-5</v>
      </c>
      <c r="M62" s="877"/>
      <c r="N62" s="877">
        <f>('Input data plant-based products'!$P$13*'Common input data'!$C$76*'Common input data'!H68)/'Input data plant-based products'!$E$13</f>
        <v>4.7623089983022077E-6</v>
      </c>
      <c r="O62" s="877">
        <v>0</v>
      </c>
      <c r="P62" s="877">
        <v>0</v>
      </c>
      <c r="Q62" s="877">
        <f>'Input data plant-based products'!$B$269*'Common input data'!$B$76*'Common input data'!B68</f>
        <v>1.8830012600000001E-6</v>
      </c>
      <c r="R62" s="877">
        <v>0</v>
      </c>
      <c r="S62" s="877">
        <v>0</v>
      </c>
      <c r="T62" s="877">
        <v>0</v>
      </c>
      <c r="U62" s="877">
        <f>(G62+T62)*'Common input data'!$D$41/'Common input data'!$C$41</f>
        <v>1.4413216742750652E-3</v>
      </c>
      <c r="V62" s="877">
        <v>0</v>
      </c>
      <c r="W62" s="878">
        <v>0</v>
      </c>
      <c r="X62" s="869"/>
      <c r="Y62" s="879"/>
      <c r="Z62" s="877"/>
      <c r="AA62" s="877"/>
      <c r="AB62" s="877"/>
      <c r="AC62" s="877"/>
      <c r="AD62" s="886"/>
      <c r="AE62" s="877"/>
      <c r="AF62" s="879"/>
      <c r="AG62" s="877"/>
      <c r="AH62" s="877"/>
      <c r="AI62" s="877"/>
      <c r="AJ62" s="877"/>
      <c r="AK62" s="886"/>
      <c r="AL62" s="877"/>
      <c r="AM62" s="879"/>
      <c r="AN62" s="877"/>
      <c r="AO62" s="877"/>
      <c r="AP62" s="877"/>
      <c r="AQ62" s="877"/>
      <c r="AR62" s="886"/>
      <c r="AS62" s="877"/>
      <c r="AT62" s="879"/>
      <c r="AU62" s="877"/>
      <c r="AV62" s="877"/>
      <c r="AW62" s="877"/>
      <c r="AX62" s="877"/>
      <c r="AY62" s="886"/>
      <c r="AZ62" s="877"/>
      <c r="BA62" s="879"/>
      <c r="BB62" s="877"/>
      <c r="BC62" s="877"/>
      <c r="BD62" s="877"/>
      <c r="BE62" s="877"/>
      <c r="BF62" s="886"/>
      <c r="BG62" s="877"/>
      <c r="BH62" s="879"/>
      <c r="BI62" s="877"/>
      <c r="BJ62" s="877"/>
      <c r="BK62" s="877"/>
      <c r="BL62" s="877"/>
      <c r="BM62" s="886"/>
      <c r="BN62" s="877"/>
      <c r="BO62" s="879"/>
      <c r="BP62" s="877"/>
      <c r="BQ62" s="877"/>
      <c r="BR62" s="877"/>
      <c r="BS62" s="877"/>
      <c r="BT62" s="886"/>
      <c r="BU62" s="877"/>
      <c r="BV62" s="879"/>
      <c r="BW62" s="886"/>
      <c r="BX62" s="869"/>
      <c r="BY62" s="869"/>
      <c r="BZ62" s="869"/>
      <c r="CA62" s="869"/>
      <c r="CB62" s="869"/>
      <c r="CC62" s="869"/>
      <c r="CD62" s="869"/>
      <c r="CE62" s="869"/>
    </row>
    <row r="63" spans="1:83" s="406" customFormat="1" ht="17.25">
      <c r="A63" s="20" t="s">
        <v>123</v>
      </c>
      <c r="B63" s="93" t="s">
        <v>121</v>
      </c>
      <c r="C63" s="87">
        <f>'Input data plant-based products'!D14</f>
        <v>0.13504774463010921</v>
      </c>
      <c r="D63" s="54"/>
      <c r="E63" s="513" t="s">
        <v>316</v>
      </c>
      <c r="F63" s="872">
        <f>SUMPRODUCT($CJ$6:$CJ$8,F64:F66)</f>
        <v>0.5020563361377276</v>
      </c>
      <c r="G63" s="872">
        <f>SUMPRODUCT($CJ$6:$CJ$8,G64:G66)</f>
        <v>1.2202153475901614</v>
      </c>
      <c r="H63" s="873">
        <f>SUMPRODUCT($CJ$6:$CJ$8,H64:H66)</f>
        <v>2.467478730836123</v>
      </c>
      <c r="I63" s="1277"/>
      <c r="J63" s="884"/>
      <c r="K63" s="884"/>
      <c r="L63" s="884"/>
      <c r="M63" s="884"/>
      <c r="N63" s="884"/>
      <c r="O63" s="884"/>
      <c r="P63" s="884"/>
      <c r="Q63" s="884"/>
      <c r="R63" s="884"/>
      <c r="S63" s="884"/>
      <c r="T63" s="884"/>
      <c r="U63" s="884"/>
      <c r="V63" s="884"/>
      <c r="W63" s="1278"/>
      <c r="X63" s="869"/>
      <c r="Y63" s="879">
        <f>1/'Input data plant-based products'!E14*10^4</f>
        <v>1.5045512675844428</v>
      </c>
      <c r="Z63" s="877">
        <f>$Y63*'Input data plant-based products'!Z14</f>
        <v>1.7252187868301612</v>
      </c>
      <c r="AA63" s="877">
        <f>$Y63*'Input data plant-based products'!AA14</f>
        <v>2.78261094650026</v>
      </c>
      <c r="AB63" s="877">
        <f>$Y63*'Input data plant-based products'!AB14</f>
        <v>2.525219433948986</v>
      </c>
      <c r="AC63" s="877">
        <f>$Y63*'Input data plant-based products'!AC14</f>
        <v>2.9973414810600927</v>
      </c>
      <c r="AD63" s="886">
        <f>$Y63*'Input data plant-based products'!AD14</f>
        <v>3.9964553080801242</v>
      </c>
      <c r="AE63" s="877"/>
      <c r="AF63" s="879">
        <f>SUM('Input data plant-based products'!F14,'Input data plant-based products'!Q14)/'Input data plant-based products'!E14</f>
        <v>1.9258256225080869E-2</v>
      </c>
      <c r="AG63" s="877">
        <f>$AF63*'Input data plant-based products'!Z14</f>
        <v>2.2082800471426065E-2</v>
      </c>
      <c r="AH63" s="877">
        <f>$AF63*'Input data plant-based products'!AA14</f>
        <v>3.561742011520333E-2</v>
      </c>
      <c r="AI63" s="877">
        <f>$AF63*'Input data plant-based products'!AB14</f>
        <v>3.2322808754547024E-2</v>
      </c>
      <c r="AJ63" s="877">
        <f>$AF63*'Input data plant-based products'!AC14</f>
        <v>3.836597095756919E-2</v>
      </c>
      <c r="AK63" s="886">
        <f>$AF63*'Input data plant-based products'!AD14</f>
        <v>5.1154627943425589E-2</v>
      </c>
      <c r="AL63" s="877"/>
      <c r="AM63" s="879">
        <f>'Input data plant-based products'!R14/'Input data plant-based products'!E14</f>
        <v>1.4293237042052208E-2</v>
      </c>
      <c r="AN63" s="877">
        <f>$AM63*'Input data plant-based products'!Z14</f>
        <v>1.6389578474886531E-2</v>
      </c>
      <c r="AO63" s="877">
        <f>$AM63*'Input data plant-based products'!AA14</f>
        <v>2.6434803991752472E-2</v>
      </c>
      <c r="AP63" s="877">
        <f>$AM63*'Input data plant-based products'!AB14</f>
        <v>2.3989584622515367E-2</v>
      </c>
      <c r="AQ63" s="877">
        <f>$AM63*'Input data plant-based products'!AC14</f>
        <v>2.8474744070070883E-2</v>
      </c>
      <c r="AR63" s="886">
        <f>$AM63*'Input data plant-based products'!AD14</f>
        <v>3.7966325426761184E-2</v>
      </c>
      <c r="AS63" s="877"/>
      <c r="AT63" s="879">
        <f>'Input data plant-based products'!S14</f>
        <v>0.442</v>
      </c>
      <c r="AU63" s="877">
        <f>$AT63*'Input data plant-based products'!Z14</f>
        <v>0.50682666666666665</v>
      </c>
      <c r="AV63" s="877">
        <f>$AT63*'Input data plant-based products'!AA14</f>
        <v>0.81746236559139795</v>
      </c>
      <c r="AW63" s="877">
        <f>$AT63*'Input data plant-based products'!AB14</f>
        <v>0.74184709677419358</v>
      </c>
      <c r="AX63" s="877">
        <f>$AT63*'Input data plant-based products'!AC14</f>
        <v>0.88054489280087322</v>
      </c>
      <c r="AY63" s="886">
        <f>$AT63*'Input data plant-based products'!AD14</f>
        <v>1.1740598570678309</v>
      </c>
      <c r="AZ63" s="877"/>
      <c r="BA63" s="879">
        <f>((SUM('Input data plant-based products'!U14:Y14)*'Grains, oil crops, sugar'!Y63)/('Common input data'!$B$192/10^6))/$BB$3</f>
        <v>1.5344705985641898E-9</v>
      </c>
      <c r="BB63" s="877">
        <f>$BA63*'Input data plant-based products'!Z14</f>
        <v>1.7595262863536043E-9</v>
      </c>
      <c r="BC63" s="877">
        <f>$BA63*'Input data plant-based products'!AA14</f>
        <v>2.837945623150975E-9</v>
      </c>
      <c r="BD63" s="877">
        <f>$BA63*'Input data plant-based products'!AB14</f>
        <v>2.5754356530095095E-9</v>
      </c>
      <c r="BE63" s="877">
        <f>$BA63*'Input data plant-based products'!AC14</f>
        <v>3.0569462640696746E-9</v>
      </c>
      <c r="BF63" s="886">
        <f>$BA63*'Input data plant-based products'!AD14</f>
        <v>4.0759283520929E-9</v>
      </c>
      <c r="BG63" s="877"/>
      <c r="BH63" s="879">
        <f>'Input data plant-based products'!T14/'Input data plant-based products'!E14</f>
        <v>7.2218460844053259E-5</v>
      </c>
      <c r="BI63" s="877">
        <f>$BH63*'Input data plant-based products'!Z14</f>
        <v>8.2810501767847746E-5</v>
      </c>
      <c r="BJ63" s="877">
        <f>$BH63*'Input data plant-based products'!AA14</f>
        <v>1.3356532543201249E-4</v>
      </c>
      <c r="BK63" s="877">
        <f>$BH63*'Input data plant-based products'!AB14</f>
        <v>1.2121053282955133E-4</v>
      </c>
      <c r="BL63" s="877">
        <f>$BH63*'Input data plant-based products'!AC14</f>
        <v>1.4387239109088447E-4</v>
      </c>
      <c r="BM63" s="886">
        <f>$BH63*'Input data plant-based products'!AD14</f>
        <v>1.9182985478784597E-4</v>
      </c>
      <c r="BN63" s="877"/>
      <c r="BO63" s="879">
        <f>('Input data plant-based products'!F14/'Input data plant-based products'!E14*'Common input data'!$B$195+'Input data plant-based products'!G14/'Input data plant-based products'!E14*'Common input data'!$B$196)/'Common input data'!$B$198</f>
        <v>3.6495970024466438E-4</v>
      </c>
      <c r="BP63" s="877">
        <f>$BO63*'Input data plant-based products'!Z14</f>
        <v>4.1848712294721517E-4</v>
      </c>
      <c r="BQ63" s="877">
        <f>$BO63*'Input data plant-based products'!AA14</f>
        <v>6.7497923056002444E-4</v>
      </c>
      <c r="BR63" s="877">
        <f>$BO63*'Input data plant-based products'!AB14</f>
        <v>6.1254365173322219E-4</v>
      </c>
      <c r="BS63" s="877">
        <f>$BO63*'Input data plant-based products'!AC14</f>
        <v>7.2706651612800184E-4</v>
      </c>
      <c r="BT63" s="886">
        <f>$BO63*'Input data plant-based products'!AD14</f>
        <v>9.6942202150400252E-4</v>
      </c>
      <c r="BU63" s="877"/>
      <c r="BV63" s="879">
        <f>('Common input data'!$C$202+'Common input data'!$B$207)*'Input data plant-based products'!AC14</f>
        <v>2.176858380912928</v>
      </c>
      <c r="BW63" s="886">
        <f>('Common input data'!$C$202+'Common input data'!$B$207)*'Input data plant-based products'!AD14</f>
        <v>2.9024778412172374</v>
      </c>
      <c r="BX63" s="869"/>
      <c r="BY63" s="869"/>
      <c r="BZ63" s="869"/>
      <c r="CA63" s="869"/>
      <c r="CB63" s="869"/>
      <c r="CC63" s="869"/>
      <c r="CD63" s="869"/>
      <c r="CE63" s="869"/>
    </row>
    <row r="64" spans="1:83" s="406" customFormat="1" ht="17.25">
      <c r="A64" s="68"/>
      <c r="B64" s="55"/>
      <c r="C64" s="64"/>
      <c r="D64"/>
      <c r="E64" s="511" t="s">
        <v>317</v>
      </c>
      <c r="F64" s="877">
        <f>IF(AND($F$2="No",$F$3="No"),SUM(K64:L64)*'Input data plant-based products'!O$269,IF(AND($F$2="Yes", $F$3="No"), (SUM(K64:L64)+S64)*'Input data plant-based products'!O$269, IF(AND($F$2="No", $F$3="Yes"),(SUM(K64:L64)+R64)*'Input data plant-based products'!O$269, (SUM(K64:L64)+S64+R64)*'Input data plant-based products'!O$269)))</f>
        <v>0.12415162728885436</v>
      </c>
      <c r="G64" s="877">
        <f>IF(AND($F$2="No",$F$3="No"),SUM(I64:Q64)*'Input data plant-based products'!O$269,IF(AND($F$2="Yes", $F$3="No"), (SUM(I64:Q64)+S64)*'Input data plant-based products'!O$269, IF(AND($F$2="No", $F$3="Yes"),(SUM(I64:Q64)+R64)*'Input data plant-based products'!O$269, (SUM(I64:Q64)+S64+R64)*'Input data plant-based products'!O$269)))</f>
        <v>0.80880718389515671</v>
      </c>
      <c r="H64" s="878">
        <f>SUM(U64:W64)/(1-'Common input data'!$B$141)</f>
        <v>1.7527109784193431</v>
      </c>
      <c r="I64" s="928">
        <f>('Input data plant-based products'!$F$14*('Common input data'!$C$93*'Common input data'!B86+'Common input data'!$C$94*'Common input data'!C86))/'Input data plant-based products'!$E$14</f>
        <v>5.381367943437855E-2</v>
      </c>
      <c r="J64" s="877">
        <f>'Common input data'!$B$98</f>
        <v>0.03</v>
      </c>
      <c r="K64" s="877">
        <v>0</v>
      </c>
      <c r="L64" s="877">
        <v>0</v>
      </c>
      <c r="M64" s="877"/>
      <c r="N64" s="877">
        <f>('Input data plant-based products'!$P$14*'Common input data'!$C$76*'Common input data'!H66)/'Input data plant-based products'!$E$14</f>
        <v>8.0414774693447683E-2</v>
      </c>
      <c r="O64" s="877">
        <v>0</v>
      </c>
      <c r="P64" s="877">
        <f>'Input data plant-based products'!B$309*'Input data plant-based products'!E315</f>
        <v>0.3</v>
      </c>
      <c r="Q64" s="877">
        <f>'Input data plant-based products'!$B$269*'Common input data'!$B$76*'Common input data'!B66+'Input data plant-based products'!C$269*'Common input data'!C80</f>
        <v>0.13285488012185592</v>
      </c>
      <c r="R64" s="877">
        <f>'Common input data'!B$19</f>
        <v>0.108271767984466</v>
      </c>
      <c r="S64" s="877">
        <v>0</v>
      </c>
      <c r="T64" s="877">
        <f>'Input data plant-based products'!F269*'Common input data'!C80</f>
        <v>8.7286846650347777E-3</v>
      </c>
      <c r="U64" s="877">
        <f>(G64+T64)*'Common input data'!$D$41/'Common input data'!$C$41</f>
        <v>1.1966351624489899</v>
      </c>
      <c r="V64" s="877">
        <f>'Common input data'!$B$105</f>
        <v>0.05</v>
      </c>
      <c r="W64" s="878">
        <f>'Common input data'!B117+'Common input data'!C117</f>
        <v>0.23</v>
      </c>
      <c r="X64" s="869"/>
      <c r="Y64" s="879"/>
      <c r="Z64" s="877"/>
      <c r="AA64" s="877"/>
      <c r="AB64" s="877"/>
      <c r="AC64" s="877"/>
      <c r="AD64" s="886"/>
      <c r="AE64" s="877"/>
      <c r="AF64" s="879"/>
      <c r="AG64" s="877"/>
      <c r="AH64" s="877"/>
      <c r="AI64" s="877"/>
      <c r="AJ64" s="877"/>
      <c r="AK64" s="886"/>
      <c r="AL64" s="877"/>
      <c r="AM64" s="879"/>
      <c r="AN64" s="877"/>
      <c r="AO64" s="877"/>
      <c r="AP64" s="877"/>
      <c r="AQ64" s="877"/>
      <c r="AR64" s="886"/>
      <c r="AS64" s="877"/>
      <c r="AT64" s="879"/>
      <c r="AU64" s="877"/>
      <c r="AV64" s="877"/>
      <c r="AW64" s="877"/>
      <c r="AX64" s="877"/>
      <c r="AY64" s="886"/>
      <c r="AZ64" s="877"/>
      <c r="BA64" s="879"/>
      <c r="BB64" s="877"/>
      <c r="BC64" s="877"/>
      <c r="BD64" s="877"/>
      <c r="BE64" s="877"/>
      <c r="BF64" s="886"/>
      <c r="BG64" s="877"/>
      <c r="BH64" s="879"/>
      <c r="BI64" s="877"/>
      <c r="BJ64" s="877"/>
      <c r="BK64" s="877"/>
      <c r="BL64" s="877"/>
      <c r="BM64" s="886"/>
      <c r="BN64" s="877"/>
      <c r="BO64" s="879"/>
      <c r="BP64" s="877"/>
      <c r="BQ64" s="877"/>
      <c r="BR64" s="877"/>
      <c r="BS64" s="877"/>
      <c r="BT64" s="886"/>
      <c r="BU64" s="877"/>
      <c r="BV64" s="879"/>
      <c r="BW64" s="886"/>
      <c r="BX64" s="869"/>
      <c r="BY64" s="869"/>
      <c r="BZ64" s="869"/>
      <c r="CA64" s="869"/>
      <c r="CB64" s="869"/>
      <c r="CC64" s="869"/>
      <c r="CD64" s="869"/>
      <c r="CE64" s="869"/>
    </row>
    <row r="65" spans="1:83" s="406" customFormat="1" ht="17.25">
      <c r="A65" s="18"/>
      <c r="B65" s="55"/>
      <c r="C65" s="595"/>
      <c r="D65" s="50"/>
      <c r="E65" s="511" t="s">
        <v>367</v>
      </c>
      <c r="F65" s="877">
        <f>SUM(K65:L65)*'Input data plant-based products'!O$269</f>
        <v>5.2791489191068408E-2</v>
      </c>
      <c r="G65" s="877">
        <f>SUM(I65:Q65)*'Input data plant-based products'!O$269</f>
        <v>5.2968693472218137E-2</v>
      </c>
      <c r="H65" s="878">
        <f>SUM(U65:W65)/(1-'Common input data'!$B$141)</f>
        <v>9.2026161176661236E-2</v>
      </c>
      <c r="I65" s="928">
        <f>('Input data plant-based products'!$F$14*('Common input data'!$C$93*'Common input data'!B87+'Common input data'!$C$94*'Common input data'!C87))/'Input data plant-based products'!$E$14</f>
        <v>9.8718523655026594E-5</v>
      </c>
      <c r="J65" s="877">
        <v>0</v>
      </c>
      <c r="K65" s="877">
        <f>'Input data plant-based products'!B315</f>
        <v>4.603908941081547E-2</v>
      </c>
      <c r="L65" s="877">
        <v>0</v>
      </c>
      <c r="M65" s="877"/>
      <c r="N65" s="877">
        <f>('Input data plant-based products'!$P$14*'Common input data'!$C$76*'Common input data'!H67)/'Input data plant-based products'!$E$14</f>
        <v>3.5621033626720837E-5</v>
      </c>
      <c r="O65" s="877">
        <v>0</v>
      </c>
      <c r="P65" s="877">
        <v>0</v>
      </c>
      <c r="Q65" s="877">
        <f>'Input data plant-based products'!$B$269*'Common input data'!$B$76*'Common input data'!B67</f>
        <v>2.0199060000000005E-5</v>
      </c>
      <c r="R65" s="877">
        <v>0</v>
      </c>
      <c r="S65" s="877">
        <v>0</v>
      </c>
      <c r="T65" s="877">
        <v>0</v>
      </c>
      <c r="U65" s="877">
        <f>(G65+T65)*'Common input data'!$D$41/'Common input data'!$C$41</f>
        <v>7.7530789235545086E-2</v>
      </c>
      <c r="V65" s="877">
        <v>0</v>
      </c>
      <c r="W65" s="878">
        <v>0</v>
      </c>
      <c r="X65" s="869"/>
      <c r="Y65" s="879"/>
      <c r="Z65" s="877"/>
      <c r="AA65" s="877"/>
      <c r="AB65" s="877"/>
      <c r="AC65" s="877"/>
      <c r="AD65" s="886"/>
      <c r="AE65" s="877"/>
      <c r="AF65" s="879"/>
      <c r="AG65" s="877"/>
      <c r="AH65" s="877"/>
      <c r="AI65" s="877"/>
      <c r="AJ65" s="877"/>
      <c r="AK65" s="886"/>
      <c r="AL65" s="877"/>
      <c r="AM65" s="879"/>
      <c r="AN65" s="877"/>
      <c r="AO65" s="877"/>
      <c r="AP65" s="877"/>
      <c r="AQ65" s="877"/>
      <c r="AR65" s="886"/>
      <c r="AS65" s="877"/>
      <c r="AT65" s="879"/>
      <c r="AU65" s="877"/>
      <c r="AV65" s="877"/>
      <c r="AW65" s="877"/>
      <c r="AX65" s="877"/>
      <c r="AY65" s="886"/>
      <c r="AZ65" s="877"/>
      <c r="BA65" s="879"/>
      <c r="BB65" s="877"/>
      <c r="BC65" s="877"/>
      <c r="BD65" s="877"/>
      <c r="BE65" s="877"/>
      <c r="BF65" s="886"/>
      <c r="BG65" s="877"/>
      <c r="BH65" s="879"/>
      <c r="BI65" s="877"/>
      <c r="BJ65" s="877"/>
      <c r="BK65" s="877"/>
      <c r="BL65" s="877"/>
      <c r="BM65" s="886"/>
      <c r="BN65" s="877"/>
      <c r="BO65" s="879"/>
      <c r="BP65" s="877"/>
      <c r="BQ65" s="877"/>
      <c r="BR65" s="877"/>
      <c r="BS65" s="877"/>
      <c r="BT65" s="886"/>
      <c r="BU65" s="877"/>
      <c r="BV65" s="879"/>
      <c r="BW65" s="886"/>
      <c r="BX65" s="869"/>
      <c r="BY65" s="869"/>
      <c r="BZ65" s="869"/>
      <c r="CA65" s="869"/>
      <c r="CB65" s="869"/>
      <c r="CC65" s="869"/>
      <c r="CD65" s="869"/>
      <c r="CE65" s="869"/>
    </row>
    <row r="66" spans="1:83" s="406" customFormat="1" ht="17.25">
      <c r="A66" s="359"/>
      <c r="B66" s="360"/>
      <c r="C66" s="83"/>
      <c r="D66" s="54"/>
      <c r="E66" s="512" t="s">
        <v>320</v>
      </c>
      <c r="F66" s="877">
        <f>SUM(K66:L66)*'Input data plant-based products'!O$269</f>
        <v>5.5701592124829044E-4</v>
      </c>
      <c r="G66" s="877">
        <f>SUM(I66:Q66)*'Input data plant-based products'!O$269</f>
        <v>6.9723306598961125E-4</v>
      </c>
      <c r="H66" s="878">
        <f>SUM(U66:W66)/(1-'Common input data'!$B$141)</f>
        <v>1.2113510510149026E-3</v>
      </c>
      <c r="I66" s="928">
        <f>('Input data plant-based products'!$F$14*('Common input data'!$C$93*'Common input data'!B88+'Common input data'!$C$94*'Common input data'!C88))/'Input data plant-based products'!$E$14</f>
        <v>1.1823861606130256E-4</v>
      </c>
      <c r="J66" s="877">
        <v>0</v>
      </c>
      <c r="K66" s="877">
        <f>(SUM(('Input data plant-based products'!$F$14*'Input data plant-based products'!$B$258),(('Input data plant-based products'!$G$14+'Input data plant-based products'!$H$14)*'Input data plant-based products'!$B$259))*44/28)/'Input data plant-based products'!$E$14</f>
        <v>4.4160881705731267E-4</v>
      </c>
      <c r="L66" s="877">
        <f>K66*'Input data plant-based products'!$B$261</f>
        <v>4.4160881705731271E-5</v>
      </c>
      <c r="M66" s="877"/>
      <c r="N66" s="877">
        <f>('Input data plant-based products'!$P$14*'Common input data'!$C$76*'Common input data'!H68)/'Input data plant-based products'!$E$14</f>
        <v>2.1607763484540739E-6</v>
      </c>
      <c r="O66" s="877">
        <v>0</v>
      </c>
      <c r="P66" s="877">
        <v>0</v>
      </c>
      <c r="Q66" s="877">
        <f>'Input data plant-based products'!$B$269*'Common input data'!$B$76*'Common input data'!B68</f>
        <v>1.8830012600000001E-6</v>
      </c>
      <c r="R66" s="877">
        <v>0</v>
      </c>
      <c r="S66" s="877">
        <v>0</v>
      </c>
      <c r="T66" s="877">
        <v>0</v>
      </c>
      <c r="U66" s="877">
        <f>(G66+T66)*'Common input data'!$D$41/'Common input data'!$C$41</f>
        <v>1.0205467861057616E-3</v>
      </c>
      <c r="V66" s="877">
        <v>0</v>
      </c>
      <c r="W66" s="878">
        <v>0</v>
      </c>
      <c r="X66" s="869"/>
      <c r="Y66" s="879"/>
      <c r="Z66" s="877"/>
      <c r="AA66" s="877"/>
      <c r="AB66" s="877"/>
      <c r="AC66" s="877"/>
      <c r="AD66" s="886"/>
      <c r="AE66" s="877"/>
      <c r="AF66" s="879"/>
      <c r="AG66" s="877"/>
      <c r="AH66" s="877"/>
      <c r="AI66" s="877"/>
      <c r="AJ66" s="877"/>
      <c r="AK66" s="886"/>
      <c r="AL66" s="877"/>
      <c r="AM66" s="879"/>
      <c r="AN66" s="877"/>
      <c r="AO66" s="877"/>
      <c r="AP66" s="877"/>
      <c r="AQ66" s="877"/>
      <c r="AR66" s="886"/>
      <c r="AS66" s="877"/>
      <c r="AT66" s="879"/>
      <c r="AU66" s="877"/>
      <c r="AV66" s="877"/>
      <c r="AW66" s="877"/>
      <c r="AX66" s="877"/>
      <c r="AY66" s="886"/>
      <c r="AZ66" s="877"/>
      <c r="BA66" s="879"/>
      <c r="BB66" s="877"/>
      <c r="BC66" s="877"/>
      <c r="BD66" s="877"/>
      <c r="BE66" s="877"/>
      <c r="BF66" s="886"/>
      <c r="BG66" s="877"/>
      <c r="BH66" s="879"/>
      <c r="BI66" s="877"/>
      <c r="BJ66" s="877"/>
      <c r="BK66" s="877"/>
      <c r="BL66" s="877"/>
      <c r="BM66" s="886"/>
      <c r="BN66" s="877"/>
      <c r="BO66" s="879"/>
      <c r="BP66" s="877"/>
      <c r="BQ66" s="877"/>
      <c r="BR66" s="877"/>
      <c r="BS66" s="877"/>
      <c r="BT66" s="886"/>
      <c r="BU66" s="877"/>
      <c r="BV66" s="879"/>
      <c r="BW66" s="886"/>
      <c r="BX66" s="869"/>
      <c r="BY66" s="869"/>
      <c r="BZ66" s="869"/>
      <c r="CA66" s="869"/>
      <c r="CB66" s="869"/>
      <c r="CC66" s="869"/>
      <c r="CD66" s="869"/>
      <c r="CE66" s="869"/>
    </row>
    <row r="67" spans="1:83" s="406" customFormat="1" ht="17.25">
      <c r="A67" s="20" t="s">
        <v>134</v>
      </c>
      <c r="B67" s="93" t="s">
        <v>121</v>
      </c>
      <c r="C67" s="87">
        <f>'Input data plant-based products'!D15</f>
        <v>0.70301483600894643</v>
      </c>
      <c r="D67" s="54"/>
      <c r="E67" s="513" t="s">
        <v>316</v>
      </c>
      <c r="F67" s="872">
        <f>SUMPRODUCT($CJ$6:$CJ$8,F68:F70)</f>
        <v>0.34513948829829932</v>
      </c>
      <c r="G67" s="872">
        <f>SUMPRODUCT($CJ$6:$CJ$8,G68:G70)</f>
        <v>1.0295036021072919</v>
      </c>
      <c r="H67" s="873">
        <f>SUMPRODUCT($CJ$6:$CJ$8,H68:H70)</f>
        <v>2.3540825191670263</v>
      </c>
      <c r="I67" s="1277"/>
      <c r="J67" s="884"/>
      <c r="K67" s="884"/>
      <c r="L67" s="884"/>
      <c r="M67" s="884"/>
      <c r="N67" s="884"/>
      <c r="O67" s="884"/>
      <c r="P67" s="884"/>
      <c r="Q67" s="884"/>
      <c r="R67" s="884"/>
      <c r="S67" s="884"/>
      <c r="T67" s="884"/>
      <c r="U67" s="884"/>
      <c r="V67" s="884"/>
      <c r="W67" s="1278"/>
      <c r="X67" s="869"/>
      <c r="Y67" s="879">
        <f>1/'Input data plant-based products'!E15*10^4</f>
        <v>2.1883561943610434</v>
      </c>
      <c r="Z67" s="877">
        <f>$Y67*'Input data plant-based products'!Z15</f>
        <v>2.5093151028673297</v>
      </c>
      <c r="AA67" s="877">
        <f>$Y67*'Input data plant-based products'!AA15</f>
        <v>4.0472824239795644</v>
      </c>
      <c r="AB67" s="877">
        <f>$Y67*'Input data plant-based products'!AB15</f>
        <v>3.6729087997614549</v>
      </c>
      <c r="AC67" s="877">
        <f>$Y67*'Input data plant-based products'!AC15</f>
        <v>4.3216235981287277</v>
      </c>
      <c r="AD67" s="886">
        <f>$Y67*'Input data plant-based products'!AD15</f>
        <v>5.7621647975049708</v>
      </c>
      <c r="AE67" s="877"/>
      <c r="AF67" s="879">
        <f>SUM('Input data plant-based products'!F15,'Input data plant-based products'!Q15)/'Input data plant-based products'!E15</f>
        <v>2.9456375441391444E-2</v>
      </c>
      <c r="AG67" s="877">
        <f>$AF67*'Input data plant-based products'!Z15</f>
        <v>3.3776643839462189E-2</v>
      </c>
      <c r="AH67" s="877">
        <f>$AF67*'Input data plant-based products'!AA15</f>
        <v>5.4478457805584184E-2</v>
      </c>
      <c r="AI67" s="877">
        <f>$AF67*'Input data plant-based products'!AB15</f>
        <v>4.9439200458567645E-2</v>
      </c>
      <c r="AJ67" s="877">
        <f>$AF67*'Input data plant-based products'!AC15</f>
        <v>5.8171228043625539E-2</v>
      </c>
      <c r="AK67" s="886">
        <f>$AF67*'Input data plant-based products'!AD15</f>
        <v>7.7561637391500723E-2</v>
      </c>
      <c r="AL67" s="877"/>
      <c r="AM67" s="879">
        <f>'Input data plant-based products'!R15/'Input data plant-based products'!E15</f>
        <v>4.3077000000000002E-3</v>
      </c>
      <c r="AN67" s="877">
        <f>$AM67*'Input data plant-based products'!Z15</f>
        <v>4.9394960000000007E-3</v>
      </c>
      <c r="AO67" s="877">
        <f>$AM67*'Input data plant-based products'!AA15</f>
        <v>7.9669290322580653E-3</v>
      </c>
      <c r="AP67" s="877">
        <f>$AM67*'Input data plant-based products'!AB15</f>
        <v>7.2299880967741943E-3</v>
      </c>
      <c r="AQ67" s="877">
        <f>$AM67*'Input data plant-based products'!AC15</f>
        <v>8.5069597086751686E-3</v>
      </c>
      <c r="AR67" s="886">
        <f>$AM67*'Input data plant-based products'!AD15</f>
        <v>1.1342612944900224E-2</v>
      </c>
      <c r="AS67" s="877"/>
      <c r="AT67" s="879">
        <f>'Input data plant-based products'!S15</f>
        <v>0.34077994050636456</v>
      </c>
      <c r="AU67" s="877">
        <f>$AT67*'Input data plant-based products'!Z15</f>
        <v>0.39076099844729806</v>
      </c>
      <c r="AV67" s="877">
        <f>$AT67*'Input data plant-based products'!AA15</f>
        <v>0.6302596749149969</v>
      </c>
      <c r="AW67" s="877">
        <f>$AT67*'Input data plant-based products'!AB15</f>
        <v>0.57196065498535964</v>
      </c>
      <c r="AX67" s="877">
        <f>$AT67*'Input data plant-based products'!AC15</f>
        <v>0.6729812251113968</v>
      </c>
      <c r="AY67" s="886">
        <f>$AT67*'Input data plant-based products'!AD15</f>
        <v>0.89730830014852914</v>
      </c>
      <c r="AZ67" s="877"/>
      <c r="BA67" s="879">
        <f>((SUM('Input data plant-based products'!U15:Y15)*'Grains, oil crops, sugar'!Y67)/('Common input data'!$B$192/10^6))/$BB$3</f>
        <v>1.6440218175394147E-9</v>
      </c>
      <c r="BB67" s="877">
        <f>$BA67*'Input data plant-based products'!Z15</f>
        <v>1.8851450174451956E-9</v>
      </c>
      <c r="BC67" s="877">
        <f>$BA67*'Input data plant-based products'!AA15</f>
        <v>3.0405564797503157E-9</v>
      </c>
      <c r="BD67" s="877">
        <f>$BA67*'Input data plant-based products'!AB15</f>
        <v>2.7593050053734113E-9</v>
      </c>
      <c r="BE67" s="877">
        <f>$BA67*'Input data plant-based products'!AC15</f>
        <v>3.2466576971448146E-9</v>
      </c>
      <c r="BF67" s="886">
        <f>$BA67*'Input data plant-based products'!AD15</f>
        <v>4.3288769295264203E-9</v>
      </c>
      <c r="BG67" s="877"/>
      <c r="BH67" s="879">
        <f>'Input data plant-based products'!T15/'Input data plant-based products'!E15</f>
        <v>4.9917275106964017E-4</v>
      </c>
      <c r="BI67" s="877">
        <f>$BH67*'Input data plant-based products'!Z15</f>
        <v>5.7238475455985405E-4</v>
      </c>
      <c r="BJ67" s="877">
        <f>$BH67*'Input data plant-based products'!AA15</f>
        <v>9.2320121703202279E-4</v>
      </c>
      <c r="BK67" s="877">
        <f>$BH67*'Input data plant-based products'!AB15</f>
        <v>8.3780510445656065E-4</v>
      </c>
      <c r="BL67" s="877">
        <f>$BH67*'Input data plant-based products'!AC15</f>
        <v>9.8577952991572479E-4</v>
      </c>
      <c r="BM67" s="886">
        <f>$BH67*'Input data plant-based products'!AD15</f>
        <v>1.3143727065542999E-3</v>
      </c>
      <c r="BN67" s="877"/>
      <c r="BO67" s="879">
        <f>('Input data plant-based products'!F15/'Input data plant-based products'!E15*'Common input data'!$B$195+'Input data plant-based products'!G15/'Input data plant-based products'!E15*'Common input data'!$B$196)/'Common input data'!$B$198</f>
        <v>5.6773744947526236E-4</v>
      </c>
      <c r="BP67" s="877">
        <f>$BO67*'Input data plant-based products'!Z15</f>
        <v>6.5100560873163418E-4</v>
      </c>
      <c r="BQ67" s="877">
        <f>$BO67*'Input data plant-based products'!AA15</f>
        <v>1.0500090463413454E-3</v>
      </c>
      <c r="BR67" s="877">
        <f>$BO67*'Input data plant-based products'!AB15</f>
        <v>9.5288320955477107E-4</v>
      </c>
      <c r="BS67" s="877">
        <f>$BO67*'Input data plant-based products'!AC15</f>
        <v>1.1211829068393947E-3</v>
      </c>
      <c r="BT67" s="886">
        <f>$BO67*'Input data plant-based products'!AD15</f>
        <v>1.4949105424525264E-3</v>
      </c>
      <c r="BU67" s="877"/>
      <c r="BV67" s="879">
        <f>('Common input data'!$C$202+'Common input data'!$B$228)*'Input data plant-based products'!AC15</f>
        <v>11.162585888951755</v>
      </c>
      <c r="BW67" s="886">
        <f>('Common input data'!$C$202+'Common input data'!$B$228)*'Input data plant-based products'!AD15</f>
        <v>14.883447851935674</v>
      </c>
      <c r="BX67" s="869"/>
      <c r="BY67" s="869"/>
      <c r="BZ67" s="869"/>
      <c r="CA67" s="869"/>
      <c r="CB67" s="869"/>
      <c r="CC67" s="869"/>
      <c r="CD67" s="869"/>
      <c r="CE67" s="869"/>
    </row>
    <row r="68" spans="1:83" s="406" customFormat="1" ht="17.25">
      <c r="A68" s="68"/>
      <c r="B68" s="55"/>
      <c r="C68" s="64"/>
      <c r="D68"/>
      <c r="E68" s="511" t="s">
        <v>317</v>
      </c>
      <c r="F68" s="877">
        <f>IF(AND($F$2="No",$F$3="No"),SUM(K68:L68)*'Input data plant-based products'!O$269,IF(AND($F$2="Yes", $F$3="No"), (SUM(K68:L68)+S68)*'Input data plant-based products'!O$269, IF(AND($F$2="No", $F$3="Yes"),(SUM(K68:L68)+R68)*'Input data plant-based products'!O$269, (SUM(K68:L68)+S68+R68)*'Input data plant-based products'!O$269)))</f>
        <v>0.12415162728885436</v>
      </c>
      <c r="G68" s="877">
        <f>IF(AND($F$2="No",$F$3="No"),SUM(I68:Q68)*'Input data plant-based products'!O$269,IF(AND($F$2="Yes", $F$3="No"), (SUM(I68:Q68)+S68)*'Input data plant-based products'!O$269, IF(AND($F$2="No", $F$3="Yes"),(SUM(I68:Q68)+R68)*'Input data plant-based products'!O$269, (SUM(I68:Q68)+S68+R68)*'Input data plant-based products'!O$269)))</f>
        <v>0.74994221837878849</v>
      </c>
      <c r="H68" s="878">
        <f>SUM(U68:W68)/(1-'Common input data'!I141)</f>
        <v>1.872612865688239</v>
      </c>
      <c r="I68" s="928">
        <f>('Input data plant-based products'!$F$15*('Common input data'!$D$93*'Common input data'!B86+'Common input data'!$D$94*'Common input data'!C86))/'Input data plant-based products'!$E$15</f>
        <v>9.30201579139011E-2</v>
      </c>
      <c r="J68" s="877">
        <f>'Common input data'!$B$98</f>
        <v>0.03</v>
      </c>
      <c r="K68" s="877">
        <v>0</v>
      </c>
      <c r="L68" s="877">
        <v>0</v>
      </c>
      <c r="M68" s="877"/>
      <c r="N68" s="877">
        <f>('Input data plant-based products'!$P$15*'Common input data'!$C$76*'Common input data'!H66)/'Input data plant-based products'!$E$15</f>
        <v>0.11696256160222687</v>
      </c>
      <c r="O68" s="877">
        <v>0</v>
      </c>
      <c r="P68" s="877">
        <f>'Input data plant-based products'!B$309*'Input data plant-based products'!E316</f>
        <v>0.16640680046366799</v>
      </c>
      <c r="Q68" s="877">
        <f>'Input data plant-based products'!$B$269*'Common input data'!$B$76*'Common input data'!B66+'Input data plant-based products'!C$269*'Common input data'!K80</f>
        <v>0.1393580885288675</v>
      </c>
      <c r="R68" s="877">
        <f>'Common input data'!B$19</f>
        <v>0.108271767984466</v>
      </c>
      <c r="S68" s="877">
        <v>0</v>
      </c>
      <c r="T68" s="877">
        <f>'Input data plant-based products'!F269*'Common input data'!K80</f>
        <v>9.4411147995107671E-3</v>
      </c>
      <c r="U68" s="877">
        <f>(G68+T68)*'Common input data'!$D$41/'Common input data'!$C$41</f>
        <v>1.1115167336440428</v>
      </c>
      <c r="V68" s="877">
        <f>'Common input data'!$B$105</f>
        <v>0.05</v>
      </c>
      <c r="W68" s="878">
        <f>'Common input data'!B128+'Common input data'!C128</f>
        <v>0.43000000000000005</v>
      </c>
      <c r="X68" s="869"/>
      <c r="Y68" s="879"/>
      <c r="Z68" s="877"/>
      <c r="AA68" s="877"/>
      <c r="AB68" s="877"/>
      <c r="AC68" s="877"/>
      <c r="AD68" s="886"/>
      <c r="AE68" s="877"/>
      <c r="AF68" s="879"/>
      <c r="AG68" s="877"/>
      <c r="AH68" s="877"/>
      <c r="AI68" s="877"/>
      <c r="AJ68" s="877"/>
      <c r="AK68" s="886"/>
      <c r="AL68" s="877"/>
      <c r="AM68" s="879"/>
      <c r="AN68" s="877"/>
      <c r="AO68" s="877"/>
      <c r="AP68" s="877"/>
      <c r="AQ68" s="877"/>
      <c r="AR68" s="886"/>
      <c r="AS68" s="877"/>
      <c r="AT68" s="879"/>
      <c r="AU68" s="877"/>
      <c r="AV68" s="877"/>
      <c r="AW68" s="877"/>
      <c r="AX68" s="877"/>
      <c r="AY68" s="886"/>
      <c r="AZ68" s="877"/>
      <c r="BA68" s="879"/>
      <c r="BB68" s="877"/>
      <c r="BC68" s="877"/>
      <c r="BD68" s="877"/>
      <c r="BE68" s="877"/>
      <c r="BF68" s="886"/>
      <c r="BG68" s="877"/>
      <c r="BH68" s="879"/>
      <c r="BI68" s="877"/>
      <c r="BJ68" s="877"/>
      <c r="BK68" s="877"/>
      <c r="BL68" s="877"/>
      <c r="BM68" s="886"/>
      <c r="BN68" s="877"/>
      <c r="BO68" s="879"/>
      <c r="BP68" s="877"/>
      <c r="BQ68" s="877"/>
      <c r="BR68" s="877"/>
      <c r="BS68" s="877"/>
      <c r="BT68" s="886"/>
      <c r="BU68" s="877"/>
      <c r="BV68" s="879"/>
      <c r="BW68" s="886"/>
      <c r="BX68" s="869"/>
      <c r="BY68" s="869"/>
      <c r="BZ68" s="869"/>
      <c r="CA68" s="869"/>
      <c r="CB68" s="869"/>
      <c r="CC68" s="869"/>
      <c r="CD68" s="869"/>
      <c r="CE68" s="869"/>
    </row>
    <row r="69" spans="1:83" s="406" customFormat="1" ht="17.25">
      <c r="A69" s="18"/>
      <c r="B69" s="55"/>
      <c r="C69" s="595"/>
      <c r="D69" s="50"/>
      <c r="E69" s="511" t="s">
        <v>367</v>
      </c>
      <c r="F69" s="877">
        <f>SUM(K69:L69)*'Input data plant-based products'!O$269</f>
        <v>1.6600134412789701E-2</v>
      </c>
      <c r="G69" s="877">
        <f>SUM(I69:Q69)*'Input data plant-based products'!O$269</f>
        <v>1.6909108739253983E-2</v>
      </c>
      <c r="H69" s="878">
        <f>SUM(U69:W69)/(1-'Common input data'!I141)</f>
        <v>2.9121413754447982E-2</v>
      </c>
      <c r="I69" s="928">
        <f>('Input data plant-based products'!$F$15*('Common input data'!$D$93*'Common input data'!B87+'Common input data'!$D$94*'Common input data'!C87))/'Input data plant-based products'!$E$15</f>
        <v>1.9744482362794711E-4</v>
      </c>
      <c r="J69" s="877">
        <v>0</v>
      </c>
      <c r="K69" s="877">
        <f>'Input data plant-based products'!C316/'Input data plant-based products'!$E$15</f>
        <v>1.4476861406502645E-2</v>
      </c>
      <c r="L69" s="877">
        <v>0</v>
      </c>
      <c r="M69" s="877"/>
      <c r="N69" s="877">
        <f>('Input data plant-based products'!$P$15*'Common input data'!$C$76*'Common input data'!H67)/'Input data plant-based products'!$E$15</f>
        <v>5.1810470846718785E-5</v>
      </c>
      <c r="O69" s="877">
        <v>0</v>
      </c>
      <c r="P69" s="877">
        <v>0</v>
      </c>
      <c r="Q69" s="877">
        <f>'Input data plant-based products'!$B$269*'Common input data'!$B$76*'Common input data'!B67</f>
        <v>2.0199060000000005E-5</v>
      </c>
      <c r="R69" s="877">
        <v>0</v>
      </c>
      <c r="S69" s="877">
        <v>0</v>
      </c>
      <c r="T69" s="877">
        <v>0</v>
      </c>
      <c r="U69" s="877">
        <f>(G69+T69)*'Common input data'!$D$41/'Common input data'!$C$41</f>
        <v>2.4750026098182241E-2</v>
      </c>
      <c r="V69" s="877">
        <v>0</v>
      </c>
      <c r="W69" s="878">
        <v>0</v>
      </c>
      <c r="X69" s="869"/>
      <c r="Y69" s="879"/>
      <c r="Z69" s="877"/>
      <c r="AA69" s="877"/>
      <c r="AB69" s="877"/>
      <c r="AC69" s="877"/>
      <c r="AD69" s="886"/>
      <c r="AE69" s="877"/>
      <c r="AF69" s="879"/>
      <c r="AG69" s="877"/>
      <c r="AH69" s="877"/>
      <c r="AI69" s="877"/>
      <c r="AJ69" s="877"/>
      <c r="AK69" s="886"/>
      <c r="AL69" s="877"/>
      <c r="AM69" s="879"/>
      <c r="AN69" s="877"/>
      <c r="AO69" s="877"/>
      <c r="AP69" s="877"/>
      <c r="AQ69" s="877"/>
      <c r="AR69" s="886"/>
      <c r="AS69" s="877"/>
      <c r="AT69" s="879"/>
      <c r="AU69" s="877"/>
      <c r="AV69" s="877"/>
      <c r="AW69" s="877"/>
      <c r="AX69" s="877"/>
      <c r="AY69" s="886"/>
      <c r="AZ69" s="877"/>
      <c r="BA69" s="879"/>
      <c r="BB69" s="877"/>
      <c r="BC69" s="877"/>
      <c r="BD69" s="877"/>
      <c r="BE69" s="877"/>
      <c r="BF69" s="886"/>
      <c r="BG69" s="877"/>
      <c r="BH69" s="879"/>
      <c r="BI69" s="877"/>
      <c r="BJ69" s="877"/>
      <c r="BK69" s="877"/>
      <c r="BL69" s="877"/>
      <c r="BM69" s="886"/>
      <c r="BN69" s="877"/>
      <c r="BO69" s="879"/>
      <c r="BP69" s="877"/>
      <c r="BQ69" s="877"/>
      <c r="BR69" s="877"/>
      <c r="BS69" s="877"/>
      <c r="BT69" s="886"/>
      <c r="BU69" s="877"/>
      <c r="BV69" s="879"/>
      <c r="BW69" s="886"/>
      <c r="BX69" s="869"/>
      <c r="BY69" s="869"/>
      <c r="BZ69" s="869"/>
      <c r="CA69" s="869"/>
      <c r="CB69" s="869"/>
      <c r="CC69" s="869"/>
      <c r="CD69" s="869"/>
      <c r="CE69" s="869"/>
    </row>
    <row r="70" spans="1:83" s="406" customFormat="1" ht="17.25">
      <c r="A70" s="359"/>
      <c r="B70" s="360"/>
      <c r="C70" s="83"/>
      <c r="D70" s="54"/>
      <c r="E70" s="512" t="s">
        <v>320</v>
      </c>
      <c r="F70" s="877">
        <f>SUM(K70:L70)*'Input data plant-based products'!O$269</f>
        <v>6.135932586666667E-4</v>
      </c>
      <c r="G70" s="877">
        <f>SUM(I70:Q70)*'Input data plant-based products'!O$269</f>
        <v>8.5874923885841039E-4</v>
      </c>
      <c r="H70" s="878">
        <f>SUM(U70:W70)/(1-'Common input data'!I141)</f>
        <v>1.4789657031454152E-3</v>
      </c>
      <c r="I70" s="928">
        <f>('Input data plant-based products'!$F$15*('Common input data'!$D$93*'Common input data'!B88+'Common input data'!$D$94*'Common input data'!C88))/'Input data plant-based products'!$E$15</f>
        <v>2.0877298904256668E-4</v>
      </c>
      <c r="J70" s="877">
        <v>0</v>
      </c>
      <c r="K70" s="877">
        <f>(SUM('Input data plant-based products'!F15:H15)*'Input data plant-based products'!$B$257*44/28)/'Input data plant-based products'!E15</f>
        <v>4.8646399999999998E-4</v>
      </c>
      <c r="L70" s="877">
        <f>K70*'Input data plant-based products'!$B$261</f>
        <v>4.8646400000000002E-5</v>
      </c>
      <c r="M70" s="877"/>
      <c r="N70" s="877">
        <f>('Input data plant-based products'!$P$15*'Common input data'!$C$76*'Common input data'!H68)/'Input data plant-based products'!$E$15</f>
        <v>3.142829632093557E-6</v>
      </c>
      <c r="O70" s="877">
        <v>0</v>
      </c>
      <c r="P70" s="877">
        <v>0</v>
      </c>
      <c r="Q70" s="877">
        <f>'Input data plant-based products'!$B$269*'Common input data'!$B$76*'Common input data'!B68</f>
        <v>1.8830012600000001E-6</v>
      </c>
      <c r="R70" s="877">
        <v>0</v>
      </c>
      <c r="S70" s="877">
        <v>0</v>
      </c>
      <c r="T70" s="877">
        <v>0</v>
      </c>
      <c r="U70" s="877">
        <f>(G70+T70)*'Common input data'!$D$41/'Common input data'!$C$41</f>
        <v>1.2569595713935605E-3</v>
      </c>
      <c r="V70" s="877">
        <v>0</v>
      </c>
      <c r="W70" s="878">
        <v>0</v>
      </c>
      <c r="X70" s="869"/>
      <c r="Y70" s="879"/>
      <c r="Z70" s="877"/>
      <c r="AA70" s="877"/>
      <c r="AB70" s="877"/>
      <c r="AC70" s="877"/>
      <c r="AD70" s="886"/>
      <c r="AE70" s="877"/>
      <c r="AF70" s="879"/>
      <c r="AG70" s="877"/>
      <c r="AH70" s="877"/>
      <c r="AI70" s="877"/>
      <c r="AJ70" s="877"/>
      <c r="AK70" s="886"/>
      <c r="AL70" s="877"/>
      <c r="AM70" s="879"/>
      <c r="AN70" s="877"/>
      <c r="AO70" s="877"/>
      <c r="AP70" s="877"/>
      <c r="AQ70" s="877"/>
      <c r="AR70" s="886"/>
      <c r="AS70" s="877"/>
      <c r="AT70" s="879"/>
      <c r="AU70" s="877"/>
      <c r="AV70" s="877"/>
      <c r="AW70" s="877"/>
      <c r="AX70" s="877"/>
      <c r="AY70" s="886"/>
      <c r="AZ70" s="877"/>
      <c r="BA70" s="879"/>
      <c r="BB70" s="877"/>
      <c r="BC70" s="877"/>
      <c r="BD70" s="877"/>
      <c r="BE70" s="877"/>
      <c r="BF70" s="886"/>
      <c r="BG70" s="877"/>
      <c r="BH70" s="879"/>
      <c r="BI70" s="877"/>
      <c r="BJ70" s="877"/>
      <c r="BK70" s="877"/>
      <c r="BL70" s="877"/>
      <c r="BM70" s="886"/>
      <c r="BN70" s="877"/>
      <c r="BO70" s="879"/>
      <c r="BP70" s="877"/>
      <c r="BQ70" s="877"/>
      <c r="BR70" s="877"/>
      <c r="BS70" s="877"/>
      <c r="BT70" s="886"/>
      <c r="BU70" s="877"/>
      <c r="BV70" s="879"/>
      <c r="BW70" s="886"/>
      <c r="BX70" s="869"/>
      <c r="BY70" s="869"/>
      <c r="BZ70" s="869"/>
      <c r="CA70" s="869"/>
      <c r="CB70" s="869"/>
      <c r="CC70" s="869"/>
      <c r="CD70" s="869"/>
      <c r="CE70" s="869"/>
    </row>
    <row r="71" spans="1:83" s="406" customFormat="1" ht="17.25">
      <c r="A71" s="362" t="s">
        <v>448</v>
      </c>
      <c r="B71" s="363"/>
      <c r="C71" s="770"/>
      <c r="D71" s="54"/>
      <c r="E71" s="939"/>
      <c r="F71" s="892" t="s">
        <v>449</v>
      </c>
      <c r="G71" s="892" t="s">
        <v>449</v>
      </c>
      <c r="H71" s="970" t="s">
        <v>449</v>
      </c>
      <c r="I71" s="1279"/>
      <c r="J71" s="889"/>
      <c r="K71" s="889"/>
      <c r="L71" s="889"/>
      <c r="M71" s="889"/>
      <c r="N71" s="889"/>
      <c r="O71" s="891"/>
      <c r="P71" s="889"/>
      <c r="Q71" s="889"/>
      <c r="R71" s="889"/>
      <c r="S71" s="889"/>
      <c r="T71" s="889"/>
      <c r="U71" s="892"/>
      <c r="V71" s="889"/>
      <c r="W71" s="1280"/>
      <c r="X71" s="869"/>
      <c r="Y71" s="879"/>
      <c r="Z71" s="877"/>
      <c r="AA71" s="877"/>
      <c r="AB71" s="877"/>
      <c r="AC71" s="877"/>
      <c r="AD71" s="886"/>
      <c r="AE71" s="877"/>
      <c r="AF71" s="879"/>
      <c r="AG71" s="877"/>
      <c r="AH71" s="877"/>
      <c r="AI71" s="877"/>
      <c r="AJ71" s="877"/>
      <c r="AK71" s="886"/>
      <c r="AL71" s="877"/>
      <c r="AM71" s="879"/>
      <c r="AN71" s="877"/>
      <c r="AO71" s="877"/>
      <c r="AP71" s="877"/>
      <c r="AQ71" s="877"/>
      <c r="AR71" s="886"/>
      <c r="AS71" s="877"/>
      <c r="AT71" s="879"/>
      <c r="AU71" s="877"/>
      <c r="AV71" s="877"/>
      <c r="AW71" s="877"/>
      <c r="AX71" s="877"/>
      <c r="AY71" s="886"/>
      <c r="AZ71" s="877"/>
      <c r="BA71" s="879"/>
      <c r="BB71" s="877"/>
      <c r="BC71" s="877"/>
      <c r="BD71" s="877"/>
      <c r="BE71" s="877"/>
      <c r="BF71" s="886"/>
      <c r="BG71" s="877"/>
      <c r="BH71" s="879"/>
      <c r="BI71" s="877"/>
      <c r="BJ71" s="877"/>
      <c r="BK71" s="877"/>
      <c r="BL71" s="877"/>
      <c r="BM71" s="886"/>
      <c r="BN71" s="877"/>
      <c r="BO71" s="879"/>
      <c r="BP71" s="877"/>
      <c r="BQ71" s="877"/>
      <c r="BR71" s="877"/>
      <c r="BS71" s="877"/>
      <c r="BT71" s="886"/>
      <c r="BU71" s="877"/>
      <c r="BV71" s="879"/>
      <c r="BW71" s="886"/>
      <c r="BX71" s="869"/>
      <c r="BY71" s="869"/>
      <c r="BZ71" s="869"/>
      <c r="CA71" s="869"/>
      <c r="CB71" s="869"/>
      <c r="CC71" s="869"/>
      <c r="CD71" s="869"/>
      <c r="CE71" s="869"/>
    </row>
    <row r="72" spans="1:83" s="406" customFormat="1" ht="17.25">
      <c r="A72" s="20" t="s">
        <v>120</v>
      </c>
      <c r="B72" s="93"/>
      <c r="C72" s="771">
        <f>SUM(C77:C90)</f>
        <v>1</v>
      </c>
      <c r="D72" s="50"/>
      <c r="E72" s="513" t="s">
        <v>316</v>
      </c>
      <c r="F72" s="872">
        <f>SUMPRODUCT($CJ$6:$CJ$8,F73:F75)</f>
        <v>0.48702050194221258</v>
      </c>
      <c r="G72" s="872">
        <f>SUMPRODUCT($CJ$6:$CJ$8,G73:G75)</f>
        <v>0.8496692516558404</v>
      </c>
      <c r="H72" s="873">
        <f>SUMPRODUCT($CJ$6:$CJ$8,H73:H75)</f>
        <v>2.0270629436262819</v>
      </c>
      <c r="I72" s="930"/>
      <c r="J72" s="884"/>
      <c r="K72" s="884"/>
      <c r="L72" s="884"/>
      <c r="M72" s="884"/>
      <c r="N72" s="884"/>
      <c r="O72" s="884"/>
      <c r="P72" s="884"/>
      <c r="Q72" s="884"/>
      <c r="R72" s="884"/>
      <c r="S72" s="884"/>
      <c r="T72" s="884"/>
      <c r="U72" s="884"/>
      <c r="V72" s="884"/>
      <c r="W72" s="1278"/>
      <c r="X72" s="869"/>
      <c r="Y72" s="883">
        <f t="shared" ref="Y72:BT72" si="11">Y76*$C$77+Y82*$C$82+Y87*$C$87</f>
        <v>3.2727369510873996</v>
      </c>
      <c r="Z72" s="884">
        <f t="shared" si="11"/>
        <v>3.2727369510873996</v>
      </c>
      <c r="AA72" s="884">
        <f t="shared" si="11"/>
        <v>3.2727369510873996</v>
      </c>
      <c r="AB72" s="884">
        <f t="shared" si="11"/>
        <v>3.5037536770465101</v>
      </c>
      <c r="AC72" s="884">
        <f t="shared" si="11"/>
        <v>3.7630463884421146</v>
      </c>
      <c r="AD72" s="885">
        <f t="shared" si="11"/>
        <v>3.9198399879605361</v>
      </c>
      <c r="AE72" s="877"/>
      <c r="AF72" s="883">
        <f t="shared" si="11"/>
        <v>4.5138961483856349E-2</v>
      </c>
      <c r="AG72" s="884">
        <f t="shared" si="11"/>
        <v>4.5138961483856349E-2</v>
      </c>
      <c r="AH72" s="884">
        <f t="shared" si="11"/>
        <v>4.5138961483856349E-2</v>
      </c>
      <c r="AI72" s="884">
        <f t="shared" si="11"/>
        <v>4.8325241118010918E-2</v>
      </c>
      <c r="AJ72" s="884">
        <f t="shared" si="11"/>
        <v>5.1901515009758321E-2</v>
      </c>
      <c r="AK72" s="885">
        <f t="shared" si="11"/>
        <v>5.4064078135164922E-2</v>
      </c>
      <c r="AL72" s="877"/>
      <c r="AM72" s="883">
        <f t="shared" si="11"/>
        <v>3.2491377834498003E-3</v>
      </c>
      <c r="AN72" s="884">
        <f t="shared" si="11"/>
        <v>3.2491377834498003E-3</v>
      </c>
      <c r="AO72" s="884">
        <f t="shared" si="11"/>
        <v>3.2491377834498003E-3</v>
      </c>
      <c r="AP72" s="884">
        <f t="shared" si="11"/>
        <v>3.4784886858109628E-3</v>
      </c>
      <c r="AQ72" s="884">
        <f t="shared" si="11"/>
        <v>3.7359116801303446E-3</v>
      </c>
      <c r="AR72" s="885">
        <f t="shared" si="11"/>
        <v>3.8915746668024428E-3</v>
      </c>
      <c r="AS72" s="877"/>
      <c r="AT72" s="883">
        <f t="shared" si="11"/>
        <v>2.3135178696408222E-3</v>
      </c>
      <c r="AU72" s="884">
        <f t="shared" si="11"/>
        <v>2.3135178696408222E-3</v>
      </c>
      <c r="AV72" s="884">
        <f t="shared" si="11"/>
        <v>2.3135178696408222E-3</v>
      </c>
      <c r="AW72" s="884">
        <f t="shared" si="11"/>
        <v>2.4768250133801743E-3</v>
      </c>
      <c r="AX72" s="884">
        <f t="shared" si="11"/>
        <v>2.6601206250491888E-3</v>
      </c>
      <c r="AY72" s="885">
        <f t="shared" si="11"/>
        <v>2.7709589844262385E-3</v>
      </c>
      <c r="AZ72" s="877"/>
      <c r="BA72" s="883">
        <f t="shared" si="11"/>
        <v>2.3150997778693527E-11</v>
      </c>
      <c r="BB72" s="884">
        <f t="shared" si="11"/>
        <v>2.3150997778693527E-11</v>
      </c>
      <c r="BC72" s="884">
        <f t="shared" si="11"/>
        <v>2.3150997778693527E-11</v>
      </c>
      <c r="BD72" s="884">
        <f t="shared" si="11"/>
        <v>2.4785185857189535E-11</v>
      </c>
      <c r="BE72" s="884">
        <f t="shared" si="11"/>
        <v>2.6619395289620868E-11</v>
      </c>
      <c r="BF72" s="885">
        <f t="shared" si="11"/>
        <v>2.7728536760021737E-11</v>
      </c>
      <c r="BG72" s="877"/>
      <c r="BH72" s="883">
        <f t="shared" si="11"/>
        <v>2.7211659367733503E-4</v>
      </c>
      <c r="BI72" s="884">
        <f t="shared" si="11"/>
        <v>2.7211659367733503E-4</v>
      </c>
      <c r="BJ72" s="884">
        <f t="shared" si="11"/>
        <v>2.7211659367733503E-4</v>
      </c>
      <c r="BK72" s="884">
        <f t="shared" si="11"/>
        <v>2.9132482381926452E-4</v>
      </c>
      <c r="BL72" s="884">
        <f t="shared" si="11"/>
        <v>3.1288410293177875E-4</v>
      </c>
      <c r="BM72" s="885">
        <f t="shared" si="11"/>
        <v>3.2592094055393622E-4</v>
      </c>
      <c r="BN72" s="877"/>
      <c r="BO72" s="883">
        <f t="shared" si="11"/>
        <v>2.5109757236967032E-3</v>
      </c>
      <c r="BP72" s="884">
        <f t="shared" si="11"/>
        <v>2.5109757236967032E-3</v>
      </c>
      <c r="BQ72" s="884">
        <f t="shared" si="11"/>
        <v>2.5109757236967032E-3</v>
      </c>
      <c r="BR72" s="884">
        <f t="shared" si="11"/>
        <v>2.6882210688988239E-3</v>
      </c>
      <c r="BS72" s="884">
        <f t="shared" si="11"/>
        <v>2.8871608900260708E-3</v>
      </c>
      <c r="BT72" s="885">
        <f t="shared" si="11"/>
        <v>3.0074592604438233E-3</v>
      </c>
      <c r="BU72" s="877"/>
      <c r="BV72" s="883">
        <f>BV77*$C$77+BV82*$C$82+BV87*$C$87</f>
        <v>0.17393233288783219</v>
      </c>
      <c r="BW72" s="885">
        <f>BW77*$C$77+BW82*$C$82+BW87*$C$87</f>
        <v>0.18117951342482519</v>
      </c>
      <c r="BX72" s="869"/>
      <c r="BY72" s="869"/>
      <c r="BZ72" s="869"/>
      <c r="CA72" s="869"/>
      <c r="CB72" s="869"/>
      <c r="CC72" s="869"/>
      <c r="CD72" s="869"/>
      <c r="CE72" s="869"/>
    </row>
    <row r="73" spans="1:83" s="406" customFormat="1" ht="17.25">
      <c r="A73" s="499"/>
      <c r="B73" s="55"/>
      <c r="C73" s="64"/>
      <c r="D73"/>
      <c r="E73" s="511" t="s">
        <v>317</v>
      </c>
      <c r="F73" s="877">
        <f t="shared" ref="F73:W75" si="12">F78*$C$77+F83*$C$82+$C$87*F88</f>
        <v>0.15977149518124503</v>
      </c>
      <c r="G73" s="877">
        <f t="shared" si="12"/>
        <v>0.45093095949113798</v>
      </c>
      <c r="H73" s="878">
        <f t="shared" si="12"/>
        <v>1.2541165220348607</v>
      </c>
      <c r="I73" s="928">
        <f t="shared" si="12"/>
        <v>0.14191436923570791</v>
      </c>
      <c r="J73" s="877">
        <f t="shared" si="12"/>
        <v>0.03</v>
      </c>
      <c r="K73" s="877">
        <f t="shared" si="12"/>
        <v>0</v>
      </c>
      <c r="L73" s="877">
        <f t="shared" si="12"/>
        <v>0</v>
      </c>
      <c r="M73" s="877"/>
      <c r="N73" s="877">
        <f t="shared" si="12"/>
        <v>6.1222069050063249E-2</v>
      </c>
      <c r="O73" s="877">
        <f t="shared" si="12"/>
        <v>0</v>
      </c>
      <c r="P73" s="877">
        <f t="shared" si="12"/>
        <v>2.0000000000000017E-4</v>
      </c>
      <c r="Q73" s="877">
        <f t="shared" si="12"/>
        <v>5.7823026024121871E-2</v>
      </c>
      <c r="R73" s="877">
        <f t="shared" si="12"/>
        <v>0.15977149518124503</v>
      </c>
      <c r="S73" s="877">
        <f>S78*$C$77+S83*$C$82+$C$87*S88</f>
        <v>0</v>
      </c>
      <c r="T73" s="877">
        <f>T78*$C$77+T83*$C$82+$C$87*T88</f>
        <v>1.3347719999999999E-2</v>
      </c>
      <c r="U73" s="877">
        <f>U78*$C$77+U83*$C$82+$C$87*U88</f>
        <v>0.83570162308404838</v>
      </c>
      <c r="V73" s="877">
        <f t="shared" si="12"/>
        <v>0.30000000000000004</v>
      </c>
      <c r="W73" s="878">
        <f t="shared" si="12"/>
        <v>3.2000000000000001E-2</v>
      </c>
      <c r="X73" s="869"/>
      <c r="Y73" s="879"/>
      <c r="Z73" s="877"/>
      <c r="AA73" s="877"/>
      <c r="AB73" s="877"/>
      <c r="AC73" s="877"/>
      <c r="AD73" s="886"/>
      <c r="AE73" s="877"/>
      <c r="AF73" s="879"/>
      <c r="AG73" s="877"/>
      <c r="AH73" s="877"/>
      <c r="AI73" s="877"/>
      <c r="AJ73" s="877"/>
      <c r="AK73" s="886"/>
      <c r="AL73" s="877"/>
      <c r="AM73" s="879"/>
      <c r="AN73" s="877"/>
      <c r="AO73" s="877"/>
      <c r="AP73" s="877"/>
      <c r="AQ73" s="877"/>
      <c r="AR73" s="886"/>
      <c r="AS73" s="877"/>
      <c r="AT73" s="879"/>
      <c r="AU73" s="877"/>
      <c r="AV73" s="877"/>
      <c r="AW73" s="877"/>
      <c r="AX73" s="877"/>
      <c r="AY73" s="886"/>
      <c r="AZ73" s="877"/>
      <c r="BA73" s="879"/>
      <c r="BB73" s="877"/>
      <c r="BC73" s="877"/>
      <c r="BD73" s="877"/>
      <c r="BE73" s="877"/>
      <c r="BF73" s="886"/>
      <c r="BG73" s="877"/>
      <c r="BH73" s="879"/>
      <c r="BI73" s="877"/>
      <c r="BJ73" s="877"/>
      <c r="BK73" s="877"/>
      <c r="BL73" s="877"/>
      <c r="BM73" s="886"/>
      <c r="BN73" s="877"/>
      <c r="BO73" s="879"/>
      <c r="BP73" s="877"/>
      <c r="BQ73" s="877"/>
      <c r="BR73" s="877"/>
      <c r="BS73" s="877"/>
      <c r="BT73" s="886"/>
      <c r="BU73" s="877"/>
      <c r="BV73" s="879"/>
      <c r="BW73" s="886"/>
      <c r="BX73" s="869"/>
      <c r="BY73" s="869"/>
      <c r="BZ73" s="869"/>
      <c r="CA73" s="869"/>
      <c r="CB73" s="869"/>
      <c r="CC73" s="869"/>
      <c r="CD73" s="869"/>
      <c r="CE73" s="869"/>
    </row>
    <row r="74" spans="1:83" s="406" customFormat="1" ht="17.25">
      <c r="A74" s="499"/>
      <c r="B74" s="55"/>
      <c r="C74" s="595"/>
      <c r="D74" s="50"/>
      <c r="E74" s="511" t="s">
        <v>367</v>
      </c>
      <c r="F74" s="877">
        <f t="shared" si="12"/>
        <v>0</v>
      </c>
      <c r="G74" s="877">
        <f t="shared" si="12"/>
        <v>2.2804616459405719E-4</v>
      </c>
      <c r="H74" s="878">
        <f t="shared" si="12"/>
        <v>5.547007000030104E-4</v>
      </c>
      <c r="I74" s="928">
        <f t="shared" si="12"/>
        <v>1.7959865239498412E-4</v>
      </c>
      <c r="J74" s="877">
        <f t="shared" si="12"/>
        <v>0</v>
      </c>
      <c r="K74" s="877">
        <f t="shared" si="12"/>
        <v>0</v>
      </c>
      <c r="L74" s="877">
        <f t="shared" si="12"/>
        <v>0</v>
      </c>
      <c r="M74" s="877"/>
      <c r="N74" s="877">
        <f t="shared" si="12"/>
        <v>2.7119312199073067E-5</v>
      </c>
      <c r="O74" s="877">
        <f t="shared" si="12"/>
        <v>0</v>
      </c>
      <c r="P74" s="877">
        <f t="shared" si="12"/>
        <v>0</v>
      </c>
      <c r="Q74" s="877">
        <f t="shared" si="12"/>
        <v>2.1328200000000007E-5</v>
      </c>
      <c r="R74" s="877">
        <f t="shared" si="12"/>
        <v>0</v>
      </c>
      <c r="S74" s="877">
        <f t="shared" si="12"/>
        <v>0</v>
      </c>
      <c r="T74" s="877">
        <f>T79*$C$77+T84*$C$82+$C$87*T89</f>
        <v>5.8886639999999975E-5</v>
      </c>
      <c r="U74" s="877">
        <f t="shared" si="12"/>
        <v>5.1647904826930286E-4</v>
      </c>
      <c r="V74" s="877">
        <f t="shared" si="12"/>
        <v>0</v>
      </c>
      <c r="W74" s="878">
        <f t="shared" si="12"/>
        <v>0</v>
      </c>
      <c r="X74" s="869"/>
      <c r="Y74" s="879"/>
      <c r="Z74" s="877"/>
      <c r="AA74" s="877"/>
      <c r="AB74" s="877"/>
      <c r="AC74" s="877"/>
      <c r="AD74" s="886"/>
      <c r="AE74" s="877"/>
      <c r="AF74" s="879"/>
      <c r="AG74" s="877"/>
      <c r="AH74" s="877"/>
      <c r="AI74" s="877"/>
      <c r="AJ74" s="877"/>
      <c r="AK74" s="886"/>
      <c r="AL74" s="877"/>
      <c r="AM74" s="879"/>
      <c r="AN74" s="877"/>
      <c r="AO74" s="877"/>
      <c r="AP74" s="877"/>
      <c r="AQ74" s="877"/>
      <c r="AR74" s="886"/>
      <c r="AS74" s="877"/>
      <c r="AT74" s="879"/>
      <c r="AU74" s="877"/>
      <c r="AV74" s="877"/>
      <c r="AW74" s="877"/>
      <c r="AX74" s="877"/>
      <c r="AY74" s="886"/>
      <c r="AZ74" s="877"/>
      <c r="BA74" s="879"/>
      <c r="BB74" s="877"/>
      <c r="BC74" s="877"/>
      <c r="BD74" s="877"/>
      <c r="BE74" s="877"/>
      <c r="BF74" s="886"/>
      <c r="BG74" s="877"/>
      <c r="BH74" s="879"/>
      <c r="BI74" s="877"/>
      <c r="BJ74" s="877"/>
      <c r="BK74" s="877"/>
      <c r="BL74" s="877"/>
      <c r="BM74" s="886"/>
      <c r="BN74" s="877"/>
      <c r="BO74" s="879"/>
      <c r="BP74" s="877"/>
      <c r="BQ74" s="877"/>
      <c r="BR74" s="877"/>
      <c r="BS74" s="877"/>
      <c r="BT74" s="886"/>
      <c r="BU74" s="877"/>
      <c r="BV74" s="879"/>
      <c r="BW74" s="886"/>
      <c r="BX74" s="869"/>
      <c r="BY74" s="869"/>
      <c r="BZ74" s="869"/>
      <c r="CA74" s="869"/>
      <c r="CB74" s="869"/>
      <c r="CC74" s="869"/>
      <c r="CD74" s="869"/>
      <c r="CE74" s="869"/>
    </row>
    <row r="75" spans="1:83" s="406" customFormat="1" ht="17.25">
      <c r="A75" s="18"/>
      <c r="B75" s="360"/>
      <c r="C75" s="83"/>
      <c r="D75" s="54"/>
      <c r="E75" s="512" t="s">
        <v>320</v>
      </c>
      <c r="F75" s="877">
        <f t="shared" si="12"/>
        <v>1.4045021749397751E-3</v>
      </c>
      <c r="G75" s="877">
        <f t="shared" si="12"/>
        <v>1.7067230694897439E-3</v>
      </c>
      <c r="H75" s="878">
        <f t="shared" si="12"/>
        <v>3.3061773746841509E-3</v>
      </c>
      <c r="I75" s="928">
        <f t="shared" si="12"/>
        <v>2.985875714850829E-4</v>
      </c>
      <c r="J75" s="877">
        <f t="shared" si="12"/>
        <v>0</v>
      </c>
      <c r="K75" s="877">
        <f t="shared" si="12"/>
        <v>1.2768201590361591E-3</v>
      </c>
      <c r="L75" s="877">
        <f t="shared" si="12"/>
        <v>1.2768201590361594E-4</v>
      </c>
      <c r="M75" s="877"/>
      <c r="N75" s="877">
        <f t="shared" si="12"/>
        <v>1.6450608648857881E-6</v>
      </c>
      <c r="O75" s="877">
        <f t="shared" si="12"/>
        <v>0</v>
      </c>
      <c r="P75" s="877">
        <f t="shared" si="12"/>
        <v>0</v>
      </c>
      <c r="Q75" s="877">
        <f t="shared" si="12"/>
        <v>1.9882622000000002E-6</v>
      </c>
      <c r="R75" s="877">
        <f t="shared" si="12"/>
        <v>0</v>
      </c>
      <c r="S75" s="877">
        <f t="shared" si="12"/>
        <v>0</v>
      </c>
      <c r="T75" s="877">
        <f>T80*$C$77+T85*$C$82+$C$87*T90</f>
        <v>3.4798319999999968E-6</v>
      </c>
      <c r="U75" s="877">
        <f t="shared" si="12"/>
        <v>3.0783652226815386E-3</v>
      </c>
      <c r="V75" s="877">
        <f t="shared" si="12"/>
        <v>0</v>
      </c>
      <c r="W75" s="878">
        <f t="shared" si="12"/>
        <v>0</v>
      </c>
      <c r="X75" s="869"/>
      <c r="Y75" s="879"/>
      <c r="Z75" s="877"/>
      <c r="AA75" s="877"/>
      <c r="AB75" s="877"/>
      <c r="AC75" s="877"/>
      <c r="AD75" s="886"/>
      <c r="AE75" s="877"/>
      <c r="AF75" s="879"/>
      <c r="AG75" s="877"/>
      <c r="AH75" s="877"/>
      <c r="AI75" s="877"/>
      <c r="AJ75" s="877"/>
      <c r="AK75" s="886"/>
      <c r="AL75" s="877"/>
      <c r="AM75" s="879"/>
      <c r="AN75" s="877"/>
      <c r="AO75" s="877"/>
      <c r="AP75" s="877"/>
      <c r="AQ75" s="877"/>
      <c r="AR75" s="886"/>
      <c r="AS75" s="877"/>
      <c r="AT75" s="879"/>
      <c r="AU75" s="877"/>
      <c r="AV75" s="877"/>
      <c r="AW75" s="877"/>
      <c r="AX75" s="877"/>
      <c r="AY75" s="886"/>
      <c r="AZ75" s="877"/>
      <c r="BA75" s="879"/>
      <c r="BB75" s="877"/>
      <c r="BC75" s="877"/>
      <c r="BD75" s="877"/>
      <c r="BE75" s="877"/>
      <c r="BF75" s="886"/>
      <c r="BG75" s="877"/>
      <c r="BH75" s="879"/>
      <c r="BI75" s="877"/>
      <c r="BJ75" s="877"/>
      <c r="BK75" s="877"/>
      <c r="BL75" s="877"/>
      <c r="BM75" s="886"/>
      <c r="BN75" s="877"/>
      <c r="BO75" s="879"/>
      <c r="BP75" s="877"/>
      <c r="BQ75" s="877"/>
      <c r="BR75" s="877"/>
      <c r="BS75" s="877"/>
      <c r="BT75" s="886"/>
      <c r="BU75" s="877"/>
      <c r="BV75" s="879"/>
      <c r="BW75" s="886"/>
      <c r="BX75" s="869"/>
      <c r="BY75" s="869"/>
      <c r="BZ75" s="869"/>
      <c r="CA75" s="869"/>
      <c r="CB75" s="869"/>
      <c r="CC75" s="869"/>
      <c r="CD75" s="869"/>
      <c r="CE75" s="869"/>
    </row>
    <row r="76" spans="1:83" s="406" customFormat="1" ht="17.25">
      <c r="A76" s="501" t="s">
        <v>172</v>
      </c>
      <c r="B76" s="1283"/>
      <c r="C76" s="769"/>
      <c r="D76" s="54"/>
      <c r="E76" s="760"/>
      <c r="F76" s="1268"/>
      <c r="G76" s="1268"/>
      <c r="H76" s="887"/>
      <c r="I76" s="1275"/>
      <c r="J76" s="1268"/>
      <c r="K76" s="1268"/>
      <c r="L76" s="1268"/>
      <c r="M76" s="1268"/>
      <c r="N76" s="1268"/>
      <c r="O76" s="1276"/>
      <c r="P76" s="1268"/>
      <c r="Q76" s="1268"/>
      <c r="R76" s="1268"/>
      <c r="S76" s="1268"/>
      <c r="T76" s="1268"/>
      <c r="U76" s="1268"/>
      <c r="V76" s="1268"/>
      <c r="W76" s="887"/>
      <c r="X76" s="869"/>
      <c r="Y76" s="879">
        <f>1/'Input data plant-based products'!E21*10^4</f>
        <v>3.0413625304136254</v>
      </c>
      <c r="Z76" s="877">
        <f>$Y76*'Input data plant-based products'!Z21</f>
        <v>3.0413625304136254</v>
      </c>
      <c r="AA76" s="877">
        <f>$Y76*'Input data plant-based products'!AA21</f>
        <v>3.0413625304136254</v>
      </c>
      <c r="AB76" s="877">
        <f>$Y76*'Input data plant-based products'!AB21</f>
        <v>3.2560469443251754</v>
      </c>
      <c r="AC76" s="877">
        <f>$Y76*'Input data plant-based products'!AC21</f>
        <v>3.497008301328195</v>
      </c>
      <c r="AD76" s="886">
        <f>$Y76*'Input data plant-based products'!AD21</f>
        <v>3.6427169805502033</v>
      </c>
      <c r="AE76" s="877"/>
      <c r="AF76" s="879">
        <f>SUM('Input data plant-based products'!F21,'Input data plant-based products'!Q21)/'Input data plant-based products'!E21</f>
        <v>4.3998377939983777E-2</v>
      </c>
      <c r="AG76" s="877">
        <f>$AF76*'Input data plant-based products'!Z21</f>
        <v>4.3998377939983777E-2</v>
      </c>
      <c r="AH76" s="877">
        <f>$AF76*'Input data plant-based products'!AA21</f>
        <v>4.3998377939983777E-2</v>
      </c>
      <c r="AI76" s="877">
        <f>$AF76*'Input data plant-based products'!AB21</f>
        <v>4.7104145794570867E-2</v>
      </c>
      <c r="AJ76" s="877">
        <f>$AF76*'Input data plant-based products'!AC21</f>
        <v>5.0590053425881215E-2</v>
      </c>
      <c r="AK76" s="886">
        <f>$AF76*'Input data plant-based products'!AD21</f>
        <v>5.2697972318626274E-2</v>
      </c>
      <c r="AL76" s="877"/>
      <c r="AM76" s="879">
        <f>'Input data plant-based products'!R21/'Input data plant-based products'!E21</f>
        <v>2.7372262773722629E-3</v>
      </c>
      <c r="AN76" s="877">
        <f>$AM76*'Input data plant-based products'!Z21</f>
        <v>2.7372262773722629E-3</v>
      </c>
      <c r="AO76" s="877">
        <f>$AM76*'Input data plant-based products'!AA21</f>
        <v>2.7372262773722629E-3</v>
      </c>
      <c r="AP76" s="877">
        <f>$AM76*'Input data plant-based products'!AB21</f>
        <v>2.9304422498926579E-3</v>
      </c>
      <c r="AQ76" s="877">
        <f>$AM76*'Input data plant-based products'!AC21</f>
        <v>3.1473074711953755E-3</v>
      </c>
      <c r="AR76" s="886">
        <f>$AM76*'Input data plant-based products'!AD21</f>
        <v>3.2784452824951831E-3</v>
      </c>
      <c r="AS76" s="877"/>
      <c r="AT76" s="879">
        <f>'Input data plant-based products'!S21</f>
        <v>0</v>
      </c>
      <c r="AU76" s="877">
        <f>$AT76*'Input data plant-based products'!Z21</f>
        <v>0</v>
      </c>
      <c r="AV76" s="877">
        <f>$AT76*'Input data plant-based products'!AA21</f>
        <v>0</v>
      </c>
      <c r="AW76" s="877">
        <f>$AT76*'Input data plant-based products'!AB21</f>
        <v>0</v>
      </c>
      <c r="AX76" s="877">
        <f>$AT76*'Input data plant-based products'!AC21</f>
        <v>0</v>
      </c>
      <c r="AY76" s="886">
        <f>$AT76*'Input data plant-based products'!AD21</f>
        <v>0</v>
      </c>
      <c r="AZ76" s="877"/>
      <c r="BA76" s="879">
        <f>((SUM('Input data plant-based products'!U21:Y21)*'Grains, oil crops, sugar'!Y76)/('Common input data'!$B$192/10^6))/$BB$3</f>
        <v>2.1514279405319434E-11</v>
      </c>
      <c r="BB76" s="877">
        <f>$BA76*'Input data plant-based products'!Z21</f>
        <v>2.1514279405319434E-11</v>
      </c>
      <c r="BC76" s="877">
        <f>$BA76*'Input data plant-based products'!AA21</f>
        <v>2.1514279405319434E-11</v>
      </c>
      <c r="BD76" s="877">
        <f>$BA76*'Input data plant-based products'!AB21</f>
        <v>2.3032934422165511E-11</v>
      </c>
      <c r="BE76" s="877">
        <f>$BA76*'Input data plant-based products'!AC21</f>
        <v>2.4737469777160777E-11</v>
      </c>
      <c r="BF76" s="886">
        <f>$BA76*'Input data plant-based products'!AD21</f>
        <v>2.5768197684542478E-11</v>
      </c>
      <c r="BG76" s="877"/>
      <c r="BH76" s="879">
        <f>'Input data plant-based products'!T21/'Input data plant-based products'!E21</f>
        <v>2.8132603406326033E-4</v>
      </c>
      <c r="BI76" s="877">
        <f>$BH76*'Input data plant-based products'!Z21</f>
        <v>2.8132603406326033E-4</v>
      </c>
      <c r="BJ76" s="877">
        <f>$BH76*'Input data plant-based products'!AA21</f>
        <v>2.8132603406326033E-4</v>
      </c>
      <c r="BK76" s="877">
        <f>$BH76*'Input data plant-based products'!AB21</f>
        <v>3.011843423500787E-4</v>
      </c>
      <c r="BL76" s="877">
        <f>$BH76*'Input data plant-based products'!AC21</f>
        <v>3.2347326787285802E-4</v>
      </c>
      <c r="BM76" s="886">
        <f>$BH76*'Input data plant-based products'!AD21</f>
        <v>3.3695132070089379E-4</v>
      </c>
      <c r="BN76" s="877"/>
      <c r="BO76" s="879">
        <f>('Input data plant-based products'!F21/'Input data plant-based products'!E21*'Common input data'!$B$195+'Input data plant-based products'!G21/'Input data plant-based products'!E21*'Common input data'!$B$196)/'Common input data'!$B$198</f>
        <v>2.4988406040288851E-3</v>
      </c>
      <c r="BP76" s="877">
        <f>$BO76*'Input data plant-based products'!Z21</f>
        <v>2.4988406040288851E-3</v>
      </c>
      <c r="BQ76" s="877">
        <f>$BO76*'Input data plant-based products'!AA21</f>
        <v>2.4988406040288851E-3</v>
      </c>
      <c r="BR76" s="877">
        <f>$BO76*'Input data plant-based products'!AB21</f>
        <v>2.675229352548571E-3</v>
      </c>
      <c r="BS76" s="877">
        <f>$BO76*'Input data plant-based products'!AC21</f>
        <v>2.8732077312718591E-3</v>
      </c>
      <c r="BT76" s="886">
        <f>$BO76*'Input data plant-based products'!AD21</f>
        <v>2.9929247200748531E-3</v>
      </c>
      <c r="BU76" s="877"/>
      <c r="BV76" s="879"/>
      <c r="BW76" s="886"/>
      <c r="BX76" s="869"/>
      <c r="BY76" s="869"/>
      <c r="BZ76" s="869"/>
      <c r="CA76" s="869"/>
      <c r="CB76" s="869"/>
      <c r="CC76" s="869"/>
      <c r="CD76" s="869"/>
      <c r="CE76" s="869"/>
    </row>
    <row r="77" spans="1:83" s="406" customFormat="1" ht="17.25">
      <c r="A77" s="20" t="s">
        <v>122</v>
      </c>
      <c r="B77" s="93" t="s">
        <v>121</v>
      </c>
      <c r="C77" s="87">
        <f>'Input data plant-based products'!D21</f>
        <v>0.89</v>
      </c>
      <c r="D77" s="54"/>
      <c r="E77" s="513" t="s">
        <v>316</v>
      </c>
      <c r="F77" s="872">
        <f>SUMPRODUCT($CJ$6:$CJ$8,F78:F80)</f>
        <v>0.48092984856511239</v>
      </c>
      <c r="G77" s="872">
        <f>SUMPRODUCT($CJ$6:$CJ$8,G78:G80)</f>
        <v>0.8330924625613183</v>
      </c>
      <c r="H77" s="873">
        <f>SUMPRODUCT($CJ$6:$CJ$8,H78:H80)</f>
        <v>1.9928685591970452</v>
      </c>
      <c r="I77" s="1277"/>
      <c r="J77" s="884"/>
      <c r="K77" s="884"/>
      <c r="L77" s="884"/>
      <c r="M77" s="884"/>
      <c r="N77" s="884"/>
      <c r="O77" s="884"/>
      <c r="P77" s="884"/>
      <c r="Q77" s="884"/>
      <c r="R77" s="884"/>
      <c r="S77" s="884"/>
      <c r="T77" s="884"/>
      <c r="U77" s="884"/>
      <c r="V77" s="884"/>
      <c r="W77" s="1278"/>
      <c r="X77" s="869"/>
      <c r="Y77" s="879"/>
      <c r="Z77" s="877"/>
      <c r="AA77" s="877"/>
      <c r="AB77" s="877"/>
      <c r="AC77" s="877"/>
      <c r="AD77" s="886"/>
      <c r="AE77" s="877"/>
      <c r="AF77" s="879"/>
      <c r="AG77" s="877"/>
      <c r="AH77" s="877"/>
      <c r="AI77" s="877"/>
      <c r="AJ77" s="877"/>
      <c r="AK77" s="886"/>
      <c r="AL77" s="877"/>
      <c r="AM77" s="879"/>
      <c r="AN77" s="877"/>
      <c r="AO77" s="877"/>
      <c r="AP77" s="877"/>
      <c r="AQ77" s="877"/>
      <c r="AR77" s="886"/>
      <c r="AS77" s="877"/>
      <c r="AT77" s="879"/>
      <c r="AU77" s="877"/>
      <c r="AV77" s="877"/>
      <c r="AW77" s="877"/>
      <c r="AX77" s="877"/>
      <c r="AY77" s="886"/>
      <c r="AZ77" s="877"/>
      <c r="BA77" s="879"/>
      <c r="BB77" s="877"/>
      <c r="BC77" s="877"/>
      <c r="BD77" s="877"/>
      <c r="BE77" s="877"/>
      <c r="BF77" s="886"/>
      <c r="BG77" s="877"/>
      <c r="BH77" s="879"/>
      <c r="BI77" s="877"/>
      <c r="BJ77" s="877"/>
      <c r="BK77" s="877"/>
      <c r="BL77" s="877"/>
      <c r="BM77" s="886"/>
      <c r="BN77" s="877"/>
      <c r="BO77" s="879"/>
      <c r="BP77" s="877"/>
      <c r="BQ77" s="877"/>
      <c r="BR77" s="877"/>
      <c r="BS77" s="877"/>
      <c r="BT77" s="886"/>
      <c r="BU77" s="877"/>
      <c r="BV77" s="879">
        <f>'Common input data'!$C$202*'Input data plant-based products'!AC21</f>
        <v>0.16465369838106494</v>
      </c>
      <c r="BW77" s="886">
        <f>'Common input data'!$C$202*'Input data plant-based products'!AD21</f>
        <v>0.17151426914694265</v>
      </c>
      <c r="BX77" s="869"/>
      <c r="BY77" s="869"/>
      <c r="BZ77" s="869"/>
      <c r="CA77" s="869"/>
      <c r="CB77" s="869"/>
      <c r="CC77" s="869"/>
      <c r="CD77" s="869"/>
      <c r="CE77" s="869"/>
    </row>
    <row r="78" spans="1:83" s="406" customFormat="1" ht="17.25">
      <c r="A78" s="499"/>
      <c r="B78" s="55"/>
      <c r="C78" s="64"/>
      <c r="D78"/>
      <c r="E78" s="511" t="s">
        <v>317</v>
      </c>
      <c r="F78" s="877">
        <f>IF(AND($F$2="No",$F$3="No"),SUM(K78:L78),IF(AND($F$2="Yes", $F$3="No"), (SUM(K78:L78)+S78), IF(AND($F$2="No", $F$3="Yes"),(SUM(K78:L78)+R78), (SUM(K78:L78)+S78+R78))))</f>
        <v>0.159771495181245</v>
      </c>
      <c r="G78" s="877">
        <f>IF(AND($F$2="No",$F$3="No"),SUM(I78:Q78),IF(AND($F$2="Yes", $F$3="No"), (SUM(I78:Q78)+S78), IF(AND($F$2="No", $F$3="Yes"),(SUM(I78:Q78)+R78), (SUM(I78:Q78)+S78+R78))))</f>
        <v>0.44245332243679208</v>
      </c>
      <c r="H78" s="878">
        <f>SUM(U78:W78)/(1-'Common input data'!$B$143)</f>
        <v>1.2355794804893441</v>
      </c>
      <c r="I78" s="928">
        <f>('Input data plant-based products'!$F$21*('Common input data'!$B$93*'Common input data'!B86+'Common input data'!$B$94*'Common input data'!C86))/'Input data plant-based products'!$E$21</f>
        <v>0.13802856730420887</v>
      </c>
      <c r="J78" s="877">
        <f>'Common input data'!$B$98</f>
        <v>0.03</v>
      </c>
      <c r="K78" s="877">
        <v>0</v>
      </c>
      <c r="L78" s="877">
        <v>0</v>
      </c>
      <c r="M78" s="877"/>
      <c r="N78" s="877">
        <f>('Input data plant-based products'!$P$21*'Common input data'!$C$76*'Common input data'!H66)/'Input data plant-based products'!$E$21</f>
        <v>5.6893819951338201E-2</v>
      </c>
      <c r="O78" s="877">
        <v>0</v>
      </c>
      <c r="P78" s="877">
        <v>0</v>
      </c>
      <c r="Q78" s="877">
        <f>'Input data plant-based products'!$B$270*'Common input data'!$B$76*'Common input data'!B66+'Input data plant-based products'!C$270*'Common input data'!B80</f>
        <v>5.7759440000000009E-2</v>
      </c>
      <c r="R78" s="877">
        <f>'Common input data'!D$19</f>
        <v>0.159771495181245</v>
      </c>
      <c r="S78" s="877">
        <v>0</v>
      </c>
      <c r="T78" s="877">
        <f>'Input data plant-based products'!G$270*3.6*'Common input data'!C66+'Input data plant-based products'!H$270*3.6*'Common input data'!G66</f>
        <v>1.3347719999999999E-2</v>
      </c>
      <c r="U78" s="877">
        <f>(G78+T78)*'Input data plant-based products'!B$286*'Common input data'!D$40</f>
        <v>0.82044187638622568</v>
      </c>
      <c r="V78" s="877">
        <f>'Common input data'!B$104</f>
        <v>0.3</v>
      </c>
      <c r="W78" s="878">
        <f>'Common input data'!C$115</f>
        <v>0.03</v>
      </c>
      <c r="X78" s="869"/>
      <c r="Y78" s="879"/>
      <c r="Z78" s="877"/>
      <c r="AA78" s="877"/>
      <c r="AB78" s="877"/>
      <c r="AC78" s="877"/>
      <c r="AD78" s="886"/>
      <c r="AE78" s="877"/>
      <c r="AF78" s="879"/>
      <c r="AG78" s="877"/>
      <c r="AH78" s="877"/>
      <c r="AI78" s="877"/>
      <c r="AJ78" s="877"/>
      <c r="AK78" s="886"/>
      <c r="AL78" s="877"/>
      <c r="AM78" s="879"/>
      <c r="AN78" s="877"/>
      <c r="AO78" s="877"/>
      <c r="AP78" s="877"/>
      <c r="AQ78" s="877"/>
      <c r="AR78" s="886"/>
      <c r="AS78" s="877"/>
      <c r="AT78" s="879"/>
      <c r="AU78" s="877"/>
      <c r="AV78" s="877"/>
      <c r="AW78" s="877"/>
      <c r="AX78" s="877"/>
      <c r="AY78" s="886"/>
      <c r="AZ78" s="877"/>
      <c r="BA78" s="879"/>
      <c r="BB78" s="877"/>
      <c r="BC78" s="877"/>
      <c r="BD78" s="877"/>
      <c r="BE78" s="877"/>
      <c r="BF78" s="886"/>
      <c r="BG78" s="877"/>
      <c r="BH78" s="879"/>
      <c r="BI78" s="877"/>
      <c r="BJ78" s="877"/>
      <c r="BK78" s="877"/>
      <c r="BL78" s="877"/>
      <c r="BM78" s="886"/>
      <c r="BN78" s="877"/>
      <c r="BO78" s="879"/>
      <c r="BP78" s="877"/>
      <c r="BQ78" s="877"/>
      <c r="BR78" s="877"/>
      <c r="BS78" s="877"/>
      <c r="BT78" s="886"/>
      <c r="BU78" s="877"/>
      <c r="BV78" s="879"/>
      <c r="BW78" s="886"/>
      <c r="BX78" s="869"/>
      <c r="BY78" s="869"/>
      <c r="BZ78" s="869"/>
      <c r="CA78" s="869"/>
      <c r="CB78" s="869"/>
      <c r="CC78" s="869"/>
      <c r="CD78" s="869"/>
      <c r="CE78" s="869"/>
    </row>
    <row r="79" spans="1:83" s="406" customFormat="1" ht="17.25">
      <c r="A79" s="18"/>
      <c r="B79" s="55"/>
      <c r="C79" s="595"/>
      <c r="D79" s="50"/>
      <c r="E79" s="511" t="s">
        <v>367</v>
      </c>
      <c r="F79" s="877">
        <f>SUM(K79:L79)</f>
        <v>0</v>
      </c>
      <c r="G79" s="877">
        <f>SUM(I79:Q79)</f>
        <v>2.2017699917759135E-4</v>
      </c>
      <c r="H79" s="878">
        <f>SUM(U79:W79)/(1-'Common input data'!$B$143)</f>
        <v>5.3948796902535655E-4</v>
      </c>
      <c r="I79" s="928">
        <f>('Input data plant-based products'!$F$21*('Common input data'!$B$93*'Common input data'!B87+'Common input data'!$B$94*'Common input data'!C87))/'Input data plant-based products'!$E$21</f>
        <v>1.7364675538197091E-4</v>
      </c>
      <c r="J79" s="877">
        <v>0</v>
      </c>
      <c r="K79" s="877">
        <v>0</v>
      </c>
      <c r="L79" s="877">
        <v>0</v>
      </c>
      <c r="M79" s="877"/>
      <c r="N79" s="877">
        <f>('Input data plant-based products'!$P$21*'Common input data'!$C$76*'Common input data'!H67)/'Input data plant-based products'!$E$21</f>
        <v>2.5202043795620441E-5</v>
      </c>
      <c r="O79" s="877">
        <v>0</v>
      </c>
      <c r="P79" s="877">
        <v>0</v>
      </c>
      <c r="Q79" s="877">
        <f>'Input data plant-based products'!$B$270*'Common input data'!$B$76*'Common input data'!B67</f>
        <v>2.1328200000000007E-5</v>
      </c>
      <c r="R79" s="877">
        <v>0</v>
      </c>
      <c r="S79" s="877">
        <v>0</v>
      </c>
      <c r="T79" s="877">
        <f>'Input data plant-based products'!G$270*3.6*'Common input data'!C67+'Input data plant-based products'!H$270*3.6*'Common input data'!G67</f>
        <v>5.8886639999999975E-5</v>
      </c>
      <c r="U79" s="877">
        <f>(G79+T79)*'Input data plant-based products'!B$286*'Common input data'!D$40</f>
        <v>5.0231455051966427E-4</v>
      </c>
      <c r="V79" s="877">
        <v>0</v>
      </c>
      <c r="W79" s="878">
        <v>0</v>
      </c>
      <c r="X79" s="869"/>
      <c r="Y79" s="879"/>
      <c r="Z79" s="877"/>
      <c r="AA79" s="877"/>
      <c r="AB79" s="877"/>
      <c r="AC79" s="877"/>
      <c r="AD79" s="886"/>
      <c r="AE79" s="877"/>
      <c r="AF79" s="879"/>
      <c r="AG79" s="877"/>
      <c r="AH79" s="877"/>
      <c r="AI79" s="877"/>
      <c r="AJ79" s="877"/>
      <c r="AK79" s="886"/>
      <c r="AL79" s="877"/>
      <c r="AM79" s="879"/>
      <c r="AN79" s="877"/>
      <c r="AO79" s="877"/>
      <c r="AP79" s="877"/>
      <c r="AQ79" s="877"/>
      <c r="AR79" s="886"/>
      <c r="AS79" s="877"/>
      <c r="AT79" s="879"/>
      <c r="AU79" s="877"/>
      <c r="AV79" s="877"/>
      <c r="AW79" s="877"/>
      <c r="AX79" s="877"/>
      <c r="AY79" s="886"/>
      <c r="AZ79" s="877"/>
      <c r="BA79" s="879"/>
      <c r="BB79" s="877"/>
      <c r="BC79" s="877"/>
      <c r="BD79" s="877"/>
      <c r="BE79" s="877"/>
      <c r="BF79" s="886"/>
      <c r="BG79" s="877"/>
      <c r="BH79" s="879"/>
      <c r="BI79" s="877"/>
      <c r="BJ79" s="877"/>
      <c r="BK79" s="877"/>
      <c r="BL79" s="877"/>
      <c r="BM79" s="886"/>
      <c r="BN79" s="877"/>
      <c r="BO79" s="879"/>
      <c r="BP79" s="877"/>
      <c r="BQ79" s="877"/>
      <c r="BR79" s="877"/>
      <c r="BS79" s="877"/>
      <c r="BT79" s="886"/>
      <c r="BU79" s="877"/>
      <c r="BV79" s="879"/>
      <c r="BW79" s="886"/>
      <c r="BX79" s="869"/>
      <c r="BY79" s="869"/>
      <c r="BZ79" s="869"/>
      <c r="CA79" s="869"/>
      <c r="CB79" s="869"/>
      <c r="CC79" s="869"/>
      <c r="CD79" s="869"/>
      <c r="CE79" s="869"/>
    </row>
    <row r="80" spans="1:83" s="406" customFormat="1" ht="17.25">
      <c r="A80" s="359"/>
      <c r="B80" s="360"/>
      <c r="C80" s="83"/>
      <c r="D80" s="54"/>
      <c r="E80" s="512" t="s">
        <v>320</v>
      </c>
      <c r="F80" s="877">
        <f>SUM(K80:L80)</f>
        <v>1.378362031690418E-3</v>
      </c>
      <c r="G80" s="877">
        <f>SUM(I80:Q80)</f>
        <v>1.6721214945424527E-3</v>
      </c>
      <c r="H80" s="878">
        <f>SUM(U80:W80)/(1-'Common input data'!$B$143)</f>
        <v>3.2392853444346871E-3</v>
      </c>
      <c r="I80" s="928">
        <f>('Input data plant-based products'!$F$21*('Common input data'!$B$93*'Common input data'!B88+'Common input data'!$B$94*'Common input data'!C88))/'Input data plant-based products'!$E$21</f>
        <v>2.9024244152794709E-4</v>
      </c>
      <c r="J80" s="877">
        <v>0</v>
      </c>
      <c r="K80" s="877">
        <f>(SUM(('Input data plant-based products'!$F$21*'Input data plant-based products'!$B$258),(('Input data plant-based products'!$G$21+'Input data plant-based products'!$H$21)*'Input data plant-based products'!$B$259))*44/28)/'Input data plant-based products'!$E$21</f>
        <v>1.2530563924458345E-3</v>
      </c>
      <c r="L80" s="877">
        <f>K80*'Input data plant-based products'!$B$261</f>
        <v>1.2530563924458346E-4</v>
      </c>
      <c r="M80" s="877"/>
      <c r="N80" s="877">
        <f>('Input data plant-based products'!$P$21*'Common input data'!$C$76*'Common input data'!H68)/'Input data plant-based products'!$E$21</f>
        <v>1.5287591240875913E-6</v>
      </c>
      <c r="O80" s="877">
        <v>0</v>
      </c>
      <c r="P80" s="877">
        <v>0</v>
      </c>
      <c r="Q80" s="877">
        <f>'Input data plant-based products'!$B$270*'Common input data'!$B$76*'Common input data'!B68</f>
        <v>1.9882622000000002E-6</v>
      </c>
      <c r="R80" s="877">
        <v>0</v>
      </c>
      <c r="S80" s="877">
        <v>0</v>
      </c>
      <c r="T80" s="877">
        <f>'Input data plant-based products'!G$270*3.6*'Common input data'!C68+'Input data plant-based products'!H$270*3.6*'Common input data'!G68</f>
        <v>3.4798319999999972E-6</v>
      </c>
      <c r="U80" s="877">
        <f>(G80+T80)*'Input data plant-based products'!B$286*'Common input data'!D$40</f>
        <v>3.0160823877764145E-3</v>
      </c>
      <c r="V80" s="877">
        <v>0</v>
      </c>
      <c r="W80" s="878">
        <v>0</v>
      </c>
      <c r="X80" s="869"/>
      <c r="Y80" s="879"/>
      <c r="Z80" s="877"/>
      <c r="AA80" s="877"/>
      <c r="AB80" s="877"/>
      <c r="AC80" s="877"/>
      <c r="AD80" s="886"/>
      <c r="AE80" s="877"/>
      <c r="AF80" s="879"/>
      <c r="AG80" s="877"/>
      <c r="AH80" s="877"/>
      <c r="AI80" s="877"/>
      <c r="AJ80" s="877"/>
      <c r="AK80" s="886"/>
      <c r="AL80" s="877"/>
      <c r="AM80" s="879"/>
      <c r="AN80" s="877"/>
      <c r="AO80" s="877"/>
      <c r="AP80" s="877"/>
      <c r="AQ80" s="877"/>
      <c r="AR80" s="886"/>
      <c r="AS80" s="877"/>
      <c r="AT80" s="879"/>
      <c r="AU80" s="877"/>
      <c r="AV80" s="877"/>
      <c r="AW80" s="877"/>
      <c r="AX80" s="877"/>
      <c r="AY80" s="886"/>
      <c r="AZ80" s="877"/>
      <c r="BA80" s="879"/>
      <c r="BB80" s="877"/>
      <c r="BC80" s="877"/>
      <c r="BD80" s="877"/>
      <c r="BE80" s="877"/>
      <c r="BF80" s="886"/>
      <c r="BG80" s="877"/>
      <c r="BH80" s="879"/>
      <c r="BI80" s="877"/>
      <c r="BJ80" s="877"/>
      <c r="BK80" s="877"/>
      <c r="BL80" s="877"/>
      <c r="BM80" s="886"/>
      <c r="BN80" s="877"/>
      <c r="BO80" s="879"/>
      <c r="BP80" s="877"/>
      <c r="BQ80" s="877"/>
      <c r="BR80" s="877"/>
      <c r="BS80" s="877"/>
      <c r="BT80" s="886"/>
      <c r="BU80" s="877"/>
      <c r="BV80" s="879"/>
      <c r="BW80" s="886"/>
      <c r="BX80" s="869"/>
      <c r="BY80" s="869"/>
      <c r="BZ80" s="869"/>
      <c r="CA80" s="869"/>
      <c r="CB80" s="869"/>
      <c r="CC80" s="869"/>
      <c r="CD80" s="869"/>
      <c r="CE80" s="869"/>
    </row>
    <row r="81" spans="1:83" s="406" customFormat="1" ht="17.25">
      <c r="A81" s="501" t="s">
        <v>173</v>
      </c>
      <c r="B81" s="1283"/>
      <c r="C81" s="769"/>
      <c r="D81" s="54"/>
      <c r="E81" s="760"/>
      <c r="F81" s="1268"/>
      <c r="G81" s="1268"/>
      <c r="H81" s="887"/>
      <c r="I81" s="1275"/>
      <c r="J81" s="1268"/>
      <c r="K81" s="1268"/>
      <c r="L81" s="1268"/>
      <c r="M81" s="1268"/>
      <c r="N81" s="1268"/>
      <c r="O81" s="1276"/>
      <c r="P81" s="1268"/>
      <c r="Q81" s="1268"/>
      <c r="R81" s="1268"/>
      <c r="S81" s="1268"/>
      <c r="T81" s="1268"/>
      <c r="U81" s="1268"/>
      <c r="V81" s="1268"/>
      <c r="W81" s="887"/>
      <c r="X81" s="869"/>
      <c r="Y81" s="879"/>
      <c r="Z81" s="877"/>
      <c r="AA81" s="877"/>
      <c r="AB81" s="877"/>
      <c r="AC81" s="877"/>
      <c r="AD81" s="886"/>
      <c r="AE81" s="877"/>
      <c r="AF81" s="879"/>
      <c r="AG81" s="877"/>
      <c r="AH81" s="877"/>
      <c r="AI81" s="877"/>
      <c r="AJ81" s="877"/>
      <c r="AK81" s="886"/>
      <c r="AL81" s="877"/>
      <c r="AM81" s="879"/>
      <c r="AN81" s="877"/>
      <c r="AO81" s="877"/>
      <c r="AP81" s="877"/>
      <c r="AQ81" s="877"/>
      <c r="AR81" s="886"/>
      <c r="AS81" s="877"/>
      <c r="AT81" s="879"/>
      <c r="AU81" s="877"/>
      <c r="AV81" s="877"/>
      <c r="AW81" s="877"/>
      <c r="AX81" s="877"/>
      <c r="AY81" s="886"/>
      <c r="AZ81" s="877"/>
      <c r="BA81" s="879"/>
      <c r="BB81" s="877"/>
      <c r="BC81" s="877"/>
      <c r="BD81" s="877"/>
      <c r="BE81" s="877"/>
      <c r="BF81" s="886"/>
      <c r="BG81" s="877"/>
      <c r="BH81" s="879"/>
      <c r="BI81" s="877"/>
      <c r="BJ81" s="877"/>
      <c r="BK81" s="877"/>
      <c r="BL81" s="877"/>
      <c r="BM81" s="886"/>
      <c r="BN81" s="877"/>
      <c r="BO81" s="879"/>
      <c r="BP81" s="877"/>
      <c r="BQ81" s="877"/>
      <c r="BR81" s="877"/>
      <c r="BS81" s="877"/>
      <c r="BT81" s="886"/>
      <c r="BU81" s="877"/>
      <c r="BV81" s="879"/>
      <c r="BW81" s="886"/>
      <c r="BX81" s="869"/>
      <c r="BY81" s="869"/>
      <c r="BZ81" s="869"/>
      <c r="CA81" s="869"/>
      <c r="CB81" s="869"/>
      <c r="CC81" s="869"/>
      <c r="CD81" s="869"/>
      <c r="CE81" s="869"/>
    </row>
    <row r="82" spans="1:83" s="406" customFormat="1" ht="17.25">
      <c r="A82" s="20" t="s">
        <v>122</v>
      </c>
      <c r="B82" s="93" t="s">
        <v>121</v>
      </c>
      <c r="C82" s="87">
        <f>'Input data plant-based products'!D22</f>
        <v>0.1</v>
      </c>
      <c r="D82" s="54"/>
      <c r="E82" s="513" t="s">
        <v>316</v>
      </c>
      <c r="F82" s="872">
        <f>SUMPRODUCT($CJ$6:$CJ$8,F83:F85)</f>
        <v>0.55080399254307266</v>
      </c>
      <c r="G82" s="872">
        <f>SUMPRODUCT($CJ$6:$CJ$8,G83:G85)</f>
        <v>0.99732291511019922</v>
      </c>
      <c r="H82" s="873">
        <f>SUMPRODUCT($CJ$6:$CJ$8,H83:H85)</f>
        <v>2.3103601305060804</v>
      </c>
      <c r="I82" s="1277"/>
      <c r="J82" s="884"/>
      <c r="K82" s="884"/>
      <c r="L82" s="884"/>
      <c r="M82" s="884"/>
      <c r="N82" s="884"/>
      <c r="O82" s="884"/>
      <c r="P82" s="884"/>
      <c r="Q82" s="884"/>
      <c r="R82" s="884"/>
      <c r="S82" s="884"/>
      <c r="T82" s="884"/>
      <c r="U82" s="884"/>
      <c r="V82" s="884"/>
      <c r="W82" s="1278"/>
      <c r="X82" s="869"/>
      <c r="Y82" s="879">
        <f>1/'Input data plant-based products'!E22*10^4</f>
        <v>5.3304904051172706</v>
      </c>
      <c r="Z82" s="877">
        <f>$Y82*'Input data plant-based products'!Z22</f>
        <v>5.3304904051172706</v>
      </c>
      <c r="AA82" s="877">
        <f>$Y82*'Input data plant-based products'!AA22</f>
        <v>5.3304904051172706</v>
      </c>
      <c r="AB82" s="877">
        <f>$Y82*'Input data plant-based products'!AB22</f>
        <v>5.7067603160667248</v>
      </c>
      <c r="AC82" s="877">
        <f>$Y82*'Input data plant-based products'!AC22</f>
        <v>6.1290849119227637</v>
      </c>
      <c r="AD82" s="886">
        <f>$Y82*'Input data plant-based products'!AD22</f>
        <v>6.3844634499195463</v>
      </c>
      <c r="AE82" s="877"/>
      <c r="AF82" s="879">
        <f>SUM('Input data plant-based products'!F22,'Input data plant-based products'!Q22)/'Input data plant-based products'!E22</f>
        <v>5.4904051172707892E-2</v>
      </c>
      <c r="AG82" s="877">
        <f>$AF82*'Input data plant-based products'!Z22</f>
        <v>5.4904051172707892E-2</v>
      </c>
      <c r="AH82" s="877">
        <f>$AF82*'Input data plant-based products'!AA22</f>
        <v>5.4904051172707892E-2</v>
      </c>
      <c r="AI82" s="877">
        <f>$AF82*'Input data plant-based products'!AB22</f>
        <v>5.8779631255487269E-2</v>
      </c>
      <c r="AJ82" s="877">
        <f>$AF82*'Input data plant-based products'!AC22</f>
        <v>6.3129574592804466E-2</v>
      </c>
      <c r="AK82" s="886">
        <f>$AF82*'Input data plant-based products'!AD22</f>
        <v>6.5759973534171332E-2</v>
      </c>
      <c r="AL82" s="877"/>
      <c r="AM82" s="879">
        <f>'Input data plant-based products'!R22/'Input data plant-based products'!E22</f>
        <v>6.1300639658848615E-3</v>
      </c>
      <c r="AN82" s="877">
        <f>$AM82*'Input data plant-based products'!Z22</f>
        <v>6.1300639658848615E-3</v>
      </c>
      <c r="AO82" s="877">
        <f>$AM82*'Input data plant-based products'!AA22</f>
        <v>6.1300639658848615E-3</v>
      </c>
      <c r="AP82" s="877">
        <f>$AM82*'Input data plant-based products'!AB22</f>
        <v>6.5627743634767343E-3</v>
      </c>
      <c r="AQ82" s="877">
        <f>$AM82*'Input data plant-based products'!AC22</f>
        <v>7.0484476487111787E-3</v>
      </c>
      <c r="AR82" s="886">
        <f>$AM82*'Input data plant-based products'!AD22</f>
        <v>7.3421329674074783E-3</v>
      </c>
      <c r="AS82" s="877"/>
      <c r="AT82" s="879">
        <f>'Input data plant-based products'!S22</f>
        <v>0</v>
      </c>
      <c r="AU82" s="877">
        <f>$AT82*'Input data plant-based products'!Z22</f>
        <v>0</v>
      </c>
      <c r="AV82" s="877">
        <f>$AT82*'Input data plant-based products'!AA22</f>
        <v>0</v>
      </c>
      <c r="AW82" s="877">
        <f>$AT82*'Input data plant-based products'!AB22</f>
        <v>0</v>
      </c>
      <c r="AX82" s="877">
        <f>$AT82*'Input data plant-based products'!AC22</f>
        <v>0</v>
      </c>
      <c r="AY82" s="886">
        <f>$AT82*'Input data plant-based products'!AD22</f>
        <v>0</v>
      </c>
      <c r="AZ82" s="877"/>
      <c r="BA82" s="879">
        <f>((SUM('Input data plant-based products'!U22:Y22)*'Grains, oil crops, sugar'!Y82)/('Common input data'!$B$192/10^6))/$BB$3</f>
        <v>3.7707329789280542E-11</v>
      </c>
      <c r="BB82" s="877">
        <f>$BA82*'Input data plant-based products'!Z22</f>
        <v>3.7707329789280542E-11</v>
      </c>
      <c r="BC82" s="877">
        <f>$BA82*'Input data plant-based products'!AA22</f>
        <v>3.7707329789280542E-11</v>
      </c>
      <c r="BD82" s="877">
        <f>$BA82*'Input data plant-based products'!AB22</f>
        <v>4.0369023656759166E-11</v>
      </c>
      <c r="BE82" s="877">
        <f>$BA82*'Input data plant-based products'!AC22</f>
        <v>4.3356503532678378E-11</v>
      </c>
      <c r="BF82" s="886">
        <f>$BA82*'Input data plant-based products'!AD22</f>
        <v>4.5163024513206643E-11</v>
      </c>
      <c r="BG82" s="877"/>
      <c r="BH82" s="879">
        <f>'Input data plant-based products'!T22/'Input data plant-based products'!E22</f>
        <v>1.7857142857142854E-4</v>
      </c>
      <c r="BI82" s="877">
        <f>$BH82*'Input data plant-based products'!Z22</f>
        <v>1.7857142857142854E-4</v>
      </c>
      <c r="BJ82" s="877">
        <f>$BH82*'Input data plant-based products'!AA22</f>
        <v>1.7857142857142854E-4</v>
      </c>
      <c r="BK82" s="877">
        <f>$BH82*'Input data plant-based products'!AB22</f>
        <v>1.9117647058823525E-4</v>
      </c>
      <c r="BL82" s="877">
        <f>$BH82*'Input data plant-based products'!AC22</f>
        <v>2.0532434454941258E-4</v>
      </c>
      <c r="BM82" s="886">
        <f>$BH82*'Input data plant-based products'!AD22</f>
        <v>2.1387952557230477E-4</v>
      </c>
      <c r="BN82" s="877"/>
      <c r="BO82" s="879">
        <f>('Input data plant-based products'!F22/'Input data plant-based products'!E22*'Common input data'!$B$195+'Input data plant-based products'!G22/'Input data plant-based products'!E22*'Common input data'!$B$196)/'Common input data'!$B$198</f>
        <v>2.7449605687561332E-3</v>
      </c>
      <c r="BP82" s="877">
        <f>$BO82*'Input data plant-based products'!Z22</f>
        <v>2.7449605687561332E-3</v>
      </c>
      <c r="BQ82" s="877">
        <f>$BO82*'Input data plant-based products'!AA22</f>
        <v>2.7449605687561332E-3</v>
      </c>
      <c r="BR82" s="877">
        <f>$BO82*'Input data plant-based products'!AB22</f>
        <v>2.9387224912565662E-3</v>
      </c>
      <c r="BS82" s="877">
        <f>$BO82*'Input data plant-based products'!AC22</f>
        <v>3.1562004857254807E-3</v>
      </c>
      <c r="BT82" s="886">
        <f>$BO82*'Input data plant-based products'!AD22</f>
        <v>3.2877088392973758E-3</v>
      </c>
      <c r="BU82" s="877"/>
      <c r="BV82" s="879">
        <f>'Common input data'!$C$202*'Input data plant-based products'!AC22</f>
        <v>0.16465369838106494</v>
      </c>
      <c r="BW82" s="886">
        <f>'Common input data'!$C$202*'Input data plant-based products'!AD22</f>
        <v>0.17151426914694265</v>
      </c>
      <c r="BX82" s="869"/>
      <c r="BY82" s="869"/>
      <c r="BZ82" s="869"/>
      <c r="CA82" s="869"/>
      <c r="CB82" s="869"/>
      <c r="CC82" s="869"/>
      <c r="CD82" s="869"/>
      <c r="CE82" s="869"/>
    </row>
    <row r="83" spans="1:83" s="406" customFormat="1" ht="17.25">
      <c r="A83" s="68"/>
      <c r="B83" s="55"/>
      <c r="C83" s="64"/>
      <c r="D83"/>
      <c r="E83" s="511" t="s">
        <v>317</v>
      </c>
      <c r="F83" s="877">
        <f>IF(AND($F$2="No",$F$3="No"),SUM(K83:L83),IF(AND($F$2="Yes", $F$3="No"), (SUM(K83:L83)+S83), IF(AND($F$2="No", $F$3="Yes"),(SUM(K83:L83)+R83), (SUM(K83:L83)+S83+R83))))</f>
        <v>0.159771495181245</v>
      </c>
      <c r="G83" s="877">
        <f>IF(AND($F$2="No",$F$3="No"),SUM(I83:Q83),IF(AND($F$2="Yes", $F$3="No"), (SUM(I83:Q83)+S83), IF(AND($F$2="No", $F$3="Yes"),(SUM(I83:Q83)+R83), (SUM(I83:Q83)+S83+R83))))</f>
        <v>0.51948782216568312</v>
      </c>
      <c r="H83" s="878">
        <f>SUM(U83:W83)/(1-'Common input data'!$B$143)</f>
        <v>1.38450316659227</v>
      </c>
      <c r="I83" s="928">
        <f>('Input data plant-based products'!$F$22*('Common input data'!$B$93*'Common input data'!B86+'Common input data'!$B$94*'Common input data'!C86))/'Input data plant-based products'!$E$22</f>
        <v>0.17224106608891576</v>
      </c>
      <c r="J83" s="877">
        <f>'Common input data'!$B$98</f>
        <v>0.03</v>
      </c>
      <c r="K83" s="877">
        <v>0</v>
      </c>
      <c r="L83" s="877">
        <v>0</v>
      </c>
      <c r="M83" s="877"/>
      <c r="N83" s="877">
        <f>('Input data plant-based products'!$P$22*'Common input data'!$C$76*'Common input data'!H66)/'Input data plant-based products'!$E$22</f>
        <v>9.9715820895522389E-2</v>
      </c>
      <c r="O83" s="877">
        <v>0</v>
      </c>
      <c r="P83" s="877">
        <v>0</v>
      </c>
      <c r="Q83" s="877">
        <f>'Input data plant-based products'!$B$270*'Common input data'!$B$76*'Common input data'!B66+'Input data plant-based products'!C$270*'Common input data'!B80</f>
        <v>5.7759440000000009E-2</v>
      </c>
      <c r="R83" s="877">
        <f>'Common input data'!D$19</f>
        <v>0.159771495181245</v>
      </c>
      <c r="S83" s="877">
        <v>0</v>
      </c>
      <c r="T83" s="877">
        <f>'Input data plant-based products'!G$270*3.6*'Common input data'!C66+'Input data plant-based products'!H$270*3.6*'Common input data'!G66</f>
        <v>1.3347719999999999E-2</v>
      </c>
      <c r="U83" s="877">
        <f>(G83+T83)*'Input data plant-based products'!B$286*'Common input data'!D$40</f>
        <v>0.95910397589822949</v>
      </c>
      <c r="V83" s="877">
        <f>'Common input data'!B$104</f>
        <v>0.3</v>
      </c>
      <c r="W83" s="878">
        <f>'Common input data'!C$115</f>
        <v>0.03</v>
      </c>
      <c r="X83" s="869"/>
      <c r="Y83" s="879"/>
      <c r="Z83" s="877"/>
      <c r="AA83" s="877"/>
      <c r="AB83" s="877"/>
      <c r="AC83" s="877"/>
      <c r="AD83" s="886"/>
      <c r="AE83" s="877"/>
      <c r="AF83" s="879"/>
      <c r="AG83" s="877"/>
      <c r="AH83" s="877"/>
      <c r="AI83" s="877"/>
      <c r="AJ83" s="877"/>
      <c r="AK83" s="886"/>
      <c r="AL83" s="877"/>
      <c r="AM83" s="879"/>
      <c r="AN83" s="877"/>
      <c r="AO83" s="877"/>
      <c r="AP83" s="877"/>
      <c r="AQ83" s="877"/>
      <c r="AR83" s="886"/>
      <c r="AS83" s="877"/>
      <c r="AT83" s="879"/>
      <c r="AU83" s="877"/>
      <c r="AV83" s="877"/>
      <c r="AW83" s="877"/>
      <c r="AX83" s="877"/>
      <c r="AY83" s="886"/>
      <c r="AZ83" s="877"/>
      <c r="BA83" s="879"/>
      <c r="BB83" s="877"/>
      <c r="BC83" s="877"/>
      <c r="BD83" s="877"/>
      <c r="BE83" s="877"/>
      <c r="BF83" s="886"/>
      <c r="BG83" s="877"/>
      <c r="BH83" s="879"/>
      <c r="BI83" s="877"/>
      <c r="BJ83" s="877"/>
      <c r="BK83" s="877"/>
      <c r="BL83" s="877"/>
      <c r="BM83" s="886"/>
      <c r="BN83" s="877"/>
      <c r="BO83" s="879"/>
      <c r="BP83" s="877"/>
      <c r="BQ83" s="877"/>
      <c r="BR83" s="877"/>
      <c r="BS83" s="877"/>
      <c r="BT83" s="886"/>
      <c r="BU83" s="877"/>
      <c r="BV83" s="879"/>
      <c r="BW83" s="886"/>
      <c r="BX83" s="869"/>
      <c r="BY83" s="869"/>
      <c r="BZ83" s="869"/>
      <c r="CA83" s="869"/>
      <c r="CB83" s="869"/>
      <c r="CC83" s="869"/>
      <c r="CD83" s="869"/>
      <c r="CE83" s="869"/>
    </row>
    <row r="84" spans="1:83" s="406" customFormat="1" ht="17.25">
      <c r="A84" s="18"/>
      <c r="B84" s="55"/>
      <c r="C84" s="595"/>
      <c r="D84" s="50"/>
      <c r="E84" s="511" t="s">
        <v>367</v>
      </c>
      <c r="F84" s="877">
        <f>SUM(K84:L84)</f>
        <v>0</v>
      </c>
      <c r="G84" s="877">
        <f>SUM(I84:Q84)</f>
        <v>2.8218671499665848E-4</v>
      </c>
      <c r="H84" s="878">
        <f>SUM(U84:W84)/(1-'Common input data'!$B$143)</f>
        <v>6.5936562756108163E-4</v>
      </c>
      <c r="I84" s="928">
        <f>('Input data plant-based products'!$F$22*('Common input data'!$B$93*'Common input data'!B87+'Common input data'!$B$94*'Common input data'!C87))/'Input data plant-based products'!$E$22</f>
        <v>2.1668776872800177E-4</v>
      </c>
      <c r="J84" s="877">
        <v>0</v>
      </c>
      <c r="K84" s="877">
        <v>0</v>
      </c>
      <c r="L84" s="877">
        <v>0</v>
      </c>
      <c r="M84" s="877"/>
      <c r="N84" s="877">
        <f>('Input data plant-based products'!$P$22*'Common input data'!$C$76*'Common input data'!H67)/'Input data plant-based products'!$E$22</f>
        <v>4.4170746268656719E-5</v>
      </c>
      <c r="O84" s="877">
        <v>0</v>
      </c>
      <c r="P84" s="877">
        <v>0</v>
      </c>
      <c r="Q84" s="877">
        <f>'Input data plant-based products'!$B$270*'Common input data'!$B$76*'Common input data'!B67</f>
        <v>2.1328200000000007E-5</v>
      </c>
      <c r="R84" s="877">
        <v>0</v>
      </c>
      <c r="S84" s="877">
        <v>0</v>
      </c>
      <c r="T84" s="877">
        <f>'Input data plant-based products'!G$270*3.6*'Common input data'!C67+'Input data plant-based products'!H$270*3.6*'Common input data'!G67</f>
        <v>5.8886639999999975E-5</v>
      </c>
      <c r="U84" s="877">
        <f>(G84+T84)*'Input data plant-based products'!B$286*'Common input data'!D$40</f>
        <v>6.1393203899398521E-4</v>
      </c>
      <c r="V84" s="877">
        <v>0</v>
      </c>
      <c r="W84" s="878">
        <v>0</v>
      </c>
      <c r="X84" s="869"/>
      <c r="Y84" s="879"/>
      <c r="Z84" s="877"/>
      <c r="AA84" s="877"/>
      <c r="AB84" s="877"/>
      <c r="AC84" s="877"/>
      <c r="AD84" s="886"/>
      <c r="AE84" s="877"/>
      <c r="AF84" s="879"/>
      <c r="AG84" s="877"/>
      <c r="AH84" s="877"/>
      <c r="AI84" s="877"/>
      <c r="AJ84" s="877"/>
      <c r="AK84" s="886"/>
      <c r="AL84" s="877"/>
      <c r="AM84" s="879"/>
      <c r="AN84" s="877"/>
      <c r="AO84" s="877"/>
      <c r="AP84" s="877"/>
      <c r="AQ84" s="877"/>
      <c r="AR84" s="886"/>
      <c r="AS84" s="877"/>
      <c r="AT84" s="879"/>
      <c r="AU84" s="877"/>
      <c r="AV84" s="877"/>
      <c r="AW84" s="877"/>
      <c r="AX84" s="877"/>
      <c r="AY84" s="886"/>
      <c r="AZ84" s="877"/>
      <c r="BA84" s="879"/>
      <c r="BB84" s="877"/>
      <c r="BC84" s="877"/>
      <c r="BD84" s="877"/>
      <c r="BE84" s="877"/>
      <c r="BF84" s="886"/>
      <c r="BG84" s="877"/>
      <c r="BH84" s="879"/>
      <c r="BI84" s="877"/>
      <c r="BJ84" s="877"/>
      <c r="BK84" s="877"/>
      <c r="BL84" s="877"/>
      <c r="BM84" s="886"/>
      <c r="BN84" s="877"/>
      <c r="BO84" s="879"/>
      <c r="BP84" s="877"/>
      <c r="BQ84" s="877"/>
      <c r="BR84" s="877"/>
      <c r="BS84" s="877"/>
      <c r="BT84" s="886"/>
      <c r="BU84" s="877"/>
      <c r="BV84" s="879"/>
      <c r="BW84" s="886"/>
      <c r="BX84" s="869"/>
      <c r="BY84" s="869"/>
      <c r="BZ84" s="869"/>
      <c r="CA84" s="869"/>
      <c r="CB84" s="869"/>
      <c r="CC84" s="869"/>
      <c r="CD84" s="869"/>
      <c r="CE84" s="869"/>
    </row>
    <row r="85" spans="1:83" s="406" customFormat="1" ht="17.25">
      <c r="A85" s="359"/>
      <c r="B85" s="360"/>
      <c r="C85" s="83"/>
      <c r="D85" s="54"/>
      <c r="E85" s="512" t="s">
        <v>320</v>
      </c>
      <c r="F85" s="877">
        <f>SUM(K85:L85)</f>
        <v>1.6782510616387453E-3</v>
      </c>
      <c r="G85" s="877">
        <f>SUM(I85:Q85)</f>
        <v>2.0451022119486345E-3</v>
      </c>
      <c r="H85" s="878">
        <f>SUM(U85:W85)/(1-'Common input data'!$B$143)</f>
        <v>3.9603345298895839E-3</v>
      </c>
      <c r="I85" s="928">
        <f>('Input data plant-based products'!$F$22*('Common input data'!$B$93*'Common input data'!B88+'Common input data'!$B$94*'Common input data'!C88))/'Input data plant-based products'!$E$22</f>
        <v>3.6218348512481459E-4</v>
      </c>
      <c r="J85" s="877">
        <v>0</v>
      </c>
      <c r="K85" s="877">
        <f>(SUM(('Input data plant-based products'!$F$22*'Input data plant-based products'!$B$258),(('Input data plant-based products'!$G$22+'Input data plant-based products'!$H$22)*'Input data plant-based products'!$B$259))*44/28)/'Input data plant-based products'!$E$22</f>
        <v>1.5256827833079502E-3</v>
      </c>
      <c r="L85" s="877">
        <f>K85*'Input data plant-based products'!$B$261</f>
        <v>1.5256827833079502E-4</v>
      </c>
      <c r="M85" s="877"/>
      <c r="N85" s="877">
        <f>('Input data plant-based products'!$P$22*'Common input data'!$C$76*'Common input data'!H68)/'Input data plant-based products'!$E$22</f>
        <v>2.6794029850746268E-6</v>
      </c>
      <c r="O85" s="877">
        <v>0</v>
      </c>
      <c r="P85" s="877">
        <v>0</v>
      </c>
      <c r="Q85" s="877">
        <f>'Input data plant-based products'!$B$270*'Common input data'!$B$76*'Common input data'!B68</f>
        <v>1.9882622000000002E-6</v>
      </c>
      <c r="R85" s="877">
        <v>0</v>
      </c>
      <c r="S85" s="877">
        <v>0</v>
      </c>
      <c r="T85" s="877">
        <f>'Input data plant-based products'!G$270*3.6*'Common input data'!C68+'Input data plant-based products'!H$270*3.6*'Common input data'!G68</f>
        <v>3.4798319999999972E-6</v>
      </c>
      <c r="U85" s="877">
        <f>(G85+T85)*'Input data plant-based products'!B$286*'Common input data'!D$40</f>
        <v>3.6874476791075418E-3</v>
      </c>
      <c r="V85" s="877">
        <v>0</v>
      </c>
      <c r="W85" s="878">
        <v>0</v>
      </c>
      <c r="X85" s="869"/>
      <c r="Y85" s="879"/>
      <c r="Z85" s="877"/>
      <c r="AA85" s="877"/>
      <c r="AB85" s="877"/>
      <c r="AC85" s="877"/>
      <c r="AD85" s="886"/>
      <c r="AE85" s="877"/>
      <c r="AF85" s="879"/>
      <c r="AG85" s="877"/>
      <c r="AH85" s="877"/>
      <c r="AI85" s="877"/>
      <c r="AJ85" s="877"/>
      <c r="AK85" s="886"/>
      <c r="AL85" s="877"/>
      <c r="AM85" s="879"/>
      <c r="AN85" s="877"/>
      <c r="AO85" s="877"/>
      <c r="AP85" s="877"/>
      <c r="AQ85" s="877"/>
      <c r="AR85" s="886"/>
      <c r="AS85" s="877"/>
      <c r="AT85" s="879"/>
      <c r="AU85" s="877"/>
      <c r="AV85" s="877"/>
      <c r="AW85" s="877"/>
      <c r="AX85" s="877"/>
      <c r="AY85" s="886"/>
      <c r="AZ85" s="877"/>
      <c r="BA85" s="879"/>
      <c r="BB85" s="877"/>
      <c r="BC85" s="877"/>
      <c r="BD85" s="877"/>
      <c r="BE85" s="877"/>
      <c r="BF85" s="886"/>
      <c r="BG85" s="877"/>
      <c r="BH85" s="879"/>
      <c r="BI85" s="877"/>
      <c r="BJ85" s="877"/>
      <c r="BK85" s="877"/>
      <c r="BL85" s="877"/>
      <c r="BM85" s="886"/>
      <c r="BN85" s="877"/>
      <c r="BO85" s="879"/>
      <c r="BP85" s="877"/>
      <c r="BQ85" s="877"/>
      <c r="BR85" s="877"/>
      <c r="BS85" s="877"/>
      <c r="BT85" s="886"/>
      <c r="BU85" s="877"/>
      <c r="BV85" s="879"/>
      <c r="BW85" s="886"/>
      <c r="BX85" s="869"/>
      <c r="BY85" s="869"/>
      <c r="BZ85" s="869"/>
      <c r="CA85" s="869"/>
      <c r="CB85" s="869"/>
      <c r="CC85" s="869"/>
      <c r="CD85" s="869"/>
      <c r="CE85" s="869"/>
    </row>
    <row r="86" spans="1:83" s="406" customFormat="1" ht="17.25">
      <c r="A86" s="501" t="s">
        <v>171</v>
      </c>
      <c r="B86" s="1283"/>
      <c r="C86" s="769"/>
      <c r="D86" s="54"/>
      <c r="E86" s="760"/>
      <c r="F86" s="1268"/>
      <c r="G86" s="1268"/>
      <c r="H86" s="887"/>
      <c r="I86" s="1275"/>
      <c r="J86" s="1268"/>
      <c r="K86" s="1268"/>
      <c r="L86" s="1268"/>
      <c r="M86" s="1268"/>
      <c r="N86" s="1268"/>
      <c r="O86" s="1276"/>
      <c r="P86" s="1268"/>
      <c r="Q86" s="1268"/>
      <c r="R86" s="1268"/>
      <c r="S86" s="1268"/>
      <c r="T86" s="1268"/>
      <c r="U86" s="1268"/>
      <c r="V86" s="1268"/>
      <c r="W86" s="887"/>
      <c r="X86" s="869"/>
      <c r="Y86" s="879"/>
      <c r="Z86" s="877"/>
      <c r="AA86" s="877"/>
      <c r="AB86" s="877"/>
      <c r="AC86" s="877"/>
      <c r="AD86" s="886"/>
      <c r="AE86" s="877"/>
      <c r="AF86" s="879"/>
      <c r="AG86" s="877"/>
      <c r="AH86" s="877"/>
      <c r="AI86" s="877"/>
      <c r="AJ86" s="877"/>
      <c r="AK86" s="886"/>
      <c r="AL86" s="877"/>
      <c r="AM86" s="879"/>
      <c r="AN86" s="877"/>
      <c r="AO86" s="877"/>
      <c r="AP86" s="877"/>
      <c r="AQ86" s="877"/>
      <c r="AR86" s="886"/>
      <c r="AS86" s="877"/>
      <c r="AT86" s="879"/>
      <c r="AU86" s="877"/>
      <c r="AV86" s="877"/>
      <c r="AW86" s="877"/>
      <c r="AX86" s="877"/>
      <c r="AY86" s="886"/>
      <c r="AZ86" s="877"/>
      <c r="BA86" s="879"/>
      <c r="BB86" s="877"/>
      <c r="BC86" s="877"/>
      <c r="BD86" s="877"/>
      <c r="BE86" s="877"/>
      <c r="BF86" s="886"/>
      <c r="BG86" s="877"/>
      <c r="BH86" s="879"/>
      <c r="BI86" s="877"/>
      <c r="BJ86" s="877"/>
      <c r="BK86" s="877"/>
      <c r="BL86" s="877"/>
      <c r="BM86" s="886"/>
      <c r="BN86" s="877"/>
      <c r="BO86" s="879"/>
      <c r="BP86" s="877"/>
      <c r="BQ86" s="877"/>
      <c r="BR86" s="877"/>
      <c r="BS86" s="877"/>
      <c r="BT86" s="886"/>
      <c r="BU86" s="877"/>
      <c r="BV86" s="879"/>
      <c r="BW86" s="886"/>
      <c r="BX86" s="869"/>
      <c r="BY86" s="869"/>
      <c r="BZ86" s="869"/>
      <c r="CA86" s="869"/>
      <c r="CB86" s="869"/>
      <c r="CC86" s="869"/>
      <c r="CD86" s="869"/>
      <c r="CE86" s="869"/>
    </row>
    <row r="87" spans="1:83" s="406" customFormat="1" ht="17.25">
      <c r="A87" s="20" t="s">
        <v>125</v>
      </c>
      <c r="B87" s="93" t="s">
        <v>121</v>
      </c>
      <c r="C87" s="87">
        <f>'Input data plant-based products'!D23</f>
        <v>1.0000000000000009E-2</v>
      </c>
      <c r="D87" s="54"/>
      <c r="E87" s="513" t="s">
        <v>316</v>
      </c>
      <c r="F87" s="872">
        <f>SUMPRODUCT($CJ$6:$CJ$8,F88:F90)</f>
        <v>0.3912537464955308</v>
      </c>
      <c r="G87" s="872">
        <f>SUMPRODUCT($CJ$6:$CJ$8,G88:G90)</f>
        <v>0.84846684652472448</v>
      </c>
      <c r="H87" s="873">
        <f>SUMPRODUCT($CJ$6:$CJ$8,H88:H90)</f>
        <v>2.2373912890303398</v>
      </c>
      <c r="I87" s="1277"/>
      <c r="J87" s="884"/>
      <c r="K87" s="884"/>
      <c r="L87" s="884"/>
      <c r="M87" s="884"/>
      <c r="N87" s="884"/>
      <c r="O87" s="884"/>
      <c r="P87" s="884"/>
      <c r="Q87" s="884"/>
      <c r="R87" s="884"/>
      <c r="S87" s="884"/>
      <c r="T87" s="884"/>
      <c r="U87" s="884"/>
      <c r="V87" s="884"/>
      <c r="W87" s="1278"/>
      <c r="X87" s="869"/>
      <c r="Y87" s="879">
        <f>1/'Input data plant-based products'!E23*10^4</f>
        <v>3.2875258507545948</v>
      </c>
      <c r="Z87" s="877">
        <f>$Y87*'Input data plant-based products'!Z23</f>
        <v>3.2875258507545948</v>
      </c>
      <c r="AA87" s="877">
        <f>$Y87*'Input data plant-based products'!AA23</f>
        <v>3.2875258507545948</v>
      </c>
      <c r="AB87" s="877">
        <f>$Y87*'Input data plant-based products'!AB23</f>
        <v>3.5195864990431542</v>
      </c>
      <c r="AC87" s="877">
        <f>$Y87*'Input data plant-based products'!AC23</f>
        <v>3.7800509067744481</v>
      </c>
      <c r="AD87" s="886">
        <f>$Y87*'Input data plant-based products'!AD23</f>
        <v>3.9375530278900506</v>
      </c>
      <c r="AE87" s="877"/>
      <c r="AF87" s="879">
        <f>SUM('Input data plant-based products'!F23,'Input data plant-based products'!Q23)/'Input data plant-based products'!E23</f>
        <v>4.9000000000000002E-2</v>
      </c>
      <c r="AG87" s="877">
        <f>$AF87*'Input data plant-based products'!Z23</f>
        <v>4.9000000000000002E-2</v>
      </c>
      <c r="AH87" s="877">
        <f>$AF87*'Input data plant-based products'!AA23</f>
        <v>4.9000000000000002E-2</v>
      </c>
      <c r="AI87" s="877">
        <f>$AF87*'Input data plant-based products'!AB23</f>
        <v>5.2458823529411766E-2</v>
      </c>
      <c r="AJ87" s="877">
        <f>$AF87*'Input data plant-based products'!AC23</f>
        <v>5.6341000144358819E-2</v>
      </c>
      <c r="AK87" s="886">
        <f>$AF87*'Input data plant-based products'!AD23</f>
        <v>5.8688541817040439E-2</v>
      </c>
      <c r="AL87" s="877"/>
      <c r="AM87" s="879">
        <f>'Input data plant-based products'!R23/'Input data plant-based products'!E23</f>
        <v>0.02</v>
      </c>
      <c r="AN87" s="877">
        <f>$AM87*'Input data plant-based products'!Z23</f>
        <v>0.02</v>
      </c>
      <c r="AO87" s="877">
        <f>$AM87*'Input data plant-based products'!AA23</f>
        <v>0.02</v>
      </c>
      <c r="AP87" s="877">
        <f>$AM87*'Input data plant-based products'!AB23</f>
        <v>2.1411764705882352E-2</v>
      </c>
      <c r="AQ87" s="877">
        <f>$AM87*'Input data plant-based products'!AC23</f>
        <v>2.2996326589534211E-2</v>
      </c>
      <c r="AR87" s="886">
        <f>$AM87*'Input data plant-based products'!AD23</f>
        <v>2.3954506864098137E-2</v>
      </c>
      <c r="AS87" s="877"/>
      <c r="AT87" s="879">
        <f>'Input data plant-based products'!S23</f>
        <v>0.23135178696408201</v>
      </c>
      <c r="AU87" s="877">
        <f>$AT87*'Input data plant-based products'!Z23</f>
        <v>0.23135178696408201</v>
      </c>
      <c r="AV87" s="877">
        <f>$AT87*'Input data plant-based products'!AA23</f>
        <v>0.23135178696408201</v>
      </c>
      <c r="AW87" s="877">
        <f>$AT87*'Input data plant-based products'!AB23</f>
        <v>0.2476825013380172</v>
      </c>
      <c r="AX87" s="877">
        <f>$AT87*'Input data plant-based products'!AC23</f>
        <v>0.26601206250491866</v>
      </c>
      <c r="AY87" s="886">
        <f>$AT87*'Input data plant-based products'!AD23</f>
        <v>0.27709589844262361</v>
      </c>
      <c r="AZ87" s="877"/>
      <c r="BA87" s="879">
        <f>((SUM('Input data plant-based products'!U23:Y23)*'Grains, oil crops, sugar'!Y87)/('Common input data'!$B$192/10^6))/$BB$3</f>
        <v>2.3255612903117379E-11</v>
      </c>
      <c r="BB87" s="877">
        <f>$BA87*'Input data plant-based products'!Z23</f>
        <v>2.3255612903117379E-11</v>
      </c>
      <c r="BC87" s="877">
        <f>$BA87*'Input data plant-based products'!AA23</f>
        <v>2.3255612903117379E-11</v>
      </c>
      <c r="BD87" s="877">
        <f>$BA87*'Input data plant-based products'!AB23</f>
        <v>2.4897185578631547E-11</v>
      </c>
      <c r="BE87" s="877">
        <f>$BA87*'Input data plant-based products'!AC23</f>
        <v>2.6739683467993653E-11</v>
      </c>
      <c r="BF87" s="886">
        <f>$BA87*'Input data plant-based products'!AD23</f>
        <v>2.7853836945826721E-11</v>
      </c>
      <c r="BG87" s="877"/>
      <c r="BH87" s="879">
        <f>'Input data plant-based products'!T23/'Input data plant-based products'!E23</f>
        <v>3.8792805038904223E-4</v>
      </c>
      <c r="BI87" s="877">
        <f>$BH87*'Input data plant-based products'!Z23</f>
        <v>3.8792805038904223E-4</v>
      </c>
      <c r="BJ87" s="877">
        <f>$BH87*'Input data plant-based products'!AA23</f>
        <v>3.8792805038904223E-4</v>
      </c>
      <c r="BK87" s="877">
        <f>$BH87*'Input data plant-based products'!AB23</f>
        <v>4.1531120688709228E-4</v>
      </c>
      <c r="BL87" s="877">
        <f>$BH87*'Input data plant-based products'!AC23</f>
        <v>4.4604600699938492E-4</v>
      </c>
      <c r="BM87" s="886">
        <f>$BH87*'Input data plant-based products'!AD23</f>
        <v>4.6463125729102601E-4</v>
      </c>
      <c r="BN87" s="877"/>
      <c r="BO87" s="879">
        <f>('Input data plant-based products'!F23/'Input data plant-based products'!E23*'Common input data'!$B$195+'Input data plant-based products'!G23/'Input data plant-based products'!E23*'Common input data'!$B$196)/'Common input data'!$B$198</f>
        <v>1.2511529235382311E-3</v>
      </c>
      <c r="BP87" s="877">
        <f>$BO87*'Input data plant-based products'!Z23</f>
        <v>1.2511529235382311E-3</v>
      </c>
      <c r="BQ87" s="877">
        <f>$BO87*'Input data plant-based products'!AA23</f>
        <v>1.2511529235382311E-3</v>
      </c>
      <c r="BR87" s="877">
        <f>$BO87*'Input data plant-based products'!AB23</f>
        <v>1.3394696004938708E-3</v>
      </c>
      <c r="BS87" s="877">
        <f>$BO87*'Input data plant-based products'!AC23</f>
        <v>1.4385960621567844E-3</v>
      </c>
      <c r="BT87" s="886">
        <f>$BO87*'Input data plant-based products'!AD23</f>
        <v>1.4985375647466504E-3</v>
      </c>
      <c r="BU87" s="877"/>
      <c r="BV87" s="879">
        <f>('Common input data'!$C$202+'Common input data'!$B$214)*'Input data plant-based products'!AC23</f>
        <v>1.0925171490577879</v>
      </c>
      <c r="BW87" s="886">
        <f>('Common input data'!$C$202+'Common input data'!$B$214)*'Input data plant-based products'!AD23</f>
        <v>1.1380386969351957</v>
      </c>
      <c r="BX87" s="869"/>
      <c r="BY87" s="869"/>
      <c r="BZ87" s="869"/>
      <c r="CA87" s="869"/>
      <c r="CB87" s="869"/>
      <c r="CC87" s="869"/>
      <c r="CD87" s="869"/>
      <c r="CE87" s="869"/>
    </row>
    <row r="88" spans="1:83" s="406" customFormat="1" ht="17.25">
      <c r="A88" s="68"/>
      <c r="B88" s="55"/>
      <c r="C88" s="64"/>
      <c r="D88"/>
      <c r="E88" s="511" t="s">
        <v>317</v>
      </c>
      <c r="F88" s="877">
        <f>IF(AND($F$2="No",$F$3="No"),SUM(K88:L88),IF(AND($F$2="Yes", $F$3="No"), (SUM(K88:L88)+S88), IF(AND($F$2="No", $F$3="Yes"),(SUM(K88:L88)+R88), (SUM(K88:L88)+S88+R88))))</f>
        <v>0.159771495181245</v>
      </c>
      <c r="G88" s="877">
        <f>IF(AND($F$2="No",$F$3="No"),SUM(I88:Q88),IF(AND($F$2="Yes", $F$3="No"), (SUM(I88:Q88)+S88), IF(AND($F$2="No", $F$3="Yes"),(SUM(I88:Q88)+R88), (SUM(I88:Q88)+S88+R88))))</f>
        <v>0.51987203058247622</v>
      </c>
      <c r="H88" s="878">
        <f>SUM(U88:W88)/(1-'Common input data'!$B$143)</f>
        <v>1.6000467740117359</v>
      </c>
      <c r="I88" s="928">
        <f>('Input data plant-based products'!$F$23*('Common input data'!$C$93*'Common input data'!B86+'Common input data'!$C$94*'Common input data'!C86))/'Input data plant-based products'!$E$23</f>
        <v>0.18448377260704479</v>
      </c>
      <c r="J88" s="877">
        <f>'Common input data'!$B$98</f>
        <v>0.03</v>
      </c>
      <c r="K88" s="877">
        <v>0</v>
      </c>
      <c r="L88" s="877">
        <v>0</v>
      </c>
      <c r="M88" s="877"/>
      <c r="N88" s="877">
        <f>('Input data plant-based products'!$P$23*'Common input data'!$C$76*'Common input data'!H66)/'Input data plant-based products'!$E$23</f>
        <v>6.1498720382000764E-2</v>
      </c>
      <c r="O88" s="877">
        <v>0</v>
      </c>
      <c r="P88" s="877">
        <f>'Input data plant-based products'!G$309</f>
        <v>0.02</v>
      </c>
      <c r="Q88" s="877">
        <f>'Input data plant-based products'!$B$270*'Common input data'!$B$76*'Common input data'!B66+'Input data plant-based products'!C$270*'Common input data'!C80</f>
        <v>6.4118042412185605E-2</v>
      </c>
      <c r="R88" s="877">
        <f>'Common input data'!D$19</f>
        <v>0.159771495181245</v>
      </c>
      <c r="S88" s="877">
        <v>0</v>
      </c>
      <c r="T88" s="877">
        <f>'Input data plant-based products'!G$270*3.6*'Common input data'!C66+'Input data plant-based products'!H$270*3.6*'Common input data'!G66</f>
        <v>1.3347719999999999E-2</v>
      </c>
      <c r="U88" s="877">
        <f>(G88+T88)*'Input data plant-based products'!B$286*'Common input data'!D$40</f>
        <v>0.95979555104845704</v>
      </c>
      <c r="V88" s="877">
        <f>'Common input data'!B$104</f>
        <v>0.3</v>
      </c>
      <c r="W88" s="878">
        <f>'Common input data'!B119+'Common input data'!C119</f>
        <v>0.23000000000000004</v>
      </c>
      <c r="X88" s="869"/>
      <c r="Y88" s="879"/>
      <c r="Z88" s="877"/>
      <c r="AA88" s="877"/>
      <c r="AB88" s="877"/>
      <c r="AC88" s="877"/>
      <c r="AD88" s="886"/>
      <c r="AE88" s="877"/>
      <c r="AF88" s="879"/>
      <c r="AG88" s="877"/>
      <c r="AH88" s="877"/>
      <c r="AI88" s="877"/>
      <c r="AJ88" s="877"/>
      <c r="AK88" s="886"/>
      <c r="AL88" s="877"/>
      <c r="AM88" s="879"/>
      <c r="AN88" s="877"/>
      <c r="AO88" s="877"/>
      <c r="AP88" s="877"/>
      <c r="AQ88" s="877"/>
      <c r="AR88" s="886"/>
      <c r="AS88" s="877"/>
      <c r="AT88" s="879"/>
      <c r="AU88" s="877"/>
      <c r="AV88" s="877"/>
      <c r="AW88" s="877"/>
      <c r="AX88" s="877"/>
      <c r="AY88" s="886"/>
      <c r="AZ88" s="877"/>
      <c r="BA88" s="879"/>
      <c r="BB88" s="877"/>
      <c r="BC88" s="877"/>
      <c r="BD88" s="877"/>
      <c r="BE88" s="877"/>
      <c r="BF88" s="886"/>
      <c r="BG88" s="877"/>
      <c r="BH88" s="879"/>
      <c r="BI88" s="877"/>
      <c r="BJ88" s="877"/>
      <c r="BK88" s="877"/>
      <c r="BL88" s="877"/>
      <c r="BM88" s="886"/>
      <c r="BN88" s="877"/>
      <c r="BO88" s="879"/>
      <c r="BP88" s="877"/>
      <c r="BQ88" s="877"/>
      <c r="BR88" s="877"/>
      <c r="BS88" s="877"/>
      <c r="BT88" s="886"/>
      <c r="BU88" s="877"/>
      <c r="BV88" s="879"/>
      <c r="BW88" s="886"/>
      <c r="BX88" s="869"/>
      <c r="BY88" s="869"/>
      <c r="BZ88" s="869"/>
      <c r="CA88" s="869"/>
      <c r="CB88" s="869"/>
      <c r="CC88" s="869"/>
      <c r="CD88" s="869"/>
      <c r="CE88" s="869"/>
    </row>
    <row r="89" spans="1:83" s="406" customFormat="1" ht="17.25">
      <c r="A89" s="18"/>
      <c r="B89" s="55"/>
      <c r="C89" s="595"/>
      <c r="D89" s="50"/>
      <c r="E89" s="511" t="s">
        <v>367</v>
      </c>
      <c r="F89" s="877">
        <f>SUM(K89:L89)</f>
        <v>0</v>
      </c>
      <c r="G89" s="877">
        <f>SUM(I89:Q89)</f>
        <v>3.8699638263350509E-4</v>
      </c>
      <c r="H89" s="878">
        <f>SUM(U89:W89)/(1-'Common input data'!$B$143)</f>
        <v>8.6198448143348324E-4</v>
      </c>
      <c r="I89" s="928">
        <f>('Input data plant-based products'!$F$23*('Common input data'!$C$93*'Common input data'!B87+'Common input data'!$C$94*'Common input data'!C87))/'Input data plant-based products'!$E$23</f>
        <v>3.3842632322298501E-4</v>
      </c>
      <c r="J89" s="877">
        <v>0</v>
      </c>
      <c r="K89" s="877">
        <v>0</v>
      </c>
      <c r="L89" s="877">
        <v>0</v>
      </c>
      <c r="M89" s="877"/>
      <c r="N89" s="877">
        <f>('Input data plant-based products'!$P$23*'Common input data'!$C$76*'Common input data'!H67)/'Input data plant-based products'!$E$23</f>
        <v>2.7241859410520097E-5</v>
      </c>
      <c r="O89" s="877">
        <v>0</v>
      </c>
      <c r="P89" s="877">
        <v>0</v>
      </c>
      <c r="Q89" s="877">
        <f>'Input data plant-based products'!$B$270*'Common input data'!$B$76*'Common input data'!B67</f>
        <v>2.1328200000000007E-5</v>
      </c>
      <c r="R89" s="877">
        <v>0</v>
      </c>
      <c r="S89" s="877">
        <v>0</v>
      </c>
      <c r="T89" s="877">
        <f>'Input data plant-based products'!G$270*3.6*'Common input data'!C67+'Input data plant-based products'!H$270*3.6*'Common input data'!G67</f>
        <v>5.8886639999999975E-5</v>
      </c>
      <c r="U89" s="877">
        <f>(G89+T89)*'Input data plant-based products'!B$286*'Common input data'!D$40</f>
        <v>8.0258944074030898E-4</v>
      </c>
      <c r="V89" s="877">
        <v>0</v>
      </c>
      <c r="W89" s="878">
        <v>0</v>
      </c>
      <c r="X89" s="869"/>
      <c r="Y89" s="879"/>
      <c r="Z89" s="877"/>
      <c r="AA89" s="877"/>
      <c r="AB89" s="877"/>
      <c r="AC89" s="877"/>
      <c r="AD89" s="886"/>
      <c r="AE89" s="877"/>
      <c r="AF89" s="879"/>
      <c r="AG89" s="877"/>
      <c r="AH89" s="877"/>
      <c r="AI89" s="877"/>
      <c r="AJ89" s="877"/>
      <c r="AK89" s="886"/>
      <c r="AL89" s="877"/>
      <c r="AM89" s="879"/>
      <c r="AN89" s="877"/>
      <c r="AO89" s="877"/>
      <c r="AP89" s="877"/>
      <c r="AQ89" s="877"/>
      <c r="AR89" s="886"/>
      <c r="AS89" s="877"/>
      <c r="AT89" s="879"/>
      <c r="AU89" s="877"/>
      <c r="AV89" s="877"/>
      <c r="AW89" s="877"/>
      <c r="AX89" s="877"/>
      <c r="AY89" s="886"/>
      <c r="AZ89" s="877"/>
      <c r="BA89" s="879"/>
      <c r="BB89" s="877"/>
      <c r="BC89" s="877"/>
      <c r="BD89" s="877"/>
      <c r="BE89" s="877"/>
      <c r="BF89" s="886"/>
      <c r="BG89" s="877"/>
      <c r="BH89" s="879"/>
      <c r="BI89" s="877"/>
      <c r="BJ89" s="877"/>
      <c r="BK89" s="877"/>
      <c r="BL89" s="877"/>
      <c r="BM89" s="886"/>
      <c r="BN89" s="877"/>
      <c r="BO89" s="879"/>
      <c r="BP89" s="877"/>
      <c r="BQ89" s="877"/>
      <c r="BR89" s="877"/>
      <c r="BS89" s="877"/>
      <c r="BT89" s="886"/>
      <c r="BU89" s="877"/>
      <c r="BV89" s="879"/>
      <c r="BW89" s="886"/>
      <c r="BX89" s="869"/>
      <c r="BY89" s="869"/>
      <c r="BZ89" s="869"/>
      <c r="CA89" s="869"/>
      <c r="CB89" s="869"/>
      <c r="CC89" s="869"/>
      <c r="CD89" s="869"/>
      <c r="CE89" s="869"/>
    </row>
    <row r="90" spans="1:83" s="406" customFormat="1" ht="17.25">
      <c r="A90" s="359"/>
      <c r="B90" s="360"/>
      <c r="C90" s="83"/>
      <c r="D90" s="54"/>
      <c r="E90" s="512" t="s">
        <v>320</v>
      </c>
      <c r="F90" s="877">
        <f>SUM(K90:L90)</f>
        <v>9.9348605714285731E-4</v>
      </c>
      <c r="G90" s="877">
        <f>SUM(I90:Q90)</f>
        <v>1.402471815209746E-3</v>
      </c>
      <c r="H90" s="878">
        <f>SUM(U90:W90)/(1-'Common input data'!$B$143)</f>
        <v>2.7179965148320454E-3</v>
      </c>
      <c r="I90" s="928">
        <f>('Input data plant-based products'!$F$23*('Common input data'!$C$93*'Common input data'!B88+'Common input data'!$C$94*'Common input data'!C88))/'Input data plant-based products'!$E$23</f>
        <v>4.0534500127285188E-4</v>
      </c>
      <c r="J90" s="877">
        <v>0</v>
      </c>
      <c r="K90" s="877">
        <f>(SUM('Input data plant-based products'!F23:H23)*'Input data plant-based products'!$B$257*44/28)/'Input data plant-based products'!E23</f>
        <v>9.03169142857143E-4</v>
      </c>
      <c r="L90" s="877">
        <f>K90*'Input data plant-based products'!$B$261</f>
        <v>9.0316914285714311E-5</v>
      </c>
      <c r="M90" s="877"/>
      <c r="N90" s="877">
        <f>('Input data plant-based products'!$P$23*'Common input data'!$C$76*'Common input data'!H68)/'Input data plant-based products'!$E$23</f>
        <v>1.6524945940369016E-6</v>
      </c>
      <c r="O90" s="877">
        <v>0</v>
      </c>
      <c r="P90" s="877">
        <v>0</v>
      </c>
      <c r="Q90" s="877">
        <f>'Input data plant-based products'!$B$270*'Common input data'!$B$76*'Common input data'!B68</f>
        <v>1.9882622000000002E-6</v>
      </c>
      <c r="R90" s="877">
        <v>0</v>
      </c>
      <c r="S90" s="877">
        <v>0</v>
      </c>
      <c r="T90" s="877">
        <f>'Input data plant-based products'!G$270*3.6*'Common input data'!C68+'Input data plant-based products'!H$270*3.6*'Common input data'!G68</f>
        <v>3.4798319999999972E-6</v>
      </c>
      <c r="U90" s="877">
        <f>(G90+T90)*'Input data plant-based products'!B$286*'Common input data'!D$40</f>
        <v>2.5307129649775428E-3</v>
      </c>
      <c r="V90" s="877">
        <v>0</v>
      </c>
      <c r="W90" s="878">
        <v>0</v>
      </c>
      <c r="X90" s="869"/>
      <c r="Y90" s="879"/>
      <c r="Z90" s="877"/>
      <c r="AA90" s="877"/>
      <c r="AB90" s="877"/>
      <c r="AC90" s="877"/>
      <c r="AD90" s="886"/>
      <c r="AE90" s="877"/>
      <c r="AF90" s="879"/>
      <c r="AG90" s="877"/>
      <c r="AH90" s="877"/>
      <c r="AI90" s="877"/>
      <c r="AJ90" s="877"/>
      <c r="AK90" s="886"/>
      <c r="AL90" s="877"/>
      <c r="AM90" s="879"/>
      <c r="AN90" s="877"/>
      <c r="AO90" s="877"/>
      <c r="AP90" s="877"/>
      <c r="AQ90" s="877"/>
      <c r="AR90" s="886"/>
      <c r="AS90" s="877"/>
      <c r="AT90" s="879"/>
      <c r="AU90" s="877"/>
      <c r="AV90" s="877"/>
      <c r="AW90" s="877"/>
      <c r="AX90" s="877"/>
      <c r="AY90" s="886"/>
      <c r="AZ90" s="877"/>
      <c r="BA90" s="879"/>
      <c r="BB90" s="877"/>
      <c r="BC90" s="877"/>
      <c r="BD90" s="877"/>
      <c r="BE90" s="877"/>
      <c r="BF90" s="886"/>
      <c r="BG90" s="877"/>
      <c r="BH90" s="879"/>
      <c r="BI90" s="877"/>
      <c r="BJ90" s="877"/>
      <c r="BK90" s="877"/>
      <c r="BL90" s="877"/>
      <c r="BM90" s="886"/>
      <c r="BN90" s="877"/>
      <c r="BO90" s="879"/>
      <c r="BP90" s="877"/>
      <c r="BQ90" s="877"/>
      <c r="BR90" s="877"/>
      <c r="BS90" s="877"/>
      <c r="BT90" s="886"/>
      <c r="BU90" s="877"/>
      <c r="BV90" s="879"/>
      <c r="BW90" s="886"/>
      <c r="BX90" s="869"/>
      <c r="BY90" s="869"/>
      <c r="BZ90" s="869"/>
      <c r="CA90" s="869"/>
      <c r="CB90" s="869"/>
      <c r="CC90" s="869"/>
      <c r="CD90" s="869"/>
      <c r="CE90" s="869"/>
    </row>
    <row r="91" spans="1:83" s="406" customFormat="1" ht="17.25">
      <c r="A91" s="362" t="s">
        <v>450</v>
      </c>
      <c r="B91" s="503"/>
      <c r="C91" s="770"/>
      <c r="D91" s="54"/>
      <c r="E91" s="948"/>
      <c r="F91" s="961" t="s">
        <v>449</v>
      </c>
      <c r="G91" s="961" t="s">
        <v>449</v>
      </c>
      <c r="H91" s="962" t="s">
        <v>451</v>
      </c>
      <c r="I91" s="1272"/>
      <c r="J91" s="880"/>
      <c r="K91" s="880"/>
      <c r="L91" s="880"/>
      <c r="M91" s="880"/>
      <c r="N91" s="880"/>
      <c r="O91" s="880"/>
      <c r="P91" s="880"/>
      <c r="Q91" s="880"/>
      <c r="R91" s="880"/>
      <c r="S91" s="880"/>
      <c r="T91" s="880"/>
      <c r="U91" s="880"/>
      <c r="V91" s="880"/>
      <c r="W91" s="1273"/>
      <c r="X91" s="869"/>
      <c r="Y91" s="879"/>
      <c r="Z91" s="877"/>
      <c r="AA91" s="877"/>
      <c r="AB91" s="877"/>
      <c r="AC91" s="877"/>
      <c r="AD91" s="886"/>
      <c r="AE91" s="877"/>
      <c r="AF91" s="879"/>
      <c r="AG91" s="877"/>
      <c r="AH91" s="877"/>
      <c r="AI91" s="877"/>
      <c r="AJ91" s="877"/>
      <c r="AK91" s="886"/>
      <c r="AL91" s="877"/>
      <c r="AM91" s="879"/>
      <c r="AN91" s="877"/>
      <c r="AO91" s="877"/>
      <c r="AP91" s="877"/>
      <c r="AQ91" s="877"/>
      <c r="AR91" s="886"/>
      <c r="AS91" s="877"/>
      <c r="AT91" s="879"/>
      <c r="AU91" s="877"/>
      <c r="AV91" s="877"/>
      <c r="AW91" s="877"/>
      <c r="AX91" s="877"/>
      <c r="AY91" s="886"/>
      <c r="AZ91" s="877"/>
      <c r="BA91" s="879"/>
      <c r="BB91" s="877"/>
      <c r="BC91" s="877"/>
      <c r="BD91" s="877"/>
      <c r="BE91" s="877"/>
      <c r="BF91" s="886"/>
      <c r="BG91" s="877"/>
      <c r="BH91" s="879"/>
      <c r="BI91" s="877"/>
      <c r="BJ91" s="877"/>
      <c r="BK91" s="877"/>
      <c r="BL91" s="877"/>
      <c r="BM91" s="886"/>
      <c r="BN91" s="877"/>
      <c r="BO91" s="879"/>
      <c r="BP91" s="877"/>
      <c r="BQ91" s="877"/>
      <c r="BR91" s="877"/>
      <c r="BS91" s="877"/>
      <c r="BT91" s="886"/>
      <c r="BU91" s="877"/>
      <c r="BV91" s="879"/>
      <c r="BW91" s="886"/>
      <c r="BX91" s="869"/>
      <c r="BY91" s="869"/>
      <c r="BZ91" s="869"/>
      <c r="CA91" s="869"/>
      <c r="CB91" s="869"/>
      <c r="CC91" s="869"/>
      <c r="CD91" s="869"/>
      <c r="CE91" s="869"/>
    </row>
    <row r="92" spans="1:83" s="406" customFormat="1" ht="17.25">
      <c r="A92" s="20" t="s">
        <v>120</v>
      </c>
      <c r="B92" s="93" t="s">
        <v>121</v>
      </c>
      <c r="C92" s="87">
        <f>'Input data plant-based products'!D24</f>
        <v>1</v>
      </c>
      <c r="D92" s="54"/>
      <c r="E92" s="510" t="s">
        <v>316</v>
      </c>
      <c r="F92" s="874">
        <f>SUMPRODUCT($CJ$6:$CJ$8,F93:F95)</f>
        <v>0.46722503634377094</v>
      </c>
      <c r="G92" s="874">
        <f>SUMPRODUCT($CJ$6:$CJ$8,G93:G95)</f>
        <v>0.80989269751498327</v>
      </c>
      <c r="H92" s="927">
        <f>SUMPRODUCT($CJ$6:$CJ$8,H93:H95)</f>
        <v>2.9108554212760076</v>
      </c>
      <c r="I92" s="1274"/>
      <c r="J92" s="875"/>
      <c r="K92" s="875"/>
      <c r="L92" s="875"/>
      <c r="M92" s="875"/>
      <c r="N92" s="875"/>
      <c r="O92" s="875"/>
      <c r="P92" s="875"/>
      <c r="Q92" s="875"/>
      <c r="R92" s="875"/>
      <c r="S92" s="875"/>
      <c r="T92" s="875"/>
      <c r="U92" s="875"/>
      <c r="V92" s="875"/>
      <c r="W92" s="1271"/>
      <c r="X92" s="869"/>
      <c r="Y92" s="883">
        <f t="shared" ref="Y92:BT92" si="13">Y96*$C$96+Y100*$C$100+Y104*$C$104+Y108*$C$108</f>
        <v>2.7896782201902837</v>
      </c>
      <c r="Z92" s="884">
        <f t="shared" si="13"/>
        <v>2.7896782201902837</v>
      </c>
      <c r="AA92" s="884">
        <f t="shared" si="13"/>
        <v>6.9741955504757094</v>
      </c>
      <c r="AB92" s="884">
        <f t="shared" si="13"/>
        <v>5.021420796342511</v>
      </c>
      <c r="AC92" s="884">
        <f t="shared" si="13"/>
        <v>5.3930273455904185</v>
      </c>
      <c r="AD92" s="885">
        <f t="shared" si="13"/>
        <v>5.6177368183233511</v>
      </c>
      <c r="AE92" s="877"/>
      <c r="AF92" s="883">
        <f t="shared" si="13"/>
        <v>3.8494491143385892E-2</v>
      </c>
      <c r="AG92" s="884">
        <f t="shared" si="13"/>
        <v>3.8494491143385892E-2</v>
      </c>
      <c r="AH92" s="884">
        <f t="shared" si="13"/>
        <v>9.6236227858464751E-2</v>
      </c>
      <c r="AI92" s="884">
        <f t="shared" si="13"/>
        <v>6.9290084058094614E-2</v>
      </c>
      <c r="AJ92" s="884">
        <f t="shared" si="13"/>
        <v>7.441784571724111E-2</v>
      </c>
      <c r="AK92" s="885">
        <f t="shared" si="13"/>
        <v>7.7518589288792808E-2</v>
      </c>
      <c r="AL92" s="877"/>
      <c r="AM92" s="883">
        <f t="shared" si="13"/>
        <v>7.8296323064190269E-3</v>
      </c>
      <c r="AN92" s="884">
        <f t="shared" si="13"/>
        <v>7.8296323064190269E-3</v>
      </c>
      <c r="AO92" s="884">
        <f t="shared" si="13"/>
        <v>1.9574080766047566E-2</v>
      </c>
      <c r="AP92" s="884">
        <f t="shared" si="13"/>
        <v>1.4093338151554245E-2</v>
      </c>
      <c r="AQ92" s="884">
        <f t="shared" si="13"/>
        <v>1.5136305265901168E-2</v>
      </c>
      <c r="AR92" s="885">
        <f t="shared" si="13"/>
        <v>1.5766984651980381E-2</v>
      </c>
      <c r="AS92" s="877"/>
      <c r="AT92" s="883">
        <f t="shared" si="13"/>
        <v>3.0908139423996721E-2</v>
      </c>
      <c r="AU92" s="884">
        <f t="shared" si="13"/>
        <v>3.0908139423996721E-2</v>
      </c>
      <c r="AV92" s="884">
        <f t="shared" si="13"/>
        <v>7.7270348559991806E-2</v>
      </c>
      <c r="AW92" s="884">
        <f t="shared" si="13"/>
        <v>5.5634650963194088E-2</v>
      </c>
      <c r="AX92" s="884">
        <f t="shared" si="13"/>
        <v>5.9751852349324286E-2</v>
      </c>
      <c r="AY92" s="885">
        <f t="shared" si="13"/>
        <v>6.224151286387946E-2</v>
      </c>
      <c r="AZ92" s="877"/>
      <c r="BA92" s="883">
        <f t="shared" si="13"/>
        <v>5.1119761779057776E-11</v>
      </c>
      <c r="BB92" s="884">
        <f t="shared" si="13"/>
        <v>5.1119761779057776E-11</v>
      </c>
      <c r="BC92" s="884">
        <f t="shared" si="13"/>
        <v>1.2779940444764446E-10</v>
      </c>
      <c r="BD92" s="884">
        <f t="shared" si="13"/>
        <v>9.2015571202303994E-11</v>
      </c>
      <c r="BE92" s="884">
        <f t="shared" si="13"/>
        <v>9.8825115806984262E-11</v>
      </c>
      <c r="BF92" s="885">
        <f t="shared" si="13"/>
        <v>1.029428289656086E-10</v>
      </c>
      <c r="BG92" s="877"/>
      <c r="BH92" s="883">
        <f t="shared" si="13"/>
        <v>1.6643510772848262E-4</v>
      </c>
      <c r="BI92" s="884">
        <f t="shared" si="13"/>
        <v>1.6643510772848262E-4</v>
      </c>
      <c r="BJ92" s="884">
        <f t="shared" si="13"/>
        <v>4.1608776932120655E-4</v>
      </c>
      <c r="BK92" s="884">
        <f t="shared" si="13"/>
        <v>2.9958319391126868E-4</v>
      </c>
      <c r="BL92" s="884">
        <f t="shared" si="13"/>
        <v>3.2175362762260426E-4</v>
      </c>
      <c r="BM92" s="885">
        <f t="shared" si="13"/>
        <v>3.3516002877354608E-4</v>
      </c>
      <c r="BN92" s="877"/>
      <c r="BO92" s="883">
        <f t="shared" si="13"/>
        <v>2.4342531735811485E-3</v>
      </c>
      <c r="BP92" s="884">
        <f t="shared" si="13"/>
        <v>2.4342531735811485E-3</v>
      </c>
      <c r="BQ92" s="884">
        <f t="shared" si="13"/>
        <v>6.085632933952873E-3</v>
      </c>
      <c r="BR92" s="884">
        <f t="shared" si="13"/>
        <v>4.3816557124460673E-3</v>
      </c>
      <c r="BS92" s="884">
        <f t="shared" si="13"/>
        <v>4.7059169176572402E-3</v>
      </c>
      <c r="BT92" s="885">
        <f t="shared" si="13"/>
        <v>4.9019967892262916E-3</v>
      </c>
      <c r="BU92" s="877"/>
      <c r="BV92" s="883">
        <f>BV96*$C$96+BV100*$C$100+BV104*$C$104+BV108*$C$108</f>
        <v>0.83253338114763897</v>
      </c>
      <c r="BW92" s="885">
        <f>BW96*$C$96+BW100*$C$100+BW104*$C$104+BW108*$C$108</f>
        <v>0.86722227202879054</v>
      </c>
      <c r="BX92" s="869"/>
      <c r="BY92" s="869"/>
      <c r="BZ92" s="869"/>
      <c r="CA92" s="869"/>
      <c r="CB92" s="869"/>
      <c r="CC92" s="869"/>
      <c r="CD92" s="869"/>
      <c r="CE92" s="869"/>
    </row>
    <row r="93" spans="1:83" s="406" customFormat="1" ht="17.25">
      <c r="A93" s="499"/>
      <c r="C93" s="83"/>
      <c r="D93" s="54"/>
      <c r="E93" s="511" t="s">
        <v>317</v>
      </c>
      <c r="F93" s="877">
        <f>F97*$C$96+F101*$C$100+$C$104*F105+$C$108*F109</f>
        <v>0.159771495181245</v>
      </c>
      <c r="G93" s="877">
        <f t="shared" ref="G93:V93" si="14">G97*$C$96+G101*$C$100+$C$104*G105+$C$108*G109</f>
        <v>0.43558232889294457</v>
      </c>
      <c r="H93" s="878">
        <f t="shared" si="14"/>
        <v>1.781955248056279</v>
      </c>
      <c r="I93" s="928">
        <f t="shared" si="14"/>
        <v>0.13016716326753042</v>
      </c>
      <c r="J93" s="877">
        <f t="shared" si="14"/>
        <v>0.03</v>
      </c>
      <c r="K93" s="877">
        <f t="shared" si="14"/>
        <v>0</v>
      </c>
      <c r="L93" s="877">
        <f t="shared" si="14"/>
        <v>0</v>
      </c>
      <c r="M93" s="877"/>
      <c r="N93" s="877">
        <f t="shared" si="14"/>
        <v>5.2912783210430379E-2</v>
      </c>
      <c r="O93" s="877">
        <f t="shared" si="14"/>
        <v>0</v>
      </c>
      <c r="P93" s="877">
        <f>P97*$C$96+P101*$C$100+$C$104*P105+$C$108*P109</f>
        <v>2.6719602929883824E-3</v>
      </c>
      <c r="Q93" s="877">
        <f t="shared" si="14"/>
        <v>6.0058926940750344E-2</v>
      </c>
      <c r="R93" s="877">
        <f t="shared" si="14"/>
        <v>0.159771495181245</v>
      </c>
      <c r="S93" s="877">
        <f t="shared" si="14"/>
        <v>0</v>
      </c>
      <c r="T93" s="877">
        <f t="shared" si="14"/>
        <v>1.334772E-2</v>
      </c>
      <c r="U93" s="877">
        <f t="shared" si="14"/>
        <v>1.2685557990966956</v>
      </c>
      <c r="V93" s="877">
        <f t="shared" si="14"/>
        <v>0.29999999999999993</v>
      </c>
      <c r="W93" s="878">
        <f>W97*$C$96+W101*$C$100+$C$104*W105+$C$108*W109</f>
        <v>9.0613822592265109E-2</v>
      </c>
      <c r="X93" s="869"/>
      <c r="Y93" s="879"/>
      <c r="Z93" s="877"/>
      <c r="AA93" s="877"/>
      <c r="AB93" s="877"/>
      <c r="AC93" s="877"/>
      <c r="AD93" s="886"/>
      <c r="AE93" s="877"/>
      <c r="AF93" s="879"/>
      <c r="AG93" s="877"/>
      <c r="AH93" s="877"/>
      <c r="AI93" s="877"/>
      <c r="AJ93" s="877"/>
      <c r="AK93" s="886"/>
      <c r="AL93" s="877"/>
      <c r="AM93" s="879"/>
      <c r="AN93" s="877"/>
      <c r="AO93" s="877"/>
      <c r="AP93" s="877"/>
      <c r="AQ93" s="877"/>
      <c r="AR93" s="886"/>
      <c r="AS93" s="877"/>
      <c r="AT93" s="879"/>
      <c r="AU93" s="877"/>
      <c r="AV93" s="877"/>
      <c r="AW93" s="877"/>
      <c r="AX93" s="877"/>
      <c r="AY93" s="886"/>
      <c r="AZ93" s="877"/>
      <c r="BA93" s="879"/>
      <c r="BB93" s="877"/>
      <c r="BC93" s="877"/>
      <c r="BD93" s="877"/>
      <c r="BE93" s="877"/>
      <c r="BF93" s="886"/>
      <c r="BG93" s="877"/>
      <c r="BH93" s="879"/>
      <c r="BI93" s="877"/>
      <c r="BJ93" s="877"/>
      <c r="BK93" s="877"/>
      <c r="BL93" s="877"/>
      <c r="BM93" s="886"/>
      <c r="BN93" s="877"/>
      <c r="BO93" s="879"/>
      <c r="BP93" s="877"/>
      <c r="BQ93" s="877"/>
      <c r="BR93" s="877"/>
      <c r="BS93" s="877"/>
      <c r="BT93" s="886"/>
      <c r="BU93" s="877"/>
      <c r="BV93" s="879"/>
      <c r="BW93" s="886"/>
      <c r="BX93" s="869"/>
      <c r="BY93" s="869"/>
      <c r="BZ93" s="869"/>
      <c r="CA93" s="869"/>
      <c r="CB93" s="869"/>
      <c r="CC93" s="869"/>
      <c r="CD93" s="869"/>
      <c r="CE93" s="869"/>
    </row>
    <row r="94" spans="1:83" s="406" customFormat="1" ht="17.25">
      <c r="A94" s="499"/>
      <c r="C94" s="83"/>
      <c r="D94" s="54"/>
      <c r="E94" s="511" t="s">
        <v>367</v>
      </c>
      <c r="F94" s="877">
        <f>F98*$C$96+F102*$C$100+$C$104*F106+$C$108*F110</f>
        <v>0</v>
      </c>
      <c r="G94" s="877">
        <f t="shared" ref="G94:W95" si="15">G98*$C$96+G102*$C$100+$C$104*G106+$C$108*G110</f>
        <v>2.3902359688105675E-4</v>
      </c>
      <c r="H94" s="878">
        <f t="shared" si="15"/>
        <v>9.2207507252691813E-4</v>
      </c>
      <c r="I94" s="928">
        <f t="shared" si="15"/>
        <v>1.9425681812227416E-4</v>
      </c>
      <c r="J94" s="877">
        <f t="shared" si="15"/>
        <v>0</v>
      </c>
      <c r="K94" s="877">
        <f t="shared" si="15"/>
        <v>0</v>
      </c>
      <c r="L94" s="877">
        <f t="shared" si="15"/>
        <v>0</v>
      </c>
      <c r="M94" s="877"/>
      <c r="N94" s="877">
        <f t="shared" si="15"/>
        <v>2.3438578758782586E-5</v>
      </c>
      <c r="O94" s="877">
        <f t="shared" si="15"/>
        <v>0</v>
      </c>
      <c r="P94" s="877">
        <f t="shared" si="15"/>
        <v>0</v>
      </c>
      <c r="Q94" s="877">
        <f t="shared" si="15"/>
        <v>2.132820000000001E-5</v>
      </c>
      <c r="R94" s="877">
        <f t="shared" si="15"/>
        <v>0</v>
      </c>
      <c r="S94" s="877">
        <f t="shared" si="15"/>
        <v>0</v>
      </c>
      <c r="T94" s="877">
        <f t="shared" si="15"/>
        <v>5.8886639999999969E-5</v>
      </c>
      <c r="U94" s="877">
        <f t="shared" si="15"/>
        <v>8.5853948965445084E-4</v>
      </c>
      <c r="V94" s="877">
        <f t="shared" si="15"/>
        <v>0</v>
      </c>
      <c r="W94" s="878">
        <f t="shared" si="15"/>
        <v>0</v>
      </c>
      <c r="X94" s="869"/>
      <c r="Y94" s="879"/>
      <c r="Z94" s="877"/>
      <c r="AA94" s="877"/>
      <c r="AB94" s="877"/>
      <c r="AC94" s="877"/>
      <c r="AD94" s="886"/>
      <c r="AE94" s="877"/>
      <c r="AF94" s="879"/>
      <c r="AG94" s="877"/>
      <c r="AH94" s="877"/>
      <c r="AI94" s="877"/>
      <c r="AJ94" s="877"/>
      <c r="AK94" s="886"/>
      <c r="AL94" s="877"/>
      <c r="AM94" s="879"/>
      <c r="AN94" s="877"/>
      <c r="AO94" s="877"/>
      <c r="AP94" s="877"/>
      <c r="AQ94" s="877"/>
      <c r="AR94" s="886"/>
      <c r="AS94" s="877"/>
      <c r="AT94" s="879"/>
      <c r="AU94" s="877"/>
      <c r="AV94" s="877"/>
      <c r="AW94" s="877"/>
      <c r="AX94" s="877"/>
      <c r="AY94" s="886"/>
      <c r="AZ94" s="877"/>
      <c r="BA94" s="879"/>
      <c r="BB94" s="877"/>
      <c r="BC94" s="877"/>
      <c r="BD94" s="877"/>
      <c r="BE94" s="877"/>
      <c r="BF94" s="886"/>
      <c r="BG94" s="877"/>
      <c r="BH94" s="879"/>
      <c r="BI94" s="877"/>
      <c r="BJ94" s="877"/>
      <c r="BK94" s="877"/>
      <c r="BL94" s="877"/>
      <c r="BM94" s="886"/>
      <c r="BN94" s="877"/>
      <c r="BO94" s="879"/>
      <c r="BP94" s="877"/>
      <c r="BQ94" s="877"/>
      <c r="BR94" s="877"/>
      <c r="BS94" s="877"/>
      <c r="BT94" s="886"/>
      <c r="BU94" s="877"/>
      <c r="BV94" s="879"/>
      <c r="BW94" s="886"/>
      <c r="BX94" s="869"/>
      <c r="BY94" s="869"/>
      <c r="BZ94" s="869"/>
      <c r="CA94" s="869"/>
      <c r="CB94" s="869"/>
      <c r="CC94" s="869"/>
      <c r="CD94" s="869"/>
      <c r="CE94" s="869"/>
    </row>
    <row r="95" spans="1:83" s="406" customFormat="1" ht="17.25">
      <c r="A95" s="18"/>
      <c r="C95" s="83"/>
      <c r="D95" s="54"/>
      <c r="E95" s="512" t="s">
        <v>320</v>
      </c>
      <c r="F95" s="877">
        <f t="shared" ref="F95:V95" si="16">F99*$C$96+F103*$C$100+$C$104*F107+$C$108*F111</f>
        <v>1.319543095118137E-3</v>
      </c>
      <c r="G95" s="877">
        <f t="shared" si="16"/>
        <v>1.6016607627326084E-3</v>
      </c>
      <c r="H95" s="878">
        <f t="shared" si="16"/>
        <v>4.8264653235143857E-3</v>
      </c>
      <c r="I95" s="928">
        <f t="shared" si="16"/>
        <v>2.7870761829975498E-4</v>
      </c>
      <c r="J95" s="877">
        <f t="shared" si="16"/>
        <v>0</v>
      </c>
      <c r="K95" s="877">
        <f t="shared" si="16"/>
        <v>1.1995846319255792E-3</v>
      </c>
      <c r="L95" s="877">
        <f t="shared" si="16"/>
        <v>1.1995846319255791E-4</v>
      </c>
      <c r="M95" s="877"/>
      <c r="N95" s="877">
        <f t="shared" si="16"/>
        <v>1.4217871147165172E-6</v>
      </c>
      <c r="O95" s="877">
        <f t="shared" si="16"/>
        <v>0</v>
      </c>
      <c r="P95" s="877">
        <f t="shared" si="16"/>
        <v>0</v>
      </c>
      <c r="Q95" s="877">
        <f t="shared" si="16"/>
        <v>1.9882622000000002E-6</v>
      </c>
      <c r="R95" s="877">
        <f t="shared" si="16"/>
        <v>0</v>
      </c>
      <c r="S95" s="877">
        <f t="shared" si="16"/>
        <v>0</v>
      </c>
      <c r="T95" s="877">
        <f t="shared" si="16"/>
        <v>3.4798319999999976E-6</v>
      </c>
      <c r="U95" s="877">
        <f t="shared" si="16"/>
        <v>4.4938977303976262E-3</v>
      </c>
      <c r="V95" s="877">
        <f t="shared" si="16"/>
        <v>0</v>
      </c>
      <c r="W95" s="878">
        <f t="shared" si="15"/>
        <v>0</v>
      </c>
      <c r="X95" s="869"/>
      <c r="Y95" s="879"/>
      <c r="Z95" s="877"/>
      <c r="AA95" s="877"/>
      <c r="AB95" s="877"/>
      <c r="AC95" s="877"/>
      <c r="AD95" s="886"/>
      <c r="AE95" s="877"/>
      <c r="AF95" s="879"/>
      <c r="AG95" s="877"/>
      <c r="AH95" s="877"/>
      <c r="AI95" s="877"/>
      <c r="AJ95" s="877"/>
      <c r="AK95" s="886"/>
      <c r="AL95" s="877"/>
      <c r="AM95" s="879"/>
      <c r="AN95" s="877"/>
      <c r="AO95" s="877"/>
      <c r="AP95" s="877"/>
      <c r="AQ95" s="877"/>
      <c r="AR95" s="886"/>
      <c r="AS95" s="877"/>
      <c r="AT95" s="879"/>
      <c r="AU95" s="877"/>
      <c r="AV95" s="877"/>
      <c r="AW95" s="877"/>
      <c r="AX95" s="877"/>
      <c r="AY95" s="886"/>
      <c r="AZ95" s="877"/>
      <c r="BA95" s="879"/>
      <c r="BB95" s="877"/>
      <c r="BC95" s="877"/>
      <c r="BD95" s="877"/>
      <c r="BE95" s="877"/>
      <c r="BF95" s="886"/>
      <c r="BG95" s="877"/>
      <c r="BH95" s="879"/>
      <c r="BI95" s="877"/>
      <c r="BJ95" s="877"/>
      <c r="BK95" s="877"/>
      <c r="BL95" s="877"/>
      <c r="BM95" s="886"/>
      <c r="BN95" s="877"/>
      <c r="BO95" s="879"/>
      <c r="BP95" s="877"/>
      <c r="BQ95" s="877"/>
      <c r="BR95" s="877"/>
      <c r="BS95" s="877"/>
      <c r="BT95" s="886"/>
      <c r="BU95" s="877"/>
      <c r="BV95" s="879"/>
      <c r="BW95" s="886"/>
      <c r="BX95" s="869"/>
      <c r="BY95" s="869"/>
      <c r="BZ95" s="869"/>
      <c r="CA95" s="869"/>
      <c r="CB95" s="869"/>
      <c r="CC95" s="869"/>
      <c r="CD95" s="869"/>
      <c r="CE95" s="869"/>
    </row>
    <row r="96" spans="1:83" s="406" customFormat="1" ht="17.25">
      <c r="A96" s="20" t="s">
        <v>122</v>
      </c>
      <c r="B96" s="93" t="s">
        <v>121</v>
      </c>
      <c r="C96" s="87">
        <f>'Input data plant-based products'!D25</f>
        <v>0.4165535957</v>
      </c>
      <c r="D96" s="54"/>
      <c r="E96" s="513" t="s">
        <v>316</v>
      </c>
      <c r="F96" s="872">
        <f>SUMPRODUCT($CJ$6:$CJ$8,F97:F99)</f>
        <v>0.48798784290632052</v>
      </c>
      <c r="G96" s="872">
        <f>SUMPRODUCT($CJ$6:$CJ$8,G97:G99)</f>
        <v>0.84968139716221525</v>
      </c>
      <c r="H96" s="873">
        <f>SUMPRODUCT($CJ$6:$CJ$8,H97:H99)</f>
        <v>2.0249384148848266</v>
      </c>
      <c r="I96" s="1277"/>
      <c r="J96" s="884"/>
      <c r="K96" s="884"/>
      <c r="L96" s="884"/>
      <c r="M96" s="884"/>
      <c r="N96" s="884"/>
      <c r="O96" s="884"/>
      <c r="P96" s="884"/>
      <c r="Q96" s="884"/>
      <c r="R96" s="884"/>
      <c r="S96" s="884"/>
      <c r="T96" s="884"/>
      <c r="U96" s="884"/>
      <c r="V96" s="884"/>
      <c r="W96" s="1278"/>
      <c r="X96" s="869"/>
      <c r="Y96" s="879">
        <f>1/'Input data plant-based products'!E25*10^4</f>
        <v>3.1792724283218576</v>
      </c>
      <c r="Z96" s="877">
        <f>$Y96*'Input data plant-based products'!Z25</f>
        <v>3.1792724283218576</v>
      </c>
      <c r="AA96" s="877">
        <f>$Y96*'Input data plant-based products'!AA25</f>
        <v>7.9481810708046439</v>
      </c>
      <c r="AB96" s="877">
        <f>$Y96*'Input data plant-based products'!AB25</f>
        <v>5.7226903709793433</v>
      </c>
      <c r="AC96" s="877">
        <f>$Y96*'Input data plant-based products'!AC25</f>
        <v>6.1461938588214347</v>
      </c>
      <c r="AD96" s="886">
        <f>$Y96*'Input data plant-based products'!AD25</f>
        <v>6.4022852696056605</v>
      </c>
      <c r="AE96" s="877"/>
      <c r="AF96" s="879">
        <f>SUM('Input data plant-based products'!F25,'Input data plant-based products'!Q25)/'Input data plant-based products'!E25</f>
        <v>4.4655396841708626E-2</v>
      </c>
      <c r="AG96" s="877">
        <f>$AF96*'Input data plant-based products'!Z25</f>
        <v>4.4655396841708626E-2</v>
      </c>
      <c r="AH96" s="877">
        <f>$AF96*'Input data plant-based products'!AA25</f>
        <v>0.11163849210427157</v>
      </c>
      <c r="AI96" s="877">
        <f>$AF96*'Input data plant-based products'!AB25</f>
        <v>8.0379714315075526E-2</v>
      </c>
      <c r="AJ96" s="877">
        <f>$AF96*'Input data plant-based products'!AC25</f>
        <v>8.6328155897170022E-2</v>
      </c>
      <c r="AK96" s="886">
        <f>$AF96*'Input data plant-based products'!AD25</f>
        <v>8.9925162392885435E-2</v>
      </c>
      <c r="AL96" s="877"/>
      <c r="AM96" s="879">
        <f>'Input data plant-based products'!R25/'Input data plant-based products'!E25</f>
        <v>2.9416298427705268E-3</v>
      </c>
      <c r="AN96" s="877">
        <f>$AM96*'Input data plant-based products'!Z25</f>
        <v>2.9416298427705268E-3</v>
      </c>
      <c r="AO96" s="877">
        <f>$AM96*'Input data plant-based products'!AA25</f>
        <v>7.3540746069263169E-3</v>
      </c>
      <c r="AP96" s="877">
        <f>$AM96*'Input data plant-based products'!AB25</f>
        <v>5.294933716986948E-3</v>
      </c>
      <c r="AQ96" s="877">
        <f>$AM96*'Input data plant-based products'!AC25</f>
        <v>5.6867813885660952E-3</v>
      </c>
      <c r="AR96" s="886">
        <f>$AM96*'Input data plant-based products'!AD25</f>
        <v>5.9237306130896818E-3</v>
      </c>
      <c r="AS96" s="877"/>
      <c r="AT96" s="879">
        <f>'Input data plant-based products'!S25</f>
        <v>0</v>
      </c>
      <c r="AU96" s="877">
        <f>$AT96*'Input data plant-based products'!Z25</f>
        <v>0</v>
      </c>
      <c r="AV96" s="877">
        <f>$AT96*'Input data plant-based products'!AA25</f>
        <v>0</v>
      </c>
      <c r="AW96" s="877">
        <f>$AT96*'Input data plant-based products'!AB25</f>
        <v>0</v>
      </c>
      <c r="AX96" s="877">
        <f>$AT96*'Input data plant-based products'!AC25</f>
        <v>0</v>
      </c>
      <c r="AY96" s="886">
        <f>$AT96*'Input data plant-based products'!AD25</f>
        <v>0</v>
      </c>
      <c r="AZ96" s="877"/>
      <c r="BA96" s="879">
        <f>((SUM('Input data plant-based products'!U25:Y25)*'Grains, oil crops, sugar'!Y96)/('Common input data'!$B$192/10^6))/$BB$3</f>
        <v>2.2489839552025543E-11</v>
      </c>
      <c r="BB96" s="877">
        <f>$BA96*'Input data plant-based products'!Z25</f>
        <v>2.2489839552025543E-11</v>
      </c>
      <c r="BC96" s="877">
        <f>$BA96*'Input data plant-based products'!AA25</f>
        <v>5.6224598880063858E-11</v>
      </c>
      <c r="BD96" s="877">
        <f>$BA96*'Input data plant-based products'!AB25</f>
        <v>4.0481711193645971E-11</v>
      </c>
      <c r="BE96" s="877">
        <f>$BA96*'Input data plant-based products'!AC25</f>
        <v>4.3477530427771578E-11</v>
      </c>
      <c r="BF96" s="886">
        <f>$BA96*'Input data plant-based products'!AD25</f>
        <v>4.5289094195595393E-11</v>
      </c>
      <c r="BG96" s="877"/>
      <c r="BH96" s="879">
        <f>'Input data plant-based products'!T25/'Input data plant-based products'!E25</f>
        <v>2.7513552050149008E-4</v>
      </c>
      <c r="BI96" s="877">
        <f>$BH96*'Input data plant-based products'!Z25</f>
        <v>2.7513552050149008E-4</v>
      </c>
      <c r="BJ96" s="877">
        <f>$BH96*'Input data plant-based products'!AA25</f>
        <v>6.8783880125372523E-4</v>
      </c>
      <c r="BK96" s="877">
        <f>$BH96*'Input data plant-based products'!AB25</f>
        <v>4.9524393690268209E-4</v>
      </c>
      <c r="BL96" s="877">
        <f>$BH96*'Input data plant-based products'!AC25</f>
        <v>5.3189409985305702E-4</v>
      </c>
      <c r="BM96" s="886">
        <f>$BH96*'Input data plant-based products'!AD25</f>
        <v>5.5405635401360102E-4</v>
      </c>
      <c r="BN96" s="877"/>
      <c r="BO96" s="879">
        <f>('Input data plant-based products'!F25/'Input data plant-based products'!E25*'Common input data'!$B$195+'Input data plant-based products'!G25/'Input data plant-based products'!E25*'Common input data'!$B$196)/'Common input data'!$B$198</f>
        <v>2.5136682506552701E-3</v>
      </c>
      <c r="BP96" s="877">
        <f>$BO96*'Input data plant-based products'!Z25</f>
        <v>2.5136682506552701E-3</v>
      </c>
      <c r="BQ96" s="877">
        <f>$BO96*'Input data plant-based products'!AA25</f>
        <v>6.2841706266381758E-3</v>
      </c>
      <c r="BR96" s="877">
        <f>$BO96*'Input data plant-based products'!AB25</f>
        <v>4.5246028511794854E-3</v>
      </c>
      <c r="BS96" s="877">
        <f>$BO96*'Input data plant-based products'!AC25</f>
        <v>4.8594427541545021E-3</v>
      </c>
      <c r="BT96" s="886">
        <f>$BO96*'Input data plant-based products'!AD25</f>
        <v>5.0619195355776064E-3</v>
      </c>
      <c r="BU96" s="877"/>
      <c r="BV96" s="879">
        <f>'Common input data'!$C$202*'Input data plant-based products'!AC25</f>
        <v>0.27683533903629598</v>
      </c>
      <c r="BW96" s="886">
        <f>'Common input data'!$C$202*'Input data plant-based products'!AD25</f>
        <v>0.28837014482947493</v>
      </c>
      <c r="BX96" s="869"/>
      <c r="BY96" s="869"/>
      <c r="BZ96" s="869"/>
      <c r="CA96" s="869"/>
      <c r="CB96" s="869"/>
      <c r="CC96" s="869"/>
      <c r="CD96" s="869"/>
      <c r="CE96" s="869"/>
    </row>
    <row r="97" spans="1:83" s="406" customFormat="1" ht="17.25">
      <c r="A97" s="499"/>
      <c r="B97" s="55"/>
      <c r="C97" s="83"/>
      <c r="D97" s="54"/>
      <c r="E97" s="511" t="s">
        <v>317</v>
      </c>
      <c r="F97" s="877">
        <f>IF(AND($F$2="No",$F$3="No"),SUM(K97:L97),IF(AND($F$2="Yes", $F$3="No"), (SUM(K97:L97)+S97), IF(AND($F$2="No", $F$3="Yes"),(SUM(K97:L97)+R97), (SUM(K97:L97)+S97+R97))))</f>
        <v>0.159771495181245</v>
      </c>
      <c r="G97" s="877">
        <f>IF(AND($F$2="No",$F$3="No"),SUM(I97:Q97),IF(AND($F$2="Yes", $F$3="No"), (SUM(I97:Q97)+S97), IF(AND($F$2="No", $F$3="Yes"),(SUM(I97:Q97)+R97), (SUM(I97:Q97)+S97+R97))))</f>
        <v>0.45023458503566999</v>
      </c>
      <c r="H97" s="357">
        <f>SUM(U97:W97)/(1-'Common input data'!$B$143)</f>
        <v>1.2506222770653974</v>
      </c>
      <c r="I97" s="928">
        <f>$C$77/($C$77+$C$82)*I78+$C$82/($C$77+$C$82)*I83</f>
        <v>0.14148437526226007</v>
      </c>
      <c r="J97" s="877">
        <f t="shared" ref="J97:T97" si="17">$C$77/($C$77+$C$82)*J78+$C$82/($C$77+$C$82)*J83</f>
        <v>0.03</v>
      </c>
      <c r="K97" s="877">
        <f t="shared" si="17"/>
        <v>0</v>
      </c>
      <c r="L97" s="877">
        <f t="shared" si="17"/>
        <v>0</v>
      </c>
      <c r="M97" s="877"/>
      <c r="N97" s="877">
        <f t="shared" si="17"/>
        <v>6.1219274592164884E-2</v>
      </c>
      <c r="O97" s="877">
        <f t="shared" si="17"/>
        <v>0</v>
      </c>
      <c r="P97" s="877">
        <f t="shared" si="17"/>
        <v>0</v>
      </c>
      <c r="Q97" s="877">
        <f t="shared" si="17"/>
        <v>5.7759440000000009E-2</v>
      </c>
      <c r="R97" s="877">
        <f t="shared" si="17"/>
        <v>0.159771495181245</v>
      </c>
      <c r="S97" s="877">
        <f t="shared" si="17"/>
        <v>0</v>
      </c>
      <c r="T97" s="877">
        <f t="shared" si="17"/>
        <v>1.334772E-2</v>
      </c>
      <c r="U97" s="877">
        <f>(G97+T97)*'Input data plant-based products'!B$286*'Common input data'!D$40</f>
        <v>0.83444814906420606</v>
      </c>
      <c r="V97" s="877">
        <f>'Common input data'!B$104</f>
        <v>0.3</v>
      </c>
      <c r="W97" s="878">
        <f>'Common input data'!C$115</f>
        <v>0.03</v>
      </c>
      <c r="X97" s="869"/>
      <c r="Y97" s="879"/>
      <c r="Z97" s="877"/>
      <c r="AA97" s="877"/>
      <c r="AB97" s="877"/>
      <c r="AC97" s="877"/>
      <c r="AD97" s="886"/>
      <c r="AE97" s="877"/>
      <c r="AF97" s="879"/>
      <c r="AG97" s="877"/>
      <c r="AH97" s="877"/>
      <c r="AI97" s="877"/>
      <c r="AJ97" s="877"/>
      <c r="AK97" s="886"/>
      <c r="AL97" s="877"/>
      <c r="AM97" s="879"/>
      <c r="AN97" s="877"/>
      <c r="AO97" s="877"/>
      <c r="AP97" s="877"/>
      <c r="AQ97" s="877"/>
      <c r="AR97" s="886"/>
      <c r="AS97" s="877"/>
      <c r="AT97" s="879"/>
      <c r="AU97" s="877"/>
      <c r="AV97" s="877"/>
      <c r="AW97" s="877"/>
      <c r="AX97" s="877"/>
      <c r="AY97" s="886"/>
      <c r="AZ97" s="877"/>
      <c r="BA97" s="879"/>
      <c r="BB97" s="877"/>
      <c r="BC97" s="877"/>
      <c r="BD97" s="877"/>
      <c r="BE97" s="877"/>
      <c r="BF97" s="886"/>
      <c r="BG97" s="877"/>
      <c r="BH97" s="879"/>
      <c r="BI97" s="877"/>
      <c r="BJ97" s="877"/>
      <c r="BK97" s="877"/>
      <c r="BL97" s="877"/>
      <c r="BM97" s="886"/>
      <c r="BN97" s="877"/>
      <c r="BO97" s="879"/>
      <c r="BP97" s="877"/>
      <c r="BQ97" s="877"/>
      <c r="BR97" s="877"/>
      <c r="BS97" s="877"/>
      <c r="BT97" s="886"/>
      <c r="BU97" s="877"/>
      <c r="BV97" s="879"/>
      <c r="BW97" s="886"/>
      <c r="BX97" s="869"/>
      <c r="BY97" s="869"/>
      <c r="BZ97" s="869"/>
      <c r="CA97" s="869"/>
      <c r="CB97" s="869"/>
      <c r="CC97" s="869"/>
      <c r="CD97" s="869"/>
      <c r="CE97" s="869"/>
    </row>
    <row r="98" spans="1:83" s="406" customFormat="1" ht="17.25">
      <c r="A98" s="18"/>
      <c r="B98" s="55"/>
      <c r="C98" s="83"/>
      <c r="D98" s="54"/>
      <c r="E98" s="511" t="s">
        <v>367</v>
      </c>
      <c r="F98" s="877">
        <f>SUM(K98:L98)</f>
        <v>0</v>
      </c>
      <c r="G98" s="877">
        <f>SUM(I98:Q98)</f>
        <v>2.2644060683608296E-4</v>
      </c>
      <c r="H98" s="357">
        <f>SUM(U98:W98)/(1-'Common input data'!$B$143)</f>
        <v>5.5159682342290463E-4</v>
      </c>
      <c r="I98" s="928">
        <f>$C$77/($C$77+$C$82)*I79+$C$82/($C$77+$C$82)*I84</f>
        <v>1.7799433248763058E-4</v>
      </c>
      <c r="J98" s="877">
        <f t="shared" ref="J98:T98" si="18">$C$77/($C$77+$C$82)*J79+$C$82/($C$77+$C$82)*J84</f>
        <v>0</v>
      </c>
      <c r="K98" s="877">
        <f t="shared" si="18"/>
        <v>0</v>
      </c>
      <c r="L98" s="877">
        <f t="shared" si="18"/>
        <v>0</v>
      </c>
      <c r="M98" s="877"/>
      <c r="N98" s="877">
        <f t="shared" si="18"/>
        <v>2.7118074348452389E-5</v>
      </c>
      <c r="O98" s="877">
        <f t="shared" si="18"/>
        <v>0</v>
      </c>
      <c r="P98" s="877">
        <f t="shared" si="18"/>
        <v>0</v>
      </c>
      <c r="Q98" s="877">
        <f t="shared" si="18"/>
        <v>2.132820000000001E-5</v>
      </c>
      <c r="R98" s="877">
        <f t="shared" si="18"/>
        <v>0</v>
      </c>
      <c r="S98" s="877">
        <f t="shared" si="18"/>
        <v>0</v>
      </c>
      <c r="T98" s="877">
        <f t="shared" si="18"/>
        <v>5.8886639999999975E-5</v>
      </c>
      <c r="U98" s="877">
        <f>(G98+T98)*'Input data plant-based products'!B$286*'Common input data'!D$40</f>
        <v>5.1358904430494931E-4</v>
      </c>
      <c r="V98" s="877">
        <v>0</v>
      </c>
      <c r="W98" s="878">
        <v>0</v>
      </c>
      <c r="X98" s="869"/>
      <c r="Y98" s="879"/>
      <c r="Z98" s="877"/>
      <c r="AA98" s="877"/>
      <c r="AB98" s="877"/>
      <c r="AC98" s="877"/>
      <c r="AD98" s="886"/>
      <c r="AE98" s="877"/>
      <c r="AF98" s="879"/>
      <c r="AG98" s="877"/>
      <c r="AH98" s="877"/>
      <c r="AI98" s="877"/>
      <c r="AJ98" s="877"/>
      <c r="AK98" s="886"/>
      <c r="AL98" s="877"/>
      <c r="AM98" s="879"/>
      <c r="AN98" s="877"/>
      <c r="AO98" s="877"/>
      <c r="AP98" s="877"/>
      <c r="AQ98" s="877"/>
      <c r="AR98" s="886"/>
      <c r="AS98" s="877"/>
      <c r="AT98" s="879"/>
      <c r="AU98" s="877"/>
      <c r="AV98" s="877"/>
      <c r="AW98" s="877"/>
      <c r="AX98" s="877"/>
      <c r="AY98" s="886"/>
      <c r="AZ98" s="877"/>
      <c r="BA98" s="879"/>
      <c r="BB98" s="877"/>
      <c r="BC98" s="877"/>
      <c r="BD98" s="877"/>
      <c r="BE98" s="877"/>
      <c r="BF98" s="886"/>
      <c r="BG98" s="877"/>
      <c r="BH98" s="879"/>
      <c r="BI98" s="877"/>
      <c r="BJ98" s="877"/>
      <c r="BK98" s="877"/>
      <c r="BL98" s="877"/>
      <c r="BM98" s="886"/>
      <c r="BN98" s="877"/>
      <c r="BO98" s="879"/>
      <c r="BP98" s="877"/>
      <c r="BQ98" s="877"/>
      <c r="BR98" s="877"/>
      <c r="BS98" s="877"/>
      <c r="BT98" s="886"/>
      <c r="BU98" s="877"/>
      <c r="BV98" s="879"/>
      <c r="BW98" s="886"/>
      <c r="BX98" s="869"/>
      <c r="BY98" s="869"/>
      <c r="BZ98" s="869"/>
      <c r="CA98" s="869"/>
      <c r="CB98" s="869"/>
      <c r="CC98" s="869"/>
      <c r="CD98" s="869"/>
      <c r="CE98" s="869"/>
    </row>
    <row r="99" spans="1:83" s="406" customFormat="1" ht="17.25">
      <c r="A99" s="359"/>
      <c r="B99" s="360"/>
      <c r="C99" s="83"/>
      <c r="D99" s="54"/>
      <c r="E99" s="512" t="s">
        <v>320</v>
      </c>
      <c r="F99" s="877">
        <f>SUM(K99:L99)</f>
        <v>1.4086538528973198E-3</v>
      </c>
      <c r="G99" s="877">
        <f>SUM(I99:Q99)</f>
        <v>1.7097963144824711E-3</v>
      </c>
      <c r="H99" s="357">
        <f>SUM(U99:W99)/(1-'Common input data'!$B$143)</f>
        <v>3.3121185954907372E-3</v>
      </c>
      <c r="I99" s="928">
        <f>$C$77/($C$77+$C$82)*I80+$C$82/($C$77+$C$82)*I85</f>
        <v>2.9750921360843877E-4</v>
      </c>
      <c r="J99" s="877">
        <f t="shared" ref="J99:T99" si="19">$C$77/($C$77+$C$82)*J80+$C$82/($C$77+$C$82)*J85</f>
        <v>0</v>
      </c>
      <c r="K99" s="877">
        <f t="shared" si="19"/>
        <v>1.2805944117248362E-3</v>
      </c>
      <c r="L99" s="877">
        <f t="shared" si="19"/>
        <v>1.2805944117248364E-4</v>
      </c>
      <c r="M99" s="877"/>
      <c r="N99" s="877">
        <f t="shared" si="19"/>
        <v>1.6449857767125444E-6</v>
      </c>
      <c r="O99" s="877">
        <f t="shared" si="19"/>
        <v>0</v>
      </c>
      <c r="P99" s="877">
        <f t="shared" si="19"/>
        <v>0</v>
      </c>
      <c r="Q99" s="877">
        <f t="shared" si="19"/>
        <v>1.9882622000000002E-6</v>
      </c>
      <c r="R99" s="877">
        <f t="shared" si="19"/>
        <v>0</v>
      </c>
      <c r="S99" s="877">
        <f t="shared" si="19"/>
        <v>0</v>
      </c>
      <c r="T99" s="877">
        <f t="shared" si="19"/>
        <v>3.4798319999999976E-6</v>
      </c>
      <c r="U99" s="877">
        <f>(G99+T99)*'Input data plant-based products'!B$286*'Common input data'!D$40</f>
        <v>3.0838970636684476E-3</v>
      </c>
      <c r="V99" s="877">
        <v>0</v>
      </c>
      <c r="W99" s="878">
        <v>0</v>
      </c>
      <c r="X99" s="869"/>
      <c r="Y99" s="879"/>
      <c r="Z99" s="877"/>
      <c r="AA99" s="877"/>
      <c r="AB99" s="877"/>
      <c r="AC99" s="877"/>
      <c r="AD99" s="886"/>
      <c r="AE99" s="877"/>
      <c r="AF99" s="879"/>
      <c r="AG99" s="877"/>
      <c r="AH99" s="877"/>
      <c r="AI99" s="877"/>
      <c r="AJ99" s="877"/>
      <c r="AK99" s="886"/>
      <c r="AL99" s="877"/>
      <c r="AM99" s="879"/>
      <c r="AN99" s="877"/>
      <c r="AO99" s="877"/>
      <c r="AP99" s="877"/>
      <c r="AQ99" s="877"/>
      <c r="AR99" s="886"/>
      <c r="AS99" s="877"/>
      <c r="AT99" s="879"/>
      <c r="AU99" s="877"/>
      <c r="AV99" s="877"/>
      <c r="AW99" s="877"/>
      <c r="AX99" s="877"/>
      <c r="AY99" s="886"/>
      <c r="AZ99" s="877"/>
      <c r="BA99" s="879"/>
      <c r="BB99" s="877"/>
      <c r="BC99" s="877"/>
      <c r="BD99" s="877"/>
      <c r="BE99" s="877"/>
      <c r="BF99" s="886"/>
      <c r="BG99" s="877"/>
      <c r="BH99" s="879"/>
      <c r="BI99" s="877"/>
      <c r="BJ99" s="877"/>
      <c r="BK99" s="877"/>
      <c r="BL99" s="877"/>
      <c r="BM99" s="886"/>
      <c r="BN99" s="877"/>
      <c r="BO99" s="879"/>
      <c r="BP99" s="877"/>
      <c r="BQ99" s="877"/>
      <c r="BR99" s="877"/>
      <c r="BS99" s="877"/>
      <c r="BT99" s="886"/>
      <c r="BU99" s="877"/>
      <c r="BV99" s="879"/>
      <c r="BW99" s="886"/>
      <c r="BX99" s="869"/>
      <c r="BY99" s="869"/>
      <c r="BZ99" s="869"/>
      <c r="CA99" s="869"/>
      <c r="CB99" s="869"/>
      <c r="CC99" s="869"/>
      <c r="CD99" s="869"/>
      <c r="CE99" s="869"/>
    </row>
    <row r="100" spans="1:83" s="406" customFormat="1" ht="17.25">
      <c r="A100" s="20" t="s">
        <v>126</v>
      </c>
      <c r="B100" s="93" t="s">
        <v>121</v>
      </c>
      <c r="C100" s="87">
        <f>'Input data plant-based products'!D26</f>
        <v>0.22803600359704471</v>
      </c>
      <c r="D100" s="54"/>
      <c r="E100" s="513" t="s">
        <v>316</v>
      </c>
      <c r="F100" s="872">
        <f>SUMPRODUCT($CJ$6:$CJ$8,F101:F103)</f>
        <v>0.42655623712566776</v>
      </c>
      <c r="G100" s="872">
        <f>SUMPRODUCT($CJ$6:$CJ$8,G101:G103)</f>
        <v>0.75113610249633744</v>
      </c>
      <c r="H100" s="873">
        <f>SUMPRODUCT($CJ$6:$CJ$8,H101:H103)</f>
        <v>3.421838809162562</v>
      </c>
      <c r="I100" s="1277"/>
      <c r="J100" s="884"/>
      <c r="K100" s="884"/>
      <c r="L100" s="884"/>
      <c r="M100" s="884"/>
      <c r="N100" s="884"/>
      <c r="O100" s="884"/>
      <c r="P100" s="884"/>
      <c r="Q100" s="884"/>
      <c r="R100" s="884"/>
      <c r="S100" s="884"/>
      <c r="T100" s="884"/>
      <c r="U100" s="884"/>
      <c r="V100" s="884"/>
      <c r="W100" s="1278"/>
      <c r="X100" s="869"/>
      <c r="Y100" s="879">
        <f>1/'Input data plant-based products'!E26*10^4</f>
        <v>2.1950235562180911</v>
      </c>
      <c r="Z100" s="877">
        <f>$Y100*'Input data plant-based products'!Z26</f>
        <v>2.1950235562180911</v>
      </c>
      <c r="AA100" s="877">
        <f>$Y100*'Input data plant-based products'!AA26</f>
        <v>5.4875588905452277</v>
      </c>
      <c r="AB100" s="877">
        <f>$Y100*'Input data plant-based products'!AB26</f>
        <v>3.9510424011925638</v>
      </c>
      <c r="AC100" s="877">
        <f>$Y100*'Input data plant-based products'!AC26</f>
        <v>4.2434363853232631</v>
      </c>
      <c r="AD100" s="886">
        <f>$Y100*'Input data plant-based products'!AD26</f>
        <v>4.4202462347117324</v>
      </c>
      <c r="AE100" s="877"/>
      <c r="AF100" s="879">
        <f>SUM('Input data plant-based products'!F26,'Input data plant-based products'!Q26)/'Input data plant-based products'!E26</f>
        <v>3.2925353343271367E-2</v>
      </c>
      <c r="AG100" s="877">
        <f>$AF100*'Input data plant-based products'!Z26</f>
        <v>3.2925353343271367E-2</v>
      </c>
      <c r="AH100" s="877">
        <f>$AF100*'Input data plant-based products'!AA26</f>
        <v>8.2313383358178421E-2</v>
      </c>
      <c r="AI100" s="877">
        <f>$AF100*'Input data plant-based products'!AB26</f>
        <v>5.9265636017888458E-2</v>
      </c>
      <c r="AJ100" s="877">
        <f>$AF100*'Input data plant-based products'!AC26</f>
        <v>6.3651545779848953E-2</v>
      </c>
      <c r="AK100" s="886">
        <f>$AF100*'Input data plant-based products'!AD26</f>
        <v>6.6303693520675985E-2</v>
      </c>
      <c r="AL100" s="877"/>
      <c r="AM100" s="879">
        <f>'Input data plant-based products'!R26/'Input data plant-based products'!E26</f>
        <v>1.0975117781090457E-2</v>
      </c>
      <c r="AN100" s="877">
        <f>$AM100*'Input data plant-based products'!Z26</f>
        <v>1.0975117781090457E-2</v>
      </c>
      <c r="AO100" s="877">
        <f>$AM100*'Input data plant-based products'!AA26</f>
        <v>2.7437794452726143E-2</v>
      </c>
      <c r="AP100" s="877">
        <f>$AM100*'Input data plant-based products'!AB26</f>
        <v>1.9755212005962822E-2</v>
      </c>
      <c r="AQ100" s="877">
        <f>$AM100*'Input data plant-based products'!AC26</f>
        <v>2.121718192661632E-2</v>
      </c>
      <c r="AR100" s="886">
        <f>$AM100*'Input data plant-based products'!AD26</f>
        <v>2.2101231173558666E-2</v>
      </c>
      <c r="AS100" s="877"/>
      <c r="AT100" s="879">
        <f>'Input data plant-based products'!S26</f>
        <v>0</v>
      </c>
      <c r="AU100" s="877">
        <f>$AT100*'Input data plant-based products'!Z26</f>
        <v>0</v>
      </c>
      <c r="AV100" s="877">
        <f>$AT100*'Input data plant-based products'!AA26</f>
        <v>0</v>
      </c>
      <c r="AW100" s="877">
        <f>$AT100*'Input data plant-based products'!AB26</f>
        <v>0</v>
      </c>
      <c r="AX100" s="877">
        <f>$AT100*'Input data plant-based products'!AC26</f>
        <v>0</v>
      </c>
      <c r="AY100" s="886">
        <f>$AT100*'Input data plant-based products'!AD26</f>
        <v>0</v>
      </c>
      <c r="AZ100" s="877"/>
      <c r="BA100" s="879">
        <f>((SUM('Input data plant-based products'!U26:Y26)*'Grains, oil crops, sugar'!Y100)/('Common input data'!$B$192/10^6))/$BB$3</f>
        <v>4.9299436468282084E-11</v>
      </c>
      <c r="BB100" s="877">
        <f>$BA100*'Input data plant-based products'!Z26</f>
        <v>4.9299436468282084E-11</v>
      </c>
      <c r="BC100" s="877">
        <f>$BA100*'Input data plant-based products'!AA26</f>
        <v>1.2324859117070522E-10</v>
      </c>
      <c r="BD100" s="877">
        <f>$BA100*'Input data plant-based products'!AB26</f>
        <v>8.8738985642907737E-11</v>
      </c>
      <c r="BE100" s="877">
        <f>$BA100*'Input data plant-based products'!AC26</f>
        <v>9.5306048945497243E-11</v>
      </c>
      <c r="BF100" s="886">
        <f>$BA100*'Input data plant-based products'!AD26</f>
        <v>9.9277134318226287E-11</v>
      </c>
      <c r="BG100" s="877"/>
      <c r="BH100" s="879">
        <f>'Input data plant-based products'!T26/'Input data plant-based products'!E26</f>
        <v>0</v>
      </c>
      <c r="BI100" s="877">
        <f>$BH100*'Input data plant-based products'!Z26</f>
        <v>0</v>
      </c>
      <c r="BJ100" s="877">
        <f>$BH100*'Input data plant-based products'!AA26</f>
        <v>0</v>
      </c>
      <c r="BK100" s="877">
        <f>$BH100*'Input data plant-based products'!AB26</f>
        <v>0</v>
      </c>
      <c r="BL100" s="877">
        <f>$BH100*'Input data plant-based products'!AC26</f>
        <v>0</v>
      </c>
      <c r="BM100" s="886">
        <f>$BH100*'Input data plant-based products'!AD26</f>
        <v>0</v>
      </c>
      <c r="BN100" s="877"/>
      <c r="BO100" s="879">
        <f>('Input data plant-based products'!F26/'Input data plant-based products'!E26*'Common input data'!$B$195+'Input data plant-based products'!G26/'Input data plant-based products'!E26*'Common input data'!$B$196)/'Common input data'!$B$198</f>
        <v>8.4070718559108644E-4</v>
      </c>
      <c r="BP100" s="877">
        <f>$BO100*'Input data plant-based products'!Z26</f>
        <v>8.4070718559108644E-4</v>
      </c>
      <c r="BQ100" s="877">
        <f>$BO100*'Input data plant-based products'!AA26</f>
        <v>2.1017679639777163E-3</v>
      </c>
      <c r="BR100" s="877">
        <f>$BO100*'Input data plant-based products'!AB26</f>
        <v>1.5132729340639555E-3</v>
      </c>
      <c r="BS100" s="877">
        <f>$BO100*'Input data plant-based products'!AC26</f>
        <v>1.6252615834731747E-3</v>
      </c>
      <c r="BT100" s="886">
        <f>$BO100*'Input data plant-based products'!AD26</f>
        <v>1.6929808161178902E-3</v>
      </c>
      <c r="BU100" s="877"/>
      <c r="BV100" s="879">
        <f>('Common input data'!$C$202+'Common input data'!$B$208)*'Input data plant-based products'!AC26</f>
        <v>1.3841766951814798</v>
      </c>
      <c r="BW100" s="886">
        <f>('Common input data'!$C$202+'Common input data'!$B$208)*'Input data plant-based products'!AD26</f>
        <v>1.4418507241473748</v>
      </c>
      <c r="BX100" s="869"/>
      <c r="BY100" s="869"/>
      <c r="BZ100" s="869"/>
      <c r="CA100" s="869"/>
      <c r="CB100" s="869"/>
      <c r="CC100" s="869"/>
      <c r="CD100" s="869"/>
      <c r="CE100" s="869"/>
    </row>
    <row r="101" spans="1:83" s="406" customFormat="1" ht="17.25">
      <c r="A101" s="68"/>
      <c r="B101" s="55"/>
      <c r="C101" s="83"/>
      <c r="D101" s="54"/>
      <c r="E101" s="511" t="s">
        <v>317</v>
      </c>
      <c r="F101" s="877">
        <f>IF(AND($F$2="No",$F$3="No"),SUM(K101:L101),IF(AND($F$2="Yes", $F$3="No"), (SUM(K101:L101)+S101), IF(AND($F$2="No", $F$3="Yes"),(SUM(K101:L101)+R101), (SUM(K101:L101)+S101+R101))))</f>
        <v>0.159771495181245</v>
      </c>
      <c r="G101" s="877">
        <f>IF(AND($F$2="No",$F$3="No"),SUM(I101:Q101),IF(AND($F$2="Yes", $F$3="No"), (SUM(I101:Q101)+S101), IF(AND($F$2="No", $F$3="Yes"),(SUM(I101:Q101)+R101), (SUM(I101:Q101)+S101+R101))))</f>
        <v>0.4189142890078994</v>
      </c>
      <c r="H101" s="357">
        <f>SUM(U101:W101)/(1-'Common input data'!$B$143)</f>
        <v>2.133126300139554</v>
      </c>
      <c r="I101" s="928">
        <f>('Input data plant-based products'!$F$26*('Common input data'!$C$93*'Common input data'!B86+'Common input data'!$C$94*'Common input data'!C86))/'Input data plant-based products'!$E$26</f>
        <v>0.12396313059564647</v>
      </c>
      <c r="J101" s="877">
        <f>'Common input data'!$B$98</f>
        <v>0.03</v>
      </c>
      <c r="K101" s="877">
        <v>0</v>
      </c>
      <c r="L101" s="877">
        <v>0</v>
      </c>
      <c r="M101" s="877"/>
      <c r="N101" s="877">
        <f>('Input data plant-based products'!$P$26*'Common input data'!$C$76*'Common input data'!H66)/'Input data plant-based products'!$E$26</f>
        <v>4.1061620818822295E-2</v>
      </c>
      <c r="O101" s="877">
        <v>0</v>
      </c>
      <c r="P101" s="877">
        <v>0</v>
      </c>
      <c r="Q101" s="877">
        <f>'Input data plant-based products'!$B$270*'Common input data'!$B$76*'Common input data'!B66+'Input data plant-based products'!C$270*'Common input data'!C80</f>
        <v>6.4118042412185605E-2</v>
      </c>
      <c r="R101" s="877">
        <f>'Common input data'!D$19</f>
        <v>0.159771495181245</v>
      </c>
      <c r="S101" s="877">
        <v>0</v>
      </c>
      <c r="T101" s="877">
        <f>'Input data plant-based products'!G$270*3.6*'Common input data'!C66+'Input data plant-based products'!H$270*3.6*'Common input data'!G66</f>
        <v>1.3347719999999999E-2</v>
      </c>
      <c r="U101" s="877">
        <f>(G101+T101)*'Input data plant-based products'!C$286*'Common input data'!D$40</f>
        <v>1.5561432324284377</v>
      </c>
      <c r="V101" s="877">
        <f>'Common input data'!B$104</f>
        <v>0.3</v>
      </c>
      <c r="W101" s="878">
        <f>'Common input data'!B116+'Common input data'!C116</f>
        <v>0.13</v>
      </c>
      <c r="X101" s="869"/>
      <c r="Y101" s="879"/>
      <c r="Z101" s="877"/>
      <c r="AA101" s="877"/>
      <c r="AB101" s="877"/>
      <c r="AC101" s="877"/>
      <c r="AD101" s="886"/>
      <c r="AE101" s="877"/>
      <c r="AF101" s="879"/>
      <c r="AG101" s="877"/>
      <c r="AH101" s="877"/>
      <c r="AI101" s="877"/>
      <c r="AJ101" s="877"/>
      <c r="AK101" s="886"/>
      <c r="AL101" s="877"/>
      <c r="AM101" s="879"/>
      <c r="AN101" s="877"/>
      <c r="AO101" s="877"/>
      <c r="AP101" s="877"/>
      <c r="AQ101" s="877"/>
      <c r="AR101" s="886"/>
      <c r="AS101" s="877"/>
      <c r="AT101" s="879"/>
      <c r="AU101" s="877"/>
      <c r="AV101" s="877"/>
      <c r="AW101" s="877"/>
      <c r="AX101" s="877"/>
      <c r="AY101" s="886"/>
      <c r="AZ101" s="877"/>
      <c r="BA101" s="879"/>
      <c r="BB101" s="877"/>
      <c r="BC101" s="877"/>
      <c r="BD101" s="877"/>
      <c r="BE101" s="877"/>
      <c r="BF101" s="886"/>
      <c r="BG101" s="877"/>
      <c r="BH101" s="879"/>
      <c r="BI101" s="877"/>
      <c r="BJ101" s="877"/>
      <c r="BK101" s="877"/>
      <c r="BL101" s="877"/>
      <c r="BM101" s="886"/>
      <c r="BN101" s="877"/>
      <c r="BO101" s="879"/>
      <c r="BP101" s="877"/>
      <c r="BQ101" s="877"/>
      <c r="BR101" s="877"/>
      <c r="BS101" s="877"/>
      <c r="BT101" s="886"/>
      <c r="BU101" s="877"/>
      <c r="BV101" s="879"/>
      <c r="BW101" s="886"/>
      <c r="BX101" s="869"/>
      <c r="BY101" s="869"/>
      <c r="BZ101" s="869"/>
      <c r="CA101" s="869"/>
      <c r="CB101" s="869"/>
      <c r="CC101" s="869"/>
      <c r="CD101" s="869"/>
      <c r="CE101" s="869"/>
    </row>
    <row r="102" spans="1:83" s="406" customFormat="1" ht="17.25">
      <c r="A102" s="18"/>
      <c r="B102" s="55"/>
      <c r="C102" s="83"/>
      <c r="D102" s="54"/>
      <c r="E102" s="511" t="s">
        <v>367</v>
      </c>
      <c r="F102" s="877">
        <f>SUM(K102:L102)</f>
        <v>0</v>
      </c>
      <c r="G102" s="877">
        <f>SUM(I102:Q102)</f>
        <v>2.6692132308559017E-4</v>
      </c>
      <c r="H102" s="357">
        <f>SUM(U102:W102)/(1-'Common input data'!$B$143)</f>
        <v>1.2597089095184963E-3</v>
      </c>
      <c r="I102" s="928">
        <f>('Input data plant-based products'!$F$26*('Common input data'!$C$93*'Common input data'!B87+'Common input data'!$C$94*'Common input data'!C87))/'Input data plant-based products'!$E$26</f>
        <v>2.2740420964859076E-4</v>
      </c>
      <c r="J102" s="877">
        <v>0</v>
      </c>
      <c r="K102" s="877">
        <v>0</v>
      </c>
      <c r="L102" s="877">
        <v>0</v>
      </c>
      <c r="M102" s="877"/>
      <c r="N102" s="877">
        <f>('Input data plant-based products'!$P$26*'Common input data'!$C$76*'Common input data'!H67)/'Input data plant-based products'!$E$26</f>
        <v>1.8188913436999392E-5</v>
      </c>
      <c r="O102" s="877">
        <v>0</v>
      </c>
      <c r="P102" s="877">
        <v>0</v>
      </c>
      <c r="Q102" s="877">
        <f>'Input data plant-based products'!$B$270*'Common input data'!$B$76*'Common input data'!B67</f>
        <v>2.1328200000000007E-5</v>
      </c>
      <c r="R102" s="877">
        <v>0</v>
      </c>
      <c r="S102" s="877">
        <v>0</v>
      </c>
      <c r="T102" s="877">
        <f>'Input data plant-based products'!G$270*3.6*'Common input data'!C67+'Input data plant-based products'!H$270*3.6*'Common input data'!G67</f>
        <v>5.8886639999999975E-5</v>
      </c>
      <c r="U102" s="877">
        <f>(G102+T102)*'Input data plant-based products'!C$286*'Common input data'!D$40</f>
        <v>1.1729086671081242E-3</v>
      </c>
      <c r="V102" s="877">
        <v>0</v>
      </c>
      <c r="W102" s="878">
        <v>0</v>
      </c>
      <c r="X102" s="869"/>
      <c r="Y102" s="879"/>
      <c r="Z102" s="877"/>
      <c r="AA102" s="877"/>
      <c r="AB102" s="877"/>
      <c r="AC102" s="877"/>
      <c r="AD102" s="886"/>
      <c r="AE102" s="877"/>
      <c r="AF102" s="879"/>
      <c r="AG102" s="877"/>
      <c r="AH102" s="877"/>
      <c r="AI102" s="877"/>
      <c r="AJ102" s="877"/>
      <c r="AK102" s="886"/>
      <c r="AL102" s="877"/>
      <c r="AM102" s="879"/>
      <c r="AN102" s="877"/>
      <c r="AO102" s="877"/>
      <c r="AP102" s="877"/>
      <c r="AQ102" s="877"/>
      <c r="AR102" s="886"/>
      <c r="AS102" s="877"/>
      <c r="AT102" s="879"/>
      <c r="AU102" s="877"/>
      <c r="AV102" s="877"/>
      <c r="AW102" s="877"/>
      <c r="AX102" s="877"/>
      <c r="AY102" s="886"/>
      <c r="AZ102" s="877"/>
      <c r="BA102" s="879"/>
      <c r="BB102" s="877"/>
      <c r="BC102" s="877"/>
      <c r="BD102" s="877"/>
      <c r="BE102" s="877"/>
      <c r="BF102" s="886"/>
      <c r="BG102" s="877"/>
      <c r="BH102" s="879"/>
      <c r="BI102" s="877"/>
      <c r="BJ102" s="877"/>
      <c r="BK102" s="877"/>
      <c r="BL102" s="877"/>
      <c r="BM102" s="886"/>
      <c r="BN102" s="877"/>
      <c r="BO102" s="879"/>
      <c r="BP102" s="877"/>
      <c r="BQ102" s="877"/>
      <c r="BR102" s="877"/>
      <c r="BS102" s="877"/>
      <c r="BT102" s="886"/>
      <c r="BU102" s="877"/>
      <c r="BV102" s="879"/>
      <c r="BW102" s="886"/>
      <c r="BX102" s="869"/>
      <c r="BY102" s="869"/>
      <c r="BZ102" s="869"/>
      <c r="CA102" s="869"/>
      <c r="CB102" s="869"/>
      <c r="CC102" s="869"/>
      <c r="CD102" s="869"/>
      <c r="CE102" s="869"/>
    </row>
    <row r="103" spans="1:83" s="406" customFormat="1" ht="17.25">
      <c r="A103" s="359"/>
      <c r="B103" s="360"/>
      <c r="C103" s="83"/>
      <c r="D103" s="54"/>
      <c r="E103" s="512" t="s">
        <v>320</v>
      </c>
      <c r="F103" s="877">
        <f>SUM(K103:L103)</f>
        <v>1.1449988924653338E-3</v>
      </c>
      <c r="G103" s="877">
        <f>SUM(I103:Q103)</f>
        <v>1.4204604432186089E-3</v>
      </c>
      <c r="H103" s="357">
        <f>SUM(U103:W103)/(1-'Common input data'!$B$143)</f>
        <v>5.5055445371170421E-3</v>
      </c>
      <c r="I103" s="928">
        <f>('Input data plant-based products'!$F$26*('Common input data'!$C$93*'Common input data'!B88+'Common input data'!$C$94*'Common input data'!C88))/'Input data plant-based products'!$E$26</f>
        <v>2.723699467926006E-4</v>
      </c>
      <c r="J103" s="877">
        <v>0</v>
      </c>
      <c r="K103" s="877">
        <f>(SUM(('Input data plant-based products'!$F$26*'Input data plant-based products'!$B$258),(('Input data plant-based products'!$G$26+'Input data plant-based products'!$H$26)*'Input data plant-based products'!$B$258))*44/28)/'Input data plant-based products'!$E$26</f>
        <v>1.0409080840593943E-3</v>
      </c>
      <c r="L103" s="877">
        <f>K103*'Input data plant-based products'!$B$261</f>
        <v>1.0409080840593944E-4</v>
      </c>
      <c r="M103" s="877"/>
      <c r="N103" s="877">
        <f>('Input data plant-based products'!$P$26*'Common input data'!$C$76*'Common input data'!H68)/'Input data plant-based products'!$E$26</f>
        <v>1.103341760674361E-6</v>
      </c>
      <c r="O103" s="877">
        <v>0</v>
      </c>
      <c r="P103" s="877">
        <v>0</v>
      </c>
      <c r="Q103" s="877">
        <f>'Input data plant-based products'!$B$270*'Common input data'!$B$76*'Common input data'!B68</f>
        <v>1.9882622000000002E-6</v>
      </c>
      <c r="R103" s="877">
        <v>0</v>
      </c>
      <c r="S103" s="877">
        <v>0</v>
      </c>
      <c r="T103" s="877">
        <f>'Input data plant-based products'!G$270*3.6*'Common input data'!C68+'Input data plant-based products'!H$270*3.6*'Common input data'!G68</f>
        <v>3.4798319999999972E-6</v>
      </c>
      <c r="U103" s="877">
        <f>(G103+T103)*'Input data plant-based products'!C$286*'Common input data'!D$40</f>
        <v>5.1261849907869913E-3</v>
      </c>
      <c r="V103" s="877">
        <v>0</v>
      </c>
      <c r="W103" s="878">
        <v>0</v>
      </c>
      <c r="X103" s="869"/>
      <c r="Y103" s="879"/>
      <c r="Z103" s="877"/>
      <c r="AA103" s="877"/>
      <c r="AB103" s="877"/>
      <c r="AC103" s="877"/>
      <c r="AD103" s="886"/>
      <c r="AE103" s="877"/>
      <c r="AF103" s="879"/>
      <c r="AG103" s="877"/>
      <c r="AH103" s="877"/>
      <c r="AI103" s="877"/>
      <c r="AJ103" s="877"/>
      <c r="AK103" s="886"/>
      <c r="AL103" s="877"/>
      <c r="AM103" s="879"/>
      <c r="AN103" s="877"/>
      <c r="AO103" s="877"/>
      <c r="AP103" s="877"/>
      <c r="AQ103" s="877"/>
      <c r="AR103" s="886"/>
      <c r="AS103" s="877"/>
      <c r="AT103" s="879"/>
      <c r="AU103" s="877"/>
      <c r="AV103" s="877"/>
      <c r="AW103" s="877"/>
      <c r="AX103" s="877"/>
      <c r="AY103" s="886"/>
      <c r="AZ103" s="877"/>
      <c r="BA103" s="879"/>
      <c r="BB103" s="877"/>
      <c r="BC103" s="877"/>
      <c r="BD103" s="877"/>
      <c r="BE103" s="877"/>
      <c r="BF103" s="886"/>
      <c r="BG103" s="877"/>
      <c r="BH103" s="879"/>
      <c r="BI103" s="877"/>
      <c r="BJ103" s="877"/>
      <c r="BK103" s="877"/>
      <c r="BL103" s="877"/>
      <c r="BM103" s="886"/>
      <c r="BN103" s="877"/>
      <c r="BO103" s="879"/>
      <c r="BP103" s="877"/>
      <c r="BQ103" s="877"/>
      <c r="BR103" s="877"/>
      <c r="BS103" s="877"/>
      <c r="BT103" s="886"/>
      <c r="BU103" s="877"/>
      <c r="BV103" s="879"/>
      <c r="BW103" s="886"/>
      <c r="BX103" s="869"/>
      <c r="BY103" s="869"/>
      <c r="BZ103" s="869"/>
      <c r="CA103" s="869"/>
      <c r="CB103" s="869"/>
      <c r="CC103" s="869"/>
      <c r="CD103" s="869"/>
      <c r="CE103" s="869"/>
    </row>
    <row r="104" spans="1:83" s="406" customFormat="1" ht="17.25">
      <c r="A104" s="20" t="s">
        <v>176</v>
      </c>
      <c r="B104" s="93" t="s">
        <v>121</v>
      </c>
      <c r="C104" s="87">
        <f>'Input data plant-based products'!D27</f>
        <v>0.2218123860535362</v>
      </c>
      <c r="D104" s="54"/>
      <c r="E104" s="513" t="s">
        <v>316</v>
      </c>
      <c r="F104" s="872">
        <f>SUMPRODUCT($CJ$6:$CJ$8,F105:F107)</f>
        <v>0.51580096305425283</v>
      </c>
      <c r="G104" s="872">
        <f>SUMPRODUCT($CJ$6:$CJ$8,G105:G107)</f>
        <v>0.77234323210441835</v>
      </c>
      <c r="H104" s="873">
        <f>SUMPRODUCT($CJ$6:$CJ$8,H105:H107)</f>
        <v>3.4501341674118176</v>
      </c>
      <c r="I104" s="1277"/>
      <c r="J104" s="884"/>
      <c r="K104" s="884"/>
      <c r="L104" s="884"/>
      <c r="M104" s="884"/>
      <c r="N104" s="884"/>
      <c r="O104" s="884"/>
      <c r="P104" s="884"/>
      <c r="Q104" s="884"/>
      <c r="R104" s="884"/>
      <c r="S104" s="884"/>
      <c r="T104" s="884"/>
      <c r="U104" s="884"/>
      <c r="V104" s="884"/>
      <c r="W104" s="1278"/>
      <c r="X104" s="869"/>
      <c r="Y104" s="879">
        <f>1/'Input data plant-based products'!E27*10^4</f>
        <v>2.3695229174681232</v>
      </c>
      <c r="Z104" s="877">
        <f>$Y104*'Input data plant-based products'!Z27</f>
        <v>2.3695229174681232</v>
      </c>
      <c r="AA104" s="877">
        <f>$Y104*'Input data plant-based products'!AA27</f>
        <v>5.9238072936703077</v>
      </c>
      <c r="AB104" s="877">
        <f>$Y104*'Input data plant-based products'!AB27</f>
        <v>4.2651412514426212</v>
      </c>
      <c r="AC104" s="877">
        <f>$Y104*'Input data plant-based products'!AC27</f>
        <v>4.5807798897455383</v>
      </c>
      <c r="AD104" s="886">
        <f>$Y104*'Input data plant-based products'!AD27</f>
        <v>4.771645718484935</v>
      </c>
      <c r="AE104" s="877"/>
      <c r="AF104" s="879">
        <f>SUM('Input data plant-based products'!F27,'Input data plant-based products'!Q27)/'Input data plant-based products'!E27</f>
        <v>2.6322499001073831E-2</v>
      </c>
      <c r="AG104" s="877">
        <f>$AF104*'Input data plant-based products'!Z27</f>
        <v>2.6322499001073831E-2</v>
      </c>
      <c r="AH104" s="877">
        <f>$AF104*'Input data plant-based products'!AA27</f>
        <v>6.5806247502684573E-2</v>
      </c>
      <c r="AI104" s="877">
        <f>$AF104*'Input data plant-based products'!AB27</f>
        <v>4.7380498201932894E-2</v>
      </c>
      <c r="AJ104" s="877">
        <f>$AF104*'Input data plant-based products'!AC27</f>
        <v>5.0886857089698576E-2</v>
      </c>
      <c r="AK104" s="886">
        <f>$AF104*'Input data plant-based products'!AD27</f>
        <v>5.3007142801769346E-2</v>
      </c>
      <c r="AL104" s="877"/>
      <c r="AM104" s="879">
        <f>'Input data plant-based products'!R27/'Input data plant-based products'!E27</f>
        <v>6.4451023355132945E-3</v>
      </c>
      <c r="AN104" s="877">
        <f>$AM104*'Input data plant-based products'!Z27</f>
        <v>6.4451023355132945E-3</v>
      </c>
      <c r="AO104" s="877">
        <f>$AM104*'Input data plant-based products'!AA27</f>
        <v>1.6112755838783237E-2</v>
      </c>
      <c r="AP104" s="877">
        <f>$AM104*'Input data plant-based products'!AB27</f>
        <v>1.1601184203923929E-2</v>
      </c>
      <c r="AQ104" s="877">
        <f>$AM104*'Input data plant-based products'!AC27</f>
        <v>1.2459721300107862E-2</v>
      </c>
      <c r="AR104" s="886">
        <f>$AM104*'Input data plant-based products'!AD27</f>
        <v>1.2978876354279023E-2</v>
      </c>
      <c r="AS104" s="877"/>
      <c r="AT104" s="879">
        <f>'Input data plant-based products'!S27</f>
        <v>0</v>
      </c>
      <c r="AU104" s="877">
        <f>$AT104*'Input data plant-based products'!Z27</f>
        <v>0</v>
      </c>
      <c r="AV104" s="877">
        <f>$AT104*'Input data plant-based products'!AA27</f>
        <v>0</v>
      </c>
      <c r="AW104" s="877">
        <f>$AT104*'Input data plant-based products'!AB27</f>
        <v>0</v>
      </c>
      <c r="AX104" s="877">
        <f>$AT104*'Input data plant-based products'!AC27</f>
        <v>0</v>
      </c>
      <c r="AY104" s="886">
        <f>$AT104*'Input data plant-based products'!AD27</f>
        <v>0</v>
      </c>
      <c r="AZ104" s="877"/>
      <c r="BA104" s="879">
        <f>((SUM('Input data plant-based products'!U27:Y27)*'Grains, oil crops, sugar'!Y104)/('Common input data'!$B$192/10^6))/$BB$3</f>
        <v>9.2333933450750602E-11</v>
      </c>
      <c r="BB104" s="877">
        <f>$BA104*'Input data plant-based products'!Z27</f>
        <v>9.2333933450750602E-11</v>
      </c>
      <c r="BC104" s="877">
        <f>$BA104*'Input data plant-based products'!AA27</f>
        <v>2.3083483362687651E-10</v>
      </c>
      <c r="BD104" s="877">
        <f>$BA104*'Input data plant-based products'!AB27</f>
        <v>1.6620108021135107E-10</v>
      </c>
      <c r="BE104" s="877">
        <f>$BA104*'Input data plant-based products'!AC27</f>
        <v>1.7850066879464618E-10</v>
      </c>
      <c r="BF104" s="886">
        <f>$BA104*'Input data plant-based products'!AD27</f>
        <v>1.8593819666108975E-10</v>
      </c>
      <c r="BG104" s="877"/>
      <c r="BH104" s="879">
        <f>'Input data plant-based products'!T27/'Input data plant-based products'!E27</f>
        <v>0</v>
      </c>
      <c r="BI104" s="877">
        <f>$BH104*'Input data plant-based products'!Z27</f>
        <v>0</v>
      </c>
      <c r="BJ104" s="877">
        <f>$BH104*'Input data plant-based products'!AA27</f>
        <v>0</v>
      </c>
      <c r="BK104" s="877">
        <f>$BH104*'Input data plant-based products'!AB27</f>
        <v>0</v>
      </c>
      <c r="BL104" s="877">
        <f>$BH104*'Input data plant-based products'!AC27</f>
        <v>0</v>
      </c>
      <c r="BM104" s="886">
        <f>$BH104*'Input data plant-based products'!AD27</f>
        <v>0</v>
      </c>
      <c r="BN104" s="877"/>
      <c r="BO104" s="879">
        <f>('Input data plant-based products'!F27/'Input data plant-based products'!E27*'Common input data'!$B$195+'Input data plant-based products'!G27/'Input data plant-based products'!E27*'Common input data'!$B$196)/'Common input data'!$B$198</f>
        <v>4.6359564957772067E-3</v>
      </c>
      <c r="BP104" s="877">
        <f>$BO104*'Input data plant-based products'!Z27</f>
        <v>4.6359564957772067E-3</v>
      </c>
      <c r="BQ104" s="877">
        <f>$BO104*'Input data plant-based products'!AA27</f>
        <v>1.1589891239443017E-2</v>
      </c>
      <c r="BR104" s="877">
        <f>$BO104*'Input data plant-based products'!AB27</f>
        <v>8.3447216923989709E-3</v>
      </c>
      <c r="BS104" s="877">
        <f>$BO104*'Input data plant-based products'!AC27</f>
        <v>8.9622666778352063E-3</v>
      </c>
      <c r="BT104" s="886">
        <f>$BO104*'Input data plant-based products'!AD27</f>
        <v>9.3356944560783403E-3</v>
      </c>
      <c r="BU104" s="877"/>
      <c r="BV104" s="879">
        <f>('Common input data'!$C$202+'Common input data'!$B$204)*'Input data plant-based products'!AC27</f>
        <v>0.70407423517471357</v>
      </c>
      <c r="BW104" s="886">
        <f>('Common input data'!$C$202+'Common input data'!$B$204)*'Input data plant-based products'!AD27</f>
        <v>0.73341066164032664</v>
      </c>
      <c r="BX104" s="869"/>
      <c r="BY104" s="869"/>
      <c r="BZ104" s="869"/>
      <c r="CA104" s="869"/>
      <c r="CB104" s="869"/>
      <c r="CC104" s="869"/>
      <c r="CD104" s="869"/>
      <c r="CE104" s="869"/>
    </row>
    <row r="105" spans="1:83" s="406" customFormat="1" ht="17.25">
      <c r="A105" s="68"/>
      <c r="B105" s="55"/>
      <c r="C105" s="83"/>
      <c r="D105" s="54"/>
      <c r="E105" s="511" t="s">
        <v>317</v>
      </c>
      <c r="F105" s="877">
        <f>IF(AND($F$2="No",$F$3="No"),SUM(K105:L105),IF(AND($F$2="Yes", $F$3="No"), (SUM(K105:L105)+S105), IF(AND($F$2="No", $F$3="Yes"),(SUM(K105:L105)+R105), (SUM(K105:L105)+S105+R105))))</f>
        <v>0.159771495181245</v>
      </c>
      <c r="G105" s="877">
        <f>IF(AND($F$2="No",$F$3="No"),SUM(I105:Q105),IF(AND($F$2="Yes", $F$3="No"), (SUM(I105:Q105)+S105), IF(AND($F$2="No", $F$3="Yes"),(SUM(I105:Q105)+R105), (SUM(I105:Q105)+S105+R105))))</f>
        <v>0.3744339240602792</v>
      </c>
      <c r="H105" s="357">
        <f>SUM(U105:W105)/(1-'Common input data'!$B$143)</f>
        <v>1.9074465211573528</v>
      </c>
      <c r="I105" s="928">
        <f>('Input data plant-based products'!$F$27*('Common input data'!$B$93*'Common input data'!B86+'Common input data'!$B$94*'Common input data'!C86))/'Input data plant-based products'!$E$27</f>
        <v>8.2577062953108266E-2</v>
      </c>
      <c r="J105" s="877">
        <f>'Common input data'!$B$98</f>
        <v>0.03</v>
      </c>
      <c r="K105" s="877">
        <v>0</v>
      </c>
      <c r="L105" s="877">
        <v>0</v>
      </c>
      <c r="M105" s="877"/>
      <c r="N105" s="877">
        <f>('Input data plant-based products'!$P$27*'Common input data'!$C$76*'Common input data'!H66)/'Input data plant-based products'!$E$27</f>
        <v>4.4325925925925928E-2</v>
      </c>
      <c r="O105" s="877">
        <v>0</v>
      </c>
      <c r="P105" s="877">
        <v>0</v>
      </c>
      <c r="Q105" s="877">
        <f>'Input data plant-based products'!$B$270*'Common input data'!$B$76*'Common input data'!B66+'Input data plant-based products'!C$270*'Common input data'!B80</f>
        <v>5.7759440000000009E-2</v>
      </c>
      <c r="R105" s="877">
        <f>'Common input data'!D$19</f>
        <v>0.159771495181245</v>
      </c>
      <c r="S105" s="877">
        <v>0</v>
      </c>
      <c r="T105" s="877">
        <f>'Input data plant-based products'!G$270*3.6*'Common input data'!C66+'Input data plant-based products'!H$270*3.6*'Common input data'!G66</f>
        <v>1.3347719999999999E-2</v>
      </c>
      <c r="U105" s="877">
        <f>(G105+T105)*'Input data plant-based products'!C$286*'Common input data'!D$40</f>
        <v>1.3960139186170051</v>
      </c>
      <c r="V105" s="877">
        <f>'Common input data'!B$104</f>
        <v>0.3</v>
      </c>
      <c r="W105" s="878">
        <f>'Common input data'!B115+'Common input data'!C115</f>
        <v>0.08</v>
      </c>
      <c r="X105" s="869"/>
      <c r="Y105" s="879"/>
      <c r="Z105" s="877"/>
      <c r="AA105" s="877"/>
      <c r="AB105" s="877"/>
      <c r="AC105" s="877"/>
      <c r="AD105" s="886"/>
      <c r="AE105" s="877"/>
      <c r="AF105" s="879"/>
      <c r="AG105" s="877"/>
      <c r="AH105" s="877"/>
      <c r="AI105" s="877"/>
      <c r="AJ105" s="877"/>
      <c r="AK105" s="886"/>
      <c r="AL105" s="877"/>
      <c r="AM105" s="879"/>
      <c r="AN105" s="877"/>
      <c r="AO105" s="877"/>
      <c r="AP105" s="877"/>
      <c r="AQ105" s="877"/>
      <c r="AR105" s="886"/>
      <c r="AS105" s="877"/>
      <c r="AT105" s="879"/>
      <c r="AU105" s="877"/>
      <c r="AV105" s="877"/>
      <c r="AW105" s="877"/>
      <c r="AX105" s="877"/>
      <c r="AY105" s="886"/>
      <c r="AZ105" s="877"/>
      <c r="BA105" s="879"/>
      <c r="BB105" s="877"/>
      <c r="BC105" s="877"/>
      <c r="BD105" s="877"/>
      <c r="BE105" s="877"/>
      <c r="BF105" s="886"/>
      <c r="BG105" s="877"/>
      <c r="BH105" s="879"/>
      <c r="BI105" s="877"/>
      <c r="BJ105" s="877"/>
      <c r="BK105" s="877"/>
      <c r="BL105" s="877"/>
      <c r="BM105" s="886"/>
      <c r="BN105" s="877"/>
      <c r="BO105" s="879"/>
      <c r="BP105" s="877"/>
      <c r="BQ105" s="877"/>
      <c r="BR105" s="877"/>
      <c r="BS105" s="877"/>
      <c r="BT105" s="886"/>
      <c r="BU105" s="877"/>
      <c r="BV105" s="879"/>
      <c r="BW105" s="886"/>
      <c r="BX105" s="869"/>
      <c r="BY105" s="869"/>
      <c r="BZ105" s="869"/>
      <c r="CA105" s="869"/>
      <c r="CB105" s="869"/>
      <c r="CC105" s="869"/>
      <c r="CD105" s="869"/>
      <c r="CE105" s="869"/>
    </row>
    <row r="106" spans="1:83" s="406" customFormat="1" ht="17.25">
      <c r="A106" s="18"/>
      <c r="B106" s="55"/>
      <c r="C106" s="83"/>
      <c r="D106" s="54"/>
      <c r="E106" s="511" t="s">
        <v>367</v>
      </c>
      <c r="F106" s="877">
        <f>SUM(K106:L106)</f>
        <v>0</v>
      </c>
      <c r="G106" s="877">
        <f>SUM(I106:Q106)</f>
        <v>1.4484911449275391E-4</v>
      </c>
      <c r="H106" s="357">
        <f>SUM(U106:W106)/(1-'Common input data'!$B$143)</f>
        <v>7.8772704844716599E-4</v>
      </c>
      <c r="I106" s="928">
        <f>('Input data plant-based products'!$F$27*('Common input data'!$B$93*'Common input data'!B87+'Common input data'!$B$94*'Common input data'!C87))/'Input data plant-based products'!$E$27</f>
        <v>1.0388602396471269E-4</v>
      </c>
      <c r="J106" s="877">
        <v>0</v>
      </c>
      <c r="K106" s="877">
        <v>0</v>
      </c>
      <c r="L106" s="877">
        <v>0</v>
      </c>
      <c r="M106" s="877"/>
      <c r="N106" s="877">
        <f>('Input data plant-based products'!$P$27*'Common input data'!$C$76*'Common input data'!H67)/'Input data plant-based products'!$E$27</f>
        <v>1.9634890528041217E-5</v>
      </c>
      <c r="O106" s="877">
        <v>0</v>
      </c>
      <c r="P106" s="877">
        <v>0</v>
      </c>
      <c r="Q106" s="877">
        <f>'Input data plant-based products'!$B$270*'Common input data'!$B$76*'Common input data'!B67</f>
        <v>2.1328200000000007E-5</v>
      </c>
      <c r="R106" s="877">
        <v>0</v>
      </c>
      <c r="S106" s="877">
        <v>0</v>
      </c>
      <c r="T106" s="877">
        <f>'Input data plant-based products'!G$270*3.6*'Common input data'!C67+'Input data plant-based products'!H$270*3.6*'Common input data'!G67</f>
        <v>5.8886639999999975E-5</v>
      </c>
      <c r="U106" s="877">
        <f>(G106+T106)*'Input data plant-based products'!C$286*'Common input data'!D$40</f>
        <v>7.3344871617391394E-4</v>
      </c>
      <c r="V106" s="877">
        <v>0</v>
      </c>
      <c r="W106" s="878">
        <v>0</v>
      </c>
      <c r="X106" s="869"/>
      <c r="Y106" s="879"/>
      <c r="Z106" s="877"/>
      <c r="AA106" s="877"/>
      <c r="AB106" s="877"/>
      <c r="AC106" s="877"/>
      <c r="AD106" s="886"/>
      <c r="AE106" s="877"/>
      <c r="AF106" s="879"/>
      <c r="AG106" s="877"/>
      <c r="AH106" s="877"/>
      <c r="AI106" s="877"/>
      <c r="AJ106" s="877"/>
      <c r="AK106" s="886"/>
      <c r="AL106" s="877"/>
      <c r="AM106" s="879"/>
      <c r="AN106" s="877"/>
      <c r="AO106" s="877"/>
      <c r="AP106" s="877"/>
      <c r="AQ106" s="877"/>
      <c r="AR106" s="886"/>
      <c r="AS106" s="877"/>
      <c r="AT106" s="879"/>
      <c r="AU106" s="877"/>
      <c r="AV106" s="877"/>
      <c r="AW106" s="877"/>
      <c r="AX106" s="877"/>
      <c r="AY106" s="886"/>
      <c r="AZ106" s="877"/>
      <c r="BA106" s="879"/>
      <c r="BB106" s="877"/>
      <c r="BC106" s="877"/>
      <c r="BD106" s="877"/>
      <c r="BE106" s="877"/>
      <c r="BF106" s="886"/>
      <c r="BG106" s="877"/>
      <c r="BH106" s="879"/>
      <c r="BI106" s="877"/>
      <c r="BJ106" s="877"/>
      <c r="BK106" s="877"/>
      <c r="BL106" s="877"/>
      <c r="BM106" s="886"/>
      <c r="BN106" s="877"/>
      <c r="BO106" s="879"/>
      <c r="BP106" s="877"/>
      <c r="BQ106" s="877"/>
      <c r="BR106" s="877"/>
      <c r="BS106" s="877"/>
      <c r="BT106" s="886"/>
      <c r="BU106" s="877"/>
      <c r="BV106" s="879"/>
      <c r="BW106" s="886"/>
      <c r="BX106" s="869"/>
      <c r="BY106" s="869"/>
      <c r="BZ106" s="869"/>
      <c r="CA106" s="869"/>
      <c r="CB106" s="869"/>
      <c r="CC106" s="869"/>
      <c r="CD106" s="869"/>
      <c r="CE106" s="869"/>
    </row>
    <row r="107" spans="1:83" s="406" customFormat="1" ht="17.25">
      <c r="A107" s="359"/>
      <c r="B107" s="360"/>
      <c r="C107" s="83"/>
      <c r="D107" s="54"/>
      <c r="E107" s="512" t="s">
        <v>320</v>
      </c>
      <c r="F107" s="877">
        <f>SUM(K107:L107)</f>
        <v>1.5280234672661282E-3</v>
      </c>
      <c r="G107" s="877">
        <f>SUM(I107:Q107)</f>
        <v>1.7048434214850779E-3</v>
      </c>
      <c r="H107" s="357">
        <f>SUM(U107:W107)/(1-'Common input data'!$B$143)</f>
        <v>6.6050872494710861E-3</v>
      </c>
      <c r="I107" s="928">
        <f>('Input data plant-based products'!$F$27*('Common input data'!$B$93*'Common input data'!B88+'Common input data'!$B$94*'Common input data'!C88))/'Input data plant-based products'!$E$27</f>
        <v>1.736406371073468E-4</v>
      </c>
      <c r="J107" s="877">
        <v>0</v>
      </c>
      <c r="K107" s="877">
        <f>(SUM(('Input data plant-based products'!$F$27*'Input data plant-based products'!$B$258),(('Input data plant-based products'!$G$27+'Input data plant-based products'!$H$27)*'Input data plant-based products'!$B$258))*44/28)/'Input data plant-based products'!$E$27</f>
        <v>1.3891122429692075E-3</v>
      </c>
      <c r="L107" s="877">
        <f>K107*'Input data plant-based products'!$B$261</f>
        <v>1.3891122429692077E-4</v>
      </c>
      <c r="M107" s="877"/>
      <c r="N107" s="877">
        <f>('Input data plant-based products'!$P$27*'Common input data'!$C$76*'Common input data'!H68)/'Input data plant-based products'!$E$27</f>
        <v>1.191054911602857E-6</v>
      </c>
      <c r="O107" s="877">
        <v>0</v>
      </c>
      <c r="P107" s="877">
        <v>0</v>
      </c>
      <c r="Q107" s="877">
        <f>'Input data plant-based products'!$B$270*'Common input data'!$B$76*'Common input data'!B68</f>
        <v>1.9882622000000002E-6</v>
      </c>
      <c r="R107" s="877">
        <v>0</v>
      </c>
      <c r="S107" s="877">
        <v>0</v>
      </c>
      <c r="T107" s="877">
        <f>'Input data plant-based products'!G$270*3.6*'Common input data'!C68+'Input data plant-based products'!H$270*3.6*'Common input data'!G68</f>
        <v>3.4798319999999972E-6</v>
      </c>
      <c r="U107" s="877">
        <f>(G107+T107)*'Input data plant-based products'!C$286*'Common input data'!D$40</f>
        <v>6.1499637125462803E-3</v>
      </c>
      <c r="V107" s="877">
        <v>0</v>
      </c>
      <c r="W107" s="878">
        <v>0</v>
      </c>
      <c r="X107" s="869"/>
      <c r="Y107" s="879"/>
      <c r="Z107" s="877"/>
      <c r="AA107" s="877"/>
      <c r="AB107" s="877"/>
      <c r="AC107" s="877"/>
      <c r="AD107" s="886"/>
      <c r="AE107" s="877"/>
      <c r="AF107" s="879"/>
      <c r="AG107" s="877"/>
      <c r="AH107" s="877"/>
      <c r="AI107" s="877"/>
      <c r="AJ107" s="877"/>
      <c r="AK107" s="886"/>
      <c r="AL107" s="877"/>
      <c r="AM107" s="879"/>
      <c r="AN107" s="877"/>
      <c r="AO107" s="877"/>
      <c r="AP107" s="877"/>
      <c r="AQ107" s="877"/>
      <c r="AR107" s="886"/>
      <c r="AS107" s="877"/>
      <c r="AT107" s="879"/>
      <c r="AU107" s="877"/>
      <c r="AV107" s="877"/>
      <c r="AW107" s="877"/>
      <c r="AX107" s="877"/>
      <c r="AY107" s="886"/>
      <c r="AZ107" s="877"/>
      <c r="BA107" s="879"/>
      <c r="BB107" s="877"/>
      <c r="BC107" s="877"/>
      <c r="BD107" s="877"/>
      <c r="BE107" s="877"/>
      <c r="BF107" s="886"/>
      <c r="BG107" s="877"/>
      <c r="BH107" s="879"/>
      <c r="BI107" s="877"/>
      <c r="BJ107" s="877"/>
      <c r="BK107" s="877"/>
      <c r="BL107" s="877"/>
      <c r="BM107" s="886"/>
      <c r="BN107" s="877"/>
      <c r="BO107" s="879"/>
      <c r="BP107" s="877"/>
      <c r="BQ107" s="877"/>
      <c r="BR107" s="877"/>
      <c r="BS107" s="877"/>
      <c r="BT107" s="886"/>
      <c r="BU107" s="877"/>
      <c r="BV107" s="879"/>
      <c r="BW107" s="886"/>
      <c r="BX107" s="869"/>
      <c r="BY107" s="869"/>
      <c r="BZ107" s="869"/>
      <c r="CA107" s="869"/>
      <c r="CB107" s="869"/>
      <c r="CC107" s="869"/>
      <c r="CD107" s="869"/>
      <c r="CE107" s="869"/>
    </row>
    <row r="108" spans="1:83" s="406" customFormat="1" ht="17.25">
      <c r="A108" s="20" t="s">
        <v>125</v>
      </c>
      <c r="B108" s="93" t="s">
        <v>121</v>
      </c>
      <c r="C108" s="87">
        <f>'Input data plant-based products'!D28</f>
        <v>0.13359801464941912</v>
      </c>
      <c r="D108" s="54"/>
      <c r="E108" s="513" t="s">
        <v>316</v>
      </c>
      <c r="F108" s="872">
        <f>SUMPRODUCT($CJ$6:$CJ$8,F109:F111)</f>
        <v>0.3912537464955308</v>
      </c>
      <c r="G108" s="872">
        <f>SUMPRODUCT($CJ$6:$CJ$8,G109:G111)</f>
        <v>0.84846684652472448</v>
      </c>
      <c r="H108" s="873">
        <f>SUMPRODUCT($CJ$6:$CJ$8,H109:H111)</f>
        <v>3.9055603182483076</v>
      </c>
      <c r="I108" s="1277"/>
      <c r="J108" s="884"/>
      <c r="K108" s="884"/>
      <c r="L108" s="884"/>
      <c r="M108" s="884"/>
      <c r="N108" s="884"/>
      <c r="O108" s="884"/>
      <c r="P108" s="884"/>
      <c r="Q108" s="884"/>
      <c r="R108" s="884"/>
      <c r="S108" s="884"/>
      <c r="T108" s="884"/>
      <c r="U108" s="884"/>
      <c r="V108" s="884"/>
      <c r="W108" s="1278"/>
      <c r="X108" s="869"/>
      <c r="Y108" s="879">
        <f>1/'Input data plant-based products'!E28*10^4</f>
        <v>3.2875258507545948</v>
      </c>
      <c r="Z108" s="877">
        <f>$Y108*'Input data plant-based products'!Z28</f>
        <v>3.2875258507545948</v>
      </c>
      <c r="AA108" s="877">
        <f>$Y108*'Input data plant-based products'!AA28</f>
        <v>8.2188146268864877</v>
      </c>
      <c r="AB108" s="877">
        <f>$Y108*'Input data plant-based products'!AB28</f>
        <v>5.91754653135827</v>
      </c>
      <c r="AC108" s="877">
        <f>$Y108*'Input data plant-based products'!AC28</f>
        <v>6.3554702058955002</v>
      </c>
      <c r="AD108" s="886">
        <f>$Y108*'Input data plant-based products'!AD28</f>
        <v>6.6202814644744787</v>
      </c>
      <c r="AE108" s="877"/>
      <c r="AF108" s="879">
        <f>SUM('Input data plant-based products'!F28,'Input data plant-based products'!Q28)/'Input data plant-based products'!E28</f>
        <v>4.9000000000000002E-2</v>
      </c>
      <c r="AG108" s="877">
        <f>$AF108*'Input data plant-based products'!Z28</f>
        <v>4.9000000000000002E-2</v>
      </c>
      <c r="AH108" s="877">
        <f>$AF108*'Input data plant-based products'!AA28</f>
        <v>0.1225</v>
      </c>
      <c r="AI108" s="877">
        <f>$AF108*'Input data plant-based products'!AB28</f>
        <v>8.8200000000000001E-2</v>
      </c>
      <c r="AJ108" s="877">
        <f>$AF108*'Input data plant-based products'!AC28</f>
        <v>9.4727176066888991E-2</v>
      </c>
      <c r="AK108" s="886">
        <f>$AF108*'Input data plant-based products'!AD28</f>
        <v>9.8674141736342688E-2</v>
      </c>
      <c r="AL108" s="877"/>
      <c r="AM108" s="879">
        <f>'Input data plant-based products'!R28/'Input data plant-based products'!E28</f>
        <v>0.02</v>
      </c>
      <c r="AN108" s="877">
        <f>$AM108*'Input data plant-based products'!Z28</f>
        <v>0.02</v>
      </c>
      <c r="AO108" s="877">
        <f>$AM108*'Input data plant-based products'!AA28</f>
        <v>0.05</v>
      </c>
      <c r="AP108" s="877">
        <f>$AM108*'Input data plant-based products'!AB28</f>
        <v>3.5999999999999997E-2</v>
      </c>
      <c r="AQ108" s="877">
        <f>$AM108*'Input data plant-based products'!AC28</f>
        <v>3.8664153496689384E-2</v>
      </c>
      <c r="AR108" s="886">
        <f>$AM108*'Input data plant-based products'!AD28</f>
        <v>4.0275159892384775E-2</v>
      </c>
      <c r="AS108" s="877"/>
      <c r="AT108" s="879">
        <f>'Input data plant-based products'!S28</f>
        <v>0.23135178696408201</v>
      </c>
      <c r="AU108" s="877">
        <f>$AT108*'Input data plant-based products'!Z28</f>
        <v>0.23135178696408201</v>
      </c>
      <c r="AV108" s="877">
        <f>$AT108*'Input data plant-based products'!AA28</f>
        <v>0.57837946741020507</v>
      </c>
      <c r="AW108" s="877">
        <f>$AT108*'Input data plant-based products'!AB28</f>
        <v>0.41643321653534759</v>
      </c>
      <c r="AX108" s="877">
        <f>$AT108*'Input data plant-based products'!AC28</f>
        <v>0.44725105014563243</v>
      </c>
      <c r="AY108" s="886">
        <f>$AT108*'Input data plant-based products'!AD28</f>
        <v>0.46588651056836711</v>
      </c>
      <c r="AZ108" s="877"/>
      <c r="BA108" s="879">
        <f>((SUM('Input data plant-based products'!U28:Y28)*'Grains, oil crops, sugar'!Y108)/('Common input data'!$B$192/10^6))/$BB$3</f>
        <v>7.5066098167920678E-11</v>
      </c>
      <c r="BB108" s="877">
        <f>$BA108*'Input data plant-based products'!Z28</f>
        <v>7.5066098167920678E-11</v>
      </c>
      <c r="BC108" s="877">
        <f>$BA108*'Input data plant-based products'!AA28</f>
        <v>1.8766524541980171E-10</v>
      </c>
      <c r="BD108" s="877">
        <f>$BA108*'Input data plant-based products'!AB28</f>
        <v>1.3511897670225721E-10</v>
      </c>
      <c r="BE108" s="877">
        <f>$BA108*'Input data plant-based products'!AC28</f>
        <v>1.4511835709810193E-10</v>
      </c>
      <c r="BF108" s="886">
        <f>$BA108*'Input data plant-based products'!AD28</f>
        <v>1.5116495531052285E-10</v>
      </c>
      <c r="BG108" s="877"/>
      <c r="BH108" s="879">
        <f>'Input data plant-based products'!T28/'Input data plant-based products'!E28</f>
        <v>3.8792805038904223E-4</v>
      </c>
      <c r="BI108" s="877">
        <f>$BH108*'Input data plant-based products'!Z28</f>
        <v>3.8792805038904223E-4</v>
      </c>
      <c r="BJ108" s="877">
        <f>$BH108*'Input data plant-based products'!AA28</f>
        <v>9.6982012597260554E-4</v>
      </c>
      <c r="BK108" s="877">
        <f>$BH108*'Input data plant-based products'!AB28</f>
        <v>6.9827049070027595E-4</v>
      </c>
      <c r="BL108" s="877">
        <f>$BH108*'Input data plant-based products'!AC28</f>
        <v>7.4994548429566912E-4</v>
      </c>
      <c r="BM108" s="886">
        <f>$BH108*'Input data plant-based products'!AD28</f>
        <v>7.8119321280798858E-4</v>
      </c>
      <c r="BN108" s="877"/>
      <c r="BO108" s="879">
        <f>('Input data plant-based products'!F28/'Input data plant-based products'!E28*'Common input data'!$B$195+'Input data plant-based products'!G28/'Input data plant-based products'!E28*'Common input data'!$B$196)/'Common input data'!$B$198</f>
        <v>1.2511529235382311E-3</v>
      </c>
      <c r="BP108" s="877">
        <f>$BO108*'Input data plant-based products'!Z28</f>
        <v>1.2511529235382311E-3</v>
      </c>
      <c r="BQ108" s="877">
        <f>$BO108*'Input data plant-based products'!AA28</f>
        <v>3.1278823088455778E-3</v>
      </c>
      <c r="BR108" s="877">
        <f>$BO108*'Input data plant-based products'!AB28</f>
        <v>2.2520752623688156E-3</v>
      </c>
      <c r="BS108" s="877">
        <f>$BO108*'Input data plant-based products'!AC28</f>
        <v>2.4187384341756921E-3</v>
      </c>
      <c r="BT108" s="886">
        <f>$BO108*'Input data plant-based products'!AD28</f>
        <v>2.5195192022663456E-3</v>
      </c>
      <c r="BU108" s="877"/>
      <c r="BV108" s="879">
        <f>('Common input data'!$C$202+'Common input data'!$B$214)*'Input data plant-based products'!AC28</f>
        <v>1.8368694923718849</v>
      </c>
      <c r="BW108" s="886">
        <f>('Common input data'!$C$202+'Common input data'!$B$214)*'Input data plant-based products'!AD28</f>
        <v>1.9134057212207132</v>
      </c>
      <c r="BX108" s="869"/>
      <c r="BY108" s="869"/>
      <c r="BZ108" s="869"/>
      <c r="CA108" s="869"/>
      <c r="CB108" s="869"/>
      <c r="CC108" s="869"/>
      <c r="CD108" s="869"/>
      <c r="CE108" s="869"/>
    </row>
    <row r="109" spans="1:83" s="406" customFormat="1" ht="17.25">
      <c r="A109" s="68"/>
      <c r="B109" s="55"/>
      <c r="C109" s="83"/>
      <c r="D109" s="54"/>
      <c r="E109" s="511" t="s">
        <v>317</v>
      </c>
      <c r="F109" s="877">
        <f>IF(AND($F$2="No",$F$3="No"),SUM(K109:L109),IF(AND($F$2="Yes", $F$3="No"), (SUM(K109:L109)+S109), IF(AND($F$2="No", $F$3="Yes"),(SUM(K109:L109)+R109), (SUM(K109:L109)+S109+R109))))</f>
        <v>0.159771495181245</v>
      </c>
      <c r="G109" s="877">
        <f>IF(AND($F$2="No",$F$3="No"),SUM(I109:Q109),IF(AND($F$2="Yes", $F$3="No"), (SUM(I109:Q109)+S109), IF(AND($F$2="No", $F$3="Yes"),(SUM(I109:Q109)+R109), (SUM(I109:Q109)+S109+R109))))</f>
        <v>0.51987203058247622</v>
      </c>
      <c r="H109" s="357">
        <f>SUM(U109:W109)/(1-'Common input data'!$B$143)</f>
        <v>2.6308712882110998</v>
      </c>
      <c r="I109" s="928">
        <f>I88</f>
        <v>0.18448377260704479</v>
      </c>
      <c r="J109" s="877">
        <f t="shared" ref="J109:T109" si="20">J88</f>
        <v>0.03</v>
      </c>
      <c r="K109" s="877">
        <f t="shared" si="20"/>
        <v>0</v>
      </c>
      <c r="L109" s="877">
        <f t="shared" si="20"/>
        <v>0</v>
      </c>
      <c r="M109" s="877"/>
      <c r="N109" s="877">
        <f t="shared" si="20"/>
        <v>6.1498720382000764E-2</v>
      </c>
      <c r="O109" s="877">
        <f t="shared" si="20"/>
        <v>0</v>
      </c>
      <c r="P109" s="877">
        <f>'Input data plant-based products'!G$309</f>
        <v>0.02</v>
      </c>
      <c r="Q109" s="877">
        <f t="shared" si="20"/>
        <v>6.4118042412185605E-2</v>
      </c>
      <c r="R109" s="877">
        <f t="shared" si="20"/>
        <v>0.159771495181245</v>
      </c>
      <c r="S109" s="877">
        <f t="shared" si="20"/>
        <v>0</v>
      </c>
      <c r="T109" s="877">
        <f t="shared" si="20"/>
        <v>1.3347719999999999E-2</v>
      </c>
      <c r="U109" s="877">
        <f>(G109+T109)*'Input data plant-based products'!C$286*'Common input data'!D$40</f>
        <v>1.9195911020969141</v>
      </c>
      <c r="V109" s="877">
        <f>'Common input data'!B$104</f>
        <v>0.3</v>
      </c>
      <c r="W109" s="878">
        <f>'Common input data'!B119+'Common input data'!C119</f>
        <v>0.23000000000000004</v>
      </c>
      <c r="X109" s="869"/>
      <c r="Y109" s="879"/>
      <c r="Z109" s="877"/>
      <c r="AA109" s="877"/>
      <c r="AB109" s="877"/>
      <c r="AC109" s="877"/>
      <c r="AD109" s="886"/>
      <c r="AE109" s="877"/>
      <c r="AF109" s="879"/>
      <c r="AG109" s="877"/>
      <c r="AH109" s="877"/>
      <c r="AI109" s="877"/>
      <c r="AJ109" s="877"/>
      <c r="AK109" s="886"/>
      <c r="AL109" s="877"/>
      <c r="AM109" s="879"/>
      <c r="AN109" s="877"/>
      <c r="AO109" s="877"/>
      <c r="AP109" s="877"/>
      <c r="AQ109" s="877"/>
      <c r="AR109" s="886"/>
      <c r="AS109" s="877"/>
      <c r="AT109" s="879"/>
      <c r="AU109" s="877"/>
      <c r="AV109" s="877"/>
      <c r="AW109" s="877"/>
      <c r="AX109" s="877"/>
      <c r="AY109" s="886"/>
      <c r="AZ109" s="877"/>
      <c r="BA109" s="879"/>
      <c r="BB109" s="877"/>
      <c r="BC109" s="877"/>
      <c r="BD109" s="877"/>
      <c r="BE109" s="877"/>
      <c r="BF109" s="886"/>
      <c r="BG109" s="877"/>
      <c r="BH109" s="879"/>
      <c r="BI109" s="877"/>
      <c r="BJ109" s="877"/>
      <c r="BK109" s="877"/>
      <c r="BL109" s="877"/>
      <c r="BM109" s="886"/>
      <c r="BN109" s="877"/>
      <c r="BO109" s="879"/>
      <c r="BP109" s="877"/>
      <c r="BQ109" s="877"/>
      <c r="BR109" s="877"/>
      <c r="BS109" s="877"/>
      <c r="BT109" s="886"/>
      <c r="BU109" s="877"/>
      <c r="BV109" s="879"/>
      <c r="BW109" s="886"/>
      <c r="BX109" s="869"/>
      <c r="BY109" s="869"/>
      <c r="BZ109" s="869"/>
      <c r="CA109" s="869"/>
      <c r="CB109" s="869"/>
      <c r="CC109" s="869"/>
      <c r="CD109" s="869"/>
      <c r="CE109" s="869"/>
    </row>
    <row r="110" spans="1:83" s="406" customFormat="1" ht="17.25">
      <c r="A110" s="18"/>
      <c r="B110" s="55"/>
      <c r="C110" s="83"/>
      <c r="D110" s="54"/>
      <c r="E110" s="511" t="s">
        <v>367</v>
      </c>
      <c r="F110" s="877">
        <f>SUM(K110:L110)</f>
        <v>0</v>
      </c>
      <c r="G110" s="877">
        <f>SUM(I110:Q110)</f>
        <v>3.8699638263350509E-4</v>
      </c>
      <c r="H110" s="357">
        <f>SUM(U110:W110)/(1-'Common input data'!$B$143)</f>
        <v>1.7239689628669665E-3</v>
      </c>
      <c r="I110" s="928">
        <f t="shared" ref="I110:T111" si="21">I89</f>
        <v>3.3842632322298501E-4</v>
      </c>
      <c r="J110" s="877">
        <f t="shared" si="21"/>
        <v>0</v>
      </c>
      <c r="K110" s="877">
        <f t="shared" si="21"/>
        <v>0</v>
      </c>
      <c r="L110" s="877">
        <f t="shared" si="21"/>
        <v>0</v>
      </c>
      <c r="M110" s="877"/>
      <c r="N110" s="877">
        <f t="shared" si="21"/>
        <v>2.7241859410520097E-5</v>
      </c>
      <c r="O110" s="877">
        <f t="shared" si="21"/>
        <v>0</v>
      </c>
      <c r="P110" s="877">
        <f t="shared" si="21"/>
        <v>0</v>
      </c>
      <c r="Q110" s="877">
        <f t="shared" si="21"/>
        <v>2.1328200000000007E-5</v>
      </c>
      <c r="R110" s="877">
        <f t="shared" si="21"/>
        <v>0</v>
      </c>
      <c r="S110" s="877">
        <f t="shared" si="21"/>
        <v>0</v>
      </c>
      <c r="T110" s="877">
        <f t="shared" si="21"/>
        <v>5.8886639999999975E-5</v>
      </c>
      <c r="U110" s="877">
        <f>(G110+T110)*'Input data plant-based products'!C$286*'Common input data'!D$40</f>
        <v>1.605178881480618E-3</v>
      </c>
      <c r="V110" s="877">
        <v>0</v>
      </c>
      <c r="W110" s="878">
        <v>0</v>
      </c>
      <c r="X110" s="869"/>
      <c r="Y110" s="879"/>
      <c r="Z110" s="877"/>
      <c r="AA110" s="877"/>
      <c r="AB110" s="877"/>
      <c r="AC110" s="877"/>
      <c r="AD110" s="886"/>
      <c r="AE110" s="877"/>
      <c r="AF110" s="879"/>
      <c r="AG110" s="877"/>
      <c r="AH110" s="877"/>
      <c r="AI110" s="877"/>
      <c r="AJ110" s="877"/>
      <c r="AK110" s="886"/>
      <c r="AL110" s="877"/>
      <c r="AM110" s="879"/>
      <c r="AN110" s="877"/>
      <c r="AO110" s="877"/>
      <c r="AP110" s="877"/>
      <c r="AQ110" s="877"/>
      <c r="AR110" s="886"/>
      <c r="AS110" s="877"/>
      <c r="AT110" s="879"/>
      <c r="AU110" s="877"/>
      <c r="AV110" s="877"/>
      <c r="AW110" s="877"/>
      <c r="AX110" s="877"/>
      <c r="AY110" s="886"/>
      <c r="AZ110" s="877"/>
      <c r="BA110" s="879"/>
      <c r="BB110" s="877"/>
      <c r="BC110" s="877"/>
      <c r="BD110" s="877"/>
      <c r="BE110" s="877"/>
      <c r="BF110" s="886"/>
      <c r="BG110" s="877"/>
      <c r="BH110" s="879"/>
      <c r="BI110" s="877"/>
      <c r="BJ110" s="877"/>
      <c r="BK110" s="877"/>
      <c r="BL110" s="877"/>
      <c r="BM110" s="886"/>
      <c r="BN110" s="877"/>
      <c r="BO110" s="879"/>
      <c r="BP110" s="877"/>
      <c r="BQ110" s="877"/>
      <c r="BR110" s="877"/>
      <c r="BS110" s="877"/>
      <c r="BT110" s="886"/>
      <c r="BU110" s="877"/>
      <c r="BV110" s="879"/>
      <c r="BW110" s="886"/>
      <c r="BX110" s="869"/>
      <c r="BY110" s="869"/>
      <c r="BZ110" s="869"/>
      <c r="CA110" s="869"/>
      <c r="CB110" s="869"/>
      <c r="CC110" s="869"/>
      <c r="CD110" s="869"/>
      <c r="CE110" s="869"/>
    </row>
    <row r="111" spans="1:83" s="406" customFormat="1" ht="17.25">
      <c r="A111" s="359"/>
      <c r="B111" s="360"/>
      <c r="C111" s="83"/>
      <c r="D111" s="54"/>
      <c r="E111" s="514" t="s">
        <v>320</v>
      </c>
      <c r="F111" s="877">
        <f>SUM(K111:L111)</f>
        <v>9.9348605714285731E-4</v>
      </c>
      <c r="G111" s="877">
        <f>SUM(I111:Q111)</f>
        <v>1.402471815209746E-3</v>
      </c>
      <c r="H111" s="373">
        <f>SUM(U111:W111)/(1-'Common input data'!$B$143)</f>
        <v>5.4359930296640907E-3</v>
      </c>
      <c r="I111" s="932">
        <f t="shared" si="21"/>
        <v>4.0534500127285188E-4</v>
      </c>
      <c r="J111" s="896">
        <f t="shared" si="21"/>
        <v>0</v>
      </c>
      <c r="K111" s="896">
        <f t="shared" si="21"/>
        <v>9.03169142857143E-4</v>
      </c>
      <c r="L111" s="896">
        <f t="shared" si="21"/>
        <v>9.0316914285714311E-5</v>
      </c>
      <c r="M111" s="896"/>
      <c r="N111" s="896">
        <f t="shared" si="21"/>
        <v>1.6524945940369016E-6</v>
      </c>
      <c r="O111" s="896">
        <f t="shared" si="21"/>
        <v>0</v>
      </c>
      <c r="P111" s="896">
        <f t="shared" si="21"/>
        <v>0</v>
      </c>
      <c r="Q111" s="896">
        <f t="shared" si="21"/>
        <v>1.9882622000000002E-6</v>
      </c>
      <c r="R111" s="896">
        <f t="shared" si="21"/>
        <v>0</v>
      </c>
      <c r="S111" s="896">
        <f t="shared" si="21"/>
        <v>0</v>
      </c>
      <c r="T111" s="896">
        <f t="shared" si="21"/>
        <v>3.4798319999999972E-6</v>
      </c>
      <c r="U111" s="896">
        <f>(G111+T111)*'Input data plant-based products'!C$286*'Common input data'!D$40</f>
        <v>5.0614259299550856E-3</v>
      </c>
      <c r="V111" s="896">
        <v>0</v>
      </c>
      <c r="W111" s="933">
        <v>0</v>
      </c>
      <c r="X111" s="869"/>
      <c r="Y111" s="879"/>
      <c r="Z111" s="877"/>
      <c r="AA111" s="877"/>
      <c r="AB111" s="877"/>
      <c r="AC111" s="877"/>
      <c r="AD111" s="886"/>
      <c r="AE111" s="877"/>
      <c r="AF111" s="879"/>
      <c r="AG111" s="877"/>
      <c r="AH111" s="877"/>
      <c r="AI111" s="877"/>
      <c r="AJ111" s="877"/>
      <c r="AK111" s="886"/>
      <c r="AL111" s="877"/>
      <c r="AM111" s="879"/>
      <c r="AN111" s="877"/>
      <c r="AO111" s="877"/>
      <c r="AP111" s="877"/>
      <c r="AQ111" s="877"/>
      <c r="AR111" s="886"/>
      <c r="AS111" s="877"/>
      <c r="AT111" s="879"/>
      <c r="AU111" s="877"/>
      <c r="AV111" s="877"/>
      <c r="AW111" s="877"/>
      <c r="AX111" s="877"/>
      <c r="AY111" s="886"/>
      <c r="AZ111" s="877"/>
      <c r="BA111" s="879"/>
      <c r="BB111" s="877"/>
      <c r="BC111" s="877"/>
      <c r="BD111" s="877"/>
      <c r="BE111" s="877"/>
      <c r="BF111" s="886"/>
      <c r="BG111" s="877"/>
      <c r="BH111" s="879"/>
      <c r="BI111" s="877"/>
      <c r="BJ111" s="877"/>
      <c r="BK111" s="877"/>
      <c r="BL111" s="877"/>
      <c r="BM111" s="886"/>
      <c r="BN111" s="877"/>
      <c r="BO111" s="879"/>
      <c r="BP111" s="877"/>
      <c r="BQ111" s="877"/>
      <c r="BR111" s="877"/>
      <c r="BS111" s="877"/>
      <c r="BT111" s="886"/>
      <c r="BU111" s="877"/>
      <c r="BV111" s="879"/>
      <c r="BW111" s="886"/>
      <c r="BX111" s="869"/>
      <c r="BY111" s="869"/>
      <c r="BZ111" s="869"/>
      <c r="CA111" s="869"/>
      <c r="CB111" s="869"/>
      <c r="CC111" s="869"/>
      <c r="CD111" s="869"/>
      <c r="CE111" s="869"/>
    </row>
    <row r="112" spans="1:83" s="406" customFormat="1" ht="17.25">
      <c r="A112" s="362" t="s">
        <v>452</v>
      </c>
      <c r="B112" s="363"/>
      <c r="C112" s="770"/>
      <c r="D112" s="54"/>
      <c r="E112" s="939"/>
      <c r="F112" s="892" t="s">
        <v>453</v>
      </c>
      <c r="G112" s="892" t="s">
        <v>453</v>
      </c>
      <c r="H112" s="970" t="s">
        <v>454</v>
      </c>
      <c r="I112" s="1281"/>
      <c r="J112" s="966"/>
      <c r="K112" s="966"/>
      <c r="L112" s="966"/>
      <c r="M112" s="966"/>
      <c r="N112" s="966"/>
      <c r="O112" s="968"/>
      <c r="P112" s="966"/>
      <c r="Q112" s="966"/>
      <c r="R112" s="966"/>
      <c r="S112" s="966"/>
      <c r="T112" s="966"/>
      <c r="U112" s="966"/>
      <c r="V112" s="966"/>
      <c r="W112" s="1282"/>
      <c r="X112" s="869"/>
      <c r="Y112" s="879"/>
      <c r="Z112" s="877"/>
      <c r="AA112" s="877"/>
      <c r="AB112" s="877"/>
      <c r="AC112" s="877"/>
      <c r="AD112" s="886"/>
      <c r="AE112" s="877"/>
      <c r="AF112" s="879"/>
      <c r="AG112" s="877"/>
      <c r="AH112" s="877"/>
      <c r="AI112" s="877"/>
      <c r="AJ112" s="877"/>
      <c r="AK112" s="886"/>
      <c r="AL112" s="877"/>
      <c r="AM112" s="879"/>
      <c r="AN112" s="877"/>
      <c r="AO112" s="877"/>
      <c r="AP112" s="877"/>
      <c r="AQ112" s="877"/>
      <c r="AR112" s="886"/>
      <c r="AS112" s="877"/>
      <c r="AT112" s="879"/>
      <c r="AU112" s="877"/>
      <c r="AV112" s="877"/>
      <c r="AW112" s="877"/>
      <c r="AX112" s="877"/>
      <c r="AY112" s="886"/>
      <c r="AZ112" s="877"/>
      <c r="BA112" s="879"/>
      <c r="BB112" s="877"/>
      <c r="BC112" s="877"/>
      <c r="BD112" s="877"/>
      <c r="BE112" s="877"/>
      <c r="BF112" s="886"/>
      <c r="BG112" s="877"/>
      <c r="BH112" s="879"/>
      <c r="BI112" s="877"/>
      <c r="BJ112" s="877"/>
      <c r="BK112" s="877"/>
      <c r="BL112" s="877"/>
      <c r="BM112" s="886"/>
      <c r="BN112" s="877"/>
      <c r="BO112" s="879"/>
      <c r="BP112" s="877"/>
      <c r="BQ112" s="877"/>
      <c r="BR112" s="877"/>
      <c r="BS112" s="877"/>
      <c r="BT112" s="886"/>
      <c r="BU112" s="877"/>
      <c r="BV112" s="879"/>
      <c r="BW112" s="886"/>
      <c r="BX112" s="869"/>
      <c r="BY112" s="869"/>
      <c r="BZ112" s="869"/>
      <c r="CA112" s="869"/>
      <c r="CB112" s="869"/>
      <c r="CC112" s="869"/>
      <c r="CD112" s="869"/>
      <c r="CE112" s="869"/>
    </row>
    <row r="113" spans="1:83" s="406" customFormat="1" ht="17.25">
      <c r="A113" s="108" t="s">
        <v>120</v>
      </c>
      <c r="B113" s="93"/>
      <c r="C113" s="771">
        <f>SUM(C117:C132)</f>
        <v>0.99999999999999989</v>
      </c>
      <c r="D113" s="50"/>
      <c r="E113" s="513" t="s">
        <v>316</v>
      </c>
      <c r="F113" s="872">
        <f>SUMPRODUCT($CJ$6:$CJ$8,F114:F116)</f>
        <v>2.0408792166971695E-3</v>
      </c>
      <c r="G113" s="872">
        <f>SUMPRODUCT($CJ$6:$CJ$8,G114:G116)</f>
        <v>0.33161385990559439</v>
      </c>
      <c r="H113" s="873">
        <f>SUMPRODUCT($CJ$6:$CJ$8,H114:H116)</f>
        <v>2.4384728324866711</v>
      </c>
      <c r="I113" s="930"/>
      <c r="J113" s="884"/>
      <c r="K113" s="884"/>
      <c r="L113" s="884"/>
      <c r="M113" s="884"/>
      <c r="N113" s="884"/>
      <c r="O113" s="884"/>
      <c r="P113" s="884"/>
      <c r="Q113" s="884"/>
      <c r="R113" s="884"/>
      <c r="S113" s="884"/>
      <c r="T113" s="884"/>
      <c r="U113" s="884"/>
      <c r="V113" s="884"/>
      <c r="W113" s="1278"/>
      <c r="X113" s="869"/>
      <c r="Y113" s="883">
        <f t="shared" ref="Y113:BT113" si="22">Y117*$C$117+Y121*$C$121+Y125*$C$125+Y129*$C$129</f>
        <v>4.2095494605763859</v>
      </c>
      <c r="Z113" s="884">
        <f t="shared" si="22"/>
        <v>4.2095494605763859</v>
      </c>
      <c r="AA113" s="884">
        <f t="shared" si="22"/>
        <v>21.047747302881927</v>
      </c>
      <c r="AB113" s="884">
        <f t="shared" si="22"/>
        <v>21.047747302881927</v>
      </c>
      <c r="AC113" s="884">
        <f t="shared" si="22"/>
        <v>25.119641130065553</v>
      </c>
      <c r="AD113" s="885">
        <f t="shared" si="22"/>
        <v>26.166292843818294</v>
      </c>
      <c r="AE113" s="877"/>
      <c r="AF113" s="883">
        <f t="shared" si="22"/>
        <v>1.5854548740180094E-2</v>
      </c>
      <c r="AG113" s="884">
        <f t="shared" si="22"/>
        <v>1.5854548740180094E-2</v>
      </c>
      <c r="AH113" s="884">
        <f t="shared" si="22"/>
        <v>7.9272743700900469E-2</v>
      </c>
      <c r="AI113" s="884">
        <f t="shared" si="22"/>
        <v>7.9272743700900469E-2</v>
      </c>
      <c r="AJ113" s="884">
        <f t="shared" si="22"/>
        <v>9.4608836019692666E-2</v>
      </c>
      <c r="AK113" s="885">
        <f t="shared" si="22"/>
        <v>9.855087085384652E-2</v>
      </c>
      <c r="AL113" s="877"/>
      <c r="AM113" s="883">
        <f t="shared" si="22"/>
        <v>8.8142420351989999E-3</v>
      </c>
      <c r="AN113" s="884">
        <f t="shared" si="22"/>
        <v>8.8142420351989999E-3</v>
      </c>
      <c r="AO113" s="884">
        <f t="shared" si="22"/>
        <v>4.4071210175994996E-2</v>
      </c>
      <c r="AP113" s="884">
        <f t="shared" si="22"/>
        <v>4.4071210175994996E-2</v>
      </c>
      <c r="AQ113" s="884">
        <f t="shared" si="22"/>
        <v>5.259721944861559E-2</v>
      </c>
      <c r="AR113" s="885">
        <f t="shared" si="22"/>
        <v>5.4788770258974571E-2</v>
      </c>
      <c r="AS113" s="877"/>
      <c r="AT113" s="883">
        <f t="shared" si="22"/>
        <v>0.25912038037803747</v>
      </c>
      <c r="AU113" s="884">
        <f t="shared" si="22"/>
        <v>0.25912038037803747</v>
      </c>
      <c r="AV113" s="884">
        <f t="shared" si="22"/>
        <v>1.2956019018901872</v>
      </c>
      <c r="AW113" s="884">
        <f t="shared" si="22"/>
        <v>1.2956019018901872</v>
      </c>
      <c r="AX113" s="884">
        <f t="shared" si="22"/>
        <v>1.5462488386325186</v>
      </c>
      <c r="AY113" s="885">
        <f t="shared" si="22"/>
        <v>1.6106758735755402</v>
      </c>
      <c r="AZ113" s="877"/>
      <c r="BA113" s="883">
        <f t="shared" si="22"/>
        <v>5.2052997187658575E-9</v>
      </c>
      <c r="BB113" s="884">
        <f t="shared" si="22"/>
        <v>5.2052997187658575E-9</v>
      </c>
      <c r="BC113" s="884">
        <f t="shared" si="22"/>
        <v>2.6026498593829287E-8</v>
      </c>
      <c r="BD113" s="884">
        <f t="shared" si="22"/>
        <v>2.6026498593829287E-8</v>
      </c>
      <c r="BE113" s="884">
        <f t="shared" si="22"/>
        <v>3.1061580849539664E-8</v>
      </c>
      <c r="BF113" s="885">
        <f t="shared" si="22"/>
        <v>3.2355813384937159E-8</v>
      </c>
      <c r="BG113" s="877"/>
      <c r="BH113" s="883">
        <f t="shared" si="22"/>
        <v>4.5560172905310019E-3</v>
      </c>
      <c r="BI113" s="884">
        <f t="shared" si="22"/>
        <v>4.5560172905310019E-3</v>
      </c>
      <c r="BJ113" s="884">
        <f t="shared" si="22"/>
        <v>2.2780086452655005E-2</v>
      </c>
      <c r="BK113" s="884">
        <f t="shared" si="22"/>
        <v>2.2780086452655005E-2</v>
      </c>
      <c r="BL113" s="884">
        <f t="shared" si="22"/>
        <v>2.7187118334711782E-2</v>
      </c>
      <c r="BM113" s="885">
        <f t="shared" si="22"/>
        <v>2.8319914931991444E-2</v>
      </c>
      <c r="BN113" s="877"/>
      <c r="BO113" s="883">
        <f t="shared" si="22"/>
        <v>1.0033006827713106E-3</v>
      </c>
      <c r="BP113" s="884">
        <f t="shared" si="22"/>
        <v>1.0033006827713106E-3</v>
      </c>
      <c r="BQ113" s="884">
        <f t="shared" si="22"/>
        <v>5.0165034138565535E-3</v>
      </c>
      <c r="BR113" s="884">
        <f t="shared" si="22"/>
        <v>5.0165034138565535E-3</v>
      </c>
      <c r="BS113" s="884">
        <f t="shared" si="22"/>
        <v>5.9869953620438621E-3</v>
      </c>
      <c r="BT113" s="885">
        <f t="shared" si="22"/>
        <v>6.2364535021290244E-3</v>
      </c>
      <c r="BU113" s="877"/>
      <c r="BV113" s="883">
        <f>BV117*$C$117+BV121*$C$121+BV125*$C$125+BV129*$C$129</f>
        <v>6.9007168245735491</v>
      </c>
      <c r="BW113" s="885">
        <f>BW117*$C$117+BW121*$C$121+BW125*$C$125+BW129*$C$129</f>
        <v>7.1882466922641148</v>
      </c>
      <c r="BX113" s="869"/>
      <c r="BY113" s="869"/>
      <c r="BZ113" s="869"/>
      <c r="CA113" s="869"/>
      <c r="CB113" s="869"/>
      <c r="CC113" s="869"/>
      <c r="CD113" s="869"/>
      <c r="CE113" s="869"/>
    </row>
    <row r="114" spans="1:83" s="406" customFormat="1" ht="17.25">
      <c r="A114" s="195"/>
      <c r="B114" s="55"/>
      <c r="C114" s="64"/>
      <c r="D114"/>
      <c r="E114" s="511" t="s">
        <v>317</v>
      </c>
      <c r="F114" s="877">
        <f t="shared" ref="F114:W116" si="23">F118*$C$117+F122*$C$121+$C$125*F126+$C$129*F130</f>
        <v>-9.1139048141381282E-2</v>
      </c>
      <c r="G114" s="877">
        <f t="shared" si="23"/>
        <v>0.20604638748654985</v>
      </c>
      <c r="H114" s="878">
        <f t="shared" si="23"/>
        <v>1.7583325649358597</v>
      </c>
      <c r="I114" s="928">
        <f t="shared" si="23"/>
        <v>5.9691978868789637E-2</v>
      </c>
      <c r="J114" s="877">
        <f t="shared" si="23"/>
        <v>3.0000000000000002E-2</v>
      </c>
      <c r="K114" s="877">
        <f t="shared" si="23"/>
        <v>0</v>
      </c>
      <c r="L114" s="877">
        <f t="shared" si="23"/>
        <v>0</v>
      </c>
      <c r="M114" s="877"/>
      <c r="N114" s="877">
        <f t="shared" si="23"/>
        <v>0.15749345675914148</v>
      </c>
      <c r="O114" s="877">
        <f t="shared" si="23"/>
        <v>0</v>
      </c>
      <c r="P114" s="877">
        <f t="shared" si="23"/>
        <v>4.9999999999999996E-2</v>
      </c>
      <c r="Q114" s="877">
        <f t="shared" si="23"/>
        <v>0</v>
      </c>
      <c r="R114" s="877">
        <f t="shared" si="23"/>
        <v>-9.1139048141381282E-2</v>
      </c>
      <c r="S114" s="877">
        <f t="shared" si="23"/>
        <v>0</v>
      </c>
      <c r="T114" s="877">
        <f t="shared" si="23"/>
        <v>1.3347719999999997E-2</v>
      </c>
      <c r="U114" s="877">
        <f t="shared" si="23"/>
        <v>1.0969705374327492</v>
      </c>
      <c r="V114" s="877">
        <f t="shared" si="23"/>
        <v>0.29999999999999993</v>
      </c>
      <c r="W114" s="878">
        <f t="shared" si="23"/>
        <v>0.24020412211620479</v>
      </c>
      <c r="X114" s="869"/>
      <c r="Y114" s="879"/>
      <c r="Z114" s="877"/>
      <c r="AA114" s="877"/>
      <c r="AB114" s="877"/>
      <c r="AC114" s="877"/>
      <c r="AD114" s="886"/>
      <c r="AE114" s="877"/>
      <c r="AF114" s="879"/>
      <c r="AG114" s="877"/>
      <c r="AH114" s="877"/>
      <c r="AI114" s="877"/>
      <c r="AJ114" s="877"/>
      <c r="AK114" s="886"/>
      <c r="AL114" s="877"/>
      <c r="AM114" s="879"/>
      <c r="AN114" s="877"/>
      <c r="AO114" s="877"/>
      <c r="AP114" s="877"/>
      <c r="AQ114" s="877"/>
      <c r="AR114" s="886"/>
      <c r="AS114" s="877"/>
      <c r="AT114" s="879"/>
      <c r="AU114" s="877"/>
      <c r="AV114" s="877"/>
      <c r="AW114" s="877"/>
      <c r="AX114" s="877"/>
      <c r="AY114" s="886"/>
      <c r="AZ114" s="877"/>
      <c r="BA114" s="879"/>
      <c r="BB114" s="877"/>
      <c r="BC114" s="877"/>
      <c r="BD114" s="877"/>
      <c r="BE114" s="877"/>
      <c r="BF114" s="886"/>
      <c r="BG114" s="877"/>
      <c r="BH114" s="879"/>
      <c r="BI114" s="877"/>
      <c r="BJ114" s="877"/>
      <c r="BK114" s="877"/>
      <c r="BL114" s="877"/>
      <c r="BM114" s="886"/>
      <c r="BN114" s="877"/>
      <c r="BO114" s="879"/>
      <c r="BP114" s="877"/>
      <c r="BQ114" s="877"/>
      <c r="BR114" s="877"/>
      <c r="BS114" s="877"/>
      <c r="BT114" s="886"/>
      <c r="BU114" s="877"/>
      <c r="BV114" s="879"/>
      <c r="BW114" s="886"/>
      <c r="BX114" s="869"/>
      <c r="BY114" s="869"/>
      <c r="BZ114" s="869"/>
      <c r="CA114" s="869"/>
      <c r="CB114" s="869"/>
      <c r="CC114" s="869"/>
      <c r="CD114" s="869"/>
      <c r="CE114" s="869"/>
    </row>
    <row r="115" spans="1:83" s="406" customFormat="1" ht="17.25">
      <c r="A115" s="195"/>
      <c r="B115" s="55"/>
      <c r="C115" s="595"/>
      <c r="D115" s="50"/>
      <c r="E115" s="511" t="s">
        <v>367</v>
      </c>
      <c r="F115" s="877">
        <f t="shared" si="23"/>
        <v>0</v>
      </c>
      <c r="G115" s="877">
        <f t="shared" si="23"/>
        <v>1.7926626288484982E-4</v>
      </c>
      <c r="H115" s="878">
        <f t="shared" si="23"/>
        <v>1.2788861656697213E-3</v>
      </c>
      <c r="I115" s="928">
        <f t="shared" si="23"/>
        <v>1.0950197217344404E-4</v>
      </c>
      <c r="J115" s="877">
        <f t="shared" si="23"/>
        <v>0</v>
      </c>
      <c r="K115" s="877">
        <f t="shared" si="23"/>
        <v>0</v>
      </c>
      <c r="L115" s="877">
        <f t="shared" si="23"/>
        <v>0</v>
      </c>
      <c r="M115" s="877"/>
      <c r="N115" s="877">
        <f t="shared" si="23"/>
        <v>6.9764290711405799E-5</v>
      </c>
      <c r="O115" s="877">
        <f t="shared" si="23"/>
        <v>0</v>
      </c>
      <c r="P115" s="877">
        <f t="shared" si="23"/>
        <v>0</v>
      </c>
      <c r="Q115" s="877">
        <f t="shared" si="23"/>
        <v>0</v>
      </c>
      <c r="R115" s="877">
        <f t="shared" si="23"/>
        <v>0</v>
      </c>
      <c r="S115" s="877">
        <f t="shared" si="23"/>
        <v>0</v>
      </c>
      <c r="T115" s="877">
        <f t="shared" si="23"/>
        <v>5.8886639999999975E-5</v>
      </c>
      <c r="U115" s="877">
        <f t="shared" si="23"/>
        <v>1.1907645144242493E-3</v>
      </c>
      <c r="V115" s="877">
        <f t="shared" si="23"/>
        <v>0</v>
      </c>
      <c r="W115" s="878">
        <f t="shared" si="23"/>
        <v>0</v>
      </c>
      <c r="X115" s="869"/>
      <c r="Y115" s="879"/>
      <c r="Z115" s="877"/>
      <c r="AA115" s="877"/>
      <c r="AB115" s="877"/>
      <c r="AC115" s="877"/>
      <c r="AD115" s="886"/>
      <c r="AE115" s="877"/>
      <c r="AF115" s="879"/>
      <c r="AG115" s="877"/>
      <c r="AH115" s="877"/>
      <c r="AI115" s="877"/>
      <c r="AJ115" s="877"/>
      <c r="AK115" s="886"/>
      <c r="AL115" s="877"/>
      <c r="AM115" s="879"/>
      <c r="AN115" s="877"/>
      <c r="AO115" s="877"/>
      <c r="AP115" s="877"/>
      <c r="AQ115" s="877"/>
      <c r="AR115" s="886"/>
      <c r="AS115" s="877"/>
      <c r="AT115" s="879"/>
      <c r="AU115" s="877"/>
      <c r="AV115" s="877"/>
      <c r="AW115" s="877"/>
      <c r="AX115" s="877"/>
      <c r="AY115" s="886"/>
      <c r="AZ115" s="877"/>
      <c r="BA115" s="879"/>
      <c r="BB115" s="877"/>
      <c r="BC115" s="877"/>
      <c r="BD115" s="877"/>
      <c r="BE115" s="877"/>
      <c r="BF115" s="886"/>
      <c r="BG115" s="877"/>
      <c r="BH115" s="879"/>
      <c r="BI115" s="877"/>
      <c r="BJ115" s="877"/>
      <c r="BK115" s="877"/>
      <c r="BL115" s="877"/>
      <c r="BM115" s="886"/>
      <c r="BN115" s="877"/>
      <c r="BO115" s="879"/>
      <c r="BP115" s="877"/>
      <c r="BQ115" s="877"/>
      <c r="BR115" s="877"/>
      <c r="BS115" s="877"/>
      <c r="BT115" s="886"/>
      <c r="BU115" s="877"/>
      <c r="BV115" s="879"/>
      <c r="BW115" s="886"/>
      <c r="BX115" s="869"/>
      <c r="BY115" s="869"/>
      <c r="BZ115" s="869"/>
      <c r="CA115" s="869"/>
      <c r="CB115" s="869"/>
      <c r="CC115" s="869"/>
      <c r="CD115" s="869"/>
      <c r="CE115" s="869"/>
    </row>
    <row r="116" spans="1:83" s="406" customFormat="1" ht="17.25">
      <c r="A116" s="18"/>
      <c r="B116" s="360"/>
      <c r="C116" s="83"/>
      <c r="D116" s="54"/>
      <c r="E116" s="512" t="s">
        <v>320</v>
      </c>
      <c r="F116" s="877">
        <f t="shared" si="23"/>
        <v>3.9991385132222512E-4</v>
      </c>
      <c r="G116" s="877">
        <f t="shared" si="23"/>
        <v>5.3530009005787885E-4</v>
      </c>
      <c r="H116" s="878">
        <f t="shared" si="23"/>
        <v>2.8932596676916897E-3</v>
      </c>
      <c r="I116" s="928">
        <f t="shared" si="23"/>
        <v>1.3115432814834267E-4</v>
      </c>
      <c r="J116" s="877">
        <f t="shared" si="23"/>
        <v>0</v>
      </c>
      <c r="K116" s="877">
        <f t="shared" si="23"/>
        <v>3.6355804665656836E-4</v>
      </c>
      <c r="L116" s="877">
        <f t="shared" si="23"/>
        <v>3.6355804665656826E-5</v>
      </c>
      <c r="M116" s="877"/>
      <c r="N116" s="877">
        <f t="shared" si="23"/>
        <v>4.2319105873109675E-6</v>
      </c>
      <c r="O116" s="877">
        <f t="shared" si="23"/>
        <v>0</v>
      </c>
      <c r="P116" s="877">
        <f t="shared" si="23"/>
        <v>0</v>
      </c>
      <c r="Q116" s="877">
        <f t="shared" si="23"/>
        <v>0</v>
      </c>
      <c r="R116" s="877">
        <f t="shared" si="23"/>
        <v>0</v>
      </c>
      <c r="S116" s="877">
        <f t="shared" si="23"/>
        <v>0</v>
      </c>
      <c r="T116" s="877">
        <f t="shared" si="23"/>
        <v>3.4798319999999968E-6</v>
      </c>
      <c r="U116" s="877">
        <f t="shared" si="23"/>
        <v>2.6938996102893937E-3</v>
      </c>
      <c r="V116" s="877">
        <f t="shared" si="23"/>
        <v>0</v>
      </c>
      <c r="W116" s="878">
        <f t="shared" si="23"/>
        <v>0</v>
      </c>
      <c r="X116" s="869"/>
      <c r="Y116" s="879"/>
      <c r="Z116" s="877"/>
      <c r="AA116" s="877"/>
      <c r="AB116" s="877"/>
      <c r="AC116" s="877"/>
      <c r="AD116" s="886"/>
      <c r="AE116" s="877"/>
      <c r="AF116" s="879"/>
      <c r="AG116" s="877"/>
      <c r="AH116" s="877"/>
      <c r="AI116" s="877"/>
      <c r="AJ116" s="877"/>
      <c r="AK116" s="886"/>
      <c r="AL116" s="877"/>
      <c r="AM116" s="879"/>
      <c r="AN116" s="877"/>
      <c r="AO116" s="877"/>
      <c r="AP116" s="877"/>
      <c r="AQ116" s="877"/>
      <c r="AR116" s="886"/>
      <c r="AS116" s="877"/>
      <c r="AT116" s="879"/>
      <c r="AU116" s="877"/>
      <c r="AV116" s="877"/>
      <c r="AW116" s="877"/>
      <c r="AX116" s="877"/>
      <c r="AY116" s="886"/>
      <c r="AZ116" s="877"/>
      <c r="BA116" s="879"/>
      <c r="BB116" s="877"/>
      <c r="BC116" s="877"/>
      <c r="BD116" s="877"/>
      <c r="BE116" s="877"/>
      <c r="BF116" s="886"/>
      <c r="BG116" s="877"/>
      <c r="BH116" s="879"/>
      <c r="BI116" s="877"/>
      <c r="BJ116" s="877"/>
      <c r="BK116" s="877"/>
      <c r="BL116" s="877"/>
      <c r="BM116" s="886"/>
      <c r="BN116" s="877"/>
      <c r="BO116" s="879"/>
      <c r="BP116" s="877"/>
      <c r="BQ116" s="877"/>
      <c r="BR116" s="877"/>
      <c r="BS116" s="877"/>
      <c r="BT116" s="886"/>
      <c r="BU116" s="877"/>
      <c r="BV116" s="879"/>
      <c r="BW116" s="886"/>
      <c r="BX116" s="869"/>
      <c r="BY116" s="869"/>
      <c r="BZ116" s="869"/>
      <c r="CA116" s="869"/>
      <c r="CB116" s="869"/>
      <c r="CC116" s="869"/>
      <c r="CD116" s="869"/>
      <c r="CE116" s="869"/>
    </row>
    <row r="117" spans="1:83" s="406" customFormat="1" ht="17.25">
      <c r="A117" s="108" t="s">
        <v>178</v>
      </c>
      <c r="B117" s="93" t="s">
        <v>121</v>
      </c>
      <c r="C117" s="87">
        <f>'Input data plant-based products'!D149</f>
        <v>0.10204122116204796</v>
      </c>
      <c r="D117" s="54"/>
      <c r="E117" s="513" t="s">
        <v>316</v>
      </c>
      <c r="F117" s="872">
        <f>SUMPRODUCT($CJ$6:$CJ$8,F118:F120)</f>
        <v>-1.3359745291080041E-2</v>
      </c>
      <c r="G117" s="872">
        <f>SUMPRODUCT($CJ$6:$CJ$8,G118:G120)</f>
        <v>0.25405906547400664</v>
      </c>
      <c r="H117" s="873">
        <f>SUMPRODUCT($CJ$6:$CJ$8,H118:H120)</f>
        <v>2.1184430887181578</v>
      </c>
      <c r="I117" s="1277"/>
      <c r="J117" s="884"/>
      <c r="K117" s="884"/>
      <c r="L117" s="884"/>
      <c r="M117" s="884"/>
      <c r="N117" s="884"/>
      <c r="O117" s="884"/>
      <c r="P117" s="884"/>
      <c r="Q117" s="884"/>
      <c r="R117" s="884"/>
      <c r="S117" s="884"/>
      <c r="T117" s="884"/>
      <c r="U117" s="884"/>
      <c r="V117" s="884"/>
      <c r="W117" s="1278"/>
      <c r="X117" s="869"/>
      <c r="Y117" s="879">
        <f>1/'Input data plant-based products'!E149*10^4</f>
        <v>3.1363496653514908</v>
      </c>
      <c r="Z117" s="877">
        <f>$Y117*'Input data plant-based products'!Z149</f>
        <v>3.1363496653514908</v>
      </c>
      <c r="AA117" s="877">
        <f>$Y117*'Input data plant-based products'!AA149</f>
        <v>15.681748326757454</v>
      </c>
      <c r="AB117" s="877">
        <f>$Y117*'Input data plant-based products'!AB149</f>
        <v>15.681748326757454</v>
      </c>
      <c r="AC117" s="877">
        <f>$Y117*'Input data plant-based products'!AC149</f>
        <v>18.715536850170015</v>
      </c>
      <c r="AD117" s="886">
        <f>$Y117*'Input data plant-based products'!AD149</f>
        <v>19.495350885593766</v>
      </c>
      <c r="AE117" s="877"/>
      <c r="AF117" s="879">
        <f>SUM('Input data plant-based products'!F149,'Input data plant-based products'!Q149)/'Input data plant-based products'!E149</f>
        <v>1.2069820521763131E-2</v>
      </c>
      <c r="AG117" s="877">
        <f>$AF117*'Input data plant-based products'!Z149</f>
        <v>1.2069820521763131E-2</v>
      </c>
      <c r="AH117" s="877">
        <f>$AF117*'Input data plant-based products'!AA149</f>
        <v>6.0349102608815652E-2</v>
      </c>
      <c r="AI117" s="877">
        <f>$AF117*'Input data plant-based products'!AB149</f>
        <v>6.0349102608815652E-2</v>
      </c>
      <c r="AJ117" s="877">
        <f>$AF117*'Input data plant-based products'!AC149</f>
        <v>7.2024230348270268E-2</v>
      </c>
      <c r="AK117" s="886">
        <f>$AF117*'Input data plant-based products'!AD149</f>
        <v>7.5025239946114874E-2</v>
      </c>
      <c r="AL117" s="877"/>
      <c r="AM117" s="879">
        <f>'Input data plant-based products'!R149/'Input data plant-based products'!E149</f>
        <v>1.2069820521763131E-2</v>
      </c>
      <c r="AN117" s="877">
        <f>$AM117*'Input data plant-based products'!Z149</f>
        <v>1.2069820521763131E-2</v>
      </c>
      <c r="AO117" s="877">
        <f>$AM117*'Input data plant-based products'!AA149</f>
        <v>6.0349102608815652E-2</v>
      </c>
      <c r="AP117" s="877">
        <f>$AM117*'Input data plant-based products'!AB149</f>
        <v>6.0349102608815652E-2</v>
      </c>
      <c r="AQ117" s="877">
        <f>$AM117*'Input data plant-based products'!AC149</f>
        <v>7.2024230348270268E-2</v>
      </c>
      <c r="AR117" s="886">
        <f>$AM117*'Input data plant-based products'!AD149</f>
        <v>7.5025239946114874E-2</v>
      </c>
      <c r="AS117" s="877"/>
      <c r="AT117" s="879">
        <f>'Input data plant-based products'!S149</f>
        <v>0.218</v>
      </c>
      <c r="AU117" s="877">
        <f>$AT117*'Input data plant-based products'!Z149</f>
        <v>0.218</v>
      </c>
      <c r="AV117" s="877">
        <f>$AT117*'Input data plant-based products'!AA149</f>
        <v>1.0900000000000001</v>
      </c>
      <c r="AW117" s="877">
        <f>$AT117*'Input data plant-based products'!AB149</f>
        <v>1.0900000000000001</v>
      </c>
      <c r="AX117" s="877">
        <f>$AT117*'Input data plant-based products'!AC149</f>
        <v>1.3008712256832557</v>
      </c>
      <c r="AY117" s="886">
        <f>$AT117*'Input data plant-based products'!AD149</f>
        <v>1.3550741934200583</v>
      </c>
      <c r="AZ117" s="877"/>
      <c r="BA117" s="879">
        <f>((SUM('Input data plant-based products'!U149:Y149)*'Grains, oil crops, sugar'!Y117)/('Common input data'!$B$192/10^6))/$BB$3</f>
        <v>4.4891523288755536E-9</v>
      </c>
      <c r="BB117" s="877">
        <f>$BA117*'Input data plant-based products'!Z149</f>
        <v>4.4891523288755536E-9</v>
      </c>
      <c r="BC117" s="877">
        <f>$BA117*'Input data plant-based products'!AA149</f>
        <v>2.2445761644377768E-8</v>
      </c>
      <c r="BD117" s="877">
        <f>$BA117*'Input data plant-based products'!AB149</f>
        <v>2.2445761644377768E-8</v>
      </c>
      <c r="BE117" s="877">
        <f>$BA117*'Input data plant-based products'!AC149</f>
        <v>2.6788115102491667E-8</v>
      </c>
      <c r="BF117" s="886">
        <f>$BA117*'Input data plant-based products'!AD149</f>
        <v>2.7904286565095491E-8</v>
      </c>
      <c r="BG117" s="877"/>
      <c r="BH117" s="879">
        <f>'Input data plant-based products'!T149/'Input data plant-based products'!E149</f>
        <v>2.5592613269268165E-3</v>
      </c>
      <c r="BI117" s="877">
        <f>$BH117*'Input data plant-based products'!Z149</f>
        <v>2.5592613269268165E-3</v>
      </c>
      <c r="BJ117" s="877">
        <f>$BH117*'Input data plant-based products'!AA149</f>
        <v>1.2796306634634082E-2</v>
      </c>
      <c r="BK117" s="877">
        <f>$BH117*'Input data plant-based products'!AB149</f>
        <v>1.2796306634634082E-2</v>
      </c>
      <c r="BL117" s="877">
        <f>$BH117*'Input data plant-based products'!AC149</f>
        <v>1.5271878069738731E-2</v>
      </c>
      <c r="BM117" s="886">
        <f>$BH117*'Input data plant-based products'!AD149</f>
        <v>1.5908206322644513E-2</v>
      </c>
      <c r="BN117" s="877"/>
      <c r="BO117" s="879">
        <f>('Input data plant-based products'!F149/'Input data plant-based products'!E149*'Common input data'!$B$195+'Input data plant-based products'!G149/'Input data plant-based products'!E149*'Common input data'!$B$196)/'Common input data'!$B$198</f>
        <v>3.0818757617113627E-4</v>
      </c>
      <c r="BP117" s="877">
        <f>$BO117*'Input data plant-based products'!Z149</f>
        <v>3.0818757617113627E-4</v>
      </c>
      <c r="BQ117" s="877">
        <f>$BO117*'Input data plant-based products'!AA149</f>
        <v>1.5409378808556814E-3</v>
      </c>
      <c r="BR117" s="877">
        <f>$BO117*'Input data plant-based products'!AB149</f>
        <v>1.5409378808556814E-3</v>
      </c>
      <c r="BS117" s="877">
        <f>$BO117*'Input data plant-based products'!AC149</f>
        <v>1.8390474768536595E-3</v>
      </c>
      <c r="BT117" s="886">
        <f>$BO117*'Input data plant-based products'!AD149</f>
        <v>1.9156744550558955E-3</v>
      </c>
      <c r="BU117" s="877"/>
      <c r="BV117" s="879">
        <f>('Common input data'!$C$202+'Common input data'!$B$212)*'Input data plant-based products'!AC149</f>
        <v>8.3613796395751283</v>
      </c>
      <c r="BW117" s="886">
        <f>('Common input data'!$C$202+'Common input data'!$B$212)*'Input data plant-based products'!AD149</f>
        <v>8.7097704578907589</v>
      </c>
      <c r="BX117" s="869"/>
      <c r="BY117" s="869"/>
      <c r="BZ117" s="869"/>
      <c r="CA117" s="869"/>
      <c r="CB117" s="869"/>
      <c r="CC117" s="869"/>
      <c r="CD117" s="869"/>
      <c r="CE117" s="869"/>
    </row>
    <row r="118" spans="1:83" s="406" customFormat="1" ht="17.25">
      <c r="A118" s="195"/>
      <c r="B118" s="55"/>
      <c r="C118" s="64"/>
      <c r="D118"/>
      <c r="E118" s="511" t="s">
        <v>317</v>
      </c>
      <c r="F118" s="877">
        <f>IF(AND($F$2="No",$F$3="No"),SUM(K118:L118),IF(AND($F$2="Yes", $F$3="No"), (SUM(K118:L118)+S118), IF(AND($F$2="No", $F$3="Yes"),(SUM(K118:L118)+R118), (SUM(K118:L118)+S118+R118))))</f>
        <v>-9.1139048141381296E-2</v>
      </c>
      <c r="G118" s="877">
        <f>IF(AND($F$2="No",$F$3="No"),SUM(I118:Q118),IF(AND($F$2="Yes", $F$3="No"), (SUM(I118:Q118)+S118), IF(AND($F$2="No", $F$3="Yes"),(SUM(I118:Q118)+R118), (SUM(I118:Q118)+S118+R118))))</f>
        <v>0.15164495308537373</v>
      </c>
      <c r="H118" s="878">
        <f>SUM(U118:W118)/(1-'Common input data'!$B$143)</f>
        <v>1.5626368581367838</v>
      </c>
      <c r="I118" s="928">
        <f>('Input data plant-based products'!$F$149*('Common input data'!$C$93*'Common input data'!B86+'Common input data'!$C$94*'Common input data'!C86))/'Input data plant-based products'!$E$149</f>
        <v>4.5442571929485552E-2</v>
      </c>
      <c r="J118" s="877">
        <f>'Common input data'!$B$98</f>
        <v>0.03</v>
      </c>
      <c r="K118" s="877">
        <v>0</v>
      </c>
      <c r="L118" s="877">
        <v>0</v>
      </c>
      <c r="M118" s="877"/>
      <c r="N118" s="877">
        <f>('Input data plant-based products'!$P$149*'Common input data'!$C$76*'Common input data'!H66)/'Input data plant-based products'!$E$149</f>
        <v>0.11734142929726948</v>
      </c>
      <c r="O118" s="877">
        <v>0</v>
      </c>
      <c r="P118" s="877">
        <f>'Input data plant-based products'!F$309</f>
        <v>0.05</v>
      </c>
      <c r="Q118" s="877">
        <v>0</v>
      </c>
      <c r="R118" s="877">
        <f>'Common input data'!$F$19</f>
        <v>-9.1139048141381296E-2</v>
      </c>
      <c r="S118" s="877">
        <v>0</v>
      </c>
      <c r="T118" s="877">
        <f>'Input data plant-based products'!G$272*3.6*'Common input data'!C66+'Input data plant-based products'!H$272*3.6*'Common input data'!G66</f>
        <v>1.3347719999999999E-2</v>
      </c>
      <c r="U118" s="877">
        <f>(G118+T118)*'Input data plant-based products'!C$286</f>
        <v>0.82496336542686866</v>
      </c>
      <c r="V118" s="877">
        <f>'Common input data'!B$104</f>
        <v>0.3</v>
      </c>
      <c r="W118" s="878">
        <f>'Common input data'!B118+'Common input data'!C118</f>
        <v>0.32999999999999996</v>
      </c>
      <c r="X118" s="869"/>
      <c r="Y118" s="879"/>
      <c r="Z118" s="877"/>
      <c r="AA118" s="877"/>
      <c r="AB118" s="877"/>
      <c r="AC118" s="877"/>
      <c r="AD118" s="886"/>
      <c r="AE118" s="877"/>
      <c r="AF118" s="879"/>
      <c r="AG118" s="877"/>
      <c r="AH118" s="877"/>
      <c r="AI118" s="877"/>
      <c r="AJ118" s="877"/>
      <c r="AK118" s="886"/>
      <c r="AL118" s="877"/>
      <c r="AM118" s="879"/>
      <c r="AN118" s="877"/>
      <c r="AO118" s="877"/>
      <c r="AP118" s="877"/>
      <c r="AQ118" s="877"/>
      <c r="AR118" s="886"/>
      <c r="AS118" s="877"/>
      <c r="AT118" s="879"/>
      <c r="AU118" s="877"/>
      <c r="AV118" s="877"/>
      <c r="AW118" s="877"/>
      <c r="AX118" s="877"/>
      <c r="AY118" s="886"/>
      <c r="AZ118" s="877"/>
      <c r="BA118" s="879"/>
      <c r="BB118" s="877"/>
      <c r="BC118" s="877"/>
      <c r="BD118" s="877"/>
      <c r="BE118" s="877"/>
      <c r="BF118" s="886"/>
      <c r="BG118" s="877"/>
      <c r="BH118" s="879"/>
      <c r="BI118" s="877"/>
      <c r="BJ118" s="877"/>
      <c r="BK118" s="877"/>
      <c r="BL118" s="877"/>
      <c r="BM118" s="886"/>
      <c r="BN118" s="877"/>
      <c r="BO118" s="879"/>
      <c r="BP118" s="877"/>
      <c r="BQ118" s="877"/>
      <c r="BR118" s="877"/>
      <c r="BS118" s="877"/>
      <c r="BT118" s="886"/>
      <c r="BU118" s="877"/>
      <c r="BV118" s="879"/>
      <c r="BW118" s="886"/>
      <c r="BX118" s="869"/>
      <c r="BY118" s="869"/>
      <c r="BZ118" s="869"/>
      <c r="CA118" s="869"/>
      <c r="CB118" s="869"/>
      <c r="CC118" s="869"/>
      <c r="CD118" s="869"/>
      <c r="CE118" s="869"/>
    </row>
    <row r="119" spans="1:83" s="406" customFormat="1" ht="17.25">
      <c r="A119" s="195"/>
      <c r="B119" s="55"/>
      <c r="C119" s="595"/>
      <c r="D119" s="50"/>
      <c r="E119" s="511" t="s">
        <v>367</v>
      </c>
      <c r="F119" s="877">
        <f>SUM(K119:L119)</f>
        <v>0</v>
      </c>
      <c r="G119" s="877">
        <f>SUM(I119:Q119)</f>
        <v>1.3534043893259387E-4</v>
      </c>
      <c r="H119" s="878">
        <f>SUM(U119:W119)/(1-'Common input data'!$B$143)</f>
        <v>1.0430035545921409E-3</v>
      </c>
      <c r="I119" s="928">
        <f>('Input data plant-based products'!$F$149*('Common input data'!$C$93*'Common input data'!B87+'Common input data'!$C$94*'Common input data'!C87))/'Input data plant-based products'!$E$149</f>
        <v>8.3362142472278108E-5</v>
      </c>
      <c r="J119" s="877">
        <v>0</v>
      </c>
      <c r="K119" s="877">
        <v>0</v>
      </c>
      <c r="L119" s="877">
        <v>0</v>
      </c>
      <c r="M119" s="877"/>
      <c r="N119" s="877">
        <f>('Input data plant-based products'!$P$149*'Common input data'!$C$76*'Common input data'!H67)/'Input data plant-based products'!$E$149</f>
        <v>5.1978296460315772E-5</v>
      </c>
      <c r="O119" s="877">
        <v>0</v>
      </c>
      <c r="P119" s="877">
        <v>0</v>
      </c>
      <c r="Q119" s="877">
        <v>0</v>
      </c>
      <c r="R119" s="877">
        <v>0</v>
      </c>
      <c r="S119" s="877">
        <v>0</v>
      </c>
      <c r="T119" s="877">
        <f>'Input data plant-based products'!G$272*3.6*'Common input data'!C67+'Input data plant-based products'!H$272*3.6*'Common input data'!G67</f>
        <v>5.8886639999999975E-5</v>
      </c>
      <c r="U119" s="877">
        <f>(G119+T119)*'Input data plant-based products'!C$286</f>
        <v>9.7113539466296933E-4</v>
      </c>
      <c r="V119" s="877">
        <v>0</v>
      </c>
      <c r="W119" s="878">
        <v>0</v>
      </c>
      <c r="X119" s="869"/>
      <c r="Y119" s="879"/>
      <c r="Z119" s="877"/>
      <c r="AA119" s="877"/>
      <c r="AB119" s="877"/>
      <c r="AC119" s="877"/>
      <c r="AD119" s="886"/>
      <c r="AE119" s="877"/>
      <c r="AF119" s="879"/>
      <c r="AG119" s="877"/>
      <c r="AH119" s="877"/>
      <c r="AI119" s="877"/>
      <c r="AJ119" s="877"/>
      <c r="AK119" s="886"/>
      <c r="AL119" s="877"/>
      <c r="AM119" s="879"/>
      <c r="AN119" s="877"/>
      <c r="AO119" s="877"/>
      <c r="AP119" s="877"/>
      <c r="AQ119" s="877"/>
      <c r="AR119" s="886"/>
      <c r="AS119" s="877"/>
      <c r="AT119" s="879"/>
      <c r="AU119" s="877"/>
      <c r="AV119" s="877"/>
      <c r="AW119" s="877"/>
      <c r="AX119" s="877"/>
      <c r="AY119" s="886"/>
      <c r="AZ119" s="877"/>
      <c r="BA119" s="879"/>
      <c r="BB119" s="877"/>
      <c r="BC119" s="877"/>
      <c r="BD119" s="877"/>
      <c r="BE119" s="877"/>
      <c r="BF119" s="886"/>
      <c r="BG119" s="877"/>
      <c r="BH119" s="879"/>
      <c r="BI119" s="877"/>
      <c r="BJ119" s="877"/>
      <c r="BK119" s="877"/>
      <c r="BL119" s="877"/>
      <c r="BM119" s="886"/>
      <c r="BN119" s="877"/>
      <c r="BO119" s="879"/>
      <c r="BP119" s="877"/>
      <c r="BQ119" s="877"/>
      <c r="BR119" s="877"/>
      <c r="BS119" s="877"/>
      <c r="BT119" s="886"/>
      <c r="BU119" s="877"/>
      <c r="BV119" s="879"/>
      <c r="BW119" s="886"/>
      <c r="BX119" s="869"/>
      <c r="BY119" s="869"/>
      <c r="BZ119" s="869"/>
      <c r="CA119" s="869"/>
      <c r="CB119" s="869"/>
      <c r="CC119" s="869"/>
      <c r="CD119" s="869"/>
      <c r="CE119" s="869"/>
    </row>
    <row r="120" spans="1:83" s="406" customFormat="1" ht="17.25">
      <c r="A120" s="18"/>
      <c r="B120" s="360"/>
      <c r="C120" s="83"/>
      <c r="D120" s="54"/>
      <c r="E120" s="512" t="s">
        <v>320</v>
      </c>
      <c r="F120" s="877">
        <f>SUM(K120:L120)</f>
        <v>3.3381675043047749E-4</v>
      </c>
      <c r="G120" s="877">
        <f>SUM(I120:Q120)</f>
        <v>4.3681550354356097E-4</v>
      </c>
      <c r="H120" s="878">
        <f>SUM(U120:W120)/(1-'Common input data'!$B$143)</f>
        <v>2.3643953385184169E-3</v>
      </c>
      <c r="I120" s="928">
        <f>('Input data plant-based products'!$F$149*('Common input data'!$C$93*'Common input data'!B88+'Common input data'!$C$94*'Common input data'!C88))/'Input data plant-based products'!$E$149</f>
        <v>9.9845743158309593E-5</v>
      </c>
      <c r="J120" s="877">
        <v>0</v>
      </c>
      <c r="K120" s="877">
        <f>(SUM(('Input data plant-based products'!$F$149*'Input data plant-based products'!$B$258),(('Input data plant-based products'!$G$149+'Input data plant-based products'!$H$149)*'Input data plant-based products'!$B$259))*44/28)/'Input data plant-based products'!$E$149</f>
        <v>3.034697731186159E-4</v>
      </c>
      <c r="L120" s="877">
        <f>K120*'Input data plant-based products'!$B$261</f>
        <v>3.034697731186159E-5</v>
      </c>
      <c r="M120" s="877"/>
      <c r="N120" s="877">
        <f>('Input data plant-based products'!$P$149*'Common input data'!$C$76*'Common input data'!H68)/'Input data plant-based products'!$E$149</f>
        <v>3.1530099547738379E-6</v>
      </c>
      <c r="O120" s="877">
        <v>0</v>
      </c>
      <c r="P120" s="877">
        <v>0</v>
      </c>
      <c r="Q120" s="877">
        <v>0</v>
      </c>
      <c r="R120" s="877">
        <v>0</v>
      </c>
      <c r="S120" s="877">
        <v>0</v>
      </c>
      <c r="T120" s="877">
        <f>'Input data plant-based products'!G$272*3.6*'Common input data'!C68+'Input data plant-based products'!H$272*3.6*'Common input data'!G68</f>
        <v>3.4798319999999972E-6</v>
      </c>
      <c r="U120" s="877">
        <f>(G120+T120)*'Input data plant-based products'!C$286</f>
        <v>2.201476677717805E-3</v>
      </c>
      <c r="V120" s="877">
        <v>0</v>
      </c>
      <c r="W120" s="878">
        <v>0</v>
      </c>
      <c r="X120" s="869"/>
      <c r="Y120" s="879"/>
      <c r="Z120" s="877"/>
      <c r="AA120" s="877"/>
      <c r="AB120" s="877"/>
      <c r="AC120" s="877"/>
      <c r="AD120" s="886"/>
      <c r="AE120" s="877"/>
      <c r="AF120" s="879"/>
      <c r="AG120" s="877"/>
      <c r="AH120" s="877"/>
      <c r="AI120" s="877"/>
      <c r="AJ120" s="877"/>
      <c r="AK120" s="886"/>
      <c r="AL120" s="877"/>
      <c r="AM120" s="879"/>
      <c r="AN120" s="877"/>
      <c r="AO120" s="877"/>
      <c r="AP120" s="877"/>
      <c r="AQ120" s="877"/>
      <c r="AR120" s="886"/>
      <c r="AS120" s="877"/>
      <c r="AT120" s="879"/>
      <c r="AU120" s="877"/>
      <c r="AV120" s="877"/>
      <c r="AW120" s="877"/>
      <c r="AX120" s="877"/>
      <c r="AY120" s="886"/>
      <c r="AZ120" s="877"/>
      <c r="BA120" s="879"/>
      <c r="BB120" s="877"/>
      <c r="BC120" s="877"/>
      <c r="BD120" s="877"/>
      <c r="BE120" s="877"/>
      <c r="BF120" s="886"/>
      <c r="BG120" s="877"/>
      <c r="BH120" s="879"/>
      <c r="BI120" s="877"/>
      <c r="BJ120" s="877"/>
      <c r="BK120" s="877"/>
      <c r="BL120" s="877"/>
      <c r="BM120" s="886"/>
      <c r="BN120" s="877"/>
      <c r="BO120" s="879"/>
      <c r="BP120" s="877"/>
      <c r="BQ120" s="877"/>
      <c r="BR120" s="877"/>
      <c r="BS120" s="877"/>
      <c r="BT120" s="886"/>
      <c r="BU120" s="877"/>
      <c r="BV120" s="879"/>
      <c r="BW120" s="886"/>
      <c r="BX120" s="869"/>
      <c r="BY120" s="869"/>
      <c r="BZ120" s="869"/>
      <c r="CA120" s="869"/>
      <c r="CB120" s="869"/>
      <c r="CC120" s="869"/>
      <c r="CD120" s="869"/>
      <c r="CE120" s="869"/>
    </row>
    <row r="121" spans="1:83" s="406" customFormat="1" ht="17.25">
      <c r="A121" s="108" t="s">
        <v>123</v>
      </c>
      <c r="B121" s="93" t="s">
        <v>121</v>
      </c>
      <c r="C121" s="87">
        <f>'Input data plant-based products'!D150</f>
        <v>0.55981829362639102</v>
      </c>
      <c r="D121" s="54"/>
      <c r="E121" s="513" t="s">
        <v>316</v>
      </c>
      <c r="F121" s="872">
        <f>SUMPRODUCT($CJ$6:$CJ$8,F122:F124)</f>
        <v>4.3752654981479927E-2</v>
      </c>
      <c r="G121" s="872">
        <f>SUMPRODUCT($CJ$6:$CJ$8,G122:G124)</f>
        <v>0.40807284044032865</v>
      </c>
      <c r="H121" s="873">
        <f>SUMPRODUCT($CJ$6:$CJ$8,H122:H124)</f>
        <v>2.8380999173249166</v>
      </c>
      <c r="I121" s="1277"/>
      <c r="J121" s="884"/>
      <c r="K121" s="884"/>
      <c r="L121" s="884"/>
      <c r="M121" s="884"/>
      <c r="N121" s="884"/>
      <c r="O121" s="884"/>
      <c r="P121" s="884"/>
      <c r="Q121" s="884"/>
      <c r="R121" s="884"/>
      <c r="S121" s="884"/>
      <c r="T121" s="884"/>
      <c r="U121" s="884"/>
      <c r="V121" s="884"/>
      <c r="W121" s="1278"/>
      <c r="X121" s="869"/>
      <c r="Y121" s="879">
        <f>1/'Input data plant-based products'!E150*10^4</f>
        <v>4.6739018667564061</v>
      </c>
      <c r="Z121" s="877">
        <f>$Y121*'Input data plant-based products'!Z150</f>
        <v>4.6739018667564061</v>
      </c>
      <c r="AA121" s="877">
        <f>$Y121*'Input data plant-based products'!AA150</f>
        <v>23.36950933378203</v>
      </c>
      <c r="AB121" s="877">
        <f>$Y121*'Input data plant-based products'!AB150</f>
        <v>23.36950933378203</v>
      </c>
      <c r="AC121" s="877">
        <f>$Y121*'Input data plant-based products'!AC150</f>
        <v>27.890570872159007</v>
      </c>
      <c r="AD121" s="886">
        <f>$Y121*'Input data plant-based products'!AD150</f>
        <v>29.052677991832301</v>
      </c>
      <c r="AE121" s="877"/>
      <c r="AF121" s="879">
        <f>SUM('Input data plant-based products'!F150,'Input data plant-based products'!Q150)/'Input data plant-based products'!E150</f>
        <v>1.8864085325013377E-2</v>
      </c>
      <c r="AG121" s="877">
        <f>$AF121*'Input data plant-based products'!Z150</f>
        <v>1.8864085325013377E-2</v>
      </c>
      <c r="AH121" s="877">
        <f>$AF121*'Input data plant-based products'!AA150</f>
        <v>9.4320426625066886E-2</v>
      </c>
      <c r="AI121" s="877">
        <f>$AF121*'Input data plant-based products'!AB150</f>
        <v>9.4320426625066886E-2</v>
      </c>
      <c r="AJ121" s="877">
        <f>$AF121*'Input data plant-based products'!AC150</f>
        <v>0.11256764127588839</v>
      </c>
      <c r="AK121" s="886">
        <f>$AF121*'Input data plant-based products'!AD150</f>
        <v>0.11725795966238375</v>
      </c>
      <c r="AL121" s="877"/>
      <c r="AM121" s="879">
        <f>'Input data plant-based products'!R150/'Input data plant-based products'!E150</f>
        <v>6.2880284416711157E-3</v>
      </c>
      <c r="AN121" s="877">
        <f>$AM121*'Input data plant-based products'!Z150</f>
        <v>6.2880284416711157E-3</v>
      </c>
      <c r="AO121" s="877">
        <f>$AM121*'Input data plant-based products'!AA150</f>
        <v>3.144014220835558E-2</v>
      </c>
      <c r="AP121" s="877">
        <f>$AM121*'Input data plant-based products'!AB150</f>
        <v>3.144014220835558E-2</v>
      </c>
      <c r="AQ121" s="877">
        <f>$AM121*'Input data plant-based products'!AC150</f>
        <v>3.7522547091962739E-2</v>
      </c>
      <c r="AR121" s="886">
        <f>$AM121*'Input data plant-based products'!AD150</f>
        <v>3.9085986554127858E-2</v>
      </c>
      <c r="AS121" s="877"/>
      <c r="AT121" s="879">
        <f>'Input data plant-based products'!S150</f>
        <v>0.12641620654950708</v>
      </c>
      <c r="AU121" s="877">
        <f>$AT121*'Input data plant-based products'!Z150</f>
        <v>0.12641620654950708</v>
      </c>
      <c r="AV121" s="877">
        <f>$AT121*'Input data plant-based products'!AA150</f>
        <v>0.63208103274753547</v>
      </c>
      <c r="AW121" s="877">
        <f>$AT121*'Input data plant-based products'!AB150</f>
        <v>0.63208103274753547</v>
      </c>
      <c r="AX121" s="877">
        <f>$AT121*'Input data plant-based products'!AC150</f>
        <v>0.75436332825818764</v>
      </c>
      <c r="AY121" s="886">
        <f>$AT121*'Input data plant-based products'!AD150</f>
        <v>0.78579513360227882</v>
      </c>
      <c r="AZ121" s="877"/>
      <c r="BA121" s="879">
        <f>((SUM('Input data plant-based products'!U150:Y150)*'Grains, oil crops, sugar'!Y121)/('Common input data'!$B$192/10^6))/$BB$3</f>
        <v>4.7668465340011826E-9</v>
      </c>
      <c r="BB121" s="877">
        <f>$BA121*'Input data plant-based products'!Z150</f>
        <v>4.7668465340011826E-9</v>
      </c>
      <c r="BC121" s="877">
        <f>$BA121*'Input data plant-based products'!AA150</f>
        <v>2.3834232670005915E-8</v>
      </c>
      <c r="BD121" s="877">
        <f>$BA121*'Input data plant-based products'!AB150</f>
        <v>2.3834232670005915E-8</v>
      </c>
      <c r="BE121" s="877">
        <f>$BA121*'Input data plant-based products'!AC150</f>
        <v>2.8445199510688523E-8</v>
      </c>
      <c r="BF121" s="886">
        <f>$BA121*'Input data plant-based products'!AD150</f>
        <v>2.9630416156967214E-8</v>
      </c>
      <c r="BG121" s="877"/>
      <c r="BH121" s="879">
        <f>'Input data plant-based products'!T150/'Input data plant-based products'!E150</f>
        <v>6.8425923329313767E-3</v>
      </c>
      <c r="BI121" s="877">
        <f>$BH121*'Input data plant-based products'!Z150</f>
        <v>6.8425923329313767E-3</v>
      </c>
      <c r="BJ121" s="877">
        <f>$BH121*'Input data plant-based products'!AA150</f>
        <v>3.4212961664656885E-2</v>
      </c>
      <c r="BK121" s="877">
        <f>$BH121*'Input data plant-based products'!AB150</f>
        <v>3.4212961664656885E-2</v>
      </c>
      <c r="BL121" s="877">
        <f>$BH121*'Input data plant-based products'!AC150</f>
        <v>4.0831795756840775E-2</v>
      </c>
      <c r="BM121" s="886">
        <f>$BH121*'Input data plant-based products'!AD150</f>
        <v>4.2533120580042473E-2</v>
      </c>
      <c r="BN121" s="877"/>
      <c r="BO121" s="879">
        <f>('Input data plant-based products'!F150/'Input data plant-based products'!E150*'Common input data'!$B$195+'Input data plant-based products'!G150/'Input data plant-based products'!E150*'Common input data'!$B$196)/'Common input data'!$B$198</f>
        <v>1.5507225202284424E-3</v>
      </c>
      <c r="BP121" s="877">
        <f>$BO121*'Input data plant-based products'!Z150</f>
        <v>1.5507225202284424E-3</v>
      </c>
      <c r="BQ121" s="877">
        <f>$BO121*'Input data plant-based products'!AA150</f>
        <v>7.7536126011422124E-3</v>
      </c>
      <c r="BR121" s="877">
        <f>$BO121*'Input data plant-based products'!AB150</f>
        <v>7.7536126011422124E-3</v>
      </c>
      <c r="BS121" s="877">
        <f>$BO121*'Input data plant-based products'!AC150</f>
        <v>9.2536252549733997E-3</v>
      </c>
      <c r="BT121" s="886">
        <f>$BO121*'Input data plant-based products'!AD150</f>
        <v>9.6391929739306267E-3</v>
      </c>
      <c r="BU121" s="877"/>
      <c r="BV121" s="879">
        <f>('Common input data'!$C$202+'Common input data'!$B$207)*'Input data plant-based products'!AC150</f>
        <v>6.5204678362573096</v>
      </c>
      <c r="BW121" s="886">
        <f>('Common input data'!$C$202+'Common input data'!$B$207)*'Input data plant-based products'!AD150</f>
        <v>6.7921539961013657</v>
      </c>
      <c r="BX121" s="869"/>
      <c r="BY121" s="869"/>
      <c r="BZ121" s="869"/>
      <c r="CA121" s="869"/>
      <c r="CB121" s="869"/>
      <c r="CC121" s="869"/>
      <c r="CD121" s="869"/>
      <c r="CE121" s="869"/>
    </row>
    <row r="122" spans="1:83" s="406" customFormat="1" ht="17.25">
      <c r="A122" s="195"/>
      <c r="B122" s="55"/>
      <c r="C122" s="64"/>
      <c r="D122"/>
      <c r="E122" s="511" t="s">
        <v>317</v>
      </c>
      <c r="F122" s="877">
        <f>IF(AND($F$2="No",$F$3="No"),SUM(K122:L122),IF(AND($F$2="Yes", $F$3="No"), (SUM(K122:L122)+S122), IF(AND($F$2="No", $F$3="Yes"),(SUM(K122:L122)+R122), (SUM(K122:L122)+S122+R122))))</f>
        <v>-9.1139048141381296E-2</v>
      </c>
      <c r="G122" s="877">
        <f>IF(AND($F$2="No",$F$3="No"),SUM(I122:Q122),IF(AND($F$2="Yes", $F$3="No"), (SUM(I122:Q122)+S122), IF(AND($F$2="No", $F$3="Yes"),(SUM(I122:Q122)+R122), (SUM(I122:Q122)+S122+R122))))</f>
        <v>0.23475020851197714</v>
      </c>
      <c r="H122" s="878">
        <f>SUM(U122:W122)/(1-'Common input data'!$B$143)</f>
        <v>1.9015134251176151</v>
      </c>
      <c r="I122" s="928">
        <f>('Input data plant-based products'!$F$150*('Common input data'!$C$93*'Common input data'!B86+'Common input data'!$C$94*'Common input data'!C86))/'Input data plant-based products'!$E$150</f>
        <v>7.1022808725299133E-2</v>
      </c>
      <c r="J122" s="877">
        <f>'Common input data'!$B$98</f>
        <v>0.03</v>
      </c>
      <c r="K122" s="877">
        <v>0</v>
      </c>
      <c r="L122" s="877">
        <v>0</v>
      </c>
      <c r="M122" s="877"/>
      <c r="N122" s="877">
        <f>('Input data plant-based products'!$P$150*'Common input data'!$C$76*'Common input data'!H66)/'Input data plant-based products'!$E$150</f>
        <v>0.1748664479280593</v>
      </c>
      <c r="O122" s="877">
        <v>0</v>
      </c>
      <c r="P122" s="877">
        <f>'Input data plant-based products'!F$309</f>
        <v>0.05</v>
      </c>
      <c r="Q122" s="877">
        <v>0</v>
      </c>
      <c r="R122" s="877">
        <f>'Common input data'!$F$19</f>
        <v>-9.1139048141381296E-2</v>
      </c>
      <c r="S122" s="877">
        <v>0</v>
      </c>
      <c r="T122" s="877">
        <f>'Input data plant-based products'!G$272*3.6*'Common input data'!C66+'Input data plant-based products'!H$272*3.6*'Common input data'!G66</f>
        <v>1.3347719999999999E-2</v>
      </c>
      <c r="U122" s="877">
        <f>(G122+T122)*'Input data plant-based products'!C$286</f>
        <v>1.2404896425598857</v>
      </c>
      <c r="V122" s="877">
        <f>'Common input data'!B$104</f>
        <v>0.3</v>
      </c>
      <c r="W122" s="878">
        <f>'Common input data'!B117+'Common input data'!C117</f>
        <v>0.23</v>
      </c>
      <c r="X122" s="869"/>
      <c r="Y122" s="879"/>
      <c r="Z122" s="877"/>
      <c r="AA122" s="877"/>
      <c r="AB122" s="877"/>
      <c r="AC122" s="877"/>
      <c r="AD122" s="886"/>
      <c r="AE122" s="877"/>
      <c r="AF122" s="879"/>
      <c r="AG122" s="877"/>
      <c r="AH122" s="877"/>
      <c r="AI122" s="877"/>
      <c r="AJ122" s="877"/>
      <c r="AK122" s="886"/>
      <c r="AL122" s="877"/>
      <c r="AM122" s="879"/>
      <c r="AN122" s="877"/>
      <c r="AO122" s="877"/>
      <c r="AP122" s="877"/>
      <c r="AQ122" s="877"/>
      <c r="AR122" s="886"/>
      <c r="AS122" s="877"/>
      <c r="AT122" s="879"/>
      <c r="AU122" s="877"/>
      <c r="AV122" s="877"/>
      <c r="AW122" s="877"/>
      <c r="AX122" s="877"/>
      <c r="AY122" s="886"/>
      <c r="AZ122" s="877"/>
      <c r="BA122" s="879"/>
      <c r="BB122" s="877"/>
      <c r="BC122" s="877"/>
      <c r="BD122" s="877"/>
      <c r="BE122" s="877"/>
      <c r="BF122" s="886"/>
      <c r="BG122" s="877"/>
      <c r="BH122" s="879"/>
      <c r="BI122" s="877"/>
      <c r="BJ122" s="877"/>
      <c r="BK122" s="877"/>
      <c r="BL122" s="877"/>
      <c r="BM122" s="886"/>
      <c r="BN122" s="877"/>
      <c r="BO122" s="879"/>
      <c r="BP122" s="877"/>
      <c r="BQ122" s="877"/>
      <c r="BR122" s="877"/>
      <c r="BS122" s="877"/>
      <c r="BT122" s="886"/>
      <c r="BU122" s="877"/>
      <c r="BV122" s="879"/>
      <c r="BW122" s="886"/>
      <c r="BX122" s="869"/>
      <c r="BY122" s="869"/>
      <c r="BZ122" s="869"/>
      <c r="CA122" s="869"/>
      <c r="CB122" s="869"/>
      <c r="CC122" s="869"/>
      <c r="CD122" s="869"/>
      <c r="CE122" s="869"/>
    </row>
    <row r="123" spans="1:83" s="406" customFormat="1" ht="17.25">
      <c r="A123" s="195"/>
      <c r="B123" s="55"/>
      <c r="C123" s="595"/>
      <c r="D123" s="50"/>
      <c r="E123" s="511" t="s">
        <v>367</v>
      </c>
      <c r="F123" s="877">
        <f>SUM(K123:L123)</f>
        <v>0</v>
      </c>
      <c r="G123" s="877">
        <f>SUM(I123:Q123)</f>
        <v>2.0774775707911933E-4</v>
      </c>
      <c r="H123" s="878">
        <f>SUM(U123:W123)/(1-'Common input data'!$B$143)</f>
        <v>1.4318323966894856E-3</v>
      </c>
      <c r="I123" s="928">
        <f>('Input data plant-based products'!$F$150*('Common input data'!$C$93*'Common input data'!B87+'Common input data'!$C$94*'Common input data'!C87))/'Input data plant-based products'!$E$150</f>
        <v>1.302878170920193E-4</v>
      </c>
      <c r="J123" s="877">
        <v>0</v>
      </c>
      <c r="K123" s="877">
        <v>0</v>
      </c>
      <c r="L123" s="877">
        <v>0</v>
      </c>
      <c r="M123" s="877"/>
      <c r="N123" s="877">
        <f>('Input data plant-based products'!$P$150*'Common input data'!$C$76*'Common input data'!H67)/'Input data plant-based products'!$E$150</f>
        <v>7.7459939987100044E-5</v>
      </c>
      <c r="O123" s="877">
        <v>0</v>
      </c>
      <c r="P123" s="877">
        <v>0</v>
      </c>
      <c r="Q123" s="877">
        <v>0</v>
      </c>
      <c r="R123" s="877">
        <v>0</v>
      </c>
      <c r="S123" s="877">
        <v>0</v>
      </c>
      <c r="T123" s="877">
        <f>'Input data plant-based products'!G$272*3.6*'Common input data'!C67+'Input data plant-based products'!H$272*3.6*'Common input data'!G67</f>
        <v>5.8886639999999975E-5</v>
      </c>
      <c r="U123" s="877">
        <f>(G123+T123)*'Input data plant-based products'!C$286</f>
        <v>1.3331719853955965E-3</v>
      </c>
      <c r="V123" s="877">
        <v>0</v>
      </c>
      <c r="W123" s="878">
        <v>0</v>
      </c>
      <c r="X123" s="869"/>
      <c r="Y123" s="879"/>
      <c r="Z123" s="877"/>
      <c r="AA123" s="877"/>
      <c r="AB123" s="877"/>
      <c r="AC123" s="877"/>
      <c r="AD123" s="886"/>
      <c r="AE123" s="877"/>
      <c r="AF123" s="879"/>
      <c r="AG123" s="877"/>
      <c r="AH123" s="877"/>
      <c r="AI123" s="877"/>
      <c r="AJ123" s="877"/>
      <c r="AK123" s="886"/>
      <c r="AL123" s="877"/>
      <c r="AM123" s="879"/>
      <c r="AN123" s="877"/>
      <c r="AO123" s="877"/>
      <c r="AP123" s="877"/>
      <c r="AQ123" s="877"/>
      <c r="AR123" s="886"/>
      <c r="AS123" s="877"/>
      <c r="AT123" s="879"/>
      <c r="AU123" s="877"/>
      <c r="AV123" s="877"/>
      <c r="AW123" s="877"/>
      <c r="AX123" s="877"/>
      <c r="AY123" s="886"/>
      <c r="AZ123" s="877"/>
      <c r="BA123" s="879"/>
      <c r="BB123" s="877"/>
      <c r="BC123" s="877"/>
      <c r="BD123" s="877"/>
      <c r="BE123" s="877"/>
      <c r="BF123" s="886"/>
      <c r="BG123" s="877"/>
      <c r="BH123" s="879"/>
      <c r="BI123" s="877"/>
      <c r="BJ123" s="877"/>
      <c r="BK123" s="877"/>
      <c r="BL123" s="877"/>
      <c r="BM123" s="886"/>
      <c r="BN123" s="877"/>
      <c r="BO123" s="879"/>
      <c r="BP123" s="877"/>
      <c r="BQ123" s="877"/>
      <c r="BR123" s="877"/>
      <c r="BS123" s="877"/>
      <c r="BT123" s="886"/>
      <c r="BU123" s="877"/>
      <c r="BV123" s="879"/>
      <c r="BW123" s="886"/>
      <c r="BX123" s="869"/>
      <c r="BY123" s="869"/>
      <c r="BZ123" s="869"/>
      <c r="CA123" s="869"/>
      <c r="CB123" s="869"/>
      <c r="CC123" s="869"/>
      <c r="CD123" s="869"/>
      <c r="CE123" s="869"/>
    </row>
    <row r="124" spans="1:83" s="406" customFormat="1" ht="17.25">
      <c r="A124" s="18"/>
      <c r="B124" s="360"/>
      <c r="C124" s="83"/>
      <c r="D124" s="54"/>
      <c r="E124" s="512" t="s">
        <v>320</v>
      </c>
      <c r="F124" s="877">
        <f>SUM(K124:L124)</f>
        <v>5.7893434816678633E-4</v>
      </c>
      <c r="G124" s="877">
        <f>SUM(I124:Q124)</f>
        <v>7.3968333678145752E-4</v>
      </c>
      <c r="H124" s="878">
        <f>SUM(U124:W124)/(1-'Common input data'!$B$143)</f>
        <v>3.9908020598406046E-3</v>
      </c>
      <c r="I124" s="928">
        <f>('Input data plant-based products'!$F$150*('Common input data'!$C$93*'Common input data'!B88+'Common input data'!$C$94*'Common input data'!C88))/'Input data plant-based products'!$E$150</f>
        <v>1.5605025898119863E-4</v>
      </c>
      <c r="J124" s="877">
        <v>0</v>
      </c>
      <c r="K124" s="877">
        <f>(SUM(('Input data plant-based products'!$F$150*'Input data plant-based products'!$B$258),(('Input data plant-based products'!$G$150+'Input data plant-based products'!$H$150)*'Input data plant-based products'!$B$259))*44/28)/'Input data plant-based products'!$E$150</f>
        <v>5.2630395287889666E-4</v>
      </c>
      <c r="L124" s="877">
        <f>K124*'Input data plant-based products'!$B$261</f>
        <v>5.263039528788967E-5</v>
      </c>
      <c r="M124" s="877"/>
      <c r="N124" s="877">
        <f>('Input data plant-based products'!$P$150*'Common input data'!$C$76*'Common input data'!H68)/'Input data plant-based products'!$E$150</f>
        <v>4.6987296334726163E-6</v>
      </c>
      <c r="O124" s="877">
        <v>0</v>
      </c>
      <c r="P124" s="877">
        <v>0</v>
      </c>
      <c r="Q124" s="877">
        <v>0</v>
      </c>
      <c r="R124" s="877">
        <v>0</v>
      </c>
      <c r="S124" s="877">
        <v>0</v>
      </c>
      <c r="T124" s="877">
        <f>'Input data plant-based products'!G$272*3.6*'Common input data'!C68+'Input data plant-based products'!H$272*3.6*'Common input data'!G68</f>
        <v>3.4798319999999972E-6</v>
      </c>
      <c r="U124" s="877">
        <f>(G124+T124)*'Input data plant-based products'!C$286</f>
        <v>3.7158158439072873E-3</v>
      </c>
      <c r="V124" s="877">
        <v>0</v>
      </c>
      <c r="W124" s="878">
        <v>0</v>
      </c>
      <c r="X124" s="869"/>
      <c r="Y124" s="879"/>
      <c r="Z124" s="877"/>
      <c r="AA124" s="877"/>
      <c r="AB124" s="877"/>
      <c r="AC124" s="877"/>
      <c r="AD124" s="886"/>
      <c r="AE124" s="877"/>
      <c r="AF124" s="879"/>
      <c r="AG124" s="877"/>
      <c r="AH124" s="877"/>
      <c r="AI124" s="877"/>
      <c r="AJ124" s="877"/>
      <c r="AK124" s="886"/>
      <c r="AL124" s="877"/>
      <c r="AM124" s="879"/>
      <c r="AN124" s="877"/>
      <c r="AO124" s="877"/>
      <c r="AP124" s="877"/>
      <c r="AQ124" s="877"/>
      <c r="AR124" s="886"/>
      <c r="AS124" s="877"/>
      <c r="AT124" s="879"/>
      <c r="AU124" s="877"/>
      <c r="AV124" s="877"/>
      <c r="AW124" s="877"/>
      <c r="AX124" s="877"/>
      <c r="AY124" s="886"/>
      <c r="AZ124" s="877"/>
      <c r="BA124" s="879"/>
      <c r="BB124" s="877"/>
      <c r="BC124" s="877"/>
      <c r="BD124" s="877"/>
      <c r="BE124" s="877"/>
      <c r="BF124" s="886"/>
      <c r="BG124" s="877"/>
      <c r="BH124" s="879"/>
      <c r="BI124" s="877"/>
      <c r="BJ124" s="877"/>
      <c r="BK124" s="877"/>
      <c r="BL124" s="877"/>
      <c r="BM124" s="886"/>
      <c r="BN124" s="877"/>
      <c r="BO124" s="879"/>
      <c r="BP124" s="877"/>
      <c r="BQ124" s="877"/>
      <c r="BR124" s="877"/>
      <c r="BS124" s="877"/>
      <c r="BT124" s="886"/>
      <c r="BU124" s="877"/>
      <c r="BV124" s="879"/>
      <c r="BW124" s="886"/>
      <c r="BX124" s="869"/>
      <c r="BY124" s="869"/>
      <c r="BZ124" s="869"/>
      <c r="CA124" s="869"/>
      <c r="CB124" s="869"/>
      <c r="CC124" s="869"/>
      <c r="CD124" s="869"/>
      <c r="CE124" s="869"/>
    </row>
    <row r="125" spans="1:83" s="406" customFormat="1" ht="17.25">
      <c r="A125" s="108" t="s">
        <v>130</v>
      </c>
      <c r="B125" s="93" t="s">
        <v>121</v>
      </c>
      <c r="C125" s="87">
        <f>'Input data plant-based products'!D151</f>
        <v>0.27450358056773322</v>
      </c>
      <c r="D125" s="54"/>
      <c r="E125" s="513" t="s">
        <v>316</v>
      </c>
      <c r="F125" s="872">
        <f>SUMPRODUCT($CJ$6:$CJ$8,F126:F128)</f>
        <v>-6.6973619569952722E-2</v>
      </c>
      <c r="G125" s="872">
        <f>SUMPRODUCT($CJ$6:$CJ$8,G126:G128)</f>
        <v>0.22233975392951724</v>
      </c>
      <c r="H125" s="873">
        <f>SUMPRODUCT($CJ$6:$CJ$8,H126:H128)</f>
        <v>1.8407092831210419</v>
      </c>
      <c r="I125" s="1277"/>
      <c r="J125" s="884"/>
      <c r="K125" s="884"/>
      <c r="L125" s="884"/>
      <c r="M125" s="884"/>
      <c r="N125" s="884"/>
      <c r="O125" s="884"/>
      <c r="P125" s="884"/>
      <c r="Q125" s="884"/>
      <c r="R125" s="884"/>
      <c r="S125" s="884"/>
      <c r="T125" s="884"/>
      <c r="U125" s="884"/>
      <c r="V125" s="884"/>
      <c r="W125" s="1278"/>
      <c r="X125" s="869"/>
      <c r="Y125" s="879">
        <f>1/'Input data plant-based products'!E151*10^4</f>
        <v>3.7273100003727309</v>
      </c>
      <c r="Z125" s="877">
        <f>$Y125*'Input data plant-based products'!Z151</f>
        <v>3.7273100003727309</v>
      </c>
      <c r="AA125" s="877">
        <f>$Y125*'Input data plant-based products'!AA151</f>
        <v>18.636550001863654</v>
      </c>
      <c r="AB125" s="877">
        <f>$Y125*'Input data plant-based products'!AB151</f>
        <v>18.636550001863654</v>
      </c>
      <c r="AC125" s="877">
        <f>$Y125*'Input data plant-based products'!AC151</f>
        <v>22.241973984799682</v>
      </c>
      <c r="AD125" s="886">
        <f>$Y125*'Input data plant-based products'!AD151</f>
        <v>23.168722900833007</v>
      </c>
      <c r="AE125" s="877"/>
      <c r="AF125" s="879">
        <f>SUM('Input data plant-based products'!F151,'Input data plant-based products'!Q151)/'Input data plant-based products'!E151</f>
        <v>1.2E-2</v>
      </c>
      <c r="AG125" s="877">
        <f>$AF125*'Input data plant-based products'!Z151</f>
        <v>1.2E-2</v>
      </c>
      <c r="AH125" s="877">
        <f>$AF125*'Input data plant-based products'!AA151</f>
        <v>0.06</v>
      </c>
      <c r="AI125" s="877">
        <f>$AF125*'Input data plant-based products'!AB151</f>
        <v>0.06</v>
      </c>
      <c r="AJ125" s="877">
        <f>$AF125*'Input data plant-based products'!AC151</f>
        <v>7.1607590404582894E-2</v>
      </c>
      <c r="AK125" s="886">
        <f>$AF125*'Input data plant-based products'!AD151</f>
        <v>7.4591240004773851E-2</v>
      </c>
      <c r="AL125" s="877"/>
      <c r="AM125" s="879">
        <f>'Input data plant-based products'!R151/'Input data plant-based products'!E151</f>
        <v>1.2E-2</v>
      </c>
      <c r="AN125" s="877">
        <f>$AM125*'Input data plant-based products'!Z151</f>
        <v>1.2E-2</v>
      </c>
      <c r="AO125" s="877">
        <f>$AM125*'Input data plant-based products'!AA151</f>
        <v>0.06</v>
      </c>
      <c r="AP125" s="877">
        <f>$AM125*'Input data plant-based products'!AB151</f>
        <v>0.06</v>
      </c>
      <c r="AQ125" s="877">
        <f>$AM125*'Input data plant-based products'!AC151</f>
        <v>7.1607590404582894E-2</v>
      </c>
      <c r="AR125" s="886">
        <f>$AM125*'Input data plant-based products'!AD151</f>
        <v>7.4591240004773851E-2</v>
      </c>
      <c r="AS125" s="877"/>
      <c r="AT125" s="879">
        <f>'Input data plant-based products'!S151</f>
        <v>0.53700000000000003</v>
      </c>
      <c r="AU125" s="877">
        <f>$AT125*'Input data plant-based products'!Z151</f>
        <v>0.53700000000000003</v>
      </c>
      <c r="AV125" s="877">
        <f>$AT125*'Input data plant-based products'!AA151</f>
        <v>2.6850000000000001</v>
      </c>
      <c r="AW125" s="877">
        <f>$AT125*'Input data plant-based products'!AB151</f>
        <v>2.6850000000000001</v>
      </c>
      <c r="AX125" s="877">
        <f>$AT125*'Input data plant-based products'!AC151</f>
        <v>3.2044396706050842</v>
      </c>
      <c r="AY125" s="886">
        <f>$AT125*'Input data plant-based products'!AD151</f>
        <v>3.33795799021363</v>
      </c>
      <c r="AZ125" s="877"/>
      <c r="BA125" s="879">
        <f>((SUM('Input data plant-based products'!U151:Y151)*'Grains, oil crops, sugar'!Y125)/('Common input data'!$B$192/10^6))/$BB$3</f>
        <v>6.3148674317682847E-9</v>
      </c>
      <c r="BB125" s="877">
        <f>$BA125*'Input data plant-based products'!Z151</f>
        <v>6.3148674317682847E-9</v>
      </c>
      <c r="BC125" s="877">
        <f>$BA125*'Input data plant-based products'!AA151</f>
        <v>3.1574337158841422E-8</v>
      </c>
      <c r="BD125" s="877">
        <f>$BA125*'Input data plant-based products'!AB151</f>
        <v>3.1574337158841422E-8</v>
      </c>
      <c r="BE125" s="877">
        <f>$BA125*'Input data plant-based products'!AC151</f>
        <v>3.768270337610863E-8</v>
      </c>
      <c r="BF125" s="886">
        <f>$BA125*'Input data plant-based products'!AD151</f>
        <v>3.925281601677983E-8</v>
      </c>
      <c r="BG125" s="877"/>
      <c r="BH125" s="879">
        <f>'Input data plant-based products'!T151/'Input data plant-based products'!E151</f>
        <v>1.0287375601028736E-3</v>
      </c>
      <c r="BI125" s="877">
        <f>$BH125*'Input data plant-based products'!Z151</f>
        <v>1.0287375601028736E-3</v>
      </c>
      <c r="BJ125" s="877">
        <f>$BH125*'Input data plant-based products'!AA151</f>
        <v>5.1436878005143684E-3</v>
      </c>
      <c r="BK125" s="877">
        <f>$BH125*'Input data plant-based products'!AB151</f>
        <v>5.1436878005143684E-3</v>
      </c>
      <c r="BL125" s="877">
        <f>$BH125*'Input data plant-based products'!AC151</f>
        <v>6.1387848198047124E-3</v>
      </c>
      <c r="BM125" s="886">
        <f>$BH125*'Input data plant-based products'!AD151</f>
        <v>6.3945675206299093E-3</v>
      </c>
      <c r="BN125" s="877"/>
      <c r="BO125" s="879">
        <f>('Input data plant-based products'!F151/'Input data plant-based products'!E151*'Common input data'!$B$195+'Input data plant-based products'!G151/'Input data plant-based products'!E151*'Common input data'!$B$196)/'Common input data'!$B$198</f>
        <v>3.0640479760119936E-4</v>
      </c>
      <c r="BP125" s="877">
        <f>$BO125*'Input data plant-based products'!Z151</f>
        <v>3.0640479760119936E-4</v>
      </c>
      <c r="BQ125" s="877">
        <f>$BO125*'Input data plant-based products'!AA151</f>
        <v>1.5320239880059969E-3</v>
      </c>
      <c r="BR125" s="877">
        <f>$BO125*'Input data plant-based products'!AB151</f>
        <v>1.5320239880059969E-3</v>
      </c>
      <c r="BS125" s="877">
        <f>$BO125*'Input data plant-based products'!AC151</f>
        <v>1.828409103718817E-3</v>
      </c>
      <c r="BT125" s="886">
        <f>$BO125*'Input data plant-based products'!AD151</f>
        <v>1.9045928163737679E-3</v>
      </c>
      <c r="BU125" s="877"/>
      <c r="BV125" s="879">
        <f>('Common input data'!$C$202+'Common input data'!$B$210)*'Input data plant-based products'!AC151</f>
        <v>7.4185463659147874</v>
      </c>
      <c r="BW125" s="886">
        <f>('Common input data'!$C$202+'Common input data'!$B$210)*'Input data plant-based products'!AD151</f>
        <v>7.7276524644945708</v>
      </c>
      <c r="BX125" s="869"/>
      <c r="BY125" s="869"/>
      <c r="BZ125" s="869"/>
      <c r="CA125" s="869"/>
      <c r="CB125" s="869"/>
      <c r="CC125" s="869"/>
      <c r="CD125" s="869"/>
      <c r="CE125" s="869"/>
    </row>
    <row r="126" spans="1:83" s="406" customFormat="1" ht="17.25">
      <c r="A126" s="68"/>
      <c r="B126" s="55"/>
      <c r="C126" s="64"/>
      <c r="D126"/>
      <c r="E126" s="511" t="s">
        <v>317</v>
      </c>
      <c r="F126" s="877">
        <f>IF(AND($F$2="No",$F$3="No"),SUM(K126:L126),IF(AND($F$2="Yes", $F$3="No"), (SUM(K126:L126)+S126), IF(AND($F$2="No", $F$3="Yes"),(SUM(K126:L126)+R126), (SUM(K126:L126)+S126+R126))))</f>
        <v>-9.1139048141381296E-2</v>
      </c>
      <c r="G126" s="877">
        <f>IF(AND($F$2="No",$F$3="No"),SUM(I126:Q126),IF(AND($F$2="Yes", $F$3="No"), (SUM(I126:Q126)+S126), IF(AND($F$2="No", $F$3="Yes"),(SUM(I126:Q126)+R126), (SUM(I126:Q126)+S126+R126))))</f>
        <v>0.17349190178509399</v>
      </c>
      <c r="H126" s="878">
        <f>SUM(U126:W126)/(1-'Common input data'!$B$143)</f>
        <v>1.5725550120293528</v>
      </c>
      <c r="I126" s="928">
        <f>('Input data plant-based products'!$F$151*('Common input data'!$C$93*'Common input data'!B86+'Common input data'!$C$94*'Common input data'!C86))/'Input data plant-based products'!$E$151</f>
        <v>4.5179699413970154E-2</v>
      </c>
      <c r="J126" s="877">
        <f>'Common input data'!$B$98</f>
        <v>0.03</v>
      </c>
      <c r="K126" s="877">
        <v>0</v>
      </c>
      <c r="L126" s="877">
        <v>0</v>
      </c>
      <c r="M126" s="877"/>
      <c r="N126" s="877">
        <f>('Input data plant-based products'!$P$151*'Common input data'!$C$76*'Common input data'!H66)/'Input data plant-based products'!$E$151</f>
        <v>0.13945125051250512</v>
      </c>
      <c r="O126" s="877">
        <v>0</v>
      </c>
      <c r="P126" s="877">
        <f>'Input data plant-based products'!F$309</f>
        <v>0.05</v>
      </c>
      <c r="Q126" s="877">
        <v>0</v>
      </c>
      <c r="R126" s="877">
        <f>'Common input data'!$F$19</f>
        <v>-9.1139048141381296E-2</v>
      </c>
      <c r="S126" s="877">
        <v>0</v>
      </c>
      <c r="T126" s="877">
        <f>'Input data plant-based products'!G$272*3.6*'Common input data'!C66+'Input data plant-based products'!H$272*3.6*'Common input data'!G66</f>
        <v>1.3347719999999999E-2</v>
      </c>
      <c r="U126" s="877">
        <f>(G126+T126)*'Input data plant-based products'!C$286</f>
        <v>0.93419810892547006</v>
      </c>
      <c r="V126" s="877">
        <f>'Common input data'!B$104</f>
        <v>0.3</v>
      </c>
      <c r="W126" s="878">
        <f>'Common input data'!B117+'Common input data'!C117</f>
        <v>0.23</v>
      </c>
      <c r="X126" s="869"/>
      <c r="Y126" s="879"/>
      <c r="Z126" s="877"/>
      <c r="AA126" s="877"/>
      <c r="AB126" s="877"/>
      <c r="AC126" s="877"/>
      <c r="AD126" s="886"/>
      <c r="AE126" s="877"/>
      <c r="AF126" s="879"/>
      <c r="AG126" s="877"/>
      <c r="AH126" s="877"/>
      <c r="AI126" s="877"/>
      <c r="AJ126" s="877"/>
      <c r="AK126" s="886"/>
      <c r="AL126" s="877"/>
      <c r="AM126" s="879"/>
      <c r="AN126" s="877"/>
      <c r="AO126" s="877"/>
      <c r="AP126" s="877"/>
      <c r="AQ126" s="877"/>
      <c r="AR126" s="886"/>
      <c r="AS126" s="877"/>
      <c r="AT126" s="879"/>
      <c r="AU126" s="877"/>
      <c r="AV126" s="877"/>
      <c r="AW126" s="877"/>
      <c r="AX126" s="877"/>
      <c r="AY126" s="886"/>
      <c r="AZ126" s="877"/>
      <c r="BA126" s="879"/>
      <c r="BB126" s="877"/>
      <c r="BC126" s="877"/>
      <c r="BD126" s="877"/>
      <c r="BE126" s="877"/>
      <c r="BF126" s="886"/>
      <c r="BG126" s="877"/>
      <c r="BH126" s="879"/>
      <c r="BI126" s="877"/>
      <c r="BJ126" s="877"/>
      <c r="BK126" s="877"/>
      <c r="BL126" s="877"/>
      <c r="BM126" s="886"/>
      <c r="BN126" s="877"/>
      <c r="BO126" s="879"/>
      <c r="BP126" s="877"/>
      <c r="BQ126" s="877"/>
      <c r="BR126" s="877"/>
      <c r="BS126" s="877"/>
      <c r="BT126" s="886"/>
      <c r="BU126" s="877"/>
      <c r="BV126" s="879"/>
      <c r="BW126" s="886"/>
      <c r="BX126" s="869"/>
      <c r="BY126" s="869"/>
      <c r="BZ126" s="869"/>
      <c r="CA126" s="869"/>
      <c r="CB126" s="869"/>
      <c r="CC126" s="869"/>
      <c r="CD126" s="869"/>
      <c r="CE126" s="869"/>
    </row>
    <row r="127" spans="1:83" s="406" customFormat="1" ht="17.25">
      <c r="A127" s="68"/>
      <c r="B127" s="55"/>
      <c r="C127" s="595"/>
      <c r="D127" s="50"/>
      <c r="E127" s="511" t="s">
        <v>367</v>
      </c>
      <c r="F127" s="877">
        <f>SUM(K127:L127)</f>
        <v>0</v>
      </c>
      <c r="G127" s="877">
        <f>SUM(I127:Q127)</f>
        <v>1.4465211761336051E-4</v>
      </c>
      <c r="H127" s="878">
        <f>SUM(U127:W127)/(1-'Common input data'!$B$143)</f>
        <v>1.0930074676233925E-3</v>
      </c>
      <c r="I127" s="928">
        <f>('Input data plant-based products'!$F$151*('Common input data'!$C$93*'Common input data'!B87+'Common input data'!$C$94*'Common input data'!C87))/'Input data plant-based products'!$E$151</f>
        <v>8.2879915891343267E-5</v>
      </c>
      <c r="J127" s="877">
        <v>0</v>
      </c>
      <c r="K127" s="877">
        <v>0</v>
      </c>
      <c r="L127" s="877">
        <v>0</v>
      </c>
      <c r="M127" s="877"/>
      <c r="N127" s="877">
        <f>('Input data plant-based products'!$P$151*'Common input data'!$C$76*'Common input data'!H67)/'Input data plant-based products'!$E$151</f>
        <v>6.1772201722017227E-5</v>
      </c>
      <c r="O127" s="877">
        <v>0</v>
      </c>
      <c r="P127" s="877">
        <v>0</v>
      </c>
      <c r="Q127" s="877">
        <v>0</v>
      </c>
      <c r="R127" s="877">
        <v>0</v>
      </c>
      <c r="S127" s="877">
        <v>0</v>
      </c>
      <c r="T127" s="877">
        <f>'Input data plant-based products'!G$272*3.6*'Common input data'!C67+'Input data plant-based products'!H$272*3.6*'Common input data'!G67</f>
        <v>5.8886639999999975E-5</v>
      </c>
      <c r="U127" s="877">
        <f>(G127+T127)*'Input data plant-based products'!C$286</f>
        <v>1.0176937880668024E-3</v>
      </c>
      <c r="V127" s="877">
        <v>0</v>
      </c>
      <c r="W127" s="878">
        <v>0</v>
      </c>
      <c r="X127" s="869"/>
      <c r="Y127" s="879"/>
      <c r="Z127" s="877"/>
      <c r="AA127" s="877"/>
      <c r="AB127" s="877"/>
      <c r="AC127" s="877"/>
      <c r="AD127" s="886"/>
      <c r="AE127" s="877"/>
      <c r="AF127" s="879"/>
      <c r="AG127" s="877"/>
      <c r="AH127" s="877"/>
      <c r="AI127" s="877"/>
      <c r="AJ127" s="877"/>
      <c r="AK127" s="886"/>
      <c r="AL127" s="877"/>
      <c r="AM127" s="879"/>
      <c r="AN127" s="877"/>
      <c r="AO127" s="877"/>
      <c r="AP127" s="877"/>
      <c r="AQ127" s="877"/>
      <c r="AR127" s="886"/>
      <c r="AS127" s="877"/>
      <c r="AT127" s="879"/>
      <c r="AU127" s="877"/>
      <c r="AV127" s="877"/>
      <c r="AW127" s="877"/>
      <c r="AX127" s="877"/>
      <c r="AY127" s="886"/>
      <c r="AZ127" s="877"/>
      <c r="BA127" s="879"/>
      <c r="BB127" s="877"/>
      <c r="BC127" s="877"/>
      <c r="BD127" s="877"/>
      <c r="BE127" s="877"/>
      <c r="BF127" s="886"/>
      <c r="BG127" s="877"/>
      <c r="BH127" s="879"/>
      <c r="BI127" s="877"/>
      <c r="BJ127" s="877"/>
      <c r="BK127" s="877"/>
      <c r="BL127" s="877"/>
      <c r="BM127" s="886"/>
      <c r="BN127" s="877"/>
      <c r="BO127" s="879"/>
      <c r="BP127" s="877"/>
      <c r="BQ127" s="877"/>
      <c r="BR127" s="877"/>
      <c r="BS127" s="877"/>
      <c r="BT127" s="886"/>
      <c r="BU127" s="877"/>
      <c r="BV127" s="879"/>
      <c r="BW127" s="886"/>
      <c r="BX127" s="869"/>
      <c r="BY127" s="869"/>
      <c r="BZ127" s="869"/>
      <c r="CA127" s="869"/>
      <c r="CB127" s="869"/>
      <c r="CC127" s="869"/>
      <c r="CD127" s="869"/>
      <c r="CE127" s="869"/>
    </row>
    <row r="128" spans="1:83" s="406" customFormat="1" ht="17.25">
      <c r="A128" s="18"/>
      <c r="B128" s="360"/>
      <c r="C128" s="83"/>
      <c r="D128" s="54"/>
      <c r="E128" s="512" t="s">
        <v>320</v>
      </c>
      <c r="F128" s="877">
        <f>SUM(K128:L128)</f>
        <v>1.0371428571428572E-4</v>
      </c>
      <c r="G128" s="877">
        <f>SUM(I128:Q128)</f>
        <v>2.0672955876240536E-4</v>
      </c>
      <c r="H128" s="878">
        <f>SUM(U128:W128)/(1-'Common input data'!$B$143)</f>
        <v>1.128828909844889E-3</v>
      </c>
      <c r="I128" s="928">
        <f>('Input data plant-based products'!$F$151*('Common input data'!$C$93*'Common input data'!B88+'Common input data'!$C$94*'Common input data'!C88))/'Input data plant-based products'!$E$151</f>
        <v>9.9268163577024944E-5</v>
      </c>
      <c r="J128" s="877">
        <v>0</v>
      </c>
      <c r="K128" s="877">
        <f>(SUM('Input data plant-based products'!F151:H151)*'Input data plant-based products'!$B$260*44/28)/'Input data plant-based products'!E151</f>
        <v>9.4285714285714285E-5</v>
      </c>
      <c r="L128" s="877">
        <f>K128*'Input data plant-based products'!$B$261</f>
        <v>9.4285714285714295E-6</v>
      </c>
      <c r="M128" s="877"/>
      <c r="N128" s="877">
        <f>('Input data plant-based products'!$P$151*'Common input data'!$C$76*'Common input data'!H68)/'Input data plant-based products'!$E$151</f>
        <v>3.7471094710947108E-6</v>
      </c>
      <c r="O128" s="877">
        <v>0</v>
      </c>
      <c r="P128" s="877">
        <v>0</v>
      </c>
      <c r="Q128" s="877">
        <v>0</v>
      </c>
      <c r="R128" s="877">
        <v>0</v>
      </c>
      <c r="S128" s="877">
        <v>0</v>
      </c>
      <c r="T128" s="877">
        <f>'Input data plant-based products'!G$272*3.6*'Common input data'!C68+'Input data plant-based products'!H$272*3.6*'Common input data'!G68</f>
        <v>3.4798319999999972E-6</v>
      </c>
      <c r="U128" s="877">
        <f>(G128+T128)*'Input data plant-based products'!C$286</f>
        <v>1.0510469538120269E-3</v>
      </c>
      <c r="V128" s="877">
        <v>0</v>
      </c>
      <c r="W128" s="878">
        <v>0</v>
      </c>
      <c r="X128" s="869"/>
      <c r="Y128" s="879"/>
      <c r="Z128" s="877"/>
      <c r="AA128" s="877"/>
      <c r="AB128" s="877"/>
      <c r="AC128" s="877"/>
      <c r="AD128" s="886"/>
      <c r="AE128" s="877"/>
      <c r="AF128" s="879"/>
      <c r="AG128" s="877"/>
      <c r="AH128" s="877"/>
      <c r="AI128" s="877"/>
      <c r="AJ128" s="877"/>
      <c r="AK128" s="886"/>
      <c r="AL128" s="877"/>
      <c r="AM128" s="879"/>
      <c r="AN128" s="877"/>
      <c r="AO128" s="877"/>
      <c r="AP128" s="877"/>
      <c r="AQ128" s="877"/>
      <c r="AR128" s="886"/>
      <c r="AS128" s="877"/>
      <c r="AT128" s="879"/>
      <c r="AU128" s="877"/>
      <c r="AV128" s="877"/>
      <c r="AW128" s="877"/>
      <c r="AX128" s="877"/>
      <c r="AY128" s="886"/>
      <c r="AZ128" s="877"/>
      <c r="BA128" s="879"/>
      <c r="BB128" s="877"/>
      <c r="BC128" s="877"/>
      <c r="BD128" s="877"/>
      <c r="BE128" s="877"/>
      <c r="BF128" s="886"/>
      <c r="BG128" s="877"/>
      <c r="BH128" s="879"/>
      <c r="BI128" s="877"/>
      <c r="BJ128" s="877"/>
      <c r="BK128" s="877"/>
      <c r="BL128" s="877"/>
      <c r="BM128" s="886"/>
      <c r="BN128" s="877"/>
      <c r="BO128" s="879"/>
      <c r="BP128" s="877"/>
      <c r="BQ128" s="877"/>
      <c r="BR128" s="877"/>
      <c r="BS128" s="877"/>
      <c r="BT128" s="886"/>
      <c r="BU128" s="877"/>
      <c r="BV128" s="879"/>
      <c r="BW128" s="886"/>
      <c r="BX128" s="869"/>
      <c r="BY128" s="869"/>
      <c r="BZ128" s="869"/>
      <c r="CA128" s="869"/>
      <c r="CB128" s="869"/>
      <c r="CC128" s="869"/>
      <c r="CD128" s="869"/>
      <c r="CE128" s="869"/>
    </row>
    <row r="129" spans="1:83" s="406" customFormat="1" ht="17.25">
      <c r="A129" s="108" t="s">
        <v>125</v>
      </c>
      <c r="B129" s="93" t="s">
        <v>121</v>
      </c>
      <c r="C129" s="87">
        <f>'Input data plant-based products'!D152</f>
        <v>6.3636904643827763E-2</v>
      </c>
      <c r="D129" s="54"/>
      <c r="E129" s="513" t="s">
        <v>316</v>
      </c>
      <c r="F129" s="872">
        <f>SUMPRODUCT($CJ$6:$CJ$8,F130:F132)</f>
        <v>-4.2505435365680355E-2</v>
      </c>
      <c r="G129" s="872">
        <f>SUMPRODUCT($CJ$6:$CJ$8,G130:G132)</f>
        <v>0.25472110784272295</v>
      </c>
      <c r="H129" s="873">
        <f>SUMPRODUCT($CJ$6:$CJ$8,H130:H132)</f>
        <v>2.0145978439725432</v>
      </c>
      <c r="I129" s="1277"/>
      <c r="J129" s="884"/>
      <c r="K129" s="884"/>
      <c r="L129" s="884"/>
      <c r="M129" s="884"/>
      <c r="N129" s="884"/>
      <c r="O129" s="884"/>
      <c r="P129" s="884"/>
      <c r="Q129" s="884"/>
      <c r="R129" s="884"/>
      <c r="S129" s="884"/>
      <c r="T129" s="884"/>
      <c r="U129" s="884"/>
      <c r="V129" s="884"/>
      <c r="W129" s="1278"/>
      <c r="X129" s="869"/>
      <c r="Y129" s="879">
        <f>1/'Input data plant-based products'!E152*10^4</f>
        <v>3.9256592305666218</v>
      </c>
      <c r="Z129" s="877">
        <f>$Y129*'Input data plant-based products'!Z152</f>
        <v>3.9256592305666218</v>
      </c>
      <c r="AA129" s="877">
        <f>$Y129*'Input data plant-based products'!AA152</f>
        <v>19.628296152833109</v>
      </c>
      <c r="AB129" s="877">
        <f>$Y129*'Input data plant-based products'!AB152</f>
        <v>19.628296152833109</v>
      </c>
      <c r="AC129" s="877">
        <f>$Y129*'Input data plant-based products'!AC152</f>
        <v>23.425583187532055</v>
      </c>
      <c r="AD129" s="886">
        <f>$Y129*'Input data plant-based products'!AD152</f>
        <v>24.401649153679227</v>
      </c>
      <c r="AE129" s="877"/>
      <c r="AF129" s="879">
        <f>SUM('Input data plant-based products'!F152,'Input data plant-based products'!Q152)/'Input data plant-based products'!E152</f>
        <v>1.2075170766853707E-2</v>
      </c>
      <c r="AG129" s="877">
        <f>$AF129*'Input data plant-based products'!Z152</f>
        <v>1.2075170766853707E-2</v>
      </c>
      <c r="AH129" s="877">
        <f>$AF129*'Input data plant-based products'!AA152</f>
        <v>6.0375853834268536E-2</v>
      </c>
      <c r="AI129" s="877">
        <f>$AF129*'Input data plant-based products'!AB152</f>
        <v>6.0375853834268536E-2</v>
      </c>
      <c r="AJ129" s="877">
        <f>$AF129*'Input data plant-based products'!AC152</f>
        <v>7.2056156861521101E-2</v>
      </c>
      <c r="AK129" s="886">
        <f>$AF129*'Input data plant-based products'!AD152</f>
        <v>7.5058496730751156E-2</v>
      </c>
      <c r="AL129" s="877"/>
      <c r="AM129" s="879">
        <f>'Input data plant-based products'!R152/'Input data plant-based products'!E152</f>
        <v>1.2075170766853707E-2</v>
      </c>
      <c r="AN129" s="877">
        <f>$AM129*'Input data plant-based products'!Z152</f>
        <v>1.2075170766853707E-2</v>
      </c>
      <c r="AO129" s="877">
        <f>$AM129*'Input data plant-based products'!AA152</f>
        <v>6.0375853834268536E-2</v>
      </c>
      <c r="AP129" s="877">
        <f>$AM129*'Input data plant-based products'!AB152</f>
        <v>6.0375853834268536E-2</v>
      </c>
      <c r="AQ129" s="877">
        <f>$AM129*'Input data plant-based products'!AC152</f>
        <v>7.2056156861521101E-2</v>
      </c>
      <c r="AR129" s="886">
        <f>$AM129*'Input data plant-based products'!AD152</f>
        <v>7.5058496730751156E-2</v>
      </c>
      <c r="AS129" s="877"/>
      <c r="AT129" s="879">
        <f>'Input data plant-based products'!S152</f>
        <v>0.29380540218316903</v>
      </c>
      <c r="AU129" s="877">
        <f>$AT129*'Input data plant-based products'!Z152</f>
        <v>0.29380540218316903</v>
      </c>
      <c r="AV129" s="877">
        <f>$AT129*'Input data plant-based products'!AA152</f>
        <v>1.4690270109158452</v>
      </c>
      <c r="AW129" s="877">
        <f>$AT129*'Input data plant-based products'!AB152</f>
        <v>1.4690270109158452</v>
      </c>
      <c r="AX129" s="877">
        <f>$AT129*'Input data plant-based products'!AC152</f>
        <v>1.7532247415155091</v>
      </c>
      <c r="AY129" s="886">
        <f>$AT129*'Input data plant-based products'!AD152</f>
        <v>1.8262757724119889</v>
      </c>
      <c r="AZ129" s="877"/>
      <c r="BA129" s="879">
        <f>((SUM('Input data plant-based products'!U152:Y152)*'Grains, oil crops, sugar'!Y129)/('Common input data'!$B$192/10^6))/$BB$3</f>
        <v>5.4245177637509015E-9</v>
      </c>
      <c r="BB129" s="877">
        <f>$BA129*'Input data plant-based products'!Z152</f>
        <v>5.4245177637509015E-9</v>
      </c>
      <c r="BC129" s="877">
        <f>$BA129*'Input data plant-based products'!AA152</f>
        <v>2.7122588818754506E-8</v>
      </c>
      <c r="BD129" s="877">
        <f>$BA129*'Input data plant-based products'!AB152</f>
        <v>2.7122588818754506E-8</v>
      </c>
      <c r="BE129" s="877">
        <f>$BA129*'Input data plant-based products'!AC152</f>
        <v>3.2369720514088206E-8</v>
      </c>
      <c r="BF129" s="886">
        <f>$BA129*'Input data plant-based products'!AD152</f>
        <v>3.3718458868841887E-8</v>
      </c>
      <c r="BG129" s="877"/>
      <c r="BH129" s="879">
        <f>'Input data plant-based products'!T152/'Input data plant-based products'!E152</f>
        <v>2.8578799198525004E-3</v>
      </c>
      <c r="BI129" s="877">
        <f>$BH129*'Input data plant-based products'!Z152</f>
        <v>2.8578799198525004E-3</v>
      </c>
      <c r="BJ129" s="877">
        <f>$BH129*'Input data plant-based products'!AA152</f>
        <v>1.4289399599262502E-2</v>
      </c>
      <c r="BK129" s="877">
        <f>$BH129*'Input data plant-based products'!AB152</f>
        <v>1.4289399599262502E-2</v>
      </c>
      <c r="BL129" s="877">
        <f>$BH129*'Input data plant-based products'!AC152</f>
        <v>1.7053824560523335E-2</v>
      </c>
      <c r="BM129" s="886">
        <f>$BH129*'Input data plant-based products'!AD152</f>
        <v>1.7764400583878476E-2</v>
      </c>
      <c r="BN129" s="877"/>
      <c r="BO129" s="879">
        <f>('Input data plant-based products'!F152/'Input data plant-based products'!E152*'Common input data'!$B$195+'Input data plant-based products'!G152/'Input data plant-based products'!E152*'Common input data'!$B$196)/'Common input data'!$B$198</f>
        <v>3.0832418790147748E-4</v>
      </c>
      <c r="BP129" s="877">
        <f>$BO129*'Input data plant-based products'!Z152</f>
        <v>3.0832418790147748E-4</v>
      </c>
      <c r="BQ129" s="877">
        <f>$BO129*'Input data plant-based products'!AA152</f>
        <v>1.5416209395073873E-3</v>
      </c>
      <c r="BR129" s="877">
        <f>$BO129*'Input data plant-based products'!AB152</f>
        <v>1.5416209395073873E-3</v>
      </c>
      <c r="BS129" s="877">
        <f>$BO129*'Input data plant-based products'!AC152</f>
        <v>1.8398626799228876E-3</v>
      </c>
      <c r="BT129" s="886">
        <f>$BO129*'Input data plant-based products'!AD152</f>
        <v>1.9165236249196747E-3</v>
      </c>
      <c r="BU129" s="877"/>
      <c r="BV129" s="879">
        <f>('Common input data'!$C$202+'Common input data'!$B$214)*'Input data plant-based products'!AC152</f>
        <v>5.6699287902295428</v>
      </c>
      <c r="BW129" s="886">
        <f>('Common input data'!$C$202+'Common input data'!$B$214)*'Input data plant-based products'!AD152</f>
        <v>5.9061758231557739</v>
      </c>
      <c r="BX129" s="869"/>
      <c r="BY129" s="869"/>
      <c r="BZ129" s="869"/>
      <c r="CA129" s="869"/>
      <c r="CB129" s="869"/>
      <c r="CC129" s="869"/>
      <c r="CD129" s="869"/>
      <c r="CE129" s="869"/>
    </row>
    <row r="130" spans="1:83" s="406" customFormat="1" ht="17.25">
      <c r="A130" s="68"/>
      <c r="B130" s="55"/>
      <c r="C130" s="64"/>
      <c r="D130"/>
      <c r="E130" s="511" t="s">
        <v>317</v>
      </c>
      <c r="F130" s="877">
        <f>IF(AND($F$2="No",$F$3="No"),SUM(K130:L130),IF(AND($F$2="Yes", $F$3="No"), (SUM(K130:L130)+S130), IF(AND($F$2="No", $F$3="Yes"),(SUM(K130:L130)+R130), (SUM(K130:L130)+S130+R130))))</f>
        <v>-9.1139048141381296E-2</v>
      </c>
      <c r="G130" s="877">
        <f>IF(AND($F$2="No",$F$3="No"),SUM(I130:Q130),IF(AND($F$2="Yes", $F$3="No"), (SUM(I130:Q130)+S130), IF(AND($F$2="No", $F$3="Yes"),(SUM(I130:Q130)+R130), (SUM(I130:Q130)+S130+R130))))</f>
        <v>0.18119583216791257</v>
      </c>
      <c r="H130" s="878">
        <f>SUM(U130:W130)/(1-'Common input data'!$B$143)</f>
        <v>1.6139252824250621</v>
      </c>
      <c r="I130" s="928">
        <f>('Input data plant-based products'!$F$152*('Common input data'!$C$93*'Common input data'!B86+'Common input data'!$C$94*'Common input data'!C86))/'Input data plant-based products'!$E$152</f>
        <v>4.5462715468234161E-2</v>
      </c>
      <c r="J130" s="877">
        <f>'Common input data'!$B$98</f>
        <v>0.03</v>
      </c>
      <c r="K130" s="877">
        <v>0</v>
      </c>
      <c r="L130" s="877">
        <v>0</v>
      </c>
      <c r="M130" s="877"/>
      <c r="N130" s="877">
        <f>('Input data plant-based products'!$P$152*'Common input data'!$C$76*'Common input data'!H66)/'Input data plant-based products'!$E$152</f>
        <v>0.14687216484105969</v>
      </c>
      <c r="O130" s="877">
        <v>0</v>
      </c>
      <c r="P130" s="877">
        <f>'Input data plant-based products'!F$309</f>
        <v>0.05</v>
      </c>
      <c r="Q130" s="877">
        <v>0</v>
      </c>
      <c r="R130" s="877">
        <f>'Common input data'!$F$19</f>
        <v>-9.1139048141381296E-2</v>
      </c>
      <c r="S130" s="877">
        <v>0</v>
      </c>
      <c r="T130" s="877">
        <f>'Input data plant-based products'!G$272*3.6*'Common input data'!C66+'Input data plant-based products'!H$272*3.6*'Common input data'!G66</f>
        <v>1.3347719999999999E-2</v>
      </c>
      <c r="U130" s="877">
        <f>(G130+T130)*'Input data plant-based products'!C$286</f>
        <v>0.97271776083956296</v>
      </c>
      <c r="V130" s="877">
        <f>'Common input data'!B$104</f>
        <v>0.3</v>
      </c>
      <c r="W130" s="878">
        <f>'Common input data'!B119+'Common input data'!C119</f>
        <v>0.23000000000000004</v>
      </c>
      <c r="X130" s="869"/>
      <c r="Y130" s="879"/>
      <c r="Z130" s="877"/>
      <c r="AA130" s="877"/>
      <c r="AB130" s="877"/>
      <c r="AC130" s="877"/>
      <c r="AD130" s="886"/>
      <c r="AE130" s="877"/>
      <c r="AF130" s="879"/>
      <c r="AG130" s="877"/>
      <c r="AH130" s="877"/>
      <c r="AI130" s="877"/>
      <c r="AJ130" s="877"/>
      <c r="AK130" s="886"/>
      <c r="AL130" s="877"/>
      <c r="AM130" s="879"/>
      <c r="AN130" s="877"/>
      <c r="AO130" s="877"/>
      <c r="AP130" s="877"/>
      <c r="AQ130" s="877"/>
      <c r="AR130" s="886"/>
      <c r="AS130" s="877"/>
      <c r="AT130" s="879"/>
      <c r="AU130" s="877"/>
      <c r="AV130" s="877"/>
      <c r="AW130" s="877"/>
      <c r="AX130" s="877"/>
      <c r="AY130" s="886"/>
      <c r="AZ130" s="877"/>
      <c r="BA130" s="879"/>
      <c r="BB130" s="877"/>
      <c r="BC130" s="877"/>
      <c r="BD130" s="877"/>
      <c r="BE130" s="877"/>
      <c r="BF130" s="886"/>
      <c r="BG130" s="877"/>
      <c r="BH130" s="879"/>
      <c r="BI130" s="877"/>
      <c r="BJ130" s="877"/>
      <c r="BK130" s="877"/>
      <c r="BL130" s="877"/>
      <c r="BM130" s="886"/>
      <c r="BN130" s="877"/>
      <c r="BO130" s="879"/>
      <c r="BP130" s="877"/>
      <c r="BQ130" s="877"/>
      <c r="BR130" s="877"/>
      <c r="BS130" s="877"/>
      <c r="BT130" s="886"/>
      <c r="BU130" s="877"/>
      <c r="BV130" s="879"/>
      <c r="BW130" s="886"/>
      <c r="BX130" s="869"/>
      <c r="BY130" s="869"/>
      <c r="BZ130" s="869"/>
      <c r="CA130" s="869"/>
      <c r="CB130" s="869"/>
      <c r="CC130" s="869"/>
      <c r="CD130" s="869"/>
      <c r="CE130" s="869"/>
    </row>
    <row r="131" spans="1:83" s="406" customFormat="1" ht="17.25">
      <c r="A131" s="18"/>
      <c r="B131" s="55"/>
      <c r="C131" s="595"/>
      <c r="D131" s="50"/>
      <c r="E131" s="511" t="s">
        <v>367</v>
      </c>
      <c r="F131" s="877">
        <f>SUM(K131:L131)</f>
        <v>0</v>
      </c>
      <c r="G131" s="877">
        <f>SUM(I131:Q131)</f>
        <v>1.4845851133272878E-4</v>
      </c>
      <c r="H131" s="878">
        <f>SUM(U131:W131)/(1-'Common input data'!$B$143)</f>
        <v>1.1134478830448493E-3</v>
      </c>
      <c r="I131" s="928">
        <f>('Input data plant-based products'!$F$152*('Common input data'!$C$93*'Common input data'!B87+'Common input data'!$C$94*'Common input data'!C87))/'Input data plant-based products'!$E$152</f>
        <v>8.3399094794203512E-5</v>
      </c>
      <c r="J131" s="877">
        <v>0</v>
      </c>
      <c r="K131" s="877">
        <v>0</v>
      </c>
      <c r="L131" s="877">
        <v>0</v>
      </c>
      <c r="M131" s="877"/>
      <c r="N131" s="877">
        <f>('Input data plant-based products'!$P$152*'Common input data'!$C$76*'Common input data'!H67)/'Input data plant-based products'!$E$152</f>
        <v>6.5059416538525272E-5</v>
      </c>
      <c r="O131" s="877">
        <v>0</v>
      </c>
      <c r="P131" s="877">
        <v>0</v>
      </c>
      <c r="Q131" s="877">
        <v>0</v>
      </c>
      <c r="R131" s="877">
        <v>0</v>
      </c>
      <c r="S131" s="877">
        <v>0</v>
      </c>
      <c r="T131" s="877">
        <f>'Input data plant-based products'!G$272*3.6*'Common input data'!C67+'Input data plant-based products'!H$272*3.6*'Common input data'!G67</f>
        <v>5.8886639999999975E-5</v>
      </c>
      <c r="U131" s="877">
        <f>(G131+T131)*'Input data plant-based products'!C$286</f>
        <v>1.0367257566636439E-3</v>
      </c>
      <c r="V131" s="877">
        <v>0</v>
      </c>
      <c r="W131" s="878">
        <v>0</v>
      </c>
      <c r="X131" s="869"/>
      <c r="Y131" s="879"/>
      <c r="Z131" s="877"/>
      <c r="AA131" s="877"/>
      <c r="AB131" s="877"/>
      <c r="AC131" s="877"/>
      <c r="AD131" s="886"/>
      <c r="AE131" s="877"/>
      <c r="AF131" s="879"/>
      <c r="AG131" s="877"/>
      <c r="AH131" s="877"/>
      <c r="AI131" s="877"/>
      <c r="AJ131" s="877"/>
      <c r="AK131" s="886"/>
      <c r="AL131" s="877"/>
      <c r="AM131" s="879"/>
      <c r="AN131" s="877"/>
      <c r="AO131" s="877"/>
      <c r="AP131" s="877"/>
      <c r="AQ131" s="877"/>
      <c r="AR131" s="886"/>
      <c r="AS131" s="877"/>
      <c r="AT131" s="879"/>
      <c r="AU131" s="877"/>
      <c r="AV131" s="877"/>
      <c r="AW131" s="877"/>
      <c r="AX131" s="877"/>
      <c r="AY131" s="886"/>
      <c r="AZ131" s="877"/>
      <c r="BA131" s="879"/>
      <c r="BB131" s="877"/>
      <c r="BC131" s="877"/>
      <c r="BD131" s="877"/>
      <c r="BE131" s="877"/>
      <c r="BF131" s="886"/>
      <c r="BG131" s="877"/>
      <c r="BH131" s="879"/>
      <c r="BI131" s="877"/>
      <c r="BJ131" s="877"/>
      <c r="BK131" s="877"/>
      <c r="BL131" s="877"/>
      <c r="BM131" s="886"/>
      <c r="BN131" s="877"/>
      <c r="BO131" s="879"/>
      <c r="BP131" s="877"/>
      <c r="BQ131" s="877"/>
      <c r="BR131" s="877"/>
      <c r="BS131" s="877"/>
      <c r="BT131" s="886"/>
      <c r="BU131" s="877"/>
      <c r="BV131" s="879"/>
      <c r="BW131" s="886"/>
      <c r="BX131" s="869"/>
      <c r="BY131" s="869"/>
      <c r="BZ131" s="869"/>
      <c r="CA131" s="869"/>
      <c r="CB131" s="869"/>
      <c r="CC131" s="869"/>
      <c r="CD131" s="869"/>
      <c r="CE131" s="869"/>
    </row>
    <row r="132" spans="1:83" s="406" customFormat="1" ht="17.25">
      <c r="A132" s="359"/>
      <c r="B132" s="360"/>
      <c r="C132" s="83"/>
      <c r="D132" s="54"/>
      <c r="E132" s="512" t="s">
        <v>320</v>
      </c>
      <c r="F132" s="877">
        <f>SUM(K132:L132)</f>
        <v>2.0872795182704266E-4</v>
      </c>
      <c r="G132" s="877">
        <f>SUM(I132:Q132)</f>
        <v>3.1256446640148735E-4</v>
      </c>
      <c r="H132" s="878">
        <f>SUM(U132:W132)/(1-'Common input data'!$B$143)</f>
        <v>1.6971646201595291E-3</v>
      </c>
      <c r="I132" s="928">
        <f>('Input data plant-based products'!$F$152*('Common input data'!$C$93*'Common input data'!B88+'Common input data'!$C$94*'Common input data'!C88))/'Input data plant-based products'!$E$152</f>
        <v>9.9890002242045289E-5</v>
      </c>
      <c r="J132" s="877">
        <v>0</v>
      </c>
      <c r="K132" s="877">
        <f>(SUM('Input data plant-based products'!F152:H152)*'Input data plant-based products'!$B$257*44/28)/'Input data plant-based products'!E152</f>
        <v>1.8975268347912969E-4</v>
      </c>
      <c r="L132" s="877">
        <f>K132*'Input data plant-based products'!$B$261</f>
        <v>1.8975268347912969E-5</v>
      </c>
      <c r="M132" s="877"/>
      <c r="N132" s="877">
        <f>('Input data plant-based products'!$P$152*'Common input data'!$C$76*'Common input data'!H68)/'Input data plant-based products'!$E$152</f>
        <v>3.9465123323993918E-6</v>
      </c>
      <c r="O132" s="877">
        <v>0</v>
      </c>
      <c r="P132" s="877">
        <v>0</v>
      </c>
      <c r="Q132" s="877">
        <v>0</v>
      </c>
      <c r="R132" s="877">
        <v>0</v>
      </c>
      <c r="S132" s="877">
        <v>0</v>
      </c>
      <c r="T132" s="877">
        <f>'Input data plant-based products'!G$272*3.6*'Common input data'!C68+'Input data plant-based products'!H$272*3.6*'Common input data'!G68</f>
        <v>3.4798319999999972E-6</v>
      </c>
      <c r="U132" s="877">
        <f>(G132+T132)*'Input data plant-based products'!C$286</f>
        <v>1.5802214920074367E-3</v>
      </c>
      <c r="V132" s="877">
        <v>0</v>
      </c>
      <c r="W132" s="878">
        <v>0</v>
      </c>
      <c r="X132" s="869"/>
      <c r="Y132" s="879"/>
      <c r="Z132" s="877"/>
      <c r="AA132" s="877"/>
      <c r="AB132" s="877"/>
      <c r="AC132" s="877"/>
      <c r="AD132" s="886"/>
      <c r="AE132" s="877"/>
      <c r="AF132" s="879"/>
      <c r="AG132" s="877"/>
      <c r="AH132" s="877"/>
      <c r="AI132" s="877"/>
      <c r="AJ132" s="877"/>
      <c r="AK132" s="886"/>
      <c r="AL132" s="877"/>
      <c r="AM132" s="879"/>
      <c r="AN132" s="877"/>
      <c r="AO132" s="877"/>
      <c r="AP132" s="877"/>
      <c r="AQ132" s="877"/>
      <c r="AR132" s="886"/>
      <c r="AS132" s="877"/>
      <c r="AT132" s="879"/>
      <c r="AU132" s="877"/>
      <c r="AV132" s="877"/>
      <c r="AW132" s="877"/>
      <c r="AX132" s="877"/>
      <c r="AY132" s="886"/>
      <c r="AZ132" s="877"/>
      <c r="BA132" s="879"/>
      <c r="BB132" s="877"/>
      <c r="BC132" s="877"/>
      <c r="BD132" s="877"/>
      <c r="BE132" s="877"/>
      <c r="BF132" s="886"/>
      <c r="BG132" s="877"/>
      <c r="BH132" s="879"/>
      <c r="BI132" s="877"/>
      <c r="BJ132" s="877"/>
      <c r="BK132" s="877"/>
      <c r="BL132" s="877"/>
      <c r="BM132" s="886"/>
      <c r="BN132" s="877"/>
      <c r="BO132" s="879"/>
      <c r="BP132" s="877"/>
      <c r="BQ132" s="877"/>
      <c r="BR132" s="877"/>
      <c r="BS132" s="877"/>
      <c r="BT132" s="886"/>
      <c r="BU132" s="877"/>
      <c r="BV132" s="879"/>
      <c r="BW132" s="886"/>
      <c r="BX132" s="869"/>
      <c r="BY132" s="869"/>
      <c r="BZ132" s="869"/>
      <c r="CA132" s="869"/>
      <c r="CB132" s="869"/>
      <c r="CC132" s="869"/>
      <c r="CD132" s="869"/>
      <c r="CE132" s="869"/>
    </row>
    <row r="133" spans="1:83" s="406" customFormat="1" ht="17.25">
      <c r="A133" s="362" t="s">
        <v>455</v>
      </c>
      <c r="B133" s="363"/>
      <c r="C133" s="770"/>
      <c r="D133" s="54"/>
      <c r="E133" s="939"/>
      <c r="F133" s="892" t="s">
        <v>453</v>
      </c>
      <c r="G133" s="892" t="s">
        <v>453</v>
      </c>
      <c r="H133" s="970" t="s">
        <v>453</v>
      </c>
      <c r="I133" s="1272"/>
      <c r="J133" s="880"/>
      <c r="K133" s="880"/>
      <c r="L133" s="880"/>
      <c r="M133" s="880"/>
      <c r="N133" s="880"/>
      <c r="O133" s="880"/>
      <c r="P133" s="880"/>
      <c r="Q133" s="880"/>
      <c r="R133" s="880"/>
      <c r="S133" s="880"/>
      <c r="T133" s="880"/>
      <c r="U133" s="880"/>
      <c r="V133" s="880"/>
      <c r="W133" s="1273"/>
      <c r="X133" s="869"/>
      <c r="Y133" s="879"/>
      <c r="Z133" s="877"/>
      <c r="AA133" s="877"/>
      <c r="AB133" s="877"/>
      <c r="AC133" s="877"/>
      <c r="AD133" s="886"/>
      <c r="AE133" s="877"/>
      <c r="AF133" s="879"/>
      <c r="AG133" s="877"/>
      <c r="AH133" s="877"/>
      <c r="AI133" s="877"/>
      <c r="AJ133" s="877"/>
      <c r="AK133" s="886"/>
      <c r="AL133" s="877"/>
      <c r="AM133" s="879"/>
      <c r="AN133" s="877"/>
      <c r="AO133" s="877"/>
      <c r="AP133" s="877"/>
      <c r="AQ133" s="877"/>
      <c r="AR133" s="886"/>
      <c r="AS133" s="877"/>
      <c r="AT133" s="879"/>
      <c r="AU133" s="877"/>
      <c r="AV133" s="877"/>
      <c r="AW133" s="877"/>
      <c r="AX133" s="877"/>
      <c r="AY133" s="886"/>
      <c r="AZ133" s="877"/>
      <c r="BA133" s="879"/>
      <c r="BB133" s="877"/>
      <c r="BC133" s="877"/>
      <c r="BD133" s="877"/>
      <c r="BE133" s="877"/>
      <c r="BF133" s="886"/>
      <c r="BG133" s="877"/>
      <c r="BH133" s="879"/>
      <c r="BI133" s="877"/>
      <c r="BJ133" s="877"/>
      <c r="BK133" s="877"/>
      <c r="BL133" s="877"/>
      <c r="BM133" s="886"/>
      <c r="BN133" s="877"/>
      <c r="BO133" s="879"/>
      <c r="BP133" s="877"/>
      <c r="BQ133" s="877"/>
      <c r="BR133" s="877"/>
      <c r="BS133" s="877"/>
      <c r="BT133" s="886"/>
      <c r="BU133" s="877"/>
      <c r="BV133" s="879"/>
      <c r="BW133" s="886"/>
      <c r="BX133" s="869"/>
      <c r="BY133" s="869"/>
      <c r="BZ133" s="869"/>
      <c r="CA133" s="869"/>
      <c r="CB133" s="869"/>
      <c r="CC133" s="869"/>
      <c r="CD133" s="869"/>
      <c r="CE133" s="869"/>
    </row>
    <row r="134" spans="1:83" s="406" customFormat="1" ht="17.25">
      <c r="A134" s="108" t="s">
        <v>120</v>
      </c>
      <c r="B134" s="93" t="s">
        <v>121</v>
      </c>
      <c r="C134" s="87">
        <f>'Input data plant-based products'!D143</f>
        <v>1</v>
      </c>
      <c r="D134" s="54"/>
      <c r="E134" s="513" t="s">
        <v>316</v>
      </c>
      <c r="F134" s="872">
        <f>SUMPRODUCT($CJ$6:$CJ$8,F135:F137)</f>
        <v>-4.649974481094557E-2</v>
      </c>
      <c r="G134" s="872">
        <f>SUMPRODUCT($CJ$6:$CJ$8,G135:G137)</f>
        <v>0.2370384435112009</v>
      </c>
      <c r="H134" s="873">
        <f>SUMPRODUCT($CJ$6:$CJ$8,H135:H137)</f>
        <v>0.86941363538218874</v>
      </c>
      <c r="I134" s="1274"/>
      <c r="J134" s="875"/>
      <c r="K134" s="875"/>
      <c r="L134" s="875"/>
      <c r="M134" s="875"/>
      <c r="N134" s="875"/>
      <c r="O134" s="875"/>
      <c r="P134" s="875"/>
      <c r="Q134" s="875"/>
      <c r="R134" s="875"/>
      <c r="S134" s="875"/>
      <c r="T134" s="875"/>
      <c r="U134" s="875"/>
      <c r="V134" s="875"/>
      <c r="W134" s="1271"/>
      <c r="X134" s="869"/>
      <c r="Y134" s="883">
        <f t="shared" ref="Y134:BT134" si="24">Y138*$C$138+Y142*$C$142+Y146*$C$146</f>
        <v>3.559968596703325</v>
      </c>
      <c r="Z134" s="884">
        <f t="shared" si="24"/>
        <v>3.559968596703325</v>
      </c>
      <c r="AA134" s="884">
        <f t="shared" si="24"/>
        <v>3.559968596703325</v>
      </c>
      <c r="AB134" s="884">
        <f t="shared" si="24"/>
        <v>3.559968596703325</v>
      </c>
      <c r="AC134" s="884">
        <f t="shared" si="24"/>
        <v>4.2486795520984906</v>
      </c>
      <c r="AD134" s="885">
        <f t="shared" si="24"/>
        <v>4.4257078667692609</v>
      </c>
      <c r="AE134" s="877"/>
      <c r="AF134" s="883">
        <f t="shared" si="24"/>
        <v>1.2000000000000004E-2</v>
      </c>
      <c r="AG134" s="884">
        <f t="shared" si="24"/>
        <v>1.2000000000000004E-2</v>
      </c>
      <c r="AH134" s="884">
        <f t="shared" si="24"/>
        <v>1.2000000000000004E-2</v>
      </c>
      <c r="AI134" s="884">
        <f t="shared" si="24"/>
        <v>1.2000000000000004E-2</v>
      </c>
      <c r="AJ134" s="884">
        <f t="shared" si="24"/>
        <v>1.4321518080916577E-2</v>
      </c>
      <c r="AK134" s="885">
        <f t="shared" si="24"/>
        <v>1.491824800095477E-2</v>
      </c>
      <c r="AL134" s="877"/>
      <c r="AM134" s="883">
        <f t="shared" si="24"/>
        <v>1.2000000000000004E-2</v>
      </c>
      <c r="AN134" s="884">
        <f t="shared" si="24"/>
        <v>1.2000000000000004E-2</v>
      </c>
      <c r="AO134" s="884">
        <f t="shared" si="24"/>
        <v>1.2000000000000004E-2</v>
      </c>
      <c r="AP134" s="884">
        <f t="shared" si="24"/>
        <v>1.2000000000000004E-2</v>
      </c>
      <c r="AQ134" s="884">
        <f t="shared" si="24"/>
        <v>1.4321518080916577E-2</v>
      </c>
      <c r="AR134" s="885">
        <f t="shared" si="24"/>
        <v>1.491824800095477E-2</v>
      </c>
      <c r="AS134" s="877"/>
      <c r="AT134" s="883">
        <f t="shared" si="24"/>
        <v>0.40108490267935215</v>
      </c>
      <c r="AU134" s="884">
        <f t="shared" si="24"/>
        <v>0.40108490267935215</v>
      </c>
      <c r="AV134" s="884">
        <f t="shared" si="24"/>
        <v>0.40108490267935215</v>
      </c>
      <c r="AW134" s="884">
        <f t="shared" si="24"/>
        <v>0.40108490267935215</v>
      </c>
      <c r="AX134" s="884">
        <f t="shared" si="24"/>
        <v>0.47867872380875065</v>
      </c>
      <c r="AY134" s="885">
        <f t="shared" si="24"/>
        <v>0.49862367063411522</v>
      </c>
      <c r="AZ134" s="877"/>
      <c r="BA134" s="883">
        <f t="shared" si="24"/>
        <v>5.5963368102207255E-9</v>
      </c>
      <c r="BB134" s="884">
        <f t="shared" si="24"/>
        <v>5.5963368102207255E-9</v>
      </c>
      <c r="BC134" s="884">
        <f t="shared" si="24"/>
        <v>5.5963368102207255E-9</v>
      </c>
      <c r="BD134" s="884">
        <f t="shared" si="24"/>
        <v>5.5963368102207255E-9</v>
      </c>
      <c r="BE134" s="884">
        <f t="shared" si="24"/>
        <v>6.679003234539594E-9</v>
      </c>
      <c r="BF134" s="885">
        <f t="shared" si="24"/>
        <v>6.9572950359787456E-9</v>
      </c>
      <c r="BG134" s="877"/>
      <c r="BH134" s="883">
        <f t="shared" si="24"/>
        <v>1.7692453907191192E-3</v>
      </c>
      <c r="BI134" s="884">
        <f t="shared" si="24"/>
        <v>1.7692453907191192E-3</v>
      </c>
      <c r="BJ134" s="884">
        <f t="shared" si="24"/>
        <v>1.7692453907191192E-3</v>
      </c>
      <c r="BK134" s="884">
        <f t="shared" si="24"/>
        <v>1.7692453907191192E-3</v>
      </c>
      <c r="BL134" s="884">
        <f t="shared" si="24"/>
        <v>2.1115233210635149E-3</v>
      </c>
      <c r="BM134" s="885">
        <f t="shared" si="24"/>
        <v>2.1995034594411616E-3</v>
      </c>
      <c r="BN134" s="877"/>
      <c r="BO134" s="883">
        <f t="shared" si="24"/>
        <v>3.0640479760119942E-4</v>
      </c>
      <c r="BP134" s="884">
        <f t="shared" si="24"/>
        <v>3.0640479760119942E-4</v>
      </c>
      <c r="BQ134" s="884">
        <f t="shared" si="24"/>
        <v>3.0640479760119942E-4</v>
      </c>
      <c r="BR134" s="884">
        <f t="shared" si="24"/>
        <v>3.0640479760119942E-4</v>
      </c>
      <c r="BS134" s="884">
        <f t="shared" si="24"/>
        <v>3.6568182074376345E-4</v>
      </c>
      <c r="BT134" s="885">
        <f t="shared" si="24"/>
        <v>3.8091856327475361E-4</v>
      </c>
      <c r="BU134" s="877"/>
      <c r="BV134" s="883">
        <f>BV138*$C$138+BV142*$C$142+BV146*$C$146</f>
        <v>1.4927843865070121</v>
      </c>
      <c r="BW134" s="885">
        <f>BW138*$C$138+BW142*$C$142+BW146*$C$146</f>
        <v>1.554983735944804</v>
      </c>
      <c r="BX134" s="869"/>
      <c r="BY134" s="869"/>
      <c r="BZ134" s="869"/>
      <c r="CA134" s="869"/>
      <c r="CB134" s="869"/>
      <c r="CC134" s="869"/>
      <c r="CD134" s="869"/>
      <c r="CE134" s="869"/>
    </row>
    <row r="135" spans="1:83" s="406" customFormat="1" ht="17.25">
      <c r="A135" s="195"/>
      <c r="B135" s="55"/>
      <c r="C135" s="83"/>
      <c r="D135" s="54"/>
      <c r="E135" s="511" t="s">
        <v>317</v>
      </c>
      <c r="F135" s="877">
        <f>F139*$C$138+F143*$C$142+$C$146*F147</f>
        <v>-9.1139048141381296E-2</v>
      </c>
      <c r="G135" s="877">
        <f>G139*$C$138+G143*$C$142+$C$146*G147</f>
        <v>0.16770154347445645</v>
      </c>
      <c r="H135" s="878">
        <f>H139*$C$138+H143*$C$142+$C$146*H147</f>
        <v>0.79760502540093892</v>
      </c>
      <c r="I135" s="928">
        <f>I139*$C$138+I143*$C$142+$C$146*I147</f>
        <v>4.5303630909821722E-2</v>
      </c>
      <c r="J135" s="877">
        <f t="shared" ref="J135:W135" si="25">J139*$C$138+J143*$C$142+$C$146*J147</f>
        <v>3.0000000000000002E-2</v>
      </c>
      <c r="K135" s="877">
        <f t="shared" si="25"/>
        <v>0</v>
      </c>
      <c r="L135" s="877">
        <f t="shared" si="25"/>
        <v>0</v>
      </c>
      <c r="M135" s="877"/>
      <c r="N135" s="877">
        <f t="shared" si="25"/>
        <v>0.13353696070601601</v>
      </c>
      <c r="O135" s="877">
        <f t="shared" si="25"/>
        <v>0</v>
      </c>
      <c r="P135" s="877">
        <f t="shared" si="25"/>
        <v>0.05</v>
      </c>
      <c r="Q135" s="877">
        <f t="shared" si="25"/>
        <v>0</v>
      </c>
      <c r="R135" s="877">
        <f t="shared" si="25"/>
        <v>-9.1139048141381296E-2</v>
      </c>
      <c r="S135" s="877">
        <f t="shared" si="25"/>
        <v>0</v>
      </c>
      <c r="T135" s="877">
        <f t="shared" si="25"/>
        <v>0</v>
      </c>
      <c r="U135" s="877">
        <f t="shared" si="25"/>
        <v>0.18104926347445643</v>
      </c>
      <c r="V135" s="877">
        <f>V139*$C$138+V143*$C$142+$C$146*V147</f>
        <v>0.30000000000000004</v>
      </c>
      <c r="W135" s="878">
        <f t="shared" si="25"/>
        <v>0.26159678765123073</v>
      </c>
      <c r="X135" s="869"/>
      <c r="Y135" s="879"/>
      <c r="Z135" s="877"/>
      <c r="AA135" s="877"/>
      <c r="AB135" s="877"/>
      <c r="AC135" s="877"/>
      <c r="AD135" s="886"/>
      <c r="AE135" s="877"/>
      <c r="AF135" s="879"/>
      <c r="AG135" s="877"/>
      <c r="AH135" s="877"/>
      <c r="AI135" s="877"/>
      <c r="AJ135" s="877"/>
      <c r="AK135" s="886"/>
      <c r="AL135" s="877"/>
      <c r="AM135" s="879"/>
      <c r="AN135" s="877"/>
      <c r="AO135" s="877"/>
      <c r="AP135" s="877"/>
      <c r="AQ135" s="877"/>
      <c r="AR135" s="886"/>
      <c r="AS135" s="877"/>
      <c r="AT135" s="879"/>
      <c r="AU135" s="877"/>
      <c r="AV135" s="877"/>
      <c r="AW135" s="877"/>
      <c r="AX135" s="877"/>
      <c r="AY135" s="886"/>
      <c r="AZ135" s="877"/>
      <c r="BA135" s="879"/>
      <c r="BB135" s="877"/>
      <c r="BC135" s="877"/>
      <c r="BD135" s="877"/>
      <c r="BE135" s="877"/>
      <c r="BF135" s="886"/>
      <c r="BG135" s="877"/>
      <c r="BH135" s="879"/>
      <c r="BI135" s="877"/>
      <c r="BJ135" s="877"/>
      <c r="BK135" s="877"/>
      <c r="BL135" s="877"/>
      <c r="BM135" s="886"/>
      <c r="BN135" s="877"/>
      <c r="BO135" s="879"/>
      <c r="BP135" s="877"/>
      <c r="BQ135" s="877"/>
      <c r="BR135" s="877"/>
      <c r="BS135" s="877"/>
      <c r="BT135" s="886"/>
      <c r="BU135" s="877"/>
      <c r="BV135" s="879"/>
      <c r="BW135" s="886"/>
      <c r="BX135" s="869"/>
      <c r="BY135" s="869"/>
      <c r="BZ135" s="869"/>
      <c r="CA135" s="869"/>
      <c r="CB135" s="869"/>
      <c r="CC135" s="869"/>
      <c r="CD135" s="869"/>
      <c r="CE135" s="869"/>
    </row>
    <row r="136" spans="1:83" s="406" customFormat="1" ht="17.25">
      <c r="A136" s="195"/>
      <c r="B136" s="55"/>
      <c r="C136" s="83"/>
      <c r="D136" s="54"/>
      <c r="E136" s="511" t="s">
        <v>367</v>
      </c>
      <c r="F136" s="877">
        <f t="shared" ref="F136:H137" si="26">F140*$C$138+F144*$C$142+$C$146*F148</f>
        <v>0</v>
      </c>
      <c r="G136" s="877">
        <f t="shared" si="26"/>
        <v>1.42259632834474E-4</v>
      </c>
      <c r="H136" s="878">
        <f t="shared" si="26"/>
        <v>2.1544156748112036E-4</v>
      </c>
      <c r="I136" s="928">
        <f t="shared" ref="I136:W136" si="27">I140*$C$138+I144*$C$142+$C$146*I148</f>
        <v>8.3107262068624169E-5</v>
      </c>
      <c r="J136" s="877">
        <f t="shared" si="27"/>
        <v>0</v>
      </c>
      <c r="K136" s="877">
        <f t="shared" si="27"/>
        <v>0</v>
      </c>
      <c r="L136" s="877">
        <f t="shared" si="27"/>
        <v>0</v>
      </c>
      <c r="M136" s="877"/>
      <c r="N136" s="877">
        <f t="shared" si="27"/>
        <v>5.9152370765849817E-5</v>
      </c>
      <c r="O136" s="877">
        <f t="shared" si="27"/>
        <v>0</v>
      </c>
      <c r="P136" s="877">
        <f t="shared" si="27"/>
        <v>0</v>
      </c>
      <c r="Q136" s="877">
        <f t="shared" si="27"/>
        <v>0</v>
      </c>
      <c r="R136" s="877">
        <f t="shared" si="27"/>
        <v>0</v>
      </c>
      <c r="S136" s="877">
        <f t="shared" si="27"/>
        <v>0</v>
      </c>
      <c r="T136" s="877">
        <f t="shared" si="27"/>
        <v>0</v>
      </c>
      <c r="U136" s="877">
        <f t="shared" si="27"/>
        <v>2.0059656627383375E-4</v>
      </c>
      <c r="V136" s="877">
        <f t="shared" si="27"/>
        <v>0</v>
      </c>
      <c r="W136" s="878">
        <f t="shared" si="27"/>
        <v>0</v>
      </c>
      <c r="X136" s="869"/>
      <c r="Y136" s="879"/>
      <c r="Z136" s="877"/>
      <c r="AA136" s="877"/>
      <c r="AB136" s="877"/>
      <c r="AC136" s="877"/>
      <c r="AD136" s="886"/>
      <c r="AE136" s="877"/>
      <c r="AF136" s="879"/>
      <c r="AG136" s="877"/>
      <c r="AH136" s="877"/>
      <c r="AI136" s="877"/>
      <c r="AJ136" s="877"/>
      <c r="AK136" s="886"/>
      <c r="AL136" s="877"/>
      <c r="AM136" s="879"/>
      <c r="AN136" s="877"/>
      <c r="AO136" s="877"/>
      <c r="AP136" s="877"/>
      <c r="AQ136" s="877"/>
      <c r="AR136" s="886"/>
      <c r="AS136" s="877"/>
      <c r="AT136" s="879"/>
      <c r="AU136" s="877"/>
      <c r="AV136" s="877"/>
      <c r="AW136" s="877"/>
      <c r="AX136" s="877"/>
      <c r="AY136" s="886"/>
      <c r="AZ136" s="877"/>
      <c r="BA136" s="879"/>
      <c r="BB136" s="877"/>
      <c r="BC136" s="877"/>
      <c r="BD136" s="877"/>
      <c r="BE136" s="877"/>
      <c r="BF136" s="886"/>
      <c r="BG136" s="877"/>
      <c r="BH136" s="879"/>
      <c r="BI136" s="877"/>
      <c r="BJ136" s="877"/>
      <c r="BK136" s="877"/>
      <c r="BL136" s="877"/>
      <c r="BM136" s="886"/>
      <c r="BN136" s="877"/>
      <c r="BO136" s="879"/>
      <c r="BP136" s="877"/>
      <c r="BQ136" s="877"/>
      <c r="BR136" s="877"/>
      <c r="BS136" s="877"/>
      <c r="BT136" s="886"/>
      <c r="BU136" s="877"/>
      <c r="BV136" s="879"/>
      <c r="BW136" s="886"/>
      <c r="BX136" s="869"/>
      <c r="BY136" s="869"/>
      <c r="BZ136" s="869"/>
      <c r="CA136" s="869"/>
      <c r="CB136" s="869"/>
      <c r="CC136" s="869"/>
      <c r="CD136" s="869"/>
      <c r="CE136" s="869"/>
    </row>
    <row r="137" spans="1:83" s="406" customFormat="1" ht="17.25">
      <c r="A137" s="18"/>
      <c r="B137" s="360"/>
      <c r="C137" s="83"/>
      <c r="D137" s="54"/>
      <c r="E137" s="512" t="s">
        <v>320</v>
      </c>
      <c r="F137" s="877">
        <f t="shared" si="26"/>
        <v>1.9158499283448809E-4</v>
      </c>
      <c r="G137" s="877">
        <f t="shared" si="26"/>
        <v>2.9471364704902335E-4</v>
      </c>
      <c r="H137" s="878">
        <f t="shared" si="26"/>
        <v>3.0384564212055168E-4</v>
      </c>
      <c r="I137" s="928">
        <f>I141*$C$138+I145*$C$142+$C$146*I149</f>
        <v>9.9540464016428375E-5</v>
      </c>
      <c r="J137" s="877">
        <f t="shared" ref="J137:W137" si="28">J141*$C$138+J145*$C$142+$C$146*J149</f>
        <v>0</v>
      </c>
      <c r="K137" s="877">
        <f t="shared" si="28"/>
        <v>1.7416817530408008E-4</v>
      </c>
      <c r="L137" s="877">
        <f t="shared" si="28"/>
        <v>1.7416817530408009E-5</v>
      </c>
      <c r="M137" s="877"/>
      <c r="N137" s="877">
        <f t="shared" si="28"/>
        <v>3.5881901981068579E-6</v>
      </c>
      <c r="O137" s="877">
        <f t="shared" si="28"/>
        <v>0</v>
      </c>
      <c r="P137" s="877">
        <f t="shared" si="28"/>
        <v>0</v>
      </c>
      <c r="Q137" s="877">
        <f t="shared" si="28"/>
        <v>0</v>
      </c>
      <c r="R137" s="877">
        <f t="shared" si="28"/>
        <v>0</v>
      </c>
      <c r="S137" s="877">
        <f t="shared" si="28"/>
        <v>0</v>
      </c>
      <c r="T137" s="877">
        <f t="shared" si="28"/>
        <v>0</v>
      </c>
      <c r="U137" s="877">
        <f t="shared" si="28"/>
        <v>2.8290915815023501E-4</v>
      </c>
      <c r="V137" s="877">
        <f t="shared" si="28"/>
        <v>0</v>
      </c>
      <c r="W137" s="878">
        <f t="shared" si="28"/>
        <v>0</v>
      </c>
      <c r="X137" s="869"/>
      <c r="Y137" s="879"/>
      <c r="Z137" s="877"/>
      <c r="AA137" s="877"/>
      <c r="AB137" s="877"/>
      <c r="AC137" s="877"/>
      <c r="AD137" s="886"/>
      <c r="AE137" s="877"/>
      <c r="AF137" s="879"/>
      <c r="AG137" s="877"/>
      <c r="AH137" s="877"/>
      <c r="AI137" s="877"/>
      <c r="AJ137" s="877"/>
      <c r="AK137" s="886"/>
      <c r="AL137" s="877"/>
      <c r="AM137" s="879"/>
      <c r="AN137" s="877"/>
      <c r="AO137" s="877"/>
      <c r="AP137" s="877"/>
      <c r="AQ137" s="877"/>
      <c r="AR137" s="886"/>
      <c r="AS137" s="877"/>
      <c r="AT137" s="879"/>
      <c r="AU137" s="877"/>
      <c r="AV137" s="877"/>
      <c r="AW137" s="877"/>
      <c r="AX137" s="877"/>
      <c r="AY137" s="886"/>
      <c r="AZ137" s="877"/>
      <c r="BA137" s="879"/>
      <c r="BB137" s="877"/>
      <c r="BC137" s="877"/>
      <c r="BD137" s="877"/>
      <c r="BE137" s="877"/>
      <c r="BF137" s="886"/>
      <c r="BG137" s="877"/>
      <c r="BH137" s="879"/>
      <c r="BI137" s="877"/>
      <c r="BJ137" s="877"/>
      <c r="BK137" s="877"/>
      <c r="BL137" s="877"/>
      <c r="BM137" s="886"/>
      <c r="BN137" s="877"/>
      <c r="BO137" s="879"/>
      <c r="BP137" s="877"/>
      <c r="BQ137" s="877"/>
      <c r="BR137" s="877"/>
      <c r="BS137" s="877"/>
      <c r="BT137" s="886"/>
      <c r="BU137" s="877"/>
      <c r="BV137" s="879"/>
      <c r="BW137" s="886"/>
      <c r="BX137" s="869"/>
      <c r="BY137" s="869"/>
      <c r="BZ137" s="869"/>
      <c r="CA137" s="869"/>
      <c r="CB137" s="869"/>
      <c r="CC137" s="869"/>
      <c r="CD137" s="869"/>
      <c r="CE137" s="869"/>
    </row>
    <row r="138" spans="1:83" s="406" customFormat="1" ht="17.25">
      <c r="A138" s="108" t="s">
        <v>178</v>
      </c>
      <c r="B138" s="93" t="s">
        <v>121</v>
      </c>
      <c r="C138" s="87">
        <f>'Input data plant-based products'!D146</f>
        <v>0.31596787651230701</v>
      </c>
      <c r="D138" s="54"/>
      <c r="E138" s="513" t="s">
        <v>316</v>
      </c>
      <c r="F138" s="872">
        <f>SUMPRODUCT($CJ$6:$CJ$8,F139:F141)</f>
        <v>-1.3359745291080041E-2</v>
      </c>
      <c r="G138" s="872">
        <f>SUMPRODUCT($CJ$6:$CJ$8,G139:G141)</f>
        <v>0.25405906547400664</v>
      </c>
      <c r="H138" s="873">
        <f>SUMPRODUCT($CJ$6:$CJ$8,H139:H141)</f>
        <v>0.964986766697283</v>
      </c>
      <c r="I138" s="1277"/>
      <c r="J138" s="884"/>
      <c r="K138" s="884"/>
      <c r="L138" s="884"/>
      <c r="M138" s="884"/>
      <c r="N138" s="884"/>
      <c r="O138" s="884"/>
      <c r="P138" s="884"/>
      <c r="Q138" s="884"/>
      <c r="R138" s="884"/>
      <c r="S138" s="884"/>
      <c r="T138" s="884"/>
      <c r="U138" s="884"/>
      <c r="V138" s="884"/>
      <c r="W138" s="1278"/>
      <c r="X138" s="869"/>
      <c r="Y138" s="879">
        <f>1/'Input data plant-based products'!E146*10^4</f>
        <v>3.1182067634192197</v>
      </c>
      <c r="Z138" s="877">
        <f>$Y138*'Input data plant-based products'!Z146</f>
        <v>3.1182067634192197</v>
      </c>
      <c r="AA138" s="877">
        <f>$Y138*'Input data plant-based products'!AA146</f>
        <v>3.1182067634192197</v>
      </c>
      <c r="AB138" s="877">
        <f>$Y138*'Input data plant-based products'!AB146</f>
        <v>3.1182067634192197</v>
      </c>
      <c r="AC138" s="877">
        <f>$Y138*'Input data plant-based products'!AC146</f>
        <v>3.7214545451953929</v>
      </c>
      <c r="AD138" s="886">
        <f>$Y138*'Input data plant-based products'!AD146</f>
        <v>3.8765151512452007</v>
      </c>
      <c r="AE138" s="1170"/>
      <c r="AF138" s="879">
        <f>SUM('Input data plant-based products'!F146,'Input data plant-based products'!Q146)/'Input data plant-based products'!E146</f>
        <v>1.2000000000000002E-2</v>
      </c>
      <c r="AG138" s="877">
        <f>$AF138*'Input data plant-based products'!Z146</f>
        <v>1.2000000000000002E-2</v>
      </c>
      <c r="AH138" s="877">
        <f>$AF138*'Input data plant-based products'!AA146</f>
        <v>1.2000000000000002E-2</v>
      </c>
      <c r="AI138" s="877">
        <f>$AF138*'Input data plant-based products'!AB146</f>
        <v>1.2000000000000002E-2</v>
      </c>
      <c r="AJ138" s="877">
        <f>$AF138*'Input data plant-based products'!AC146</f>
        <v>1.4321518080916579E-2</v>
      </c>
      <c r="AK138" s="886">
        <f>$AF138*'Input data plant-based products'!AD146</f>
        <v>1.4918248000954771E-2</v>
      </c>
      <c r="AL138" s="877"/>
      <c r="AM138" s="879">
        <f>'Input data plant-based products'!R146/'Input data plant-based products'!E146</f>
        <v>1.2000000000000002E-2</v>
      </c>
      <c r="AN138" s="877">
        <f>$AM138*'Input data plant-based products'!Z146</f>
        <v>1.2000000000000002E-2</v>
      </c>
      <c r="AO138" s="877">
        <f>$AM138*'Input data plant-based products'!AA146</f>
        <v>1.2000000000000002E-2</v>
      </c>
      <c r="AP138" s="877">
        <f>$AM138*'Input data plant-based products'!AB146</f>
        <v>1.2000000000000002E-2</v>
      </c>
      <c r="AQ138" s="877">
        <f>$AM138*'Input data plant-based products'!AC146</f>
        <v>1.4321518080916579E-2</v>
      </c>
      <c r="AR138" s="886">
        <f>$AM138*'Input data plant-based products'!AD146</f>
        <v>1.4918248000954771E-2</v>
      </c>
      <c r="AS138" s="877"/>
      <c r="AT138" s="879">
        <f>'Input data plant-based products'!S146</f>
        <v>0.218</v>
      </c>
      <c r="AU138" s="877">
        <f>$AT138*'Input data plant-based products'!Z146</f>
        <v>0.218</v>
      </c>
      <c r="AV138" s="877">
        <f>$AT138*'Input data plant-based products'!AA146</f>
        <v>0.218</v>
      </c>
      <c r="AW138" s="877">
        <f>$AT138*'Input data plant-based products'!AB146</f>
        <v>0.218</v>
      </c>
      <c r="AX138" s="877">
        <f>$AT138*'Input data plant-based products'!AC146</f>
        <v>0.26017424513665116</v>
      </c>
      <c r="AY138" s="886">
        <f>$AT138*'Input data plant-based products'!AD146</f>
        <v>0.27101483868401161</v>
      </c>
      <c r="AZ138" s="877"/>
      <c r="BA138" s="879">
        <f>((SUM('Input data plant-based products'!U146:Y146)*'Grains, oil crops, sugar'!Y138)/('Common input data'!$B$192/10^6))/$BB$3</f>
        <v>4.4631838434858078E-9</v>
      </c>
      <c r="BB138" s="877">
        <f>$BA138*'Input data plant-based products'!Z146</f>
        <v>4.4631838434858078E-9</v>
      </c>
      <c r="BC138" s="877">
        <f>$BA138*'Input data plant-based products'!AA146</f>
        <v>4.4631838434858078E-9</v>
      </c>
      <c r="BD138" s="877">
        <f>$BA138*'Input data plant-based products'!AB146</f>
        <v>4.4631838434858078E-9</v>
      </c>
      <c r="BE138" s="877">
        <f>$BA138*'Input data plant-based products'!AC146</f>
        <v>5.3266306760780616E-9</v>
      </c>
      <c r="BF138" s="886">
        <f>$BA138*'Input data plant-based products'!AD146</f>
        <v>5.5485736209146475E-9</v>
      </c>
      <c r="BG138" s="877"/>
      <c r="BH138" s="879">
        <f>'Input data plant-based products'!T146/'Input data plant-based products'!E146</f>
        <v>2.5444567189500831E-3</v>
      </c>
      <c r="BI138" s="877">
        <f>$BH138*'Input data plant-based products'!Z146</f>
        <v>2.5444567189500831E-3</v>
      </c>
      <c r="BJ138" s="877">
        <f>$BH138*'Input data plant-based products'!AA146</f>
        <v>2.5444567189500831E-3</v>
      </c>
      <c r="BK138" s="877">
        <f>$BH138*'Input data plant-based products'!AB146</f>
        <v>2.5444567189500831E-3</v>
      </c>
      <c r="BL138" s="877">
        <f>$BH138*'Input data plant-based products'!AC146</f>
        <v>3.0367069088794402E-3</v>
      </c>
      <c r="BM138" s="886">
        <f>$BH138*'Input data plant-based products'!AD146</f>
        <v>3.1632363634160839E-3</v>
      </c>
      <c r="BN138" s="877"/>
      <c r="BO138" s="879">
        <f>('Input data plant-based products'!F146/'Input data plant-based products'!E146*'Common input data'!$B$195+'Input data plant-based products'!G146/'Input data plant-based products'!E146*'Common input data'!$B$196)/'Common input data'!$B$198</f>
        <v>3.0640479760119942E-4</v>
      </c>
      <c r="BP138" s="877">
        <f>$BO138*'Input data plant-based products'!Z146</f>
        <v>3.0640479760119942E-4</v>
      </c>
      <c r="BQ138" s="877">
        <f>$BO138*'Input data plant-based products'!AA146</f>
        <v>3.0640479760119942E-4</v>
      </c>
      <c r="BR138" s="877">
        <f>$BO138*'Input data plant-based products'!AB146</f>
        <v>3.0640479760119942E-4</v>
      </c>
      <c r="BS138" s="877">
        <f>$BO138*'Input data plant-based products'!AC146</f>
        <v>3.6568182074376345E-4</v>
      </c>
      <c r="BT138" s="886">
        <f>$BO138*'Input data plant-based products'!AD146</f>
        <v>3.8091856327475361E-4</v>
      </c>
      <c r="BU138" s="877"/>
      <c r="BV138" s="879">
        <f>('Common input data'!$C$202+'Common input data'!$B$212)*'Input data plant-based products'!AC146</f>
        <v>1.6722759279150257</v>
      </c>
      <c r="BW138" s="886">
        <f>('Common input data'!$C$202+'Common input data'!$B$212)*'Input data plant-based products'!AD146</f>
        <v>1.7419540915781517</v>
      </c>
      <c r="BX138" s="869"/>
      <c r="BY138" s="869"/>
      <c r="BZ138" s="869"/>
      <c r="CA138" s="869"/>
      <c r="CB138" s="869"/>
      <c r="CC138" s="869"/>
      <c r="CD138" s="869"/>
      <c r="CE138" s="869"/>
    </row>
    <row r="139" spans="1:83" s="406" customFormat="1" ht="17.25">
      <c r="A139" s="195"/>
      <c r="B139" s="55"/>
      <c r="C139" s="83"/>
      <c r="D139" s="54"/>
      <c r="E139" s="511" t="s">
        <v>317</v>
      </c>
      <c r="F139" s="877">
        <f>IF(AND($F$2="No",$F$3="No"),SUM(K139:L139),IF(AND($F$2="Yes", $F$3="No"), (SUM(K139:L139)+S139), IF(AND($F$2="No", $F$3="Yes"),(SUM(K139:L139)+R139), (SUM(K139:L139)+S139+R139))))</f>
        <v>-9.1139048141381296E-2</v>
      </c>
      <c r="G139" s="877">
        <f>IF(AND($F$2="No",$F$3="No"),SUM(I139:Q139),IF(AND($F$2="Yes", $F$3="No"), (SUM(I139:Q139)+S139), IF(AND($F$2="No", $F$3="Yes"),(SUM(I139:Q139)+R139), (SUM(I139:Q139)+S139+R139))))</f>
        <v>0.15164495308537373</v>
      </c>
      <c r="H139" s="878">
        <f>SUM(U139:W139)/(1-'Common input data'!$B$143)</f>
        <v>0.85382552058100813</v>
      </c>
      <c r="I139" s="928">
        <f>I118</f>
        <v>4.5442571929485552E-2</v>
      </c>
      <c r="J139" s="877">
        <f t="shared" ref="J139:S139" si="29">J118</f>
        <v>0.03</v>
      </c>
      <c r="K139" s="877">
        <f t="shared" si="29"/>
        <v>0</v>
      </c>
      <c r="L139" s="877">
        <f t="shared" si="29"/>
        <v>0</v>
      </c>
      <c r="M139" s="877"/>
      <c r="N139" s="877">
        <f t="shared" si="29"/>
        <v>0.11734142929726948</v>
      </c>
      <c r="O139" s="877">
        <f t="shared" si="29"/>
        <v>0</v>
      </c>
      <c r="P139" s="877">
        <f t="shared" si="29"/>
        <v>0.05</v>
      </c>
      <c r="Q139" s="877">
        <f t="shared" si="29"/>
        <v>0</v>
      </c>
      <c r="R139" s="877">
        <f t="shared" si="29"/>
        <v>-9.1139048141381296E-2</v>
      </c>
      <c r="S139" s="877">
        <f t="shared" si="29"/>
        <v>0</v>
      </c>
      <c r="T139" s="877">
        <v>0</v>
      </c>
      <c r="U139" s="877">
        <f>G118+T118</f>
        <v>0.16499267308537374</v>
      </c>
      <c r="V139" s="877">
        <f t="shared" ref="V139:W141" si="30">V118</f>
        <v>0.3</v>
      </c>
      <c r="W139" s="878">
        <f>'Common input data'!B118+'Common input data'!C118</f>
        <v>0.32999999999999996</v>
      </c>
      <c r="X139" s="869"/>
      <c r="Y139" s="879"/>
      <c r="Z139" s="877"/>
      <c r="AA139" s="877"/>
      <c r="AB139" s="877"/>
      <c r="AC139" s="877"/>
      <c r="AD139" s="886"/>
      <c r="AE139" s="877"/>
      <c r="AF139" s="879"/>
      <c r="AG139" s="877"/>
      <c r="AH139" s="877"/>
      <c r="AI139" s="877"/>
      <c r="AJ139" s="877"/>
      <c r="AK139" s="886"/>
      <c r="AL139" s="877"/>
      <c r="AM139" s="879"/>
      <c r="AN139" s="877"/>
      <c r="AO139" s="877"/>
      <c r="AP139" s="877"/>
      <c r="AQ139" s="877"/>
      <c r="AR139" s="886"/>
      <c r="AS139" s="877"/>
      <c r="AT139" s="879"/>
      <c r="AU139" s="877"/>
      <c r="AV139" s="877"/>
      <c r="AW139" s="877"/>
      <c r="AX139" s="877"/>
      <c r="AY139" s="886"/>
      <c r="AZ139" s="877"/>
      <c r="BA139" s="879"/>
      <c r="BB139" s="877"/>
      <c r="BC139" s="877"/>
      <c r="BD139" s="877"/>
      <c r="BE139" s="877"/>
      <c r="BF139" s="886"/>
      <c r="BG139" s="877"/>
      <c r="BH139" s="879"/>
      <c r="BI139" s="877"/>
      <c r="BJ139" s="877"/>
      <c r="BK139" s="877"/>
      <c r="BL139" s="877"/>
      <c r="BM139" s="886"/>
      <c r="BN139" s="877"/>
      <c r="BO139" s="879"/>
      <c r="BP139" s="877"/>
      <c r="BQ139" s="877"/>
      <c r="BR139" s="877"/>
      <c r="BS139" s="877"/>
      <c r="BT139" s="886"/>
      <c r="BU139" s="877"/>
      <c r="BV139" s="879"/>
      <c r="BW139" s="886"/>
      <c r="BX139" s="869"/>
      <c r="BY139" s="869"/>
      <c r="BZ139" s="869"/>
      <c r="CA139" s="869"/>
      <c r="CB139" s="869"/>
      <c r="CC139" s="869"/>
      <c r="CD139" s="869"/>
      <c r="CE139" s="869"/>
    </row>
    <row r="140" spans="1:83" s="406" customFormat="1" ht="17.25">
      <c r="A140" s="195"/>
      <c r="B140" s="55"/>
      <c r="C140" s="83"/>
      <c r="D140" s="54"/>
      <c r="E140" s="511" t="s">
        <v>367</v>
      </c>
      <c r="F140" s="877">
        <f>SUM(K140:L140)</f>
        <v>0</v>
      </c>
      <c r="G140" s="877">
        <f>SUM(I140:Q140)</f>
        <v>1.3534043893259387E-4</v>
      </c>
      <c r="H140" s="878">
        <f>SUM(U140:W140)/(1-'Common input data'!$B$143)</f>
        <v>2.0860071091842816E-4</v>
      </c>
      <c r="I140" s="928">
        <f t="shared" ref="I140:S141" si="31">I119</f>
        <v>8.3362142472278108E-5</v>
      </c>
      <c r="J140" s="877">
        <f t="shared" si="31"/>
        <v>0</v>
      </c>
      <c r="K140" s="877">
        <f t="shared" si="31"/>
        <v>0</v>
      </c>
      <c r="L140" s="877">
        <f t="shared" si="31"/>
        <v>0</v>
      </c>
      <c r="M140" s="877"/>
      <c r="N140" s="877">
        <f t="shared" si="31"/>
        <v>5.1978296460315772E-5</v>
      </c>
      <c r="O140" s="877">
        <f t="shared" si="31"/>
        <v>0</v>
      </c>
      <c r="P140" s="877">
        <f t="shared" si="31"/>
        <v>0</v>
      </c>
      <c r="Q140" s="877">
        <f t="shared" si="31"/>
        <v>0</v>
      </c>
      <c r="R140" s="877">
        <f t="shared" si="31"/>
        <v>0</v>
      </c>
      <c r="S140" s="877">
        <f t="shared" si="31"/>
        <v>0</v>
      </c>
      <c r="T140" s="877">
        <v>0</v>
      </c>
      <c r="U140" s="877">
        <f>G119+T119</f>
        <v>1.9422707893259386E-4</v>
      </c>
      <c r="V140" s="877">
        <f t="shared" si="30"/>
        <v>0</v>
      </c>
      <c r="W140" s="878">
        <f t="shared" si="30"/>
        <v>0</v>
      </c>
      <c r="X140" s="869"/>
      <c r="Y140" s="879"/>
      <c r="Z140" s="877"/>
      <c r="AA140" s="877"/>
      <c r="AB140" s="877"/>
      <c r="AC140" s="877"/>
      <c r="AD140" s="886"/>
      <c r="AE140" s="877"/>
      <c r="AF140" s="879"/>
      <c r="AG140" s="877"/>
      <c r="AH140" s="877"/>
      <c r="AI140" s="877"/>
      <c r="AJ140" s="877"/>
      <c r="AK140" s="886"/>
      <c r="AL140" s="877"/>
      <c r="AM140" s="879"/>
      <c r="AN140" s="877"/>
      <c r="AO140" s="877"/>
      <c r="AP140" s="877"/>
      <c r="AQ140" s="877"/>
      <c r="AR140" s="886"/>
      <c r="AS140" s="877"/>
      <c r="AT140" s="879"/>
      <c r="AU140" s="877"/>
      <c r="AV140" s="877"/>
      <c r="AW140" s="877"/>
      <c r="AX140" s="877"/>
      <c r="AY140" s="886"/>
      <c r="AZ140" s="877"/>
      <c r="BA140" s="879"/>
      <c r="BB140" s="877"/>
      <c r="BC140" s="877"/>
      <c r="BD140" s="877"/>
      <c r="BE140" s="877"/>
      <c r="BF140" s="886"/>
      <c r="BG140" s="877"/>
      <c r="BH140" s="879"/>
      <c r="BI140" s="877"/>
      <c r="BJ140" s="877"/>
      <c r="BK140" s="877"/>
      <c r="BL140" s="877"/>
      <c r="BM140" s="886"/>
      <c r="BN140" s="877"/>
      <c r="BO140" s="879"/>
      <c r="BP140" s="877"/>
      <c r="BQ140" s="877"/>
      <c r="BR140" s="877"/>
      <c r="BS140" s="877"/>
      <c r="BT140" s="886"/>
      <c r="BU140" s="877"/>
      <c r="BV140" s="879"/>
      <c r="BW140" s="886"/>
      <c r="BX140" s="869"/>
      <c r="BY140" s="869"/>
      <c r="BZ140" s="869"/>
      <c r="CA140" s="869"/>
      <c r="CB140" s="869"/>
      <c r="CC140" s="869"/>
      <c r="CD140" s="869"/>
      <c r="CE140" s="869"/>
    </row>
    <row r="141" spans="1:83" s="406" customFormat="1" ht="17.25">
      <c r="A141" s="18"/>
      <c r="B141" s="360"/>
      <c r="C141" s="83"/>
      <c r="D141" s="54"/>
      <c r="E141" s="512" t="s">
        <v>320</v>
      </c>
      <c r="F141" s="877">
        <f>SUM(K141:L141)</f>
        <v>3.3381675043047749E-4</v>
      </c>
      <c r="G141" s="877">
        <f>SUM(I141:Q141)</f>
        <v>4.3681550354356097E-4</v>
      </c>
      <c r="H141" s="878">
        <f>SUM(U141:W141)/(1-'Common input data'!$B$143)</f>
        <v>4.7287906770368331E-4</v>
      </c>
      <c r="I141" s="928">
        <f t="shared" si="31"/>
        <v>9.9845743158309593E-5</v>
      </c>
      <c r="J141" s="877">
        <f t="shared" si="31"/>
        <v>0</v>
      </c>
      <c r="K141" s="877">
        <f t="shared" si="31"/>
        <v>3.034697731186159E-4</v>
      </c>
      <c r="L141" s="877">
        <f t="shared" si="31"/>
        <v>3.034697731186159E-5</v>
      </c>
      <c r="M141" s="877"/>
      <c r="N141" s="877">
        <f t="shared" si="31"/>
        <v>3.1530099547738379E-6</v>
      </c>
      <c r="O141" s="877">
        <f t="shared" si="31"/>
        <v>0</v>
      </c>
      <c r="P141" s="877">
        <f t="shared" si="31"/>
        <v>0</v>
      </c>
      <c r="Q141" s="877">
        <f t="shared" si="31"/>
        <v>0</v>
      </c>
      <c r="R141" s="877">
        <f t="shared" si="31"/>
        <v>0</v>
      </c>
      <c r="S141" s="877">
        <f t="shared" si="31"/>
        <v>0</v>
      </c>
      <c r="T141" s="877">
        <v>0</v>
      </c>
      <c r="U141" s="877">
        <f>G120+T120</f>
        <v>4.4029533554356098E-4</v>
      </c>
      <c r="V141" s="877">
        <f t="shared" si="30"/>
        <v>0</v>
      </c>
      <c r="W141" s="878">
        <f t="shared" si="30"/>
        <v>0</v>
      </c>
      <c r="X141" s="869"/>
      <c r="Y141" s="879"/>
      <c r="Z141" s="877"/>
      <c r="AA141" s="877"/>
      <c r="AB141" s="877"/>
      <c r="AC141" s="877"/>
      <c r="AD141" s="886"/>
      <c r="AE141" s="877"/>
      <c r="AF141" s="879"/>
      <c r="AG141" s="877"/>
      <c r="AH141" s="877"/>
      <c r="AI141" s="877"/>
      <c r="AJ141" s="877"/>
      <c r="AK141" s="886"/>
      <c r="AL141" s="877"/>
      <c r="AM141" s="879"/>
      <c r="AN141" s="877"/>
      <c r="AO141" s="877"/>
      <c r="AP141" s="877"/>
      <c r="AQ141" s="877"/>
      <c r="AR141" s="886"/>
      <c r="AS141" s="877"/>
      <c r="AT141" s="879"/>
      <c r="AU141" s="877"/>
      <c r="AV141" s="877"/>
      <c r="AW141" s="877"/>
      <c r="AX141" s="877"/>
      <c r="AY141" s="886"/>
      <c r="AZ141" s="877"/>
      <c r="BA141" s="879"/>
      <c r="BB141" s="877"/>
      <c r="BC141" s="877"/>
      <c r="BD141" s="877"/>
      <c r="BE141" s="877"/>
      <c r="BF141" s="886"/>
      <c r="BG141" s="877"/>
      <c r="BH141" s="879"/>
      <c r="BI141" s="877"/>
      <c r="BJ141" s="877"/>
      <c r="BK141" s="877"/>
      <c r="BL141" s="877"/>
      <c r="BM141" s="886"/>
      <c r="BN141" s="877"/>
      <c r="BO141" s="879"/>
      <c r="BP141" s="877"/>
      <c r="BQ141" s="877"/>
      <c r="BR141" s="877"/>
      <c r="BS141" s="877"/>
      <c r="BT141" s="886"/>
      <c r="BU141" s="877"/>
      <c r="BV141" s="879"/>
      <c r="BW141" s="886"/>
      <c r="BX141" s="869"/>
      <c r="BY141" s="869"/>
      <c r="BZ141" s="869"/>
      <c r="CA141" s="869"/>
      <c r="CB141" s="869"/>
      <c r="CC141" s="869"/>
      <c r="CD141" s="869"/>
      <c r="CE141" s="869"/>
    </row>
    <row r="142" spans="1:83" s="406" customFormat="1" ht="17.25">
      <c r="A142" s="108" t="s">
        <v>130</v>
      </c>
      <c r="B142" s="93" t="s">
        <v>121</v>
      </c>
      <c r="C142" s="87">
        <f>'Input data plant-based products'!D144</f>
        <v>0.53961549158670563</v>
      </c>
      <c r="D142" s="54"/>
      <c r="E142" s="513" t="s">
        <v>316</v>
      </c>
      <c r="F142" s="872">
        <f>SUMPRODUCT($CJ$6:$CJ$8,F143:F145)</f>
        <v>-6.6973619569952722E-2</v>
      </c>
      <c r="G142" s="872">
        <f>SUMPRODUCT($CJ$6:$CJ$8,G143:G145)</f>
        <v>0.22233975392951724</v>
      </c>
      <c r="H142" s="873">
        <f>SUMPRODUCT($CJ$6:$CJ$8,H143:H145)</f>
        <v>0.82351966447410563</v>
      </c>
      <c r="I142" s="1277"/>
      <c r="J142" s="884"/>
      <c r="K142" s="884"/>
      <c r="L142" s="884"/>
      <c r="M142" s="884"/>
      <c r="N142" s="884"/>
      <c r="O142" s="884"/>
      <c r="P142" s="884"/>
      <c r="Q142" s="884"/>
      <c r="R142" s="884"/>
      <c r="S142" s="884"/>
      <c r="T142" s="884"/>
      <c r="U142" s="884"/>
      <c r="V142" s="884"/>
      <c r="W142" s="1278"/>
      <c r="X142" s="869"/>
      <c r="Y142" s="879">
        <f>1/'Input data plant-based products'!E144*10^4</f>
        <v>3.7273100003727309</v>
      </c>
      <c r="Z142" s="877">
        <f>$Y142*'Input data plant-based products'!Z144</f>
        <v>3.7273100003727309</v>
      </c>
      <c r="AA142" s="877">
        <f>$Y142*'Input data plant-based products'!AA144</f>
        <v>3.7273100003727309</v>
      </c>
      <c r="AB142" s="877">
        <f>$Y142*'Input data plant-based products'!AB144</f>
        <v>3.7273100003727309</v>
      </c>
      <c r="AC142" s="877">
        <f>$Y142*'Input data plant-based products'!AC144</f>
        <v>4.4483947969599367</v>
      </c>
      <c r="AD142" s="886">
        <f>$Y142*'Input data plant-based products'!AD144</f>
        <v>4.6337445801666011</v>
      </c>
      <c r="AE142" s="877"/>
      <c r="AF142" s="879">
        <f>SUM('Input data plant-based products'!F144,'Input data plant-based products'!Q144)/'Input data plant-based products'!E144</f>
        <v>1.2E-2</v>
      </c>
      <c r="AG142" s="877">
        <f>$AF142*'Input data plant-based products'!Z144</f>
        <v>1.2E-2</v>
      </c>
      <c r="AH142" s="877">
        <f>$AF142*'Input data plant-based products'!AA144</f>
        <v>1.2E-2</v>
      </c>
      <c r="AI142" s="877">
        <f>$AF142*'Input data plant-based products'!AB144</f>
        <v>1.2E-2</v>
      </c>
      <c r="AJ142" s="877">
        <f>$AF142*'Input data plant-based products'!AC144</f>
        <v>1.4321518080916577E-2</v>
      </c>
      <c r="AK142" s="886">
        <f>$AF142*'Input data plant-based products'!AD144</f>
        <v>1.4918248000954768E-2</v>
      </c>
      <c r="AL142" s="877"/>
      <c r="AM142" s="879">
        <f>'Input data plant-based products'!R144/'Input data plant-based products'!E144</f>
        <v>1.2E-2</v>
      </c>
      <c r="AN142" s="877">
        <f>$AM142*'Input data plant-based products'!Z144</f>
        <v>1.2E-2</v>
      </c>
      <c r="AO142" s="877">
        <f>$AM142*'Input data plant-based products'!AA144</f>
        <v>1.2E-2</v>
      </c>
      <c r="AP142" s="877">
        <f>$AM142*'Input data plant-based products'!AB144</f>
        <v>1.2E-2</v>
      </c>
      <c r="AQ142" s="877">
        <f>$AM142*'Input data plant-based products'!AC144</f>
        <v>1.4321518080916577E-2</v>
      </c>
      <c r="AR142" s="886">
        <f>$AM142*'Input data plant-based products'!AD144</f>
        <v>1.4918248000954768E-2</v>
      </c>
      <c r="AS142" s="877"/>
      <c r="AT142" s="879">
        <f>'Input data plant-based products'!S144</f>
        <v>0.53700000000000003</v>
      </c>
      <c r="AU142" s="877">
        <f>$AT142*'Input data plant-based products'!Z144</f>
        <v>0.53700000000000003</v>
      </c>
      <c r="AV142" s="877">
        <f>$AT142*'Input data plant-based products'!AA144</f>
        <v>0.53700000000000003</v>
      </c>
      <c r="AW142" s="877">
        <f>$AT142*'Input data plant-based products'!AB144</f>
        <v>0.53700000000000003</v>
      </c>
      <c r="AX142" s="877">
        <f>$AT142*'Input data plant-based products'!AC144</f>
        <v>0.64088793412101686</v>
      </c>
      <c r="AY142" s="886">
        <f>$AT142*'Input data plant-based products'!AD144</f>
        <v>0.66759159804272594</v>
      </c>
      <c r="AZ142" s="877"/>
      <c r="BA142" s="879">
        <f>((SUM('Input data plant-based products'!U144:Y144)*'Grains, oil crops, sugar'!Y142)/('Common input data'!$B$192/10^6))/$BB$3</f>
        <v>6.3148674317682847E-9</v>
      </c>
      <c r="BB142" s="877">
        <f>$BA142*'Input data plant-based products'!Z144</f>
        <v>6.3148674317682847E-9</v>
      </c>
      <c r="BC142" s="877">
        <f>$BA142*'Input data plant-based products'!AA144</f>
        <v>6.3148674317682847E-9</v>
      </c>
      <c r="BD142" s="877">
        <f>$BA142*'Input data plant-based products'!AB144</f>
        <v>6.3148674317682847E-9</v>
      </c>
      <c r="BE142" s="877">
        <f>$BA142*'Input data plant-based products'!AC144</f>
        <v>7.5365406752217261E-9</v>
      </c>
      <c r="BF142" s="886">
        <f>$BA142*'Input data plant-based products'!AD144</f>
        <v>7.8505632033559661E-9</v>
      </c>
      <c r="BG142" s="877"/>
      <c r="BH142" s="879">
        <f>'Input data plant-based products'!T144/'Input data plant-based products'!E144</f>
        <v>1.0287375601028736E-3</v>
      </c>
      <c r="BI142" s="877">
        <f>$BH142*'Input data plant-based products'!Z144</f>
        <v>1.0287375601028736E-3</v>
      </c>
      <c r="BJ142" s="877">
        <f>$BH142*'Input data plant-based products'!AA144</f>
        <v>1.0287375601028736E-3</v>
      </c>
      <c r="BK142" s="877">
        <f>$BH142*'Input data plant-based products'!AB144</f>
        <v>1.0287375601028736E-3</v>
      </c>
      <c r="BL142" s="877">
        <f>$BH142*'Input data plant-based products'!AC144</f>
        <v>1.2277569639609423E-3</v>
      </c>
      <c r="BM142" s="886">
        <f>$BH142*'Input data plant-based products'!AD144</f>
        <v>1.2789135041259816E-3</v>
      </c>
      <c r="BN142" s="877"/>
      <c r="BO142" s="879">
        <f>('Input data plant-based products'!F144/'Input data plant-based products'!E144*'Common input data'!$B$195+'Input data plant-based products'!G144/'Input data plant-based products'!E144*'Common input data'!$B$196)/'Common input data'!$B$198</f>
        <v>3.0640479760119936E-4</v>
      </c>
      <c r="BP142" s="877">
        <f>$BO142*'Input data plant-based products'!Z144</f>
        <v>3.0640479760119936E-4</v>
      </c>
      <c r="BQ142" s="877">
        <f>$BO142*'Input data plant-based products'!AA144</f>
        <v>3.0640479760119936E-4</v>
      </c>
      <c r="BR142" s="877">
        <f>$BO142*'Input data plant-based products'!AB144</f>
        <v>3.0640479760119936E-4</v>
      </c>
      <c r="BS142" s="877">
        <f>$BO142*'Input data plant-based products'!AC144</f>
        <v>3.656818207437634E-4</v>
      </c>
      <c r="BT142" s="886">
        <f>$BO142*'Input data plant-based products'!AD144</f>
        <v>3.8091856327475356E-4</v>
      </c>
      <c r="BU142" s="877"/>
      <c r="BV142" s="879">
        <f>('Common input data'!$C$202+'Common input data'!$B$210)*'Input data plant-based products'!AC144</f>
        <v>1.4837092731829575</v>
      </c>
      <c r="BW142" s="886">
        <f>('Common input data'!$C$202+'Common input data'!$B$210)*'Input data plant-based products'!AD144</f>
        <v>1.545530492898914</v>
      </c>
      <c r="BX142" s="869"/>
      <c r="BY142" s="869"/>
      <c r="BZ142" s="869"/>
      <c r="CA142" s="869"/>
      <c r="CB142" s="869"/>
      <c r="CC142" s="869"/>
      <c r="CD142" s="869"/>
      <c r="CE142" s="869"/>
    </row>
    <row r="143" spans="1:83" s="406" customFormat="1" ht="17.25">
      <c r="A143" s="195"/>
      <c r="B143" s="55"/>
      <c r="C143" s="83"/>
      <c r="D143" s="54"/>
      <c r="E143" s="511" t="s">
        <v>317</v>
      </c>
      <c r="F143" s="877">
        <f>IF(AND($F$2="No",$F$3="No"),SUM(K143:L143),IF(AND($F$2="Yes", $F$3="No"), (SUM(K143:L143)+S143), IF(AND($F$2="No", $F$3="Yes"),(SUM(K143:L143)+R143), (SUM(K143:L143)+S143+R143))))</f>
        <v>-9.1139048141381296E-2</v>
      </c>
      <c r="G143" s="877">
        <f>IF(AND($F$2="No",$F$3="No"),SUM(I143:Q143),IF(AND($F$2="Yes", $F$3="No"), (SUM(I143:Q143)+S143), IF(AND($F$2="No", $F$3="Yes"),(SUM(I143:Q143)+R143), (SUM(I143:Q143)+S143+R143))))</f>
        <v>0.17349190178509399</v>
      </c>
      <c r="H143" s="878">
        <f>SUM(U143:W143)/(1-'Common input data'!$B$143)</f>
        <v>0.76988881025576772</v>
      </c>
      <c r="I143" s="928">
        <f>I126</f>
        <v>4.5179699413970154E-2</v>
      </c>
      <c r="J143" s="877">
        <f t="shared" ref="J143:S143" si="32">J126</f>
        <v>0.03</v>
      </c>
      <c r="K143" s="877">
        <f t="shared" si="32"/>
        <v>0</v>
      </c>
      <c r="L143" s="877">
        <f t="shared" si="32"/>
        <v>0</v>
      </c>
      <c r="M143" s="877"/>
      <c r="N143" s="877">
        <f t="shared" si="32"/>
        <v>0.13945125051250512</v>
      </c>
      <c r="O143" s="877">
        <f t="shared" si="32"/>
        <v>0</v>
      </c>
      <c r="P143" s="877">
        <f t="shared" si="32"/>
        <v>0.05</v>
      </c>
      <c r="Q143" s="877">
        <f t="shared" si="32"/>
        <v>0</v>
      </c>
      <c r="R143" s="877">
        <f t="shared" si="32"/>
        <v>-9.1139048141381296E-2</v>
      </c>
      <c r="S143" s="877">
        <f t="shared" si="32"/>
        <v>0</v>
      </c>
      <c r="T143" s="877">
        <v>0</v>
      </c>
      <c r="U143" s="877">
        <f>G126+T126</f>
        <v>0.186839621785094</v>
      </c>
      <c r="V143" s="877">
        <f t="shared" ref="V143:W145" si="33">V126</f>
        <v>0.3</v>
      </c>
      <c r="W143" s="878">
        <f>'Common input data'!B117+'Common input data'!C117</f>
        <v>0.23</v>
      </c>
      <c r="X143" s="869"/>
      <c r="Y143" s="879"/>
      <c r="Z143" s="877"/>
      <c r="AA143" s="877"/>
      <c r="AB143" s="877"/>
      <c r="AC143" s="877"/>
      <c r="AD143" s="886"/>
      <c r="AE143" s="877"/>
      <c r="AF143" s="879"/>
      <c r="AG143" s="877"/>
      <c r="AH143" s="877"/>
      <c r="AI143" s="877"/>
      <c r="AJ143" s="877"/>
      <c r="AK143" s="886"/>
      <c r="AL143" s="877"/>
      <c r="AM143" s="879"/>
      <c r="AN143" s="877"/>
      <c r="AO143" s="877"/>
      <c r="AP143" s="877"/>
      <c r="AQ143" s="877"/>
      <c r="AR143" s="886"/>
      <c r="AS143" s="877"/>
      <c r="AT143" s="879"/>
      <c r="AU143" s="877"/>
      <c r="AV143" s="877"/>
      <c r="AW143" s="877"/>
      <c r="AX143" s="877"/>
      <c r="AY143" s="886"/>
      <c r="AZ143" s="877"/>
      <c r="BA143" s="879"/>
      <c r="BB143" s="877"/>
      <c r="BC143" s="877"/>
      <c r="BD143" s="877"/>
      <c r="BE143" s="877"/>
      <c r="BF143" s="886"/>
      <c r="BG143" s="877"/>
      <c r="BH143" s="879"/>
      <c r="BI143" s="877"/>
      <c r="BJ143" s="877"/>
      <c r="BK143" s="877"/>
      <c r="BL143" s="877"/>
      <c r="BM143" s="886"/>
      <c r="BN143" s="877"/>
      <c r="BO143" s="879"/>
      <c r="BP143" s="877"/>
      <c r="BQ143" s="877"/>
      <c r="BR143" s="877"/>
      <c r="BS143" s="877"/>
      <c r="BT143" s="886"/>
      <c r="BU143" s="877"/>
      <c r="BV143" s="879"/>
      <c r="BW143" s="886"/>
      <c r="BX143" s="869"/>
      <c r="BY143" s="869"/>
      <c r="BZ143" s="869"/>
      <c r="CA143" s="869"/>
      <c r="CB143" s="869"/>
      <c r="CC143" s="869"/>
      <c r="CD143" s="869"/>
      <c r="CE143" s="869"/>
    </row>
    <row r="144" spans="1:83" s="406" customFormat="1" ht="17.25">
      <c r="A144" s="195"/>
      <c r="B144" s="55"/>
      <c r="C144" s="83"/>
      <c r="D144" s="54"/>
      <c r="E144" s="511" t="s">
        <v>367</v>
      </c>
      <c r="F144" s="877">
        <f>SUM(K144:L144)</f>
        <v>0</v>
      </c>
      <c r="G144" s="877">
        <f>SUM(I144:Q144)</f>
        <v>1.4465211761336051E-4</v>
      </c>
      <c r="H144" s="878">
        <f>SUM(U144:W144)/(1-'Common input data'!$B$143)</f>
        <v>2.1860149352467847E-4</v>
      </c>
      <c r="I144" s="928">
        <f t="shared" ref="I144:S144" si="34">I127</f>
        <v>8.2879915891343267E-5</v>
      </c>
      <c r="J144" s="877">
        <f t="shared" si="34"/>
        <v>0</v>
      </c>
      <c r="K144" s="877">
        <f t="shared" si="34"/>
        <v>0</v>
      </c>
      <c r="L144" s="877">
        <f t="shared" si="34"/>
        <v>0</v>
      </c>
      <c r="M144" s="877"/>
      <c r="N144" s="877">
        <f t="shared" si="34"/>
        <v>6.1772201722017227E-5</v>
      </c>
      <c r="O144" s="877">
        <f t="shared" si="34"/>
        <v>0</v>
      </c>
      <c r="P144" s="877">
        <f t="shared" si="34"/>
        <v>0</v>
      </c>
      <c r="Q144" s="877">
        <f t="shared" si="34"/>
        <v>0</v>
      </c>
      <c r="R144" s="877">
        <f t="shared" si="34"/>
        <v>0</v>
      </c>
      <c r="S144" s="877">
        <f t="shared" si="34"/>
        <v>0</v>
      </c>
      <c r="T144" s="877">
        <v>0</v>
      </c>
      <c r="U144" s="877">
        <f>G127+T127</f>
        <v>2.0353875761336049E-4</v>
      </c>
      <c r="V144" s="877">
        <f t="shared" si="33"/>
        <v>0</v>
      </c>
      <c r="W144" s="878">
        <f t="shared" si="33"/>
        <v>0</v>
      </c>
      <c r="X144" s="869"/>
      <c r="Y144" s="879"/>
      <c r="Z144" s="877"/>
      <c r="AA144" s="877"/>
      <c r="AB144" s="877"/>
      <c r="AC144" s="877"/>
      <c r="AD144" s="886"/>
      <c r="AE144" s="877"/>
      <c r="AF144" s="879"/>
      <c r="AG144" s="877"/>
      <c r="AH144" s="877"/>
      <c r="AI144" s="877"/>
      <c r="AJ144" s="877"/>
      <c r="AK144" s="886"/>
      <c r="AL144" s="877"/>
      <c r="AM144" s="879"/>
      <c r="AN144" s="877"/>
      <c r="AO144" s="877"/>
      <c r="AP144" s="877"/>
      <c r="AQ144" s="877"/>
      <c r="AR144" s="886"/>
      <c r="AS144" s="877"/>
      <c r="AT144" s="879"/>
      <c r="AU144" s="877"/>
      <c r="AV144" s="877"/>
      <c r="AW144" s="877"/>
      <c r="AX144" s="877"/>
      <c r="AY144" s="886"/>
      <c r="AZ144" s="877"/>
      <c r="BA144" s="879"/>
      <c r="BB144" s="877"/>
      <c r="BC144" s="877"/>
      <c r="BD144" s="877"/>
      <c r="BE144" s="877"/>
      <c r="BF144" s="886"/>
      <c r="BG144" s="877"/>
      <c r="BH144" s="879"/>
      <c r="BI144" s="877"/>
      <c r="BJ144" s="877"/>
      <c r="BK144" s="877"/>
      <c r="BL144" s="877"/>
      <c r="BM144" s="886"/>
      <c r="BN144" s="877"/>
      <c r="BO144" s="879"/>
      <c r="BP144" s="877"/>
      <c r="BQ144" s="877"/>
      <c r="BR144" s="877"/>
      <c r="BS144" s="877"/>
      <c r="BT144" s="886"/>
      <c r="BU144" s="877"/>
      <c r="BV144" s="879"/>
      <c r="BW144" s="886"/>
      <c r="BX144" s="869"/>
      <c r="BY144" s="869"/>
      <c r="BZ144" s="869"/>
      <c r="CA144" s="869"/>
      <c r="CB144" s="869"/>
      <c r="CC144" s="869"/>
      <c r="CD144" s="869"/>
      <c r="CE144" s="869"/>
    </row>
    <row r="145" spans="1:83" s="406" customFormat="1" ht="17.25">
      <c r="A145" s="18"/>
      <c r="B145" s="360"/>
      <c r="C145" s="83"/>
      <c r="D145" s="54"/>
      <c r="E145" s="512" t="s">
        <v>320</v>
      </c>
      <c r="F145" s="877">
        <f>SUM(K145:L145)</f>
        <v>1.0371428571428572E-4</v>
      </c>
      <c r="G145" s="877">
        <f>SUM(I145:Q145)</f>
        <v>2.0672955876240536E-4</v>
      </c>
      <c r="H145" s="878">
        <f>SUM(U145:W145)/(1-'Common input data'!$B$143)</f>
        <v>2.257657819689778E-4</v>
      </c>
      <c r="I145" s="928">
        <f t="shared" ref="I145:S145" si="35">I128</f>
        <v>9.9268163577024944E-5</v>
      </c>
      <c r="J145" s="877">
        <f t="shared" si="35"/>
        <v>0</v>
      </c>
      <c r="K145" s="877">
        <f t="shared" si="35"/>
        <v>9.4285714285714285E-5</v>
      </c>
      <c r="L145" s="877">
        <f t="shared" si="35"/>
        <v>9.4285714285714295E-6</v>
      </c>
      <c r="M145" s="877"/>
      <c r="N145" s="877">
        <f t="shared" si="35"/>
        <v>3.7471094710947108E-6</v>
      </c>
      <c r="O145" s="877">
        <f t="shared" si="35"/>
        <v>0</v>
      </c>
      <c r="P145" s="877">
        <f t="shared" si="35"/>
        <v>0</v>
      </c>
      <c r="Q145" s="877">
        <f t="shared" si="35"/>
        <v>0</v>
      </c>
      <c r="R145" s="877">
        <f t="shared" si="35"/>
        <v>0</v>
      </c>
      <c r="S145" s="877">
        <f t="shared" si="35"/>
        <v>0</v>
      </c>
      <c r="T145" s="877">
        <v>0</v>
      </c>
      <c r="U145" s="877">
        <f>G128+T128</f>
        <v>2.1020939076240536E-4</v>
      </c>
      <c r="V145" s="877">
        <f t="shared" si="33"/>
        <v>0</v>
      </c>
      <c r="W145" s="878">
        <f t="shared" si="33"/>
        <v>0</v>
      </c>
      <c r="X145" s="869"/>
      <c r="Y145" s="879"/>
      <c r="Z145" s="877"/>
      <c r="AA145" s="877"/>
      <c r="AB145" s="877"/>
      <c r="AC145" s="877"/>
      <c r="AD145" s="886"/>
      <c r="AE145" s="877"/>
      <c r="AF145" s="879"/>
      <c r="AG145" s="877"/>
      <c r="AH145" s="877"/>
      <c r="AI145" s="877"/>
      <c r="AJ145" s="877"/>
      <c r="AK145" s="886"/>
      <c r="AL145" s="877"/>
      <c r="AM145" s="879"/>
      <c r="AN145" s="877"/>
      <c r="AO145" s="877"/>
      <c r="AP145" s="877"/>
      <c r="AQ145" s="877"/>
      <c r="AR145" s="886"/>
      <c r="AS145" s="877"/>
      <c r="AT145" s="879"/>
      <c r="AU145" s="877"/>
      <c r="AV145" s="877"/>
      <c r="AW145" s="877"/>
      <c r="AX145" s="877"/>
      <c r="AY145" s="886"/>
      <c r="AZ145" s="877"/>
      <c r="BA145" s="879"/>
      <c r="BB145" s="877"/>
      <c r="BC145" s="877"/>
      <c r="BD145" s="877"/>
      <c r="BE145" s="877"/>
      <c r="BF145" s="886"/>
      <c r="BG145" s="877"/>
      <c r="BH145" s="879"/>
      <c r="BI145" s="877"/>
      <c r="BJ145" s="877"/>
      <c r="BK145" s="877"/>
      <c r="BL145" s="877"/>
      <c r="BM145" s="886"/>
      <c r="BN145" s="877"/>
      <c r="BO145" s="879"/>
      <c r="BP145" s="877"/>
      <c r="BQ145" s="877"/>
      <c r="BR145" s="877"/>
      <c r="BS145" s="877"/>
      <c r="BT145" s="886"/>
      <c r="BU145" s="877"/>
      <c r="BV145" s="879"/>
      <c r="BW145" s="886"/>
      <c r="BX145" s="869"/>
      <c r="BY145" s="869"/>
      <c r="BZ145" s="869"/>
      <c r="CA145" s="869"/>
      <c r="CB145" s="869"/>
      <c r="CC145" s="869"/>
      <c r="CD145" s="869"/>
      <c r="CE145" s="869"/>
    </row>
    <row r="146" spans="1:83" s="406" customFormat="1" ht="17.25">
      <c r="A146" s="108" t="s">
        <v>125</v>
      </c>
      <c r="B146" s="93" t="s">
        <v>121</v>
      </c>
      <c r="C146" s="87">
        <f>'Input data plant-based products'!D147</f>
        <v>0.14441663190098741</v>
      </c>
      <c r="D146" s="54"/>
      <c r="E146" s="513" t="s">
        <v>316</v>
      </c>
      <c r="F146" s="872">
        <f>SUMPRODUCT($CJ$6:$CJ$8,F147:F149)</f>
        <v>-4.2505435365680355E-2</v>
      </c>
      <c r="G146" s="872">
        <f>SUMPRODUCT($CJ$6:$CJ$8,G147:G149)</f>
        <v>0.25472110784272295</v>
      </c>
      <c r="H146" s="873">
        <f>SUMPRODUCT($CJ$6:$CJ$8,H147:H149)</f>
        <v>0.83179371855324757</v>
      </c>
      <c r="I146" s="1277"/>
      <c r="J146" s="884"/>
      <c r="K146" s="884"/>
      <c r="L146" s="884"/>
      <c r="M146" s="884"/>
      <c r="N146" s="884"/>
      <c r="O146" s="884"/>
      <c r="P146" s="884"/>
      <c r="Q146" s="884"/>
      <c r="R146" s="884"/>
      <c r="S146" s="884"/>
      <c r="T146" s="884"/>
      <c r="U146" s="884"/>
      <c r="V146" s="884"/>
      <c r="W146" s="1278"/>
      <c r="X146" s="869"/>
      <c r="Y146" s="879">
        <f>1/'Input data plant-based products'!E147*10^4</f>
        <v>3.9012210821987279</v>
      </c>
      <c r="Z146" s="877">
        <f>$Y146*'Input data plant-based products'!Z147</f>
        <v>3.9012210821987279</v>
      </c>
      <c r="AA146" s="877">
        <f>$Y146*'Input data plant-based products'!AA147</f>
        <v>3.9012210821987279</v>
      </c>
      <c r="AB146" s="877">
        <f>$Y146*'Input data plant-based products'!AB147</f>
        <v>3.9012210821987279</v>
      </c>
      <c r="AC146" s="877">
        <f>$Y146*'Input data plant-based products'!AC147</f>
        <v>4.6559506888635012</v>
      </c>
      <c r="AD146" s="886">
        <f>$Y146*'Input data plant-based products'!AD147</f>
        <v>4.8499486342328142</v>
      </c>
      <c r="AE146" s="877"/>
      <c r="AF146" s="879">
        <f>SUM('Input data plant-based products'!F147,'Input data plant-based products'!Q147)/'Input data plant-based products'!E147</f>
        <v>1.2E-2</v>
      </c>
      <c r="AG146" s="877">
        <f>$AF146*'Input data plant-based products'!Z147</f>
        <v>1.2E-2</v>
      </c>
      <c r="AH146" s="877">
        <f>$AF146*'Input data plant-based products'!AA147</f>
        <v>1.2E-2</v>
      </c>
      <c r="AI146" s="877">
        <f>$AF146*'Input data plant-based products'!AB147</f>
        <v>1.2E-2</v>
      </c>
      <c r="AJ146" s="877">
        <f>$AF146*'Input data plant-based products'!AC147</f>
        <v>1.4321518080916577E-2</v>
      </c>
      <c r="AK146" s="886">
        <f>$AF146*'Input data plant-based products'!AD147</f>
        <v>1.4918248000954768E-2</v>
      </c>
      <c r="AL146" s="877"/>
      <c r="AM146" s="879">
        <f>'Input data plant-based products'!R147/'Input data plant-based products'!E147</f>
        <v>1.2E-2</v>
      </c>
      <c r="AN146" s="877">
        <f>$AM146*'Input data plant-based products'!Z147</f>
        <v>1.2E-2</v>
      </c>
      <c r="AO146" s="877">
        <f>$AM146*'Input data plant-based products'!AA147</f>
        <v>1.2E-2</v>
      </c>
      <c r="AP146" s="877">
        <f>$AM146*'Input data plant-based products'!AB147</f>
        <v>1.2E-2</v>
      </c>
      <c r="AQ146" s="877">
        <f>$AM146*'Input data plant-based products'!AC147</f>
        <v>1.4321518080916577E-2</v>
      </c>
      <c r="AR146" s="886">
        <f>$AM146*'Input data plant-based products'!AD147</f>
        <v>1.4918248000954768E-2</v>
      </c>
      <c r="AS146" s="877"/>
      <c r="AT146" s="879">
        <f>'Input data plant-based products'!S147</f>
        <v>0.29380540218316903</v>
      </c>
      <c r="AU146" s="877">
        <f>$AT146*'Input data plant-based products'!Z147</f>
        <v>0.29380540218316903</v>
      </c>
      <c r="AV146" s="877">
        <f>$AT146*'Input data plant-based products'!AA147</f>
        <v>0.29380540218316903</v>
      </c>
      <c r="AW146" s="877">
        <f>$AT146*'Input data plant-based products'!AB147</f>
        <v>0.29380540218316903</v>
      </c>
      <c r="AX146" s="877">
        <f>$AT146*'Input data plant-based products'!AC147</f>
        <v>0.35064494830310183</v>
      </c>
      <c r="AY146" s="886">
        <f>$AT146*'Input data plant-based products'!AD147</f>
        <v>0.36525515448239776</v>
      </c>
      <c r="AZ146" s="877"/>
      <c r="BA146" s="879">
        <f>((SUM('Input data plant-based products'!U147:Y147)*'Grains, oil crops, sugar'!Y146)/('Common input data'!$B$192/10^6))/$BB$3</f>
        <v>5.3907488698788552E-9</v>
      </c>
      <c r="BB146" s="877">
        <f>$BA146*'Input data plant-based products'!Z147</f>
        <v>5.3907488698788552E-9</v>
      </c>
      <c r="BC146" s="877">
        <f>$BA146*'Input data plant-based products'!AA147</f>
        <v>5.3907488698788552E-9</v>
      </c>
      <c r="BD146" s="877">
        <f>$BA146*'Input data plant-based products'!AB147</f>
        <v>5.3907488698788552E-9</v>
      </c>
      <c r="BE146" s="877">
        <f>$BA146*'Input data plant-based products'!AC147</f>
        <v>6.433642284137552E-9</v>
      </c>
      <c r="BF146" s="886">
        <f>$BA146*'Input data plant-based products'!AD147</f>
        <v>6.7017107126432843E-9</v>
      </c>
      <c r="BG146" s="877"/>
      <c r="BH146" s="879">
        <f>'Input data plant-based products'!T147/'Input data plant-based products'!E147</f>
        <v>2.8400889478406737E-3</v>
      </c>
      <c r="BI146" s="877">
        <f>$BH146*'Input data plant-based products'!Z147</f>
        <v>2.8400889478406737E-3</v>
      </c>
      <c r="BJ146" s="877">
        <f>$BH146*'Input data plant-based products'!AA147</f>
        <v>2.8400889478406737E-3</v>
      </c>
      <c r="BK146" s="877">
        <f>$BH146*'Input data plant-based products'!AB147</f>
        <v>2.8400889478406737E-3</v>
      </c>
      <c r="BL146" s="877">
        <f>$BH146*'Input data plant-based products'!AC147</f>
        <v>3.3895321014926288E-3</v>
      </c>
      <c r="BM146" s="886">
        <f>$BH146*'Input data plant-based products'!AD147</f>
        <v>3.5307626057214884E-3</v>
      </c>
      <c r="BN146" s="877"/>
      <c r="BO146" s="879">
        <f>('Input data plant-based products'!F147/'Input data plant-based products'!E147*'Common input data'!$B$195+'Input data plant-based products'!G147/'Input data plant-based products'!E147*'Common input data'!$B$196)/'Common input data'!$B$198</f>
        <v>3.0640479760119936E-4</v>
      </c>
      <c r="BP146" s="877">
        <f>$BO146*'Input data plant-based products'!Z147</f>
        <v>3.0640479760119936E-4</v>
      </c>
      <c r="BQ146" s="877">
        <f>$BO146*'Input data plant-based products'!AA147</f>
        <v>3.0640479760119936E-4</v>
      </c>
      <c r="BR146" s="877">
        <f>$BO146*'Input data plant-based products'!AB147</f>
        <v>3.0640479760119936E-4</v>
      </c>
      <c r="BS146" s="877">
        <f>$BO146*'Input data plant-based products'!AC147</f>
        <v>3.656818207437634E-4</v>
      </c>
      <c r="BT146" s="886">
        <f>$BO146*'Input data plant-based products'!AD147</f>
        <v>3.8091856327475356E-4</v>
      </c>
      <c r="BU146" s="877"/>
      <c r="BV146" s="879">
        <f>('Common input data'!$C$202+'Common input data'!$B$214)*'Input data plant-based products'!AC147</f>
        <v>1.1339857580459085</v>
      </c>
      <c r="BW146" s="886">
        <f>('Common input data'!$C$202+'Common input data'!$B$214)*'Input data plant-based products'!AD147</f>
        <v>1.1812351646311547</v>
      </c>
      <c r="BX146" s="869"/>
      <c r="BY146" s="869"/>
      <c r="BZ146" s="869"/>
      <c r="CA146" s="869"/>
      <c r="CB146" s="869"/>
      <c r="CC146" s="869"/>
      <c r="CD146" s="869"/>
      <c r="CE146" s="869"/>
    </row>
    <row r="147" spans="1:83" s="406" customFormat="1" ht="17.25">
      <c r="A147" s="359"/>
      <c r="B147" s="360"/>
      <c r="C147" s="83"/>
      <c r="D147" s="54"/>
      <c r="E147" s="511" t="s">
        <v>317</v>
      </c>
      <c r="F147" s="877">
        <f>IF(AND($F$2="No",$F$3="No"),SUM(K147:L147),IF(AND($F$2="Yes", $F$3="No"), (SUM(K147:L147)+S147), IF(AND($F$2="No", $F$3="Yes"),(SUM(K147:L147)+R147), (SUM(K147:L147)+S147+R147))))</f>
        <v>-9.1139048141381296E-2</v>
      </c>
      <c r="G147" s="877">
        <f>IF(AND($F$2="No",$F$3="No"),SUM(I147:Q147),IF(AND($F$2="Yes", $F$3="No"), (SUM(I147:Q147)+S147), IF(AND($F$2="No", $F$3="Yes"),(SUM(I147:Q147)+R147), (SUM(I147:Q147)+S147+R147))))</f>
        <v>0.18119583216791257</v>
      </c>
      <c r="H147" s="878">
        <f>SUM(U147:W147)/(1-'Common input data'!$B$143)</f>
        <v>0.77816286433490967</v>
      </c>
      <c r="I147" s="928">
        <f>I130</f>
        <v>4.5462715468234161E-2</v>
      </c>
      <c r="J147" s="877">
        <f t="shared" ref="J147:S147" si="36">J130</f>
        <v>0.03</v>
      </c>
      <c r="K147" s="877">
        <f t="shared" si="36"/>
        <v>0</v>
      </c>
      <c r="L147" s="877">
        <f t="shared" si="36"/>
        <v>0</v>
      </c>
      <c r="M147" s="877"/>
      <c r="N147" s="877">
        <f t="shared" si="36"/>
        <v>0.14687216484105969</v>
      </c>
      <c r="O147" s="877">
        <f t="shared" si="36"/>
        <v>0</v>
      </c>
      <c r="P147" s="877">
        <f t="shared" si="36"/>
        <v>0.05</v>
      </c>
      <c r="Q147" s="877">
        <f t="shared" si="36"/>
        <v>0</v>
      </c>
      <c r="R147" s="877">
        <f t="shared" si="36"/>
        <v>-9.1139048141381296E-2</v>
      </c>
      <c r="S147" s="877">
        <f t="shared" si="36"/>
        <v>0</v>
      </c>
      <c r="T147" s="877">
        <v>0</v>
      </c>
      <c r="U147" s="877">
        <f>G130+T130</f>
        <v>0.19454355216791258</v>
      </c>
      <c r="V147" s="877">
        <f t="shared" ref="V147:W149" si="37">V130</f>
        <v>0.3</v>
      </c>
      <c r="W147" s="878">
        <f>'Common input data'!B119+'Common input data'!C119</f>
        <v>0.23000000000000004</v>
      </c>
      <c r="X147" s="869"/>
      <c r="Y147" s="879"/>
      <c r="Z147" s="877"/>
      <c r="AA147" s="877"/>
      <c r="AB147" s="877"/>
      <c r="AC147" s="877"/>
      <c r="AD147" s="886"/>
      <c r="AE147" s="877"/>
      <c r="AF147" s="879"/>
      <c r="AG147" s="877"/>
      <c r="AH147" s="877"/>
      <c r="AI147" s="877"/>
      <c r="AJ147" s="877"/>
      <c r="AK147" s="886"/>
      <c r="AL147" s="877"/>
      <c r="AM147" s="879"/>
      <c r="AN147" s="877"/>
      <c r="AO147" s="877"/>
      <c r="AP147" s="877"/>
      <c r="AQ147" s="877"/>
      <c r="AR147" s="886"/>
      <c r="AS147" s="877"/>
      <c r="AT147" s="879"/>
      <c r="AU147" s="877"/>
      <c r="AV147" s="877"/>
      <c r="AW147" s="877"/>
      <c r="AX147" s="877"/>
      <c r="AY147" s="886"/>
      <c r="AZ147" s="877"/>
      <c r="BA147" s="879"/>
      <c r="BB147" s="877"/>
      <c r="BC147" s="877"/>
      <c r="BD147" s="877"/>
      <c r="BE147" s="877"/>
      <c r="BF147" s="886"/>
      <c r="BG147" s="877"/>
      <c r="BH147" s="879"/>
      <c r="BI147" s="877"/>
      <c r="BJ147" s="877"/>
      <c r="BK147" s="877"/>
      <c r="BL147" s="877"/>
      <c r="BM147" s="886"/>
      <c r="BN147" s="877"/>
      <c r="BO147" s="879"/>
      <c r="BP147" s="877"/>
      <c r="BQ147" s="877"/>
      <c r="BR147" s="877"/>
      <c r="BS147" s="877"/>
      <c r="BT147" s="886"/>
      <c r="BU147" s="877"/>
      <c r="BV147" s="879"/>
      <c r="BW147" s="886"/>
      <c r="BX147" s="869"/>
      <c r="BY147" s="869"/>
      <c r="BZ147" s="869"/>
      <c r="CA147" s="869"/>
      <c r="CB147" s="869"/>
      <c r="CC147" s="869"/>
      <c r="CD147" s="869"/>
      <c r="CE147" s="869"/>
    </row>
    <row r="148" spans="1:83" s="406" customFormat="1" ht="17.25">
      <c r="A148" s="359"/>
      <c r="B148" s="360"/>
      <c r="C148" s="83"/>
      <c r="D148" s="54"/>
      <c r="E148" s="511" t="s">
        <v>367</v>
      </c>
      <c r="F148" s="877">
        <f>SUM(K148:L148)</f>
        <v>0</v>
      </c>
      <c r="G148" s="877">
        <f>SUM(I148:Q148)</f>
        <v>1.4845851133272878E-4</v>
      </c>
      <c r="H148" s="878">
        <f>SUM(U148:W148)/(1-'Common input data'!$B$143)</f>
        <v>2.1860149352467847E-4</v>
      </c>
      <c r="I148" s="928">
        <f t="shared" ref="I148:S148" si="38">I131</f>
        <v>8.3399094794203512E-5</v>
      </c>
      <c r="J148" s="877">
        <f t="shared" si="38"/>
        <v>0</v>
      </c>
      <c r="K148" s="877">
        <f t="shared" si="38"/>
        <v>0</v>
      </c>
      <c r="L148" s="877">
        <f t="shared" si="38"/>
        <v>0</v>
      </c>
      <c r="M148" s="877"/>
      <c r="N148" s="877">
        <f t="shared" si="38"/>
        <v>6.5059416538525272E-5</v>
      </c>
      <c r="O148" s="877">
        <f t="shared" si="38"/>
        <v>0</v>
      </c>
      <c r="P148" s="877">
        <f t="shared" si="38"/>
        <v>0</v>
      </c>
      <c r="Q148" s="877">
        <f t="shared" si="38"/>
        <v>0</v>
      </c>
      <c r="R148" s="877">
        <f t="shared" si="38"/>
        <v>0</v>
      </c>
      <c r="S148" s="877">
        <f t="shared" si="38"/>
        <v>0</v>
      </c>
      <c r="T148" s="877">
        <v>0</v>
      </c>
      <c r="U148" s="877">
        <f>G127+T127</f>
        <v>2.0353875761336049E-4</v>
      </c>
      <c r="V148" s="877">
        <f t="shared" si="37"/>
        <v>0</v>
      </c>
      <c r="W148" s="878">
        <f t="shared" si="37"/>
        <v>0</v>
      </c>
      <c r="X148" s="869"/>
      <c r="Y148" s="879"/>
      <c r="Z148" s="877"/>
      <c r="AA148" s="877"/>
      <c r="AB148" s="877"/>
      <c r="AC148" s="877"/>
      <c r="AD148" s="886"/>
      <c r="AE148" s="877"/>
      <c r="AF148" s="879"/>
      <c r="AG148" s="877"/>
      <c r="AH148" s="877"/>
      <c r="AI148" s="877"/>
      <c r="AJ148" s="877"/>
      <c r="AK148" s="886"/>
      <c r="AL148" s="877"/>
      <c r="AM148" s="879"/>
      <c r="AN148" s="877"/>
      <c r="AO148" s="877"/>
      <c r="AP148" s="877"/>
      <c r="AQ148" s="877"/>
      <c r="AR148" s="886"/>
      <c r="AS148" s="877"/>
      <c r="AT148" s="879"/>
      <c r="AU148" s="877"/>
      <c r="AV148" s="877"/>
      <c r="AW148" s="877"/>
      <c r="AX148" s="877"/>
      <c r="AY148" s="886"/>
      <c r="AZ148" s="877"/>
      <c r="BA148" s="879"/>
      <c r="BB148" s="877"/>
      <c r="BC148" s="877"/>
      <c r="BD148" s="877"/>
      <c r="BE148" s="877"/>
      <c r="BF148" s="886"/>
      <c r="BG148" s="877"/>
      <c r="BH148" s="879"/>
      <c r="BI148" s="877"/>
      <c r="BJ148" s="877"/>
      <c r="BK148" s="877"/>
      <c r="BL148" s="877"/>
      <c r="BM148" s="886"/>
      <c r="BN148" s="877"/>
      <c r="BO148" s="879"/>
      <c r="BP148" s="877"/>
      <c r="BQ148" s="877"/>
      <c r="BR148" s="877"/>
      <c r="BS148" s="877"/>
      <c r="BT148" s="886"/>
      <c r="BU148" s="877"/>
      <c r="BV148" s="879"/>
      <c r="BW148" s="886"/>
      <c r="BX148" s="869"/>
      <c r="BY148" s="869"/>
      <c r="BZ148" s="869"/>
      <c r="CA148" s="869"/>
      <c r="CB148" s="869"/>
      <c r="CC148" s="869"/>
      <c r="CD148" s="869"/>
      <c r="CE148" s="869"/>
    </row>
    <row r="149" spans="1:83" s="406" customFormat="1" ht="17.25">
      <c r="A149" s="359"/>
      <c r="B149" s="360"/>
      <c r="C149" s="83"/>
      <c r="D149" s="54"/>
      <c r="E149" s="512" t="s">
        <v>320</v>
      </c>
      <c r="F149" s="877">
        <f>SUM(K149:L149)</f>
        <v>2.0872795182704266E-4</v>
      </c>
      <c r="G149" s="877">
        <f>SUM(I149:Q149)</f>
        <v>3.1256446640148735E-4</v>
      </c>
      <c r="H149" s="878">
        <f>SUM(U149:W149)/(1-'Common input data'!$B$143)</f>
        <v>2.257657819689778E-4</v>
      </c>
      <c r="I149" s="932">
        <f t="shared" ref="I149:S149" si="39">I132</f>
        <v>9.9890002242045289E-5</v>
      </c>
      <c r="J149" s="896">
        <f t="shared" si="39"/>
        <v>0</v>
      </c>
      <c r="K149" s="896">
        <f t="shared" si="39"/>
        <v>1.8975268347912969E-4</v>
      </c>
      <c r="L149" s="896">
        <f t="shared" si="39"/>
        <v>1.8975268347912969E-5</v>
      </c>
      <c r="M149" s="896"/>
      <c r="N149" s="896">
        <f t="shared" si="39"/>
        <v>3.9465123323993918E-6</v>
      </c>
      <c r="O149" s="896">
        <f t="shared" si="39"/>
        <v>0</v>
      </c>
      <c r="P149" s="896">
        <f t="shared" si="39"/>
        <v>0</v>
      </c>
      <c r="Q149" s="896">
        <f t="shared" si="39"/>
        <v>0</v>
      </c>
      <c r="R149" s="896">
        <f t="shared" si="39"/>
        <v>0</v>
      </c>
      <c r="S149" s="896">
        <f t="shared" si="39"/>
        <v>0</v>
      </c>
      <c r="T149" s="896">
        <v>0</v>
      </c>
      <c r="U149" s="896">
        <f>G128+T128</f>
        <v>2.1020939076240536E-4</v>
      </c>
      <c r="V149" s="896">
        <f t="shared" si="37"/>
        <v>0</v>
      </c>
      <c r="W149" s="933">
        <f t="shared" si="37"/>
        <v>0</v>
      </c>
      <c r="X149" s="869"/>
      <c r="Y149" s="879"/>
      <c r="Z149" s="877"/>
      <c r="AA149" s="877"/>
      <c r="AB149" s="877"/>
      <c r="AC149" s="877"/>
      <c r="AD149" s="886"/>
      <c r="AE149" s="877"/>
      <c r="AF149" s="879"/>
      <c r="AG149" s="877"/>
      <c r="AH149" s="877"/>
      <c r="AI149" s="877"/>
      <c r="AJ149" s="877"/>
      <c r="AK149" s="886"/>
      <c r="AL149" s="877"/>
      <c r="AM149" s="879"/>
      <c r="AN149" s="877"/>
      <c r="AO149" s="877"/>
      <c r="AP149" s="877"/>
      <c r="AQ149" s="877"/>
      <c r="AR149" s="886"/>
      <c r="AS149" s="877"/>
      <c r="AT149" s="879"/>
      <c r="AU149" s="877"/>
      <c r="AV149" s="877"/>
      <c r="AW149" s="877"/>
      <c r="AX149" s="877"/>
      <c r="AY149" s="886"/>
      <c r="AZ149" s="877"/>
      <c r="BA149" s="879"/>
      <c r="BB149" s="877"/>
      <c r="BC149" s="877"/>
      <c r="BD149" s="877"/>
      <c r="BE149" s="877"/>
      <c r="BF149" s="886"/>
      <c r="BG149" s="877"/>
      <c r="BH149" s="879"/>
      <c r="BI149" s="877"/>
      <c r="BJ149" s="877"/>
      <c r="BK149" s="877"/>
      <c r="BL149" s="877"/>
      <c r="BM149" s="886"/>
      <c r="BN149" s="877"/>
      <c r="BO149" s="879"/>
      <c r="BP149" s="877"/>
      <c r="BQ149" s="877"/>
      <c r="BR149" s="877"/>
      <c r="BS149" s="877"/>
      <c r="BT149" s="886"/>
      <c r="BU149" s="877"/>
      <c r="BV149" s="879"/>
      <c r="BW149" s="886"/>
      <c r="BX149" s="869"/>
      <c r="BY149" s="869"/>
      <c r="BZ149" s="869"/>
      <c r="CA149" s="869"/>
      <c r="CB149" s="869"/>
      <c r="CC149" s="869"/>
      <c r="CD149" s="869"/>
      <c r="CE149" s="869"/>
    </row>
    <row r="150" spans="1:83" s="406" customFormat="1" ht="17.25">
      <c r="A150" s="362" t="s">
        <v>456</v>
      </c>
      <c r="B150" s="363"/>
      <c r="C150" s="770"/>
      <c r="D150" s="54"/>
      <c r="E150" s="939"/>
      <c r="F150" s="892" t="s">
        <v>457</v>
      </c>
      <c r="G150" s="892" t="s">
        <v>457</v>
      </c>
      <c r="H150" s="970" t="s">
        <v>458</v>
      </c>
      <c r="I150" s="1281"/>
      <c r="J150" s="966"/>
      <c r="K150" s="966"/>
      <c r="L150" s="966"/>
      <c r="M150" s="966"/>
      <c r="N150" s="966"/>
      <c r="O150" s="968"/>
      <c r="P150" s="966"/>
      <c r="Q150" s="966"/>
      <c r="R150" s="966"/>
      <c r="S150" s="966"/>
      <c r="T150" s="966"/>
      <c r="U150" s="966"/>
      <c r="V150" s="966"/>
      <c r="W150" s="1282"/>
      <c r="X150" s="877"/>
      <c r="Y150" s="879"/>
      <c r="Z150" s="877"/>
      <c r="AA150" s="877"/>
      <c r="AB150" s="877"/>
      <c r="AC150" s="877"/>
      <c r="AD150" s="886"/>
      <c r="AE150" s="877"/>
      <c r="AF150" s="879"/>
      <c r="AG150" s="877"/>
      <c r="AH150" s="877"/>
      <c r="AI150" s="877"/>
      <c r="AJ150" s="877"/>
      <c r="AK150" s="886"/>
      <c r="AL150" s="877"/>
      <c r="AM150" s="879"/>
      <c r="AN150" s="877"/>
      <c r="AO150" s="877"/>
      <c r="AP150" s="877"/>
      <c r="AQ150" s="877"/>
      <c r="AR150" s="886"/>
      <c r="AS150" s="877"/>
      <c r="AT150" s="879"/>
      <c r="AU150" s="877"/>
      <c r="AV150" s="877"/>
      <c r="AW150" s="877"/>
      <c r="AX150" s="877"/>
      <c r="AY150" s="886"/>
      <c r="AZ150" s="877"/>
      <c r="BA150" s="879"/>
      <c r="BB150" s="877"/>
      <c r="BC150" s="877"/>
      <c r="BD150" s="877"/>
      <c r="BE150" s="877"/>
      <c r="BF150" s="886"/>
      <c r="BG150" s="877"/>
      <c r="BH150" s="879"/>
      <c r="BI150" s="877"/>
      <c r="BJ150" s="877"/>
      <c r="BK150" s="877"/>
      <c r="BL150" s="877"/>
      <c r="BM150" s="886"/>
      <c r="BN150" s="877"/>
      <c r="BO150" s="879"/>
      <c r="BP150" s="877"/>
      <c r="BQ150" s="877"/>
      <c r="BR150" s="877"/>
      <c r="BS150" s="877"/>
      <c r="BT150" s="886"/>
      <c r="BU150" s="877"/>
      <c r="BV150" s="879"/>
      <c r="BW150" s="886"/>
      <c r="BX150" s="869"/>
      <c r="BY150" s="869"/>
      <c r="BZ150" s="869"/>
      <c r="CA150" s="869"/>
      <c r="CB150" s="869"/>
      <c r="CC150" s="869"/>
      <c r="CD150" s="869"/>
      <c r="CE150" s="869"/>
    </row>
    <row r="151" spans="1:83" s="406" customFormat="1" ht="17.25">
      <c r="A151" s="381" t="s">
        <v>122</v>
      </c>
      <c r="B151" s="382" t="s">
        <v>121</v>
      </c>
      <c r="C151" s="772">
        <f>'Input data plant-based products'!D48</f>
        <v>1</v>
      </c>
      <c r="D151" s="26"/>
      <c r="E151" s="513" t="s">
        <v>316</v>
      </c>
      <c r="F151" s="872">
        <f>SUMPRODUCT($CJ$6:$CJ$8,F152:F154)</f>
        <v>0.36985149762747754</v>
      </c>
      <c r="G151" s="872">
        <f>SUMPRODUCT($CJ$6:$CJ$8,G152:G154)</f>
        <v>0.77934229834115676</v>
      </c>
      <c r="H151" s="873">
        <f>SUMPRODUCT($CJ$6:$CJ$8,H152:H154)</f>
        <v>1.4434757829908929</v>
      </c>
      <c r="I151" s="926"/>
      <c r="J151" s="875"/>
      <c r="K151" s="875"/>
      <c r="L151" s="875"/>
      <c r="M151" s="875"/>
      <c r="N151" s="875"/>
      <c r="O151" s="875"/>
      <c r="P151" s="875"/>
      <c r="Q151" s="875"/>
      <c r="R151" s="875"/>
      <c r="S151" s="875"/>
      <c r="T151" s="875"/>
      <c r="U151" s="874"/>
      <c r="V151" s="875"/>
      <c r="W151" s="1271"/>
      <c r="X151" s="877"/>
      <c r="Y151" s="883">
        <f>1/'Input data plant-based products'!E29*10^4</f>
        <v>0.15733165512901195</v>
      </c>
      <c r="Z151" s="884">
        <f>$Y151*'Input data plant-based products'!Z29</f>
        <v>1.0226557583385778</v>
      </c>
      <c r="AA151" s="884">
        <f>$Y151*'Input data plant-based products'!AA29</f>
        <v>1.4609367976265397</v>
      </c>
      <c r="AB151" s="884">
        <f>$Y151*'Input data plant-based products'!AB29</f>
        <v>1.1687494381012318</v>
      </c>
      <c r="AC151" s="884">
        <f>$Y151*'Input data plant-based products'!AC29</f>
        <v>1.6247185855401463</v>
      </c>
      <c r="AD151" s="885">
        <f>$Y151*'Input data plant-based products'!AD29</f>
        <v>1.6924151932709859</v>
      </c>
      <c r="AE151" s="877"/>
      <c r="AF151" s="883">
        <f>SUM('Input data plant-based products'!F29,'Input data plant-based products'!Q29)/'Input data plant-based products'!E29</f>
        <v>1.5051395007342145E-3</v>
      </c>
      <c r="AG151" s="884">
        <f>$AF151*'Input data plant-based products'!Z29</f>
        <v>9.7834067547723936E-3</v>
      </c>
      <c r="AH151" s="884">
        <f>$AF151*'Input data plant-based products'!AA29</f>
        <v>1.3976295363960565E-2</v>
      </c>
      <c r="AI151" s="884">
        <f>$AF151*'Input data plant-based products'!AB29</f>
        <v>1.1181036291168452E-2</v>
      </c>
      <c r="AJ151" s="884">
        <f>$AF151*'Input data plant-based products'!AC29</f>
        <v>1.5543141135000734E-2</v>
      </c>
      <c r="AK151" s="885">
        <f>$AF151*'Input data plant-based products'!AD29</f>
        <v>1.6190772015625767E-2</v>
      </c>
      <c r="AL151" s="877"/>
      <c r="AM151" s="883">
        <f>'Input data plant-based products'!R29/'Input data plant-based products'!E29</f>
        <v>2.6221942521501994E-4</v>
      </c>
      <c r="AN151" s="884">
        <f>$AM151*'Input data plant-based products'!Z29</f>
        <v>1.7044262638976296E-3</v>
      </c>
      <c r="AO151" s="884">
        <f>$AM151*'Input data plant-based products'!AA29</f>
        <v>2.4348946627108996E-3</v>
      </c>
      <c r="AP151" s="884">
        <f>$AM151*'Input data plant-based products'!AB29</f>
        <v>1.9479157301687199E-3</v>
      </c>
      <c r="AQ151" s="884">
        <f>$AM151*'Input data plant-based products'!AC29</f>
        <v>2.7078643092335775E-3</v>
      </c>
      <c r="AR151" s="885">
        <f>$AM151*'Input data plant-based products'!AD29</f>
        <v>2.8206919887849768E-3</v>
      </c>
      <c r="AS151" s="877"/>
      <c r="AT151" s="883">
        <f>'Input data plant-based products'!S29</f>
        <v>3.261101950258491E-3</v>
      </c>
      <c r="AU151" s="884">
        <f>$AT151*'Input data plant-based products'!Z29</f>
        <v>2.1197162676680193E-2</v>
      </c>
      <c r="AV151" s="884">
        <f>$AT151*'Input data plant-based products'!AA29</f>
        <v>3.028166096668599E-2</v>
      </c>
      <c r="AW151" s="884">
        <f>$AT151*'Input data plant-based products'!AB29</f>
        <v>2.4225328773348796E-2</v>
      </c>
      <c r="AX151" s="884">
        <f>$AT151*'Input data plant-based products'!AC29</f>
        <v>3.3676458457018853E-2</v>
      </c>
      <c r="AY151" s="885">
        <f>$AT151*'Input data plant-based products'!AD29</f>
        <v>3.5079644226061309E-2</v>
      </c>
      <c r="AZ151" s="877"/>
      <c r="BA151" s="883">
        <f>((SUM('Input data plant-based products'!U29:Y29)*'Grains, oil crops, sugar'!Y151)/('Common input data'!$B$192/10^6))/$BB$3</f>
        <v>1.1129476193311877E-12</v>
      </c>
      <c r="BB151" s="884">
        <f>$BA151*'Input data plant-based products'!Z29</f>
        <v>7.2341595256527199E-12</v>
      </c>
      <c r="BC151" s="884">
        <f>$BA151*'Input data plant-based products'!AA29</f>
        <v>1.0334513608075316E-11</v>
      </c>
      <c r="BD151" s="884">
        <f>$BA151*'Input data plant-based products'!AB29</f>
        <v>8.2676108864602536E-12</v>
      </c>
      <c r="BE151" s="884">
        <f>$BA151*'Input data plant-based products'!AC29</f>
        <v>1.1493088789902417E-11</v>
      </c>
      <c r="BF151" s="885">
        <f>$BA151*'Input data plant-based products'!AD29</f>
        <v>1.1971967489481686E-11</v>
      </c>
      <c r="BG151" s="877"/>
      <c r="BH151" s="883">
        <f>'Input data plant-based products'!T29/'Input data plant-based products'!E29</f>
        <v>5.3964757709251096E-5</v>
      </c>
      <c r="BI151" s="884">
        <f>$BH151*'Input data plant-based products'!Z29</f>
        <v>3.5077092511013214E-4</v>
      </c>
      <c r="BJ151" s="884">
        <f>$BH151*'Input data plant-based products'!AA29</f>
        <v>5.0110132158590309E-4</v>
      </c>
      <c r="BK151" s="884">
        <f>$BH151*'Input data plant-based products'!AB29</f>
        <v>4.0088105726872249E-4</v>
      </c>
      <c r="BL151" s="884">
        <f>$BH151*'Input data plant-based products'!AC29</f>
        <v>5.572784748402701E-4</v>
      </c>
      <c r="BM151" s="885">
        <f>$BH151*'Input data plant-based products'!AD29</f>
        <v>5.8049841129194813E-4</v>
      </c>
      <c r="BN151" s="877"/>
      <c r="BO151" s="883">
        <f>('Input data plant-based products'!F29/'Input data plant-based products'!E29*'Common input data'!$B$195+'Input data plant-based products'!G29/'Input data plant-based products'!E29*'Common input data'!$B$196)/'Common input data'!$B$198</f>
        <v>1.278778184853451E-4</v>
      </c>
      <c r="BP151" s="884">
        <f>$BO151*'Input data plant-based products'!Z29</f>
        <v>8.3120582015474317E-4</v>
      </c>
      <c r="BQ151" s="884">
        <f>$BO151*'Input data plant-based products'!AA29</f>
        <v>1.1874368859353475E-3</v>
      </c>
      <c r="BR151" s="884">
        <f>$BO151*'Input data plant-based products'!AB29</f>
        <v>9.4994950874827805E-4</v>
      </c>
      <c r="BS151" s="884">
        <f>$BO151*'Input data plant-based products'!AC29</f>
        <v>1.3205573169690599E-3</v>
      </c>
      <c r="BT151" s="885">
        <f>$BO151*'Input data plant-based products'!AD29</f>
        <v>1.3755805385094375E-3</v>
      </c>
      <c r="BU151" s="877"/>
      <c r="BV151" s="883">
        <f>'Common input data'!$C$202*'Input data plant-based products'!AC29</f>
        <v>1.478785062412062</v>
      </c>
      <c r="BW151" s="885">
        <f>'Common input data'!$C$202*'Input data plant-based products'!AD29</f>
        <v>1.5404011066792314</v>
      </c>
      <c r="BX151" s="869"/>
      <c r="BY151" s="869"/>
      <c r="BZ151" s="869"/>
      <c r="CA151" s="869"/>
      <c r="CB151" s="869"/>
      <c r="CC151" s="869"/>
      <c r="CD151" s="869"/>
      <c r="CE151" s="869"/>
    </row>
    <row r="152" spans="1:83" s="406" customFormat="1" ht="17.25">
      <c r="A152" s="68"/>
      <c r="B152" s="55"/>
      <c r="C152" s="64"/>
      <c r="D152"/>
      <c r="E152" s="511" t="s">
        <v>317</v>
      </c>
      <c r="F152" s="877">
        <f>IF(AND($F$2="No",$F$3="No"),SUM(K152:L152)*'Input data plant-based products'!O$273,IF(AND($F$2="Yes", $F$3="No"), (SUM(K152:L152)+S152)*'Input data plant-based products'!O$273, IF(AND($F$2="No", $F$3="Yes"),(SUM(K152:L152)+R152)*'Input data plant-based products'!O$273, (SUM(K152:L152)+S152+R152)*'Input data plant-based products'!O$273)))</f>
        <v>0.25993166525922118</v>
      </c>
      <c r="G152" s="877">
        <f>IF(AND($F$2="No",$F$3="No"),SUM(I152:Q152)*'Input data plant-based products'!O$273,IF(AND($F$2="Yes", $F$3="No"), (SUM(I152:Q152)+S152)*'Input data plant-based products'!O$273, IF(AND($F$2="No", $F$3="Yes"),(SUM(I152:Q152)+R152)*'Input data plant-based products'!O$273, (SUM(I152:Q152)+S152+R152)*'Input data plant-based products'!O$273)))</f>
        <v>0.65388447424779361</v>
      </c>
      <c r="H152" s="878">
        <f>SUM(U152:W152)/(1-'Common input data'!$B$142)</f>
        <v>1.2422786877495118</v>
      </c>
      <c r="I152" s="928">
        <f>('Input data plant-based products'!$F$29*('Common input data'!$B$93*'Common input data'!B86+'Common input data'!$B$94*'Common input data'!C86))/'Input data plant-based products'!$E$29</f>
        <v>4.7218160897363401E-3</v>
      </c>
      <c r="J152" s="877">
        <f>'Common input data'!B98</f>
        <v>0.03</v>
      </c>
      <c r="K152" s="877">
        <v>0</v>
      </c>
      <c r="L152" s="877">
        <v>0</v>
      </c>
      <c r="M152" s="877"/>
      <c r="N152" s="877">
        <f>('Input data plant-based products'!$P$29*'Common input data'!$C$76*'Common input data'!H66)/'Input data plant-based products'!$E$29</f>
        <v>5.8863083700440525E-3</v>
      </c>
      <c r="O152" s="877">
        <v>0</v>
      </c>
      <c r="P152" s="877">
        <f>'Input data plant-based products'!G309</f>
        <v>0.02</v>
      </c>
      <c r="Q152" s="877">
        <v>0</v>
      </c>
      <c r="R152" s="877">
        <f>'Common input data'!E19</f>
        <v>3.9989486962957101E-2</v>
      </c>
      <c r="S152" s="877">
        <v>0</v>
      </c>
      <c r="T152" s="877">
        <f>'Input data plant-based products'!I$273*3.6*'Common input data'!B66+'Input data plant-based products'!J$273*3.6*'Common input data'!C66+'Input data plant-based products'!K$273*'Common input data'!B80+'Input data plant-based products'!L$273*3.6*'Common input data'!G66</f>
        <v>5.8049988000000004E-2</v>
      </c>
      <c r="U152" s="877">
        <f>(G152+T152)*'Common input data'!D$43/'Common input data'!$C$43</f>
        <v>0.81363938542604997</v>
      </c>
      <c r="V152" s="877">
        <f>'Common input data'!B105</f>
        <v>0.05</v>
      </c>
      <c r="W152" s="878">
        <f>'Common input data'!C115</f>
        <v>0.03</v>
      </c>
      <c r="X152" s="877"/>
      <c r="Y152" s="864"/>
      <c r="Z152" s="869"/>
      <c r="AA152" s="869"/>
      <c r="AB152" s="869"/>
      <c r="AC152" s="869"/>
      <c r="AD152" s="1174"/>
      <c r="AE152" s="877"/>
      <c r="AF152" s="864"/>
      <c r="AG152" s="869"/>
      <c r="AH152" s="869"/>
      <c r="AI152" s="869"/>
      <c r="AJ152" s="869"/>
      <c r="AK152" s="1174"/>
      <c r="AL152" s="869"/>
      <c r="AM152" s="864"/>
      <c r="AN152" s="869"/>
      <c r="AO152" s="869"/>
      <c r="AP152" s="869"/>
      <c r="AQ152" s="869"/>
      <c r="AR152" s="1174"/>
      <c r="AS152" s="869"/>
      <c r="AT152" s="864"/>
      <c r="AU152" s="869"/>
      <c r="AV152" s="869"/>
      <c r="AW152" s="869"/>
      <c r="AX152" s="869"/>
      <c r="AY152" s="1174"/>
      <c r="AZ152" s="869"/>
      <c r="BA152" s="864"/>
      <c r="BB152" s="869"/>
      <c r="BC152" s="869"/>
      <c r="BD152" s="869"/>
      <c r="BE152" s="869"/>
      <c r="BF152" s="1174"/>
      <c r="BG152" s="869"/>
      <c r="BH152" s="864"/>
      <c r="BI152" s="869"/>
      <c r="BJ152" s="869"/>
      <c r="BK152" s="869"/>
      <c r="BL152" s="869"/>
      <c r="BM152" s="1174"/>
      <c r="BN152" s="869"/>
      <c r="BO152" s="864"/>
      <c r="BP152" s="869"/>
      <c r="BQ152" s="869"/>
      <c r="BR152" s="869"/>
      <c r="BS152" s="869"/>
      <c r="BT152" s="1174"/>
      <c r="BU152" s="869"/>
      <c r="BV152" s="864"/>
      <c r="BW152" s="1174"/>
      <c r="BX152" s="869"/>
      <c r="BY152" s="869"/>
      <c r="BZ152" s="869"/>
      <c r="CA152" s="869"/>
      <c r="CB152" s="869"/>
      <c r="CC152" s="869"/>
      <c r="CD152" s="869"/>
      <c r="CE152" s="869"/>
    </row>
    <row r="153" spans="1:83" s="406" customFormat="1" ht="17.25">
      <c r="A153" s="68"/>
      <c r="B153" s="55"/>
      <c r="C153" s="595"/>
      <c r="D153" s="50"/>
      <c r="E153" s="511" t="s">
        <v>367</v>
      </c>
      <c r="F153" s="877">
        <f>SUM(K153:L153)*'Input data plant-based products'!O$273</f>
        <v>0</v>
      </c>
      <c r="G153" s="877">
        <f>SUM(I153:Q153)*'Input data plant-based products'!O$273</f>
        <v>5.55601409430162E-5</v>
      </c>
      <c r="H153" s="878">
        <f>SUM(U153:W153)/(1-'Common input data'!$B$142)</f>
        <v>3.3226210375845229E-4</v>
      </c>
      <c r="I153" s="928">
        <f>('Input data plant-based products'!$F$29*('Common input data'!$B$93*'Common input data'!B87+'Common input data'!$B$94*'Common input data'!C87))/'Input data plant-based products'!$E$29</f>
        <v>5.9402778678852434E-6</v>
      </c>
      <c r="J153" s="877">
        <v>0</v>
      </c>
      <c r="K153" s="877">
        <v>0</v>
      </c>
      <c r="L153" s="877">
        <v>0</v>
      </c>
      <c r="M153" s="877"/>
      <c r="N153" s="877">
        <f>('Input data plant-based products'!$P$29*'Common input data'!$C$76*'Common input data'!H67)/'Input data plant-based products'!$E$29</f>
        <v>2.607436123348018E-6</v>
      </c>
      <c r="O153" s="877">
        <v>0</v>
      </c>
      <c r="P153" s="877">
        <v>0</v>
      </c>
      <c r="Q153" s="877">
        <v>0</v>
      </c>
      <c r="R153" s="877">
        <v>0</v>
      </c>
      <c r="S153" s="877">
        <v>0</v>
      </c>
      <c r="T153" s="877">
        <f>'Input data plant-based products'!I$273*3.6*'Common input data'!B67+'Input data plant-based products'!J$273*3.6*'Common input data'!C67+'Input data plant-based products'!L$273*3.6*'Common input data'!G67</f>
        <v>1.5357746400000003E-4</v>
      </c>
      <c r="U153" s="877">
        <f>(G153+T153)*'Common input data'!D$43/'Common input data'!$C$43</f>
        <v>2.3901440564916144E-4</v>
      </c>
      <c r="V153" s="877">
        <v>0</v>
      </c>
      <c r="W153" s="878">
        <v>0</v>
      </c>
      <c r="X153" s="877"/>
      <c r="Y153" s="864"/>
      <c r="Z153" s="869"/>
      <c r="AA153" s="869"/>
      <c r="AB153" s="869"/>
      <c r="AC153" s="869"/>
      <c r="AD153" s="1174"/>
      <c r="AE153" s="877"/>
      <c r="AF153" s="864"/>
      <c r="AG153" s="869"/>
      <c r="AH153" s="869"/>
      <c r="AI153" s="869"/>
      <c r="AJ153" s="869"/>
      <c r="AK153" s="1174"/>
      <c r="AL153" s="869"/>
      <c r="AM153" s="864"/>
      <c r="AN153" s="869"/>
      <c r="AO153" s="869"/>
      <c r="AP153" s="869"/>
      <c r="AQ153" s="869"/>
      <c r="AR153" s="1174"/>
      <c r="AS153" s="869"/>
      <c r="AT153" s="864"/>
      <c r="AU153" s="869"/>
      <c r="AV153" s="869"/>
      <c r="AW153" s="869"/>
      <c r="AX153" s="869"/>
      <c r="AY153" s="1174"/>
      <c r="AZ153" s="869"/>
      <c r="BA153" s="864"/>
      <c r="BB153" s="869"/>
      <c r="BC153" s="869"/>
      <c r="BD153" s="869"/>
      <c r="BE153" s="869"/>
      <c r="BF153" s="1174"/>
      <c r="BG153" s="869"/>
      <c r="BH153" s="864"/>
      <c r="BI153" s="869"/>
      <c r="BJ153" s="869"/>
      <c r="BK153" s="869"/>
      <c r="BL153" s="869"/>
      <c r="BM153" s="1174"/>
      <c r="BN153" s="869"/>
      <c r="BO153" s="864"/>
      <c r="BP153" s="869"/>
      <c r="BQ153" s="869"/>
      <c r="BR153" s="869"/>
      <c r="BS153" s="869"/>
      <c r="BT153" s="1174"/>
      <c r="BU153" s="869"/>
      <c r="BV153" s="864"/>
      <c r="BW153" s="1174"/>
      <c r="BX153" s="869"/>
      <c r="BY153" s="869"/>
      <c r="BZ153" s="869"/>
      <c r="CA153" s="869"/>
      <c r="CB153" s="869"/>
      <c r="CC153" s="869"/>
      <c r="CD153" s="869"/>
      <c r="CE153" s="869"/>
    </row>
    <row r="154" spans="1:83" s="406" customFormat="1" ht="18" thickBot="1">
      <c r="A154" s="437"/>
      <c r="B154" s="438"/>
      <c r="C154" s="88"/>
      <c r="D154" s="54"/>
      <c r="E154" s="519" t="s">
        <v>320</v>
      </c>
      <c r="F154" s="894">
        <f>SUM(K154:L154)*'Input data plant-based products'!O$273</f>
        <v>4.71758937202817E-4</v>
      </c>
      <c r="G154" s="894">
        <f>SUM(I154:Q154)*'Input data plant-based products'!O$273</f>
        <v>5.3732485592674229E-4</v>
      </c>
      <c r="H154" s="895">
        <f>SUM(U154:W154)/(1-'Common input data'!$B$142)</f>
        <v>8.5680456374985514E-4</v>
      </c>
      <c r="I154" s="932">
        <f>('Input data plant-based products'!$F$29*('Common input data'!$B$93*'Common input data'!B88+'Common input data'!$B$94*'Common input data'!C88))/'Input data plant-based products'!$E$29</f>
        <v>9.9288970181843651E-6</v>
      </c>
      <c r="J154" s="896">
        <v>0</v>
      </c>
      <c r="K154" s="896">
        <f>(SUM(('Input data plant-based products'!$F$29*'Input data plant-based products'!$B$258),(('Input data plant-based products'!$G$29+'Input data plant-based products'!$H$29)*'Input data plant-based products'!$B$259))*44/28)/'Input data plant-based products'!$E$29</f>
        <v>6.598027093745692E-5</v>
      </c>
      <c r="L154" s="896">
        <f>K154*'Input data plant-based products'!B261</f>
        <v>6.5980270937456923E-6</v>
      </c>
      <c r="M154" s="896"/>
      <c r="N154" s="896">
        <f>('Input data plant-based products'!$P$29*'Common input data'!$C$76*'Common input data'!H68)/'Input data plant-based products'!$E$29</f>
        <v>1.5816740088105727E-7</v>
      </c>
      <c r="O154" s="896">
        <v>0</v>
      </c>
      <c r="P154" s="896">
        <v>0</v>
      </c>
      <c r="Q154" s="896">
        <v>0</v>
      </c>
      <c r="R154" s="896">
        <v>0</v>
      </c>
      <c r="S154" s="896">
        <v>0</v>
      </c>
      <c r="T154" s="896">
        <f>'Input data plant-based products'!I$273*3.6*'Common input data'!B68+'Input data plant-based products'!J$273*3.6*'Common input data'!C68+'Input data plant-based products'!L$273*3.6*'Common input data'!G68</f>
        <v>1.9784601600000001E-6</v>
      </c>
      <c r="U154" s="896">
        <f>(G154+T154)*'Common input data'!D$43/'Common input data'!$C$43</f>
        <v>6.16346646956277E-4</v>
      </c>
      <c r="V154" s="896">
        <v>0</v>
      </c>
      <c r="W154" s="933">
        <v>0</v>
      </c>
      <c r="X154" s="877"/>
      <c r="Y154" s="864"/>
      <c r="Z154" s="869"/>
      <c r="AA154" s="869"/>
      <c r="AB154" s="869"/>
      <c r="AC154" s="869"/>
      <c r="AD154" s="1174"/>
      <c r="AE154" s="877"/>
      <c r="AF154" s="864"/>
      <c r="AG154" s="869"/>
      <c r="AH154" s="869"/>
      <c r="AI154" s="869"/>
      <c r="AJ154" s="869"/>
      <c r="AK154" s="1174"/>
      <c r="AL154" s="869"/>
      <c r="AM154" s="864"/>
      <c r="AN154" s="869"/>
      <c r="AO154" s="869"/>
      <c r="AP154" s="869"/>
      <c r="AQ154" s="869"/>
      <c r="AR154" s="1174"/>
      <c r="AS154" s="869"/>
      <c r="AT154" s="864"/>
      <c r="AU154" s="869"/>
      <c r="AV154" s="869"/>
      <c r="AW154" s="869"/>
      <c r="AX154" s="869"/>
      <c r="AY154" s="1174"/>
      <c r="AZ154" s="869"/>
      <c r="BA154" s="864"/>
      <c r="BB154" s="869"/>
      <c r="BC154" s="869"/>
      <c r="BD154" s="869"/>
      <c r="BE154" s="869"/>
      <c r="BF154" s="1174"/>
      <c r="BG154" s="869"/>
      <c r="BH154" s="864"/>
      <c r="BI154" s="869"/>
      <c r="BJ154" s="869"/>
      <c r="BK154" s="869"/>
      <c r="BL154" s="869"/>
      <c r="BM154" s="1174"/>
      <c r="BN154" s="869"/>
      <c r="BO154" s="864"/>
      <c r="BP154" s="869"/>
      <c r="BQ154" s="869"/>
      <c r="BR154" s="869"/>
      <c r="BS154" s="869"/>
      <c r="BT154" s="1174"/>
      <c r="BU154" s="869"/>
      <c r="BV154" s="864"/>
      <c r="BW154" s="1174"/>
      <c r="BX154" s="869"/>
      <c r="BY154" s="869"/>
      <c r="BZ154" s="869"/>
      <c r="CA154" s="869"/>
      <c r="CB154" s="869"/>
      <c r="CC154" s="869"/>
      <c r="CD154" s="869"/>
      <c r="CE154" s="869"/>
    </row>
    <row r="155" spans="1:83">
      <c r="A155" s="362" t="s">
        <v>459</v>
      </c>
      <c r="B155" s="363"/>
      <c r="C155" s="770"/>
      <c r="E155" s="939"/>
      <c r="F155" s="892" t="s">
        <v>460</v>
      </c>
      <c r="G155" s="892" t="s">
        <v>460</v>
      </c>
      <c r="H155" s="970" t="s">
        <v>460</v>
      </c>
      <c r="I155" s="939"/>
      <c r="J155" s="892"/>
      <c r="K155" s="892"/>
      <c r="L155" s="892"/>
      <c r="M155" s="892"/>
      <c r="N155" s="892"/>
      <c r="O155" s="892"/>
      <c r="P155" s="892"/>
      <c r="Q155" s="892"/>
      <c r="R155" s="892"/>
      <c r="S155" s="892"/>
      <c r="T155" s="892"/>
      <c r="U155" s="892"/>
      <c r="V155" s="892"/>
      <c r="W155" s="970"/>
      <c r="X155" s="877"/>
      <c r="Y155" s="879"/>
      <c r="Z155" s="877"/>
      <c r="AA155" s="877"/>
      <c r="AB155" s="877"/>
      <c r="AC155" s="877"/>
      <c r="AD155" s="886"/>
      <c r="AE155" s="877"/>
      <c r="AF155" s="879"/>
      <c r="AG155" s="877"/>
      <c r="AH155" s="877"/>
      <c r="AI155" s="877"/>
      <c r="AJ155" s="877"/>
      <c r="AK155" s="886"/>
      <c r="AL155" s="877"/>
      <c r="AM155" s="879"/>
      <c r="AN155" s="877"/>
      <c r="AO155" s="877"/>
      <c r="AP155" s="877"/>
      <c r="AQ155" s="877"/>
      <c r="AR155" s="886"/>
      <c r="AS155" s="877"/>
      <c r="AT155" s="879"/>
      <c r="AU155" s="877"/>
      <c r="AV155" s="877"/>
      <c r="AW155" s="877"/>
      <c r="AX155" s="877"/>
      <c r="AY155" s="886"/>
      <c r="AZ155" s="877"/>
      <c r="BA155" s="879"/>
      <c r="BB155" s="877"/>
      <c r="BC155" s="877"/>
      <c r="BD155" s="877"/>
      <c r="BE155" s="877"/>
      <c r="BF155" s="886"/>
      <c r="BG155" s="877"/>
      <c r="BH155" s="879"/>
      <c r="BI155" s="877"/>
      <c r="BJ155" s="877"/>
      <c r="BK155" s="877"/>
      <c r="BL155" s="877"/>
      <c r="BM155" s="886"/>
      <c r="BN155" s="877"/>
      <c r="BO155" s="879"/>
      <c r="BP155" s="877"/>
      <c r="BQ155" s="877"/>
      <c r="BR155" s="877"/>
      <c r="BS155" s="877"/>
      <c r="BT155" s="886"/>
      <c r="BU155" s="877"/>
      <c r="BV155" s="879"/>
      <c r="BW155" s="886"/>
      <c r="BX155" s="877"/>
      <c r="BY155" s="877"/>
      <c r="BZ155" s="877"/>
      <c r="CA155" s="877"/>
      <c r="CB155" s="877"/>
      <c r="CC155" s="877"/>
      <c r="CD155" s="877"/>
      <c r="CE155" s="877"/>
    </row>
    <row r="156" spans="1:83">
      <c r="A156" s="108" t="s">
        <v>120</v>
      </c>
      <c r="B156" s="93" t="s">
        <v>121</v>
      </c>
      <c r="C156" s="87">
        <f>SUM(C160:C168)</f>
        <v>1</v>
      </c>
      <c r="E156" s="513" t="s">
        <v>316</v>
      </c>
      <c r="F156" s="872">
        <f>SUMPRODUCT($CJ$6:$CJ$8,F157:F159)</f>
        <v>2.6537513109402204</v>
      </c>
      <c r="G156" s="872">
        <f>SUMPRODUCT($CJ$6:$CJ$8,G157:G159)</f>
        <v>2.6705904596925163</v>
      </c>
      <c r="H156" s="873">
        <f>SUMPRODUCT($CJ$6:$CJ$8,H157:H159)</f>
        <v>3.5448767051837748</v>
      </c>
      <c r="I156" s="1277"/>
      <c r="J156" s="884"/>
      <c r="K156" s="884"/>
      <c r="L156" s="884"/>
      <c r="M156" s="884"/>
      <c r="N156" s="884"/>
      <c r="O156" s="884"/>
      <c r="P156" s="884"/>
      <c r="Q156" s="884"/>
      <c r="R156" s="884"/>
      <c r="S156" s="884"/>
      <c r="T156" s="884"/>
      <c r="U156" s="884"/>
      <c r="V156" s="884"/>
      <c r="W156" s="1278"/>
      <c r="X156" s="877"/>
      <c r="Y156" s="883">
        <f>Y160*$C$160+Y164*$C$164+Y168*$C$168</f>
        <v>17.793410360533748</v>
      </c>
      <c r="Z156" s="884">
        <f t="shared" ref="Z156:BT156" si="40">Z160*$C$160+Z164*$C$164+Z168*$C$168</f>
        <v>17.793410360533748</v>
      </c>
      <c r="AA156" s="884">
        <f t="shared" si="40"/>
        <v>17.793410360533748</v>
      </c>
      <c r="AB156" s="884">
        <f t="shared" si="40"/>
        <v>17.793410360533748</v>
      </c>
      <c r="AC156" s="884">
        <f t="shared" si="40"/>
        <v>19.611473307139356</v>
      </c>
      <c r="AD156" s="885">
        <f t="shared" si="40"/>
        <v>20.428618028270158</v>
      </c>
      <c r="AE156" s="877"/>
      <c r="AF156" s="883">
        <f t="shared" si="40"/>
        <v>3.7267487437759907E-2</v>
      </c>
      <c r="AG156" s="884">
        <f t="shared" si="40"/>
        <v>3.7267487437759907E-2</v>
      </c>
      <c r="AH156" s="884">
        <f t="shared" si="40"/>
        <v>3.7267487437759907E-2</v>
      </c>
      <c r="AI156" s="884">
        <f t="shared" si="40"/>
        <v>3.7267487437759907E-2</v>
      </c>
      <c r="AJ156" s="884">
        <f t="shared" si="40"/>
        <v>4.1456828801510762E-2</v>
      </c>
      <c r="AK156" s="885">
        <f t="shared" si="40"/>
        <v>4.3184196668240374E-2</v>
      </c>
      <c r="AL156" s="877"/>
      <c r="AM156" s="883">
        <f t="shared" si="40"/>
        <v>2.0042690923001941E-2</v>
      </c>
      <c r="AN156" s="884">
        <f t="shared" si="40"/>
        <v>2.0042690923001941E-2</v>
      </c>
      <c r="AO156" s="884">
        <f t="shared" si="40"/>
        <v>2.0042690923001941E-2</v>
      </c>
      <c r="AP156" s="884">
        <f t="shared" si="40"/>
        <v>2.0042690923001941E-2</v>
      </c>
      <c r="AQ156" s="884">
        <f t="shared" si="40"/>
        <v>2.2333418859075665E-2</v>
      </c>
      <c r="AR156" s="885">
        <f t="shared" si="40"/>
        <v>2.3263977978203818E-2</v>
      </c>
      <c r="AS156" s="877"/>
      <c r="AT156" s="883">
        <f t="shared" si="40"/>
        <v>0.32834179075402636</v>
      </c>
      <c r="AU156" s="884">
        <f t="shared" si="40"/>
        <v>0.32834179075402636</v>
      </c>
      <c r="AV156" s="884">
        <f t="shared" si="40"/>
        <v>0.32834179075402636</v>
      </c>
      <c r="AW156" s="884">
        <f t="shared" si="40"/>
        <v>0.32834179075402636</v>
      </c>
      <c r="AX156" s="884">
        <f t="shared" si="40"/>
        <v>0.36682838951863417</v>
      </c>
      <c r="AY156" s="885">
        <f t="shared" si="40"/>
        <v>0.38211290574857726</v>
      </c>
      <c r="AZ156" s="877"/>
      <c r="BA156" s="883">
        <f t="shared" si="40"/>
        <v>2.1534466722694406E-8</v>
      </c>
      <c r="BB156" s="884">
        <f t="shared" si="40"/>
        <v>2.1534466722694406E-8</v>
      </c>
      <c r="BC156" s="884">
        <f t="shared" si="40"/>
        <v>2.1534466722694406E-8</v>
      </c>
      <c r="BD156" s="884">
        <f t="shared" si="40"/>
        <v>2.1534466722694406E-8</v>
      </c>
      <c r="BE156" s="884">
        <f t="shared" si="40"/>
        <v>2.4064771093005313E-8</v>
      </c>
      <c r="BF156" s="885">
        <f t="shared" si="40"/>
        <v>2.5067469888547203E-8</v>
      </c>
      <c r="BG156" s="877"/>
      <c r="BH156" s="883">
        <f t="shared" si="40"/>
        <v>0</v>
      </c>
      <c r="BI156" s="884">
        <f t="shared" si="40"/>
        <v>0</v>
      </c>
      <c r="BJ156" s="884">
        <f t="shared" si="40"/>
        <v>0</v>
      </c>
      <c r="BK156" s="884">
        <f t="shared" si="40"/>
        <v>0</v>
      </c>
      <c r="BL156" s="884">
        <f t="shared" si="40"/>
        <v>0</v>
      </c>
      <c r="BM156" s="885">
        <f t="shared" si="40"/>
        <v>0</v>
      </c>
      <c r="BN156" s="877"/>
      <c r="BO156" s="883">
        <f t="shared" si="40"/>
        <v>9.5157807878933878E-4</v>
      </c>
      <c r="BP156" s="884">
        <f t="shared" si="40"/>
        <v>9.5157807878933878E-4</v>
      </c>
      <c r="BQ156" s="884">
        <f t="shared" si="40"/>
        <v>9.5157807878933878E-4</v>
      </c>
      <c r="BR156" s="884">
        <f t="shared" si="40"/>
        <v>9.5157807878933878E-4</v>
      </c>
      <c r="BS156" s="884">
        <f t="shared" si="40"/>
        <v>1.0585476031762066E-3</v>
      </c>
      <c r="BT156" s="885">
        <f t="shared" si="40"/>
        <v>1.1026537533085487E-3</v>
      </c>
      <c r="BU156" s="877"/>
      <c r="BV156" s="883">
        <f>BV160*$C$160+BV164*$C$164+BV168*$C$168</f>
        <v>6.1612960848672413</v>
      </c>
      <c r="BW156" s="885">
        <f>BW160*$C$160+BW164*$C$164+BW168*$C$168</f>
        <v>5.5265621267386686</v>
      </c>
      <c r="BX156" s="877"/>
      <c r="BY156" s="877"/>
      <c r="BZ156" s="877"/>
      <c r="CA156" s="877"/>
      <c r="CB156" s="877"/>
      <c r="CC156" s="877"/>
      <c r="CD156" s="877"/>
      <c r="CE156" s="877"/>
    </row>
    <row r="157" spans="1:83">
      <c r="A157" s="195"/>
      <c r="B157" s="55"/>
      <c r="C157" s="83"/>
      <c r="E157" s="511" t="s">
        <v>317</v>
      </c>
      <c r="F157" s="877">
        <f>F161*$C$160+F165*$C$164+$C$168*F169</f>
        <v>2.4005729892150027</v>
      </c>
      <c r="G157" s="877">
        <f>G161*$C$160+G165*$C$164+$C$168*G169</f>
        <v>2.4174121379672986</v>
      </c>
      <c r="H157" s="878">
        <f>H161*$C$160+H165*$C$164+$C$168*H169</f>
        <v>3.2585760904311165</v>
      </c>
      <c r="I157" s="928">
        <f t="shared" ref="I157:W157" si="41">I161*$C$160+I165*$C$164+$C$168*I169</f>
        <v>0</v>
      </c>
      <c r="J157" s="877">
        <f t="shared" si="41"/>
        <v>0</v>
      </c>
      <c r="K157" s="877">
        <f t="shared" si="41"/>
        <v>0</v>
      </c>
      <c r="L157" s="877">
        <f t="shared" si="41"/>
        <v>0</v>
      </c>
      <c r="M157" s="877">
        <f t="shared" si="41"/>
        <v>2.2408014940337577</v>
      </c>
      <c r="N157" s="877">
        <f t="shared" si="41"/>
        <v>0</v>
      </c>
      <c r="O157" s="877">
        <f t="shared" si="41"/>
        <v>0</v>
      </c>
      <c r="P157" s="877">
        <f t="shared" si="41"/>
        <v>1.6839148752295561E-2</v>
      </c>
      <c r="Q157" s="877">
        <f t="shared" si="41"/>
        <v>0</v>
      </c>
      <c r="R157" s="877">
        <f t="shared" si="41"/>
        <v>0.159771495181245</v>
      </c>
      <c r="S157" s="877">
        <f t="shared" si="41"/>
        <v>0</v>
      </c>
      <c r="T157" s="877">
        <f t="shared" si="41"/>
        <v>0</v>
      </c>
      <c r="U157" s="877">
        <f t="shared" si="41"/>
        <v>2.4174121379672986</v>
      </c>
      <c r="V157" s="877">
        <f t="shared" si="41"/>
        <v>0.05</v>
      </c>
      <c r="W157" s="878">
        <f t="shared" si="41"/>
        <v>0.41419574376147783</v>
      </c>
      <c r="X157" s="877"/>
      <c r="Y157" s="879"/>
      <c r="Z157" s="877"/>
      <c r="AA157" s="877"/>
      <c r="AB157" s="877"/>
      <c r="AC157" s="877"/>
      <c r="AD157" s="886"/>
      <c r="AE157" s="877"/>
      <c r="AF157" s="879"/>
      <c r="AG157" s="877"/>
      <c r="AH157" s="877"/>
      <c r="AI157" s="877"/>
      <c r="AJ157" s="877"/>
      <c r="AK157" s="886"/>
      <c r="AL157" s="877"/>
      <c r="AM157" s="879"/>
      <c r="AN157" s="877"/>
      <c r="AO157" s="877"/>
      <c r="AP157" s="877"/>
      <c r="AQ157" s="877"/>
      <c r="AR157" s="886"/>
      <c r="AS157" s="877"/>
      <c r="AT157" s="879"/>
      <c r="AU157" s="877"/>
      <c r="AV157" s="877"/>
      <c r="AW157" s="877"/>
      <c r="AX157" s="877"/>
      <c r="AY157" s="886"/>
      <c r="AZ157" s="877"/>
      <c r="BA157" s="879"/>
      <c r="BB157" s="877"/>
      <c r="BC157" s="877"/>
      <c r="BD157" s="877"/>
      <c r="BE157" s="877"/>
      <c r="BF157" s="886"/>
      <c r="BG157" s="877"/>
      <c r="BH157" s="879"/>
      <c r="BI157" s="877"/>
      <c r="BJ157" s="877"/>
      <c r="BK157" s="877"/>
      <c r="BL157" s="877"/>
      <c r="BM157" s="886"/>
      <c r="BN157" s="877"/>
      <c r="BO157" s="879"/>
      <c r="BP157" s="877"/>
      <c r="BQ157" s="877"/>
      <c r="BR157" s="877"/>
      <c r="BS157" s="877"/>
      <c r="BT157" s="886"/>
      <c r="BU157" s="877"/>
      <c r="BV157" s="879"/>
      <c r="BW157" s="886"/>
      <c r="BX157" s="877"/>
      <c r="BY157" s="877"/>
      <c r="BZ157" s="877"/>
      <c r="CA157" s="877"/>
      <c r="CB157" s="877"/>
      <c r="CC157" s="877"/>
      <c r="CD157" s="877"/>
      <c r="CE157" s="877"/>
    </row>
    <row r="158" spans="1:83">
      <c r="A158" s="195"/>
      <c r="B158" s="55"/>
      <c r="C158" s="83"/>
      <c r="E158" s="511" t="s">
        <v>367</v>
      </c>
      <c r="F158" s="877">
        <f t="shared" ref="F158:H159" si="42">F162*$C$160+F166*$C$164+$C$168*F170</f>
        <v>2.9671948650478877E-3</v>
      </c>
      <c r="G158" s="877">
        <f t="shared" si="42"/>
        <v>2.9671948650478877E-3</v>
      </c>
      <c r="H158" s="878">
        <f t="shared" si="42"/>
        <v>3.3553813716988008E-3</v>
      </c>
      <c r="I158" s="928">
        <f t="shared" ref="I158:W158" si="43">I162*$C$160+I166*$C$164+$C$168*I170</f>
        <v>0</v>
      </c>
      <c r="J158" s="877">
        <f t="shared" si="43"/>
        <v>0</v>
      </c>
      <c r="K158" s="877">
        <f t="shared" si="43"/>
        <v>0</v>
      </c>
      <c r="L158" s="877">
        <f t="shared" si="43"/>
        <v>0</v>
      </c>
      <c r="M158" s="877">
        <f t="shared" si="43"/>
        <v>2.9671948650478877E-3</v>
      </c>
      <c r="N158" s="877">
        <f t="shared" si="43"/>
        <v>0</v>
      </c>
      <c r="O158" s="877">
        <f t="shared" si="43"/>
        <v>0</v>
      </c>
      <c r="P158" s="877">
        <f t="shared" si="43"/>
        <v>0</v>
      </c>
      <c r="Q158" s="877">
        <f t="shared" si="43"/>
        <v>0</v>
      </c>
      <c r="R158" s="877">
        <f t="shared" si="43"/>
        <v>0</v>
      </c>
      <c r="S158" s="877">
        <f t="shared" si="43"/>
        <v>0</v>
      </c>
      <c r="T158" s="877">
        <f t="shared" si="43"/>
        <v>0</v>
      </c>
      <c r="U158" s="877">
        <f t="shared" si="43"/>
        <v>2.9671948650478877E-3</v>
      </c>
      <c r="V158" s="877">
        <f t="shared" si="43"/>
        <v>0</v>
      </c>
      <c r="W158" s="878">
        <f t="shared" si="43"/>
        <v>0</v>
      </c>
      <c r="X158" s="877"/>
      <c r="Y158" s="879"/>
      <c r="Z158" s="877"/>
      <c r="AA158" s="877"/>
      <c r="AB158" s="877"/>
      <c r="AC158" s="877"/>
      <c r="AD158" s="886"/>
      <c r="AE158" s="877"/>
      <c r="AF158" s="879"/>
      <c r="AG158" s="877"/>
      <c r="AH158" s="877"/>
      <c r="AI158" s="877"/>
      <c r="AJ158" s="877"/>
      <c r="AK158" s="886"/>
      <c r="AL158" s="877"/>
      <c r="AM158" s="879"/>
      <c r="AN158" s="877"/>
      <c r="AO158" s="877"/>
      <c r="AP158" s="877"/>
      <c r="AQ158" s="877"/>
      <c r="AR158" s="886"/>
      <c r="AS158" s="877"/>
      <c r="AT158" s="879"/>
      <c r="AU158" s="877"/>
      <c r="AV158" s="877"/>
      <c r="AW158" s="877"/>
      <c r="AX158" s="877"/>
      <c r="AY158" s="886"/>
      <c r="AZ158" s="877"/>
      <c r="BA158" s="879"/>
      <c r="BB158" s="877"/>
      <c r="BC158" s="877"/>
      <c r="BD158" s="877"/>
      <c r="BE158" s="877"/>
      <c r="BF158" s="886"/>
      <c r="BG158" s="877"/>
      <c r="BH158" s="879"/>
      <c r="BI158" s="877"/>
      <c r="BJ158" s="877"/>
      <c r="BK158" s="877"/>
      <c r="BL158" s="877"/>
      <c r="BM158" s="886"/>
      <c r="BN158" s="877"/>
      <c r="BO158" s="879"/>
      <c r="BP158" s="877"/>
      <c r="BQ158" s="877"/>
      <c r="BR158" s="877"/>
      <c r="BS158" s="877"/>
      <c r="BT158" s="886"/>
      <c r="BU158" s="877"/>
      <c r="BV158" s="879"/>
      <c r="BW158" s="886"/>
      <c r="BX158" s="877"/>
      <c r="BY158" s="877"/>
      <c r="BZ158" s="877"/>
      <c r="CA158" s="877"/>
      <c r="CB158" s="877"/>
      <c r="CC158" s="877"/>
      <c r="CD158" s="877"/>
      <c r="CE158" s="877"/>
    </row>
    <row r="159" spans="1:83">
      <c r="A159" s="18"/>
      <c r="B159" s="360"/>
      <c r="C159" s="83"/>
      <c r="E159" s="512" t="s">
        <v>320</v>
      </c>
      <c r="F159" s="877">
        <f t="shared" si="42"/>
        <v>1.0267489521866653E-3</v>
      </c>
      <c r="G159" s="877">
        <f t="shared" si="42"/>
        <v>1.0267489521866653E-3</v>
      </c>
      <c r="H159" s="878">
        <f t="shared" si="42"/>
        <v>1.1610743446595461E-3</v>
      </c>
      <c r="I159" s="928">
        <f t="shared" ref="I159:W159" si="44">I163*$C$160+I167*$C$164+$C$168*I171</f>
        <v>0</v>
      </c>
      <c r="J159" s="877">
        <f t="shared" si="44"/>
        <v>0</v>
      </c>
      <c r="K159" s="877">
        <f t="shared" si="44"/>
        <v>0</v>
      </c>
      <c r="L159" s="877">
        <f t="shared" si="44"/>
        <v>0</v>
      </c>
      <c r="M159" s="877">
        <f t="shared" si="44"/>
        <v>1.0267489521866653E-3</v>
      </c>
      <c r="N159" s="877">
        <f t="shared" si="44"/>
        <v>0</v>
      </c>
      <c r="O159" s="877">
        <f t="shared" si="44"/>
        <v>0</v>
      </c>
      <c r="P159" s="877">
        <f t="shared" si="44"/>
        <v>0</v>
      </c>
      <c r="Q159" s="877">
        <f t="shared" si="44"/>
        <v>0</v>
      </c>
      <c r="R159" s="877">
        <f t="shared" si="44"/>
        <v>0</v>
      </c>
      <c r="S159" s="877">
        <f t="shared" si="44"/>
        <v>0</v>
      </c>
      <c r="T159" s="877">
        <f t="shared" si="44"/>
        <v>0</v>
      </c>
      <c r="U159" s="877">
        <f t="shared" si="44"/>
        <v>1.0267489521866653E-3</v>
      </c>
      <c r="V159" s="877">
        <f t="shared" si="44"/>
        <v>0</v>
      </c>
      <c r="W159" s="878">
        <f t="shared" si="44"/>
        <v>0</v>
      </c>
      <c r="X159" s="877"/>
      <c r="Y159" s="879"/>
      <c r="Z159" s="877"/>
      <c r="AA159" s="877"/>
      <c r="AB159" s="877"/>
      <c r="AC159" s="877"/>
      <c r="AD159" s="886"/>
      <c r="AE159" s="877"/>
      <c r="AF159" s="879"/>
      <c r="AG159" s="877"/>
      <c r="AH159" s="877"/>
      <c r="AI159" s="877"/>
      <c r="AJ159" s="877"/>
      <c r="AK159" s="886"/>
      <c r="AL159" s="877"/>
      <c r="AM159" s="879"/>
      <c r="AN159" s="877"/>
      <c r="AO159" s="877"/>
      <c r="AP159" s="877"/>
      <c r="AQ159" s="877"/>
      <c r="AR159" s="886"/>
      <c r="AS159" s="877"/>
      <c r="AT159" s="879"/>
      <c r="AU159" s="877"/>
      <c r="AV159" s="877"/>
      <c r="AW159" s="877"/>
      <c r="AX159" s="877"/>
      <c r="AY159" s="886"/>
      <c r="AZ159" s="877"/>
      <c r="BA159" s="879"/>
      <c r="BB159" s="877"/>
      <c r="BC159" s="877"/>
      <c r="BD159" s="877"/>
      <c r="BE159" s="877"/>
      <c r="BF159" s="886"/>
      <c r="BG159" s="877"/>
      <c r="BH159" s="879"/>
      <c r="BI159" s="877"/>
      <c r="BJ159" s="877"/>
      <c r="BK159" s="877"/>
      <c r="BL159" s="877"/>
      <c r="BM159" s="886"/>
      <c r="BN159" s="877"/>
      <c r="BO159" s="879"/>
      <c r="BP159" s="877"/>
      <c r="BQ159" s="877"/>
      <c r="BR159" s="877"/>
      <c r="BS159" s="877"/>
      <c r="BT159" s="886"/>
      <c r="BU159" s="877"/>
      <c r="BV159" s="879"/>
      <c r="BW159" s="886"/>
      <c r="BX159" s="877"/>
      <c r="BY159" s="877"/>
      <c r="BZ159" s="877"/>
      <c r="CA159" s="877"/>
      <c r="CB159" s="877"/>
      <c r="CC159" s="877"/>
      <c r="CD159" s="877"/>
      <c r="CE159" s="877"/>
    </row>
    <row r="160" spans="1:83">
      <c r="A160" s="108" t="s">
        <v>146</v>
      </c>
      <c r="B160" s="93" t="s">
        <v>121</v>
      </c>
      <c r="C160" s="87">
        <f>'Input data plant-based products'!D186</f>
        <v>0.32569947067084365</v>
      </c>
      <c r="E160" s="513" t="s">
        <v>316</v>
      </c>
      <c r="F160" s="872">
        <f>SUMPRODUCT($CJ$6:$CJ$8,F161:F163)</f>
        <v>2.6602494358305946</v>
      </c>
      <c r="G160" s="872">
        <f>SUMPRODUCT($CJ$6:$CJ$8,G161:G163)</f>
        <v>2.6802494358305946</v>
      </c>
      <c r="H160" s="873">
        <f>SUMPRODUCT($CJ$6:$CJ$8,H161:H163)</f>
        <v>3.5730592649469788</v>
      </c>
      <c r="I160" s="1277"/>
      <c r="J160" s="884"/>
      <c r="K160" s="884"/>
      <c r="L160" s="884"/>
      <c r="M160" s="884"/>
      <c r="N160" s="884"/>
      <c r="O160" s="884"/>
      <c r="P160" s="884"/>
      <c r="Q160" s="884"/>
      <c r="R160" s="884"/>
      <c r="S160" s="884"/>
      <c r="T160" s="884"/>
      <c r="U160" s="884"/>
      <c r="V160" s="884"/>
      <c r="W160" s="1278"/>
      <c r="X160" s="877"/>
      <c r="Y160" s="879">
        <f>1/'Input data plant-based products'!E186*10^4</f>
        <v>23.141719892622419</v>
      </c>
      <c r="Z160" s="877">
        <f>$Y160*'Input data plant-based products'!Z186</f>
        <v>23.141719892622419</v>
      </c>
      <c r="AA160" s="877">
        <f>$Y160*'Input data plant-based products'!AA186</f>
        <v>23.141719892622419</v>
      </c>
      <c r="AB160" s="877">
        <f>$Y160*'Input data plant-based products'!AB186</f>
        <v>23.141719892622419</v>
      </c>
      <c r="AC160" s="877">
        <f>$Y160*'Input data plant-based products'!AC186</f>
        <v>24.605762777907941</v>
      </c>
      <c r="AD160" s="886">
        <f>$Y160*'Input data plant-based products'!AD186</f>
        <v>25.631002893654109</v>
      </c>
      <c r="AE160" s="877"/>
      <c r="AF160" s="879">
        <f>SUM('Input data plant-based products'!F186,'Input data plant-based products'!Q186)/'Input data plant-based products'!E186</f>
        <v>3.1555100000000003E-2</v>
      </c>
      <c r="AG160" s="877">
        <f>$AF160*'Input data plant-based products'!Z186</f>
        <v>3.1555100000000003E-2</v>
      </c>
      <c r="AH160" s="877">
        <f>$AF160*'Input data plant-based products'!AA186</f>
        <v>3.1555100000000003E-2</v>
      </c>
      <c r="AI160" s="877">
        <f>$AF160*'Input data plant-based products'!AB186</f>
        <v>3.1555100000000003E-2</v>
      </c>
      <c r="AJ160" s="877">
        <f>$AF160*'Input data plant-based products'!AC186</f>
        <v>3.355140882509304E-2</v>
      </c>
      <c r="AK160" s="886">
        <f>$AF160*'Input data plant-based products'!AD186</f>
        <v>3.4949384192805251E-2</v>
      </c>
      <c r="AL160" s="877"/>
      <c r="AM160" s="879">
        <f>'Input data plant-based products'!R186/'Input data plant-based products'!E186</f>
        <v>1.5332999999999999E-2</v>
      </c>
      <c r="AN160" s="877">
        <f>$AM160*'Input data plant-based products'!Z186</f>
        <v>1.5332999999999999E-2</v>
      </c>
      <c r="AO160" s="877">
        <f>$AM160*'Input data plant-based products'!AA186</f>
        <v>1.5332999999999999E-2</v>
      </c>
      <c r="AP160" s="877">
        <f>$AM160*'Input data plant-based products'!AB186</f>
        <v>1.5332999999999999E-2</v>
      </c>
      <c r="AQ160" s="877">
        <f>$AM160*'Input data plant-based products'!AC186</f>
        <v>1.6303030303030302E-2</v>
      </c>
      <c r="AR160" s="886">
        <f>$AM160*'Input data plant-based products'!AD186</f>
        <v>1.6982323232323234E-2</v>
      </c>
      <c r="AS160" s="877"/>
      <c r="AT160" s="879">
        <f>'Input data plant-based products'!S186</f>
        <v>0.200721742524816</v>
      </c>
      <c r="AU160" s="877">
        <f>$AT160*'Input data plant-based products'!Z186</f>
        <v>0.200721742524816</v>
      </c>
      <c r="AV160" s="877">
        <f>$AT160*'Input data plant-based products'!AA186</f>
        <v>0.200721742524816</v>
      </c>
      <c r="AW160" s="877">
        <f>$AT160*'Input data plant-based products'!AB186</f>
        <v>0.200721742524816</v>
      </c>
      <c r="AX160" s="877">
        <f>$AT160*'Input data plant-based products'!AC186</f>
        <v>0.21342024723531738</v>
      </c>
      <c r="AY160" s="886">
        <f>$AT160*'Input data plant-based products'!AD186</f>
        <v>0.22231275753678897</v>
      </c>
      <c r="AZ160" s="877"/>
      <c r="BA160" s="879">
        <f>((SUM('Input data plant-based products'!U186:Y186)*Y160)/('Common input data'!$B$192/10^6))/$BB$3</f>
        <v>1.3059746949052854E-8</v>
      </c>
      <c r="BB160" s="877">
        <f>$BA160*'Input data plant-based products'!Z186</f>
        <v>1.3059746949052854E-8</v>
      </c>
      <c r="BC160" s="877">
        <f>$BA160*'Input data plant-based products'!AA186</f>
        <v>1.3059746949052854E-8</v>
      </c>
      <c r="BD160" s="877">
        <f>$BA160*'Input data plant-based products'!AB186</f>
        <v>1.3059746949052854E-8</v>
      </c>
      <c r="BE160" s="877">
        <f>$BA160*'Input data plant-based products'!AC186</f>
        <v>1.388596166831776E-8</v>
      </c>
      <c r="BF160" s="886">
        <f>$BA160*'Input data plant-based products'!AD186</f>
        <v>1.446454340449767E-8</v>
      </c>
      <c r="BG160" s="877"/>
      <c r="BH160" s="879">
        <f>'Input data plant-based products'!T186/'Input data plant-based products'!E186</f>
        <v>0</v>
      </c>
      <c r="BI160" s="877">
        <f>$BH160*'Input data plant-based products'!Z186</f>
        <v>0</v>
      </c>
      <c r="BJ160" s="877">
        <f>$BH160*'Input data plant-based products'!AA186</f>
        <v>0</v>
      </c>
      <c r="BK160" s="877">
        <f>$BH160*'Input data plant-based products'!AB186</f>
        <v>0</v>
      </c>
      <c r="BL160" s="877">
        <f>$BH160*'Input data plant-based products'!AC186</f>
        <v>0</v>
      </c>
      <c r="BM160" s="886">
        <f>$BH160*'Input data plant-based products'!AD186</f>
        <v>0</v>
      </c>
      <c r="BN160" s="877"/>
      <c r="BO160" s="879">
        <f>('Input data plant-based products'!F186/'Input data plant-based products'!E186*'Common input data'!$B$195+'Input data plant-based products'!G186/'Input data plant-based products'!E186*'Common input data'!$B$196)/'Common input data'!$B$198</f>
        <v>8.0571950239880072E-4</v>
      </c>
      <c r="BP160" s="877">
        <f>$BO160*'Input data plant-based products'!Z186</f>
        <v>8.0571950239880072E-4</v>
      </c>
      <c r="BQ160" s="877">
        <f>$BO160*'Input data plant-based products'!AA186</f>
        <v>8.0571950239880072E-4</v>
      </c>
      <c r="BR160" s="877">
        <f>$BO160*'Input data plant-based products'!AB186</f>
        <v>8.0571950239880072E-4</v>
      </c>
      <c r="BS160" s="877">
        <f>$BO160*'Input data plant-based products'!AC186</f>
        <v>8.5669271919064404E-4</v>
      </c>
      <c r="BT160" s="886">
        <f>$BO160*'Input data plant-based products'!AD186</f>
        <v>8.9238824915692104E-4</v>
      </c>
      <c r="BU160" s="877"/>
      <c r="BV160" s="879">
        <f>('Common input data'!$B$222+'Common input data'!$C$222)*'Input data plant-based products'!AC186</f>
        <v>6.0810207336523128</v>
      </c>
      <c r="BW160" s="886">
        <f>('Common input data'!$B$222+'Common input data'!$C$222)*'Input data plant-based products'!AD186</f>
        <v>6.3343965975544929</v>
      </c>
      <c r="BX160" s="877"/>
      <c r="BY160" s="877"/>
      <c r="BZ160" s="877"/>
      <c r="CA160" s="877"/>
      <c r="CB160" s="877"/>
      <c r="CC160" s="877"/>
      <c r="CD160" s="877"/>
      <c r="CE160" s="877"/>
    </row>
    <row r="161" spans="1:83">
      <c r="A161" s="195"/>
      <c r="B161" s="55"/>
      <c r="C161" s="83"/>
      <c r="E161" s="511" t="s">
        <v>317</v>
      </c>
      <c r="F161" s="877">
        <f>IF(AND($F$2="No",$F$3="No"),SUM(L161:N161),IF(AND($F$2="Yes", $F$3="No"), (SUM(L161:M161)+S161), IF(AND($F$2="No", $F$3="Yes"),(SUM(L161:M161)+R161), (SUM(L161:M161)+S161+R161))))</f>
        <v>2.4070751008844442</v>
      </c>
      <c r="G161" s="877">
        <f>IF(AND($F$2="No",$F$3="No"),SUM(I161:Q161),IF(AND($F$2="Yes", $F$3="No"), (SUM(I161:Q161)+S161), IF(AND($F$2="No", $F$3="Yes"),(SUM(I161:Q161)+R161), (SUM(I161:Q161)+S161+R161))))</f>
        <v>2.4270751008844442</v>
      </c>
      <c r="H161" s="878">
        <f>SUM(U161:W161)/(1-'Common input data'!$H$143)</f>
        <v>3.2868138525216848</v>
      </c>
      <c r="I161" s="928"/>
      <c r="J161" s="877"/>
      <c r="K161" s="877"/>
      <c r="L161" s="877"/>
      <c r="M161" s="877">
        <v>2.2473036057031992</v>
      </c>
      <c r="N161" s="877"/>
      <c r="O161" s="877"/>
      <c r="P161" s="877">
        <f>'Input data plant-based products'!$G$309</f>
        <v>0.02</v>
      </c>
      <c r="Q161" s="877"/>
      <c r="R161" s="877">
        <f>'Common input data'!$D$19</f>
        <v>0.159771495181245</v>
      </c>
      <c r="S161" s="877">
        <v>0</v>
      </c>
      <c r="T161" s="877"/>
      <c r="U161" s="877">
        <f>G161+T161</f>
        <v>2.4270751008844442</v>
      </c>
      <c r="V161" s="877">
        <f>'Common input data'!$B$105</f>
        <v>0.05</v>
      </c>
      <c r="W161" s="878">
        <f>'Common input data'!$B$125+'Common input data'!$C$125</f>
        <v>0.43000000000000005</v>
      </c>
      <c r="X161" s="877"/>
      <c r="Y161" s="879"/>
      <c r="Z161" s="877"/>
      <c r="AA161" s="877"/>
      <c r="AB161" s="877"/>
      <c r="AC161" s="877"/>
      <c r="AD161" s="886"/>
      <c r="AE161" s="877"/>
      <c r="AF161" s="879"/>
      <c r="AG161" s="877"/>
      <c r="AH161" s="877"/>
      <c r="AI161" s="877"/>
      <c r="AJ161" s="877"/>
      <c r="AK161" s="886"/>
      <c r="AL161" s="877"/>
      <c r="AM161" s="879"/>
      <c r="AN161" s="877"/>
      <c r="AO161" s="877"/>
      <c r="AP161" s="877"/>
      <c r="AQ161" s="877"/>
      <c r="AR161" s="886"/>
      <c r="AS161" s="877"/>
      <c r="AT161" s="879"/>
      <c r="AU161" s="877"/>
      <c r="AV161" s="877"/>
      <c r="AW161" s="877"/>
      <c r="AX161" s="877"/>
      <c r="AY161" s="886"/>
      <c r="AZ161" s="877"/>
      <c r="BA161" s="879"/>
      <c r="BB161" s="877"/>
      <c r="BC161" s="877"/>
      <c r="BD161" s="877"/>
      <c r="BE161" s="877"/>
      <c r="BF161" s="886"/>
      <c r="BG161" s="877"/>
      <c r="BH161" s="879"/>
      <c r="BI161" s="877"/>
      <c r="BJ161" s="877"/>
      <c r="BK161" s="877"/>
      <c r="BL161" s="877"/>
      <c r="BM161" s="886"/>
      <c r="BN161" s="877"/>
      <c r="BO161" s="879"/>
      <c r="BP161" s="877"/>
      <c r="BQ161" s="877"/>
      <c r="BR161" s="877"/>
      <c r="BS161" s="877"/>
      <c r="BT161" s="886"/>
      <c r="BU161" s="877"/>
      <c r="BV161" s="879"/>
      <c r="BW161" s="886"/>
      <c r="BX161" s="877"/>
      <c r="BY161" s="877"/>
      <c r="BZ161" s="877"/>
      <c r="CA161" s="877"/>
      <c r="CB161" s="877"/>
      <c r="CC161" s="877"/>
      <c r="CD161" s="877"/>
      <c r="CE161" s="877"/>
    </row>
    <row r="162" spans="1:83">
      <c r="A162" s="195"/>
      <c r="B162" s="55"/>
      <c r="C162" s="83"/>
      <c r="E162" s="511" t="s">
        <v>367</v>
      </c>
      <c r="F162" s="877">
        <f>SUM(K162:M162)</f>
        <v>2.9626362075000001E-3</v>
      </c>
      <c r="G162" s="877">
        <f>SUM(I162:Q162)</f>
        <v>2.9626362075000001E-3</v>
      </c>
      <c r="H162" s="878">
        <f>SUM(U162:W162)/(1-'Common input data'!$H$143)</f>
        <v>3.3496326681862277E-3</v>
      </c>
      <c r="I162" s="928"/>
      <c r="J162" s="877"/>
      <c r="K162" s="877"/>
      <c r="L162" s="877"/>
      <c r="M162" s="877">
        <v>2.9626362075000001E-3</v>
      </c>
      <c r="N162" s="877"/>
      <c r="O162" s="877"/>
      <c r="P162" s="877"/>
      <c r="Q162" s="877"/>
      <c r="R162" s="877">
        <v>0</v>
      </c>
      <c r="S162" s="877">
        <v>0</v>
      </c>
      <c r="T162" s="877"/>
      <c r="U162" s="877">
        <f t="shared" ref="U162:U171" si="45">G162+T162</f>
        <v>2.9626362075000001E-3</v>
      </c>
      <c r="V162" s="877"/>
      <c r="W162" s="878"/>
      <c r="X162" s="877"/>
      <c r="Y162" s="879"/>
      <c r="Z162" s="877"/>
      <c r="AA162" s="877"/>
      <c r="AB162" s="877"/>
      <c r="AC162" s="877"/>
      <c r="AD162" s="886"/>
      <c r="AE162" s="877"/>
      <c r="AF162" s="879"/>
      <c r="AG162" s="877"/>
      <c r="AH162" s="877"/>
      <c r="AI162" s="877"/>
      <c r="AJ162" s="877"/>
      <c r="AK162" s="886"/>
      <c r="AL162" s="877"/>
      <c r="AM162" s="879"/>
      <c r="AN162" s="877"/>
      <c r="AO162" s="877"/>
      <c r="AP162" s="877"/>
      <c r="AQ162" s="877"/>
      <c r="AR162" s="886"/>
      <c r="AS162" s="877"/>
      <c r="AT162" s="879"/>
      <c r="AU162" s="877"/>
      <c r="AV162" s="877"/>
      <c r="AW162" s="877"/>
      <c r="AX162" s="877"/>
      <c r="AY162" s="886"/>
      <c r="AZ162" s="877"/>
      <c r="BA162" s="879"/>
      <c r="BB162" s="877"/>
      <c r="BC162" s="877"/>
      <c r="BD162" s="877"/>
      <c r="BE162" s="877"/>
      <c r="BF162" s="886"/>
      <c r="BG162" s="877"/>
      <c r="BH162" s="879"/>
      <c r="BI162" s="877"/>
      <c r="BJ162" s="877"/>
      <c r="BK162" s="877"/>
      <c r="BL162" s="877"/>
      <c r="BM162" s="886"/>
      <c r="BN162" s="877"/>
      <c r="BO162" s="879"/>
      <c r="BP162" s="877"/>
      <c r="BQ162" s="877"/>
      <c r="BR162" s="877"/>
      <c r="BS162" s="877"/>
      <c r="BT162" s="886"/>
      <c r="BU162" s="877"/>
      <c r="BV162" s="879"/>
      <c r="BW162" s="886"/>
      <c r="BX162" s="877"/>
      <c r="BY162" s="877"/>
      <c r="BZ162" s="877"/>
      <c r="CA162" s="877"/>
      <c r="CB162" s="877"/>
      <c r="CC162" s="877"/>
      <c r="CD162" s="877"/>
      <c r="CE162" s="877"/>
    </row>
    <row r="163" spans="1:83">
      <c r="A163" s="18"/>
      <c r="B163" s="360"/>
      <c r="C163" s="83"/>
      <c r="E163" s="512" t="s">
        <v>320</v>
      </c>
      <c r="F163" s="877">
        <f>SUM(K163:M163)</f>
        <v>1.0268237973000002E-3</v>
      </c>
      <c r="G163" s="877">
        <f>SUM(I163:Q163)</f>
        <v>1.0268237973000002E-3</v>
      </c>
      <c r="H163" s="878">
        <f>SUM(U163:W163)/(1-'Common input data'!$H$143)</f>
        <v>1.1609533857717541E-3</v>
      </c>
      <c r="I163" s="928"/>
      <c r="J163" s="877"/>
      <c r="K163" s="877"/>
      <c r="L163" s="877"/>
      <c r="M163" s="877">
        <v>1.0268237973000002E-3</v>
      </c>
      <c r="N163" s="877"/>
      <c r="O163" s="877"/>
      <c r="P163" s="877"/>
      <c r="Q163" s="877"/>
      <c r="R163" s="877">
        <v>0</v>
      </c>
      <c r="S163" s="877">
        <v>0</v>
      </c>
      <c r="T163" s="877"/>
      <c r="U163" s="877">
        <f t="shared" si="45"/>
        <v>1.0268237973000002E-3</v>
      </c>
      <c r="V163" s="877"/>
      <c r="W163" s="878"/>
      <c r="X163" s="877"/>
      <c r="Y163" s="879"/>
      <c r="Z163" s="877"/>
      <c r="AA163" s="877"/>
      <c r="AB163" s="877"/>
      <c r="AC163" s="877"/>
      <c r="AD163" s="886"/>
      <c r="AE163" s="877"/>
      <c r="AF163" s="879"/>
      <c r="AG163" s="877"/>
      <c r="AH163" s="877"/>
      <c r="AI163" s="877"/>
      <c r="AJ163" s="877"/>
      <c r="AK163" s="886"/>
      <c r="AL163" s="877"/>
      <c r="AM163" s="879"/>
      <c r="AN163" s="877"/>
      <c r="AO163" s="877"/>
      <c r="AP163" s="877"/>
      <c r="AQ163" s="877"/>
      <c r="AR163" s="886"/>
      <c r="AS163" s="877"/>
      <c r="AT163" s="879"/>
      <c r="AU163" s="877"/>
      <c r="AV163" s="877"/>
      <c r="AW163" s="877"/>
      <c r="AX163" s="877"/>
      <c r="AY163" s="886"/>
      <c r="AZ163" s="877"/>
      <c r="BA163" s="879"/>
      <c r="BB163" s="877"/>
      <c r="BC163" s="877"/>
      <c r="BD163" s="877"/>
      <c r="BE163" s="877"/>
      <c r="BF163" s="886"/>
      <c r="BG163" s="877"/>
      <c r="BH163" s="879"/>
      <c r="BI163" s="877"/>
      <c r="BJ163" s="877"/>
      <c r="BK163" s="877"/>
      <c r="BL163" s="877"/>
      <c r="BM163" s="886"/>
      <c r="BN163" s="877"/>
      <c r="BO163" s="879"/>
      <c r="BP163" s="877"/>
      <c r="BQ163" s="877"/>
      <c r="BR163" s="877"/>
      <c r="BS163" s="877"/>
      <c r="BT163" s="886"/>
      <c r="BU163" s="877"/>
      <c r="BV163" s="879"/>
      <c r="BW163" s="886"/>
      <c r="BX163" s="877"/>
      <c r="BY163" s="877"/>
      <c r="BZ163" s="877"/>
      <c r="CA163" s="877"/>
      <c r="CB163" s="877"/>
      <c r="CC163" s="877"/>
      <c r="CD163" s="877"/>
      <c r="CE163" s="877"/>
    </row>
    <row r="164" spans="1:83">
      <c r="A164" s="108" t="s">
        <v>182</v>
      </c>
      <c r="B164" s="93" t="s">
        <v>121</v>
      </c>
      <c r="C164" s="87">
        <f>'Input data plant-based products'!D187</f>
        <v>0.15804256238522199</v>
      </c>
      <c r="E164" s="513" t="s">
        <v>316</v>
      </c>
      <c r="F164" s="872">
        <f>SUMPRODUCT($CJ$6:$CJ$8,F165:F167)</f>
        <v>2.6506125979404649</v>
      </c>
      <c r="G164" s="872">
        <f>SUMPRODUCT($CJ$6:$CJ$8,G165:G167)</f>
        <v>2.6506125979404649</v>
      </c>
      <c r="H164" s="873">
        <f>SUMPRODUCT($CJ$6:$CJ$8,H165:H167)</f>
        <v>3.4303281559889176</v>
      </c>
      <c r="I164" s="1277"/>
      <c r="J164" s="884"/>
      <c r="K164" s="884"/>
      <c r="L164" s="884"/>
      <c r="M164" s="884"/>
      <c r="N164" s="884"/>
      <c r="O164" s="884"/>
      <c r="P164" s="884"/>
      <c r="Q164" s="884"/>
      <c r="R164" s="884"/>
      <c r="S164" s="884"/>
      <c r="T164" s="884"/>
      <c r="U164" s="884"/>
      <c r="V164" s="884"/>
      <c r="W164" s="1278"/>
      <c r="X164" s="877"/>
      <c r="Y164" s="879">
        <f>1/'Input data plant-based products'!E187*10^4</f>
        <v>7.5221904618624942</v>
      </c>
      <c r="Z164" s="877">
        <f>$Y164*'Input data plant-based products'!Z187</f>
        <v>7.5221904618624942</v>
      </c>
      <c r="AA164" s="877">
        <f>$Y164*'Input data plant-based products'!AA187</f>
        <v>7.5221904618624942</v>
      </c>
      <c r="AB164" s="877">
        <f>$Y164*'Input data plant-based products'!AB187</f>
        <v>7.5221904618624942</v>
      </c>
      <c r="AC164" s="877">
        <f>$Y164*'Input data plant-based products'!AC187</f>
        <v>8.5143121735763003</v>
      </c>
      <c r="AD164" s="886">
        <f>$Y164*'Input data plant-based products'!AD187</f>
        <v>8.8690751808086468</v>
      </c>
      <c r="AE164" s="877"/>
      <c r="AF164" s="879">
        <f>SUM('Input data plant-based products'!F187,'Input data plant-based products'!Q187)/'Input data plant-based products'!E187</f>
        <v>6.7699714156762444E-2</v>
      </c>
      <c r="AG164" s="877">
        <f>$AF164*'Input data plant-based products'!Z187</f>
        <v>6.7699714156762444E-2</v>
      </c>
      <c r="AH164" s="877">
        <f>$AF164*'Input data plant-based products'!AA187</f>
        <v>6.7699714156762444E-2</v>
      </c>
      <c r="AI164" s="877">
        <f>$AF164*'Input data plant-based products'!AB187</f>
        <v>6.7699714156762444E-2</v>
      </c>
      <c r="AJ164" s="877">
        <f>$AF164*'Input data plant-based products'!AC187</f>
        <v>7.6628809562186692E-2</v>
      </c>
      <c r="AK164" s="886">
        <f>$AF164*'Input data plant-based products'!AD187</f>
        <v>7.9821676627277807E-2</v>
      </c>
      <c r="AL164" s="877"/>
      <c r="AM164" s="879">
        <f>'Input data plant-based products'!R187/'Input data plant-based products'!E187</f>
        <v>4.5133142771174965E-2</v>
      </c>
      <c r="AN164" s="877">
        <f>$AM164*'Input data plant-based products'!Z187</f>
        <v>4.5133142771174965E-2</v>
      </c>
      <c r="AO164" s="877">
        <f>$AM164*'Input data plant-based products'!AA187</f>
        <v>4.5133142771174965E-2</v>
      </c>
      <c r="AP164" s="877">
        <f>$AM164*'Input data plant-based products'!AB187</f>
        <v>4.5133142771174965E-2</v>
      </c>
      <c r="AQ164" s="877">
        <f>$AM164*'Input data plant-based products'!AC187</f>
        <v>5.1085873041457799E-2</v>
      </c>
      <c r="AR164" s="886">
        <f>$AM164*'Input data plant-based products'!AD187</f>
        <v>5.3214451084851878E-2</v>
      </c>
      <c r="AS164" s="877"/>
      <c r="AT164" s="879">
        <f>'Input data plant-based products'!S187</f>
        <v>2.3671951065381302E-3</v>
      </c>
      <c r="AU164" s="877">
        <f>$AT164*'Input data plant-based products'!Z187</f>
        <v>2.3671951065381302E-3</v>
      </c>
      <c r="AV164" s="877">
        <f>$AT164*'Input data plant-based products'!AA187</f>
        <v>2.3671951065381302E-3</v>
      </c>
      <c r="AW164" s="877">
        <f>$AT164*'Input data plant-based products'!AB187</f>
        <v>2.3671951065381302E-3</v>
      </c>
      <c r="AX164" s="877">
        <f>$AT164*'Input data plant-based products'!AC187</f>
        <v>2.679410766719334E-3</v>
      </c>
      <c r="AY164" s="886">
        <f>$AT164*'Input data plant-based products'!AD187</f>
        <v>2.7910528819993065E-3</v>
      </c>
      <c r="AZ164" s="877"/>
      <c r="BA164" s="879">
        <f>((SUM('Input data plant-based products'!U187:Y187)*Y164)/('Common input data'!$B$192/10^6))/$BB$3</f>
        <v>1.9352509624893313E-8</v>
      </c>
      <c r="BB164" s="877">
        <f>$BA164*'Input data plant-based products'!Z187</f>
        <v>1.9352509624893313E-8</v>
      </c>
      <c r="BC164" s="877">
        <f>$BA164*'Input data plant-based products'!AA187</f>
        <v>1.9352509624893313E-8</v>
      </c>
      <c r="BD164" s="877">
        <f>$BA164*'Input data plant-based products'!AB187</f>
        <v>1.9352509624893313E-8</v>
      </c>
      <c r="BE164" s="877">
        <f>$BA164*'Input data plant-based products'!AC187</f>
        <v>2.190496360387075E-8</v>
      </c>
      <c r="BF164" s="886">
        <f>$BA164*'Input data plant-based products'!AD187</f>
        <v>2.28176704206987E-8</v>
      </c>
      <c r="BG164" s="877"/>
      <c r="BH164" s="879">
        <f>'Input data plant-based products'!T187/'Input data plant-based products'!E187</f>
        <v>0</v>
      </c>
      <c r="BI164" s="877">
        <f>$BH164*'Input data plant-based products'!Z187</f>
        <v>0</v>
      </c>
      <c r="BJ164" s="877">
        <f>$BH164*'Input data plant-based products'!AA187</f>
        <v>0</v>
      </c>
      <c r="BK164" s="877">
        <f>$BH164*'Input data plant-based products'!AB187</f>
        <v>0</v>
      </c>
      <c r="BL164" s="877">
        <f>$BH164*'Input data plant-based products'!AC187</f>
        <v>0</v>
      </c>
      <c r="BM164" s="886">
        <f>$BH164*'Input data plant-based products'!AD187</f>
        <v>0</v>
      </c>
      <c r="BN164" s="877"/>
      <c r="BO164" s="879">
        <f>('Input data plant-based products'!F187/'Input data plant-based products'!E187*'Common input data'!$B$195+'Input data plant-based products'!G187/'Input data plant-based products'!E187*'Common input data'!$B$196)/'Common input data'!$B$198</f>
        <v>1.7286264344884875E-3</v>
      </c>
      <c r="BP164" s="877">
        <f>$BO164*'Input data plant-based products'!Z187</f>
        <v>1.7286264344884875E-3</v>
      </c>
      <c r="BQ164" s="877">
        <f>$BO164*'Input data plant-based products'!AA187</f>
        <v>1.7286264344884875E-3</v>
      </c>
      <c r="BR164" s="877">
        <f>$BO164*'Input data plant-based products'!AB187</f>
        <v>1.7286264344884875E-3</v>
      </c>
      <c r="BS164" s="877">
        <f>$BO164*'Input data plant-based products'!AC187</f>
        <v>1.9566195736935555E-3</v>
      </c>
      <c r="BT164" s="886">
        <f>$BO164*'Input data plant-based products'!AD187</f>
        <v>2.0381453892641204E-3</v>
      </c>
      <c r="BU164" s="877"/>
      <c r="BV164" s="879">
        <f>('Common input data'!$B$217+'Common input data'!$C$217)*'Input data plant-based products'!AC187</f>
        <v>5.5770615161023054</v>
      </c>
      <c r="BW164" s="886">
        <f>('Common input data'!$BP$176+'Common input data'!$C$217)*'Input data plant-based products'!AD187</f>
        <v>0.16884065516965563</v>
      </c>
      <c r="BX164" s="877"/>
      <c r="BY164" s="877"/>
      <c r="BZ164" s="877"/>
      <c r="CA164" s="877"/>
      <c r="CB164" s="877"/>
      <c r="CC164" s="877"/>
      <c r="CD164" s="877"/>
      <c r="CE164" s="877"/>
    </row>
    <row r="165" spans="1:83">
      <c r="A165" s="195"/>
      <c r="B165" s="55"/>
      <c r="C165" s="83"/>
      <c r="E165" s="511" t="s">
        <v>317</v>
      </c>
      <c r="F165" s="877">
        <f>IF(AND($F$2="No",$F$3="No"),SUM(L165:N165),IF(AND($F$2="Yes", $F$3="No"), (SUM(L165:M165)+S165), IF(AND($F$2="No", $F$3="Yes"),(SUM(L165:M165)+R165), (SUM(L165:M165)+S165+R165))))</f>
        <v>2.397432350528145</v>
      </c>
      <c r="G165" s="877">
        <f>IF(AND($F$2="No",$F$3="No"),SUM(I165:Q165),IF(AND($F$2="Yes", $F$3="No"), (SUM(I165:Q165)+S165), IF(AND($F$2="No", $F$3="Yes"),(SUM(I165:Q165)+R165), (SUM(I165:Q165)+S165+R165))))</f>
        <v>2.397432350528145</v>
      </c>
      <c r="H165" s="878">
        <f>SUM(U165:W165)/(1-'Common input data'!$F$143)</f>
        <v>3.1437552921959906</v>
      </c>
      <c r="I165" s="928"/>
      <c r="J165" s="877"/>
      <c r="K165" s="877"/>
      <c r="L165" s="877"/>
      <c r="M165" s="877">
        <v>2.2376608553469</v>
      </c>
      <c r="N165" s="877"/>
      <c r="O165" s="877"/>
      <c r="P165" s="877"/>
      <c r="Q165" s="877"/>
      <c r="R165" s="877">
        <f>'Common input data'!$D$19</f>
        <v>0.159771495181245</v>
      </c>
      <c r="S165" s="877">
        <v>0</v>
      </c>
      <c r="T165" s="877"/>
      <c r="U165" s="877">
        <f t="shared" si="45"/>
        <v>2.397432350528145</v>
      </c>
      <c r="V165" s="877">
        <f>'Common input data'!$B$105</f>
        <v>0.05</v>
      </c>
      <c r="W165" s="878">
        <f>'Common input data'!$B$123+'Common input data'!$C$123</f>
        <v>0.32999999999999996</v>
      </c>
      <c r="X165" s="877"/>
      <c r="Y165" s="879"/>
      <c r="Z165" s="877"/>
      <c r="AA165" s="877"/>
      <c r="AB165" s="877"/>
      <c r="AC165" s="877"/>
      <c r="AD165" s="886"/>
      <c r="AE165" s="877"/>
      <c r="AF165" s="879"/>
      <c r="AG165" s="877"/>
      <c r="AH165" s="877"/>
      <c r="AI165" s="877"/>
      <c r="AJ165" s="877"/>
      <c r="AK165" s="886"/>
      <c r="AL165" s="877"/>
      <c r="AM165" s="879"/>
      <c r="AN165" s="877"/>
      <c r="AO165" s="877"/>
      <c r="AP165" s="877"/>
      <c r="AQ165" s="877"/>
      <c r="AR165" s="886"/>
      <c r="AS165" s="877"/>
      <c r="AT165" s="879"/>
      <c r="AU165" s="877"/>
      <c r="AV165" s="877"/>
      <c r="AW165" s="877"/>
      <c r="AX165" s="877"/>
      <c r="AY165" s="886"/>
      <c r="AZ165" s="877"/>
      <c r="BA165" s="879"/>
      <c r="BB165" s="877"/>
      <c r="BC165" s="877"/>
      <c r="BD165" s="877"/>
      <c r="BE165" s="877"/>
      <c r="BF165" s="886"/>
      <c r="BG165" s="877"/>
      <c r="BH165" s="879"/>
      <c r="BI165" s="877"/>
      <c r="BJ165" s="877"/>
      <c r="BK165" s="877"/>
      <c r="BL165" s="877"/>
      <c r="BM165" s="886"/>
      <c r="BN165" s="877"/>
      <c r="BO165" s="879"/>
      <c r="BP165" s="877"/>
      <c r="BQ165" s="877"/>
      <c r="BR165" s="877"/>
      <c r="BS165" s="877"/>
      <c r="BT165" s="886"/>
      <c r="BU165" s="877"/>
      <c r="BV165" s="879"/>
      <c r="BW165" s="886"/>
      <c r="BX165" s="877"/>
      <c r="BY165" s="877"/>
      <c r="BZ165" s="877"/>
      <c r="CA165" s="877"/>
      <c r="CB165" s="877"/>
      <c r="CC165" s="877"/>
      <c r="CD165" s="877"/>
      <c r="CE165" s="877"/>
    </row>
    <row r="166" spans="1:83">
      <c r="A166" s="195"/>
      <c r="B166" s="55"/>
      <c r="C166" s="83"/>
      <c r="E166" s="511" t="s">
        <v>367</v>
      </c>
      <c r="F166" s="877">
        <f>SUM(K166:M166)</f>
        <v>2.9693967799000001E-3</v>
      </c>
      <c r="G166" s="877">
        <f>SUM(I166:Q166)</f>
        <v>2.9693967799000001E-3</v>
      </c>
      <c r="H166" s="878">
        <f>SUM(U166:W166)/(1-'Common input data'!$F$143)</f>
        <v>3.3610384208512742E-3</v>
      </c>
      <c r="I166" s="928"/>
      <c r="J166" s="877"/>
      <c r="K166" s="877"/>
      <c r="L166" s="877"/>
      <c r="M166" s="877">
        <v>2.9693967799000001E-3</v>
      </c>
      <c r="N166" s="877"/>
      <c r="O166" s="877"/>
      <c r="P166" s="877"/>
      <c r="Q166" s="877"/>
      <c r="R166" s="877">
        <v>0</v>
      </c>
      <c r="S166" s="877">
        <v>0</v>
      </c>
      <c r="T166" s="877"/>
      <c r="U166" s="877">
        <f t="shared" si="45"/>
        <v>2.9693967799000001E-3</v>
      </c>
      <c r="V166" s="877"/>
      <c r="W166" s="878"/>
      <c r="X166" s="877"/>
      <c r="Y166" s="879"/>
      <c r="Z166" s="877"/>
      <c r="AA166" s="877"/>
      <c r="AB166" s="877"/>
      <c r="AC166" s="877"/>
      <c r="AD166" s="886"/>
      <c r="AE166" s="877"/>
      <c r="AF166" s="879"/>
      <c r="AG166" s="877"/>
      <c r="AH166" s="877"/>
      <c r="AI166" s="877"/>
      <c r="AJ166" s="877"/>
      <c r="AK166" s="886"/>
      <c r="AL166" s="877"/>
      <c r="AM166" s="879"/>
      <c r="AN166" s="877"/>
      <c r="AO166" s="877"/>
      <c r="AP166" s="877"/>
      <c r="AQ166" s="877"/>
      <c r="AR166" s="886"/>
      <c r="AS166" s="877"/>
      <c r="AT166" s="879"/>
      <c r="AU166" s="877"/>
      <c r="AV166" s="877"/>
      <c r="AW166" s="877"/>
      <c r="AX166" s="877"/>
      <c r="AY166" s="886"/>
      <c r="AZ166" s="877"/>
      <c r="BA166" s="879"/>
      <c r="BB166" s="877"/>
      <c r="BC166" s="877"/>
      <c r="BD166" s="877"/>
      <c r="BE166" s="877"/>
      <c r="BF166" s="886"/>
      <c r="BG166" s="877"/>
      <c r="BH166" s="879"/>
      <c r="BI166" s="877"/>
      <c r="BJ166" s="877"/>
      <c r="BK166" s="877"/>
      <c r="BL166" s="877"/>
      <c r="BM166" s="886"/>
      <c r="BN166" s="877"/>
      <c r="BO166" s="879"/>
      <c r="BP166" s="877"/>
      <c r="BQ166" s="877"/>
      <c r="BR166" s="877"/>
      <c r="BS166" s="877"/>
      <c r="BT166" s="886"/>
      <c r="BU166" s="877"/>
      <c r="BV166" s="879"/>
      <c r="BW166" s="886"/>
      <c r="BX166" s="877"/>
      <c r="BY166" s="877"/>
      <c r="BZ166" s="877"/>
      <c r="CA166" s="877"/>
      <c r="CB166" s="877"/>
      <c r="CC166" s="877"/>
      <c r="CD166" s="877"/>
      <c r="CE166" s="877"/>
    </row>
    <row r="167" spans="1:83">
      <c r="A167" s="18"/>
      <c r="B167" s="360"/>
      <c r="C167" s="83"/>
      <c r="E167" s="512" t="s">
        <v>320</v>
      </c>
      <c r="F167" s="877">
        <f>SUM(K167:M167)</f>
        <v>1.02671280063E-3</v>
      </c>
      <c r="G167" s="877">
        <f>SUM(I167:Q167)</f>
        <v>1.02671280063E-3</v>
      </c>
      <c r="H167" s="878">
        <f>SUM(U167:W167)/(1-'Common input data'!$F$143)</f>
        <v>1.1621286833258628E-3</v>
      </c>
      <c r="I167" s="928"/>
      <c r="J167" s="877"/>
      <c r="K167" s="877"/>
      <c r="L167" s="877"/>
      <c r="M167" s="877">
        <v>1.02671280063E-3</v>
      </c>
      <c r="N167" s="877"/>
      <c r="O167" s="877"/>
      <c r="P167" s="877"/>
      <c r="Q167" s="877"/>
      <c r="R167" s="877">
        <v>0</v>
      </c>
      <c r="S167" s="877">
        <v>0</v>
      </c>
      <c r="T167" s="877"/>
      <c r="U167" s="877">
        <f t="shared" si="45"/>
        <v>1.02671280063E-3</v>
      </c>
      <c r="V167" s="877"/>
      <c r="W167" s="878"/>
      <c r="X167" s="877"/>
      <c r="Y167" s="879"/>
      <c r="Z167" s="877"/>
      <c r="AA167" s="877"/>
      <c r="AB167" s="877"/>
      <c r="AC167" s="877"/>
      <c r="AD167" s="886"/>
      <c r="AE167" s="877"/>
      <c r="AF167" s="879"/>
      <c r="AG167" s="877"/>
      <c r="AH167" s="877"/>
      <c r="AI167" s="877"/>
      <c r="AJ167" s="877"/>
      <c r="AK167" s="886"/>
      <c r="AL167" s="877"/>
      <c r="AM167" s="879"/>
      <c r="AN167" s="877"/>
      <c r="AO167" s="877"/>
      <c r="AP167" s="877"/>
      <c r="AQ167" s="877"/>
      <c r="AR167" s="886"/>
      <c r="AS167" s="877"/>
      <c r="AT167" s="879"/>
      <c r="AU167" s="877"/>
      <c r="AV167" s="877"/>
      <c r="AW167" s="877"/>
      <c r="AX167" s="877"/>
      <c r="AY167" s="886"/>
      <c r="AZ167" s="877"/>
      <c r="BA167" s="879"/>
      <c r="BB167" s="877"/>
      <c r="BC167" s="877"/>
      <c r="BD167" s="877"/>
      <c r="BE167" s="877"/>
      <c r="BF167" s="886"/>
      <c r="BG167" s="877"/>
      <c r="BH167" s="879"/>
      <c r="BI167" s="877"/>
      <c r="BJ167" s="877"/>
      <c r="BK167" s="877"/>
      <c r="BL167" s="877"/>
      <c r="BM167" s="886"/>
      <c r="BN167" s="877"/>
      <c r="BO167" s="879"/>
      <c r="BP167" s="877"/>
      <c r="BQ167" s="877"/>
      <c r="BR167" s="877"/>
      <c r="BS167" s="877"/>
      <c r="BT167" s="886"/>
      <c r="BU167" s="877"/>
      <c r="BV167" s="879"/>
      <c r="BW167" s="886"/>
      <c r="BX167" s="877"/>
      <c r="BY167" s="877"/>
      <c r="BZ167" s="877"/>
      <c r="CA167" s="877"/>
      <c r="CB167" s="877"/>
      <c r="CC167" s="877"/>
      <c r="CD167" s="877"/>
      <c r="CE167" s="877"/>
    </row>
    <row r="168" spans="1:83">
      <c r="A168" s="108" t="s">
        <v>134</v>
      </c>
      <c r="B168" s="93" t="s">
        <v>121</v>
      </c>
      <c r="C168" s="87">
        <f>'Input data plant-based products'!D188</f>
        <v>0.51625796694393433</v>
      </c>
      <c r="E168" s="513" t="s">
        <v>316</v>
      </c>
      <c r="F168" s="872">
        <f>SUMPRODUCT($CJ$6:$CJ$8,F169:F171)</f>
        <v>2.6506125979404649</v>
      </c>
      <c r="G168" s="872">
        <f>SUMPRODUCT($CJ$6:$CJ$8,G169:G171)</f>
        <v>2.6706125979404649</v>
      </c>
      <c r="H168" s="873">
        <f>SUMPRODUCT($CJ$6:$CJ$8,H169:H171)</f>
        <v>3.5621636082568067</v>
      </c>
      <c r="I168" s="1277"/>
      <c r="J168" s="884"/>
      <c r="K168" s="884"/>
      <c r="L168" s="884"/>
      <c r="M168" s="884"/>
      <c r="N168" s="884"/>
      <c r="O168" s="884"/>
      <c r="P168" s="884"/>
      <c r="Q168" s="884"/>
      <c r="R168" s="884"/>
      <c r="S168" s="884"/>
      <c r="T168" s="884"/>
      <c r="U168" s="884"/>
      <c r="V168" s="884"/>
      <c r="W168" s="1278"/>
      <c r="X168" s="877"/>
      <c r="Y168" s="879">
        <f>1/'Input data plant-based products'!E188*10^4</f>
        <v>17.56358016017985</v>
      </c>
      <c r="Z168" s="877">
        <f>$Y168*'Input data plant-based products'!Z188</f>
        <v>17.56358016017985</v>
      </c>
      <c r="AA168" s="877">
        <f>$Y168*'Input data plant-based products'!AA188</f>
        <v>17.56358016017985</v>
      </c>
      <c r="AB168" s="877">
        <f>$Y168*'Input data plant-based products'!AB188</f>
        <v>17.56358016017985</v>
      </c>
      <c r="AC168" s="877">
        <f>$Y168*'Input data plant-based products'!AC188</f>
        <v>19.857835304217289</v>
      </c>
      <c r="AD168" s="886">
        <f>$Y168*'Input data plant-based products'!AD188</f>
        <v>20.685245108559677</v>
      </c>
      <c r="AE168" s="877"/>
      <c r="AF168" s="879">
        <f>SUM('Input data plant-based products'!F188,'Input data plant-based products'!Q188)/'Input data plant-based products'!E188</f>
        <v>3.1555100000000003E-2</v>
      </c>
      <c r="AG168" s="877">
        <f>$AF168*'Input data plant-based products'!Z188</f>
        <v>3.1555100000000003E-2</v>
      </c>
      <c r="AH168" s="877">
        <f>$AF168*'Input data plant-based products'!AA188</f>
        <v>3.1555100000000003E-2</v>
      </c>
      <c r="AI168" s="877">
        <f>$AF168*'Input data plant-based products'!AB188</f>
        <v>3.1555100000000003E-2</v>
      </c>
      <c r="AJ168" s="877">
        <f>$AF168*'Input data plant-based products'!AC188</f>
        <v>3.5677007369418388E-2</v>
      </c>
      <c r="AK168" s="886">
        <f>$AF168*'Input data plant-based products'!AD188</f>
        <v>3.7163549343144156E-2</v>
      </c>
      <c r="AL168" s="877"/>
      <c r="AM168" s="879">
        <f>'Input data plant-based products'!R188/'Input data plant-based products'!E188</f>
        <v>1.5332999999999999E-2</v>
      </c>
      <c r="AN168" s="877">
        <f>$AM168*'Input data plant-based products'!Z188</f>
        <v>1.5332999999999999E-2</v>
      </c>
      <c r="AO168" s="877">
        <f>$AM168*'Input data plant-based products'!AA188</f>
        <v>1.5332999999999999E-2</v>
      </c>
      <c r="AP168" s="877">
        <f>$AM168*'Input data plant-based products'!AB188</f>
        <v>1.5332999999999999E-2</v>
      </c>
      <c r="AQ168" s="877">
        <f>$AM168*'Input data plant-based products'!AC188</f>
        <v>1.733588402493708E-2</v>
      </c>
      <c r="AR168" s="886">
        <f>$AM168*'Input data plant-based products'!AD188</f>
        <v>1.8058212525976124E-2</v>
      </c>
      <c r="AS168" s="877"/>
      <c r="AT168" s="879">
        <f>'Input data plant-based products'!S188</f>
        <v>0.50864630610103301</v>
      </c>
      <c r="AU168" s="877">
        <f>$AT168*'Input data plant-based products'!Z188</f>
        <v>0.50864630610103301</v>
      </c>
      <c r="AV168" s="877">
        <f>$AT168*'Input data plant-based products'!AA188</f>
        <v>0.50864630610103301</v>
      </c>
      <c r="AW168" s="877">
        <f>$AT168*'Input data plant-based products'!AB188</f>
        <v>0.50864630610103301</v>
      </c>
      <c r="AX168" s="877">
        <f>$AT168*'Input data plant-based products'!AC188</f>
        <v>0.57508859142243229</v>
      </c>
      <c r="AY168" s="886">
        <f>$AT168*'Input data plant-based products'!AD188</f>
        <v>0.59905061606503363</v>
      </c>
      <c r="AZ168" s="877"/>
      <c r="BA168" s="879">
        <f>((SUM('Input data plant-based products'!U188:Y188)*Y168)/('Common input data'!$B$192/10^6))/$BB$3</f>
        <v>2.7549006030418256E-8</v>
      </c>
      <c r="BB168" s="877">
        <f>$BA168*'Input data plant-based products'!Z188</f>
        <v>2.7549006030418256E-8</v>
      </c>
      <c r="BC168" s="877">
        <f>$BA168*'Input data plant-based products'!AA188</f>
        <v>2.7549006030418256E-8</v>
      </c>
      <c r="BD168" s="877">
        <f>$BA168*'Input data plant-based products'!AB188</f>
        <v>2.7549006030418256E-8</v>
      </c>
      <c r="BE168" s="877">
        <f>$BA168*'Input data plant-based products'!AC188</f>
        <v>3.1147614527204276E-8</v>
      </c>
      <c r="BF168" s="886">
        <f>$BA168*'Input data plant-based products'!AD188</f>
        <v>3.2445431799171118E-8</v>
      </c>
      <c r="BG168" s="877"/>
      <c r="BH168" s="879">
        <f>'Input data plant-based products'!T188/'Input data plant-based products'!E188</f>
        <v>0</v>
      </c>
      <c r="BI168" s="877">
        <f>$BH168*'Input data plant-based products'!Z188</f>
        <v>0</v>
      </c>
      <c r="BJ168" s="877">
        <f>$BH168*'Input data plant-based products'!AA188</f>
        <v>0</v>
      </c>
      <c r="BK168" s="877">
        <f>$BH168*'Input data plant-based products'!AB188</f>
        <v>0</v>
      </c>
      <c r="BL168" s="877">
        <f>$BH168*'Input data plant-based products'!AC188</f>
        <v>0</v>
      </c>
      <c r="BM168" s="886">
        <f>$BH168*'Input data plant-based products'!AD188</f>
        <v>0</v>
      </c>
      <c r="BN168" s="877"/>
      <c r="BO168" s="879">
        <f>('Input data plant-based products'!F188/'Input data plant-based products'!E188*'Common input data'!$B$195+'Input data plant-based products'!G188/'Input data plant-based products'!E188*'Common input data'!$B$196)/'Common input data'!$B$198</f>
        <v>8.0571950239880072E-4</v>
      </c>
      <c r="BP168" s="877">
        <f>$BO168*'Input data plant-based products'!Z188</f>
        <v>8.0571950239880072E-4</v>
      </c>
      <c r="BQ168" s="877">
        <f>$BO168*'Input data plant-based products'!AA188</f>
        <v>8.0571950239880072E-4</v>
      </c>
      <c r="BR168" s="877">
        <f>$BO168*'Input data plant-based products'!AB188</f>
        <v>8.0571950239880072E-4</v>
      </c>
      <c r="BS168" s="877">
        <f>$BO168*'Input data plant-based products'!AC188</f>
        <v>9.1096718517026166E-4</v>
      </c>
      <c r="BT168" s="886">
        <f>$BO168*'Input data plant-based products'!AD188</f>
        <v>9.4892415121902263E-4</v>
      </c>
      <c r="BU168" s="877"/>
      <c r="BV168" s="879">
        <f>('Common input data'!$B$228+'Common input data'!$C$228)*'Input data plant-based products'!AC188</f>
        <v>6.3907929164253314</v>
      </c>
      <c r="BW168" s="886">
        <f>('Common input data'!$B$228+'Common input data'!$C$228)*'Input data plant-based products'!AD188</f>
        <v>6.6570759546097209</v>
      </c>
      <c r="BX168" s="877"/>
      <c r="BY168" s="877"/>
      <c r="BZ168" s="877"/>
      <c r="CA168" s="877"/>
      <c r="CB168" s="877"/>
      <c r="CC168" s="877"/>
      <c r="CD168" s="877"/>
      <c r="CE168" s="877"/>
    </row>
    <row r="169" spans="1:83">
      <c r="A169" s="359"/>
      <c r="B169" s="360"/>
      <c r="C169" s="83"/>
      <c r="E169" s="511" t="s">
        <v>317</v>
      </c>
      <c r="F169" s="877">
        <f>IF(AND($F$2="No",$F$3="No"),SUM(L169:N169),IF(AND($F$2="Yes", $F$3="No"), (SUM(L169:M169)+S169), IF(AND($F$2="No", $F$3="Yes"),(SUM(L169:M169)+R169), (SUM(L169:M169)+S169+R169))))</f>
        <v>2.397432350528145</v>
      </c>
      <c r="G169" s="877">
        <f>IF(AND($F$2="No",$F$3="No"),SUM(I169:Q169),IF(AND($F$2="Yes", $F$3="No"), (SUM(I169:Q169)+S169), IF(AND($F$2="No", $F$3="Yes"),(SUM(I169:Q169)+R169), (SUM(I169:Q169)+S169+R169))))</f>
        <v>2.417432350528145</v>
      </c>
      <c r="H169" s="878">
        <f>SUM(U169:W169)/(1-'Common input data'!$I$143)</f>
        <v>3.2759115110452464</v>
      </c>
      <c r="I169" s="928"/>
      <c r="J169" s="877"/>
      <c r="K169" s="877"/>
      <c r="L169" s="877"/>
      <c r="M169" s="877">
        <v>2.2376608553469</v>
      </c>
      <c r="N169" s="877"/>
      <c r="O169" s="877"/>
      <c r="P169" s="877">
        <f>'Input data plant-based products'!$G$309</f>
        <v>0.02</v>
      </c>
      <c r="Q169" s="877"/>
      <c r="R169" s="877">
        <f>'Common input data'!$D$19</f>
        <v>0.159771495181245</v>
      </c>
      <c r="S169" s="877">
        <v>0</v>
      </c>
      <c r="T169" s="877"/>
      <c r="U169" s="877">
        <f t="shared" si="45"/>
        <v>2.417432350528145</v>
      </c>
      <c r="V169" s="877">
        <f>'Common input data'!$B$105</f>
        <v>0.05</v>
      </c>
      <c r="W169" s="878">
        <f>'Common input data'!$B$128+'Common input data'!$C$128</f>
        <v>0.43000000000000005</v>
      </c>
      <c r="X169" s="877"/>
      <c r="Y169" s="879"/>
      <c r="Z169" s="877"/>
      <c r="AA169" s="877"/>
      <c r="AB169" s="877"/>
      <c r="AC169" s="877"/>
      <c r="AD169" s="886"/>
      <c r="AE169" s="877"/>
      <c r="AF169" s="879"/>
      <c r="AG169" s="877"/>
      <c r="AH169" s="877"/>
      <c r="AI169" s="877"/>
      <c r="AJ169" s="877"/>
      <c r="AK169" s="886"/>
      <c r="AL169" s="877"/>
      <c r="AM169" s="879"/>
      <c r="AN169" s="877"/>
      <c r="AO169" s="877"/>
      <c r="AP169" s="877"/>
      <c r="AQ169" s="877"/>
      <c r="AR169" s="886"/>
      <c r="AS169" s="877"/>
      <c r="AT169" s="879"/>
      <c r="AU169" s="877"/>
      <c r="AV169" s="877"/>
      <c r="AW169" s="877"/>
      <c r="AX169" s="877"/>
      <c r="AY169" s="886"/>
      <c r="AZ169" s="877"/>
      <c r="BA169" s="879"/>
      <c r="BB169" s="877"/>
      <c r="BC169" s="877"/>
      <c r="BD169" s="877"/>
      <c r="BE169" s="877"/>
      <c r="BF169" s="886"/>
      <c r="BG169" s="877"/>
      <c r="BH169" s="879"/>
      <c r="BI169" s="877"/>
      <c r="BJ169" s="877"/>
      <c r="BK169" s="877"/>
      <c r="BL169" s="877"/>
      <c r="BM169" s="886"/>
      <c r="BN169" s="877"/>
      <c r="BO169" s="879"/>
      <c r="BP169" s="877"/>
      <c r="BQ169" s="877"/>
      <c r="BR169" s="877"/>
      <c r="BS169" s="877"/>
      <c r="BT169" s="886"/>
      <c r="BU169" s="877"/>
      <c r="BV169" s="879"/>
      <c r="BW169" s="886"/>
      <c r="BX169" s="877"/>
      <c r="BY169" s="877"/>
      <c r="BZ169" s="877"/>
      <c r="CA169" s="877"/>
      <c r="CB169" s="877"/>
      <c r="CC169" s="877"/>
      <c r="CD169" s="877"/>
      <c r="CE169" s="877"/>
    </row>
    <row r="170" spans="1:83">
      <c r="A170" s="359"/>
      <c r="B170" s="360"/>
      <c r="C170" s="83"/>
      <c r="E170" s="511" t="s">
        <v>367</v>
      </c>
      <c r="F170" s="877">
        <f>SUM(K170:M170)</f>
        <v>2.9693967799000001E-3</v>
      </c>
      <c r="G170" s="877">
        <f>SUM(I170:Q170)</f>
        <v>2.9693967799000001E-3</v>
      </c>
      <c r="H170" s="878">
        <f>SUM(U170:W170)/(1-'Common input data'!$I$143)</f>
        <v>3.3572763451619396E-3</v>
      </c>
      <c r="I170" s="928"/>
      <c r="J170" s="877"/>
      <c r="K170" s="877"/>
      <c r="L170" s="877"/>
      <c r="M170" s="877">
        <v>2.9693967799000001E-3</v>
      </c>
      <c r="N170" s="877"/>
      <c r="O170" s="877"/>
      <c r="P170" s="877"/>
      <c r="Q170" s="877"/>
      <c r="R170" s="877">
        <v>0</v>
      </c>
      <c r="S170" s="877">
        <v>0</v>
      </c>
      <c r="T170" s="877"/>
      <c r="U170" s="877">
        <f t="shared" si="45"/>
        <v>2.9693967799000001E-3</v>
      </c>
      <c r="V170" s="877"/>
      <c r="W170" s="878"/>
      <c r="X170" s="877"/>
      <c r="Y170" s="879"/>
      <c r="Z170" s="877"/>
      <c r="AA170" s="877"/>
      <c r="AB170" s="877"/>
      <c r="AC170" s="877"/>
      <c r="AD170" s="886"/>
      <c r="AE170" s="877"/>
      <c r="AF170" s="879"/>
      <c r="AG170" s="877"/>
      <c r="AH170" s="877"/>
      <c r="AI170" s="877"/>
      <c r="AJ170" s="877"/>
      <c r="AK170" s="886"/>
      <c r="AL170" s="877"/>
      <c r="AM170" s="879"/>
      <c r="AN170" s="877"/>
      <c r="AO170" s="877"/>
      <c r="AP170" s="877"/>
      <c r="AQ170" s="877"/>
      <c r="AR170" s="886"/>
      <c r="AS170" s="877"/>
      <c r="AT170" s="879"/>
      <c r="AU170" s="877"/>
      <c r="AV170" s="877"/>
      <c r="AW170" s="877"/>
      <c r="AX170" s="877"/>
      <c r="AY170" s="886"/>
      <c r="AZ170" s="877"/>
      <c r="BA170" s="879"/>
      <c r="BB170" s="877"/>
      <c r="BC170" s="877"/>
      <c r="BD170" s="877"/>
      <c r="BE170" s="877"/>
      <c r="BF170" s="886"/>
      <c r="BG170" s="877"/>
      <c r="BH170" s="879"/>
      <c r="BI170" s="877"/>
      <c r="BJ170" s="877"/>
      <c r="BK170" s="877"/>
      <c r="BL170" s="877"/>
      <c r="BM170" s="886"/>
      <c r="BN170" s="877"/>
      <c r="BO170" s="879"/>
      <c r="BP170" s="877"/>
      <c r="BQ170" s="877"/>
      <c r="BR170" s="877"/>
      <c r="BS170" s="877"/>
      <c r="BT170" s="886"/>
      <c r="BU170" s="877"/>
      <c r="BV170" s="879"/>
      <c r="BW170" s="886"/>
      <c r="BX170" s="877"/>
      <c r="BY170" s="877"/>
      <c r="BZ170" s="877"/>
      <c r="CA170" s="877"/>
      <c r="CB170" s="877"/>
      <c r="CC170" s="877"/>
      <c r="CD170" s="877"/>
      <c r="CE170" s="877"/>
    </row>
    <row r="171" spans="1:83">
      <c r="A171" s="359"/>
      <c r="B171" s="360"/>
      <c r="C171" s="83"/>
      <c r="E171" s="512" t="s">
        <v>320</v>
      </c>
      <c r="F171" s="877">
        <f>SUM(K171:M171)</f>
        <v>1.02671280063E-3</v>
      </c>
      <c r="G171" s="877">
        <f>SUM(I171:Q171)</f>
        <v>1.02671280063E-3</v>
      </c>
      <c r="H171" s="878">
        <f>SUM(U171:W171)/(1-'Common input data'!$I$143)</f>
        <v>1.1608278900828296E-3</v>
      </c>
      <c r="I171" s="928"/>
      <c r="J171" s="877"/>
      <c r="K171" s="877"/>
      <c r="L171" s="877"/>
      <c r="M171" s="877">
        <v>1.02671280063E-3</v>
      </c>
      <c r="N171" s="877"/>
      <c r="O171" s="877"/>
      <c r="P171" s="877"/>
      <c r="Q171" s="877"/>
      <c r="R171" s="877">
        <v>0</v>
      </c>
      <c r="S171" s="877">
        <v>0</v>
      </c>
      <c r="T171" s="877"/>
      <c r="U171" s="877">
        <f t="shared" si="45"/>
        <v>1.02671280063E-3</v>
      </c>
      <c r="V171" s="877"/>
      <c r="W171" s="878"/>
      <c r="X171" s="877"/>
      <c r="Y171" s="879"/>
      <c r="Z171" s="877"/>
      <c r="AA171" s="877"/>
      <c r="AB171" s="877"/>
      <c r="AC171" s="877"/>
      <c r="AD171" s="886"/>
      <c r="AE171" s="877"/>
      <c r="AF171" s="879"/>
      <c r="AG171" s="877"/>
      <c r="AH171" s="877"/>
      <c r="AI171" s="877"/>
      <c r="AJ171" s="877"/>
      <c r="AK171" s="886"/>
      <c r="AL171" s="877"/>
      <c r="AM171" s="879"/>
      <c r="AN171" s="877"/>
      <c r="AO171" s="877"/>
      <c r="AP171" s="877"/>
      <c r="AQ171" s="877"/>
      <c r="AR171" s="886"/>
      <c r="AS171" s="877"/>
      <c r="AT171" s="879"/>
      <c r="AU171" s="877"/>
      <c r="AV171" s="877"/>
      <c r="AW171" s="877"/>
      <c r="AX171" s="877"/>
      <c r="AY171" s="886"/>
      <c r="AZ171" s="877"/>
      <c r="BA171" s="879"/>
      <c r="BB171" s="877"/>
      <c r="BC171" s="877"/>
      <c r="BD171" s="877"/>
      <c r="BE171" s="877"/>
      <c r="BF171" s="886"/>
      <c r="BG171" s="877"/>
      <c r="BH171" s="879"/>
      <c r="BI171" s="877"/>
      <c r="BJ171" s="877"/>
      <c r="BK171" s="877"/>
      <c r="BL171" s="877"/>
      <c r="BM171" s="886"/>
      <c r="BN171" s="877"/>
      <c r="BO171" s="879"/>
      <c r="BP171" s="877"/>
      <c r="BQ171" s="877"/>
      <c r="BR171" s="877"/>
      <c r="BS171" s="877"/>
      <c r="BT171" s="886"/>
      <c r="BU171" s="877"/>
      <c r="BV171" s="879"/>
      <c r="BW171" s="886"/>
      <c r="BX171" s="877"/>
      <c r="BY171" s="877"/>
      <c r="BZ171" s="877"/>
      <c r="CA171" s="877"/>
      <c r="CB171" s="877"/>
      <c r="CC171" s="877"/>
      <c r="CD171" s="877"/>
      <c r="CE171" s="877"/>
    </row>
    <row r="172" spans="1:83">
      <c r="A172" s="362" t="s">
        <v>461</v>
      </c>
      <c r="B172" s="363"/>
      <c r="C172" s="770"/>
      <c r="E172" s="939"/>
      <c r="F172" s="892" t="s">
        <v>462</v>
      </c>
      <c r="G172" s="892" t="s">
        <v>462</v>
      </c>
      <c r="H172" s="970" t="s">
        <v>462</v>
      </c>
      <c r="I172" s="969"/>
      <c r="J172" s="892"/>
      <c r="K172" s="892"/>
      <c r="L172" s="892"/>
      <c r="M172" s="892"/>
      <c r="N172" s="892"/>
      <c r="O172" s="892"/>
      <c r="P172" s="892"/>
      <c r="Q172" s="892"/>
      <c r="R172" s="892"/>
      <c r="S172" s="892"/>
      <c r="T172" s="892"/>
      <c r="U172" s="892"/>
      <c r="V172" s="892"/>
      <c r="W172" s="970"/>
      <c r="X172" s="877"/>
      <c r="Y172" s="879"/>
      <c r="Z172" s="877"/>
      <c r="AA172" s="877"/>
      <c r="AB172" s="877"/>
      <c r="AC172" s="877"/>
      <c r="AD172" s="886"/>
      <c r="AE172" s="877"/>
      <c r="AF172" s="879"/>
      <c r="AG172" s="877"/>
      <c r="AH172" s="877"/>
      <c r="AI172" s="877"/>
      <c r="AJ172" s="877"/>
      <c r="AK172" s="886"/>
      <c r="AL172" s="877"/>
      <c r="AM172" s="879"/>
      <c r="AN172" s="877"/>
      <c r="AO172" s="877"/>
      <c r="AP172" s="877"/>
      <c r="AQ172" s="877"/>
      <c r="AR172" s="886"/>
      <c r="AS172" s="877"/>
      <c r="AT172" s="879"/>
      <c r="AU172" s="877"/>
      <c r="AV172" s="877"/>
      <c r="AW172" s="877"/>
      <c r="AX172" s="877"/>
      <c r="AY172" s="886"/>
      <c r="AZ172" s="877"/>
      <c r="BA172" s="879"/>
      <c r="BB172" s="877"/>
      <c r="BC172" s="877"/>
      <c r="BD172" s="877"/>
      <c r="BE172" s="877"/>
      <c r="BF172" s="886"/>
      <c r="BG172" s="877"/>
      <c r="BH172" s="879"/>
      <c r="BI172" s="877"/>
      <c r="BJ172" s="877"/>
      <c r="BK172" s="877"/>
      <c r="BL172" s="877"/>
      <c r="BM172" s="886"/>
      <c r="BN172" s="877"/>
      <c r="BO172" s="879"/>
      <c r="BP172" s="877"/>
      <c r="BQ172" s="877"/>
      <c r="BR172" s="877"/>
      <c r="BS172" s="877"/>
      <c r="BT172" s="886"/>
      <c r="BU172" s="877"/>
      <c r="BV172" s="879"/>
      <c r="BW172" s="886"/>
      <c r="BX172" s="877"/>
      <c r="BY172" s="877"/>
      <c r="BZ172" s="877"/>
      <c r="CA172" s="877"/>
      <c r="CB172" s="877"/>
      <c r="CC172" s="877"/>
      <c r="CD172" s="877"/>
      <c r="CE172" s="877"/>
    </row>
    <row r="173" spans="1:83">
      <c r="A173" s="108" t="s">
        <v>120</v>
      </c>
      <c r="B173" s="93" t="s">
        <v>121</v>
      </c>
      <c r="C173" s="87">
        <f>SUM(C177:C189)</f>
        <v>1</v>
      </c>
      <c r="E173" s="513" t="s">
        <v>316</v>
      </c>
      <c r="F173" s="872">
        <f>SUMPRODUCT($CJ$6:$CJ$8,F174:F176)</f>
        <v>0.73335506154469754</v>
      </c>
      <c r="G173" s="872">
        <f>SUMPRODUCT($CJ$6:$CJ$8,G174:G176)</f>
        <v>0.74759948093669759</v>
      </c>
      <c r="H173" s="873">
        <f>SUMPRODUCT($CJ$6:$CJ$8,H174:H176)</f>
        <v>1.2749229899760444</v>
      </c>
      <c r="I173" s="1277"/>
      <c r="J173" s="884"/>
      <c r="K173" s="884"/>
      <c r="L173" s="884"/>
      <c r="M173" s="884"/>
      <c r="N173" s="884"/>
      <c r="O173" s="884"/>
      <c r="P173" s="884"/>
      <c r="Q173" s="884"/>
      <c r="R173" s="884"/>
      <c r="S173" s="884"/>
      <c r="T173" s="884"/>
      <c r="U173" s="884"/>
      <c r="V173" s="884"/>
      <c r="W173" s="1278"/>
      <c r="X173" s="877"/>
      <c r="Y173" s="883">
        <f>Y177*$C$177+Y181*$C$181+Y185*$C$185+Y189*$C$189</f>
        <v>3.3461267099800396</v>
      </c>
      <c r="Z173" s="884">
        <f t="shared" ref="Z173:BT173" si="46">Z177*$C$177+Z181*$C$181+Z185*$C$185+Z189*$C$189</f>
        <v>3.3461267099800396</v>
      </c>
      <c r="AA173" s="884">
        <f t="shared" si="46"/>
        <v>3.3461267099800396</v>
      </c>
      <c r="AB173" s="884">
        <f t="shared" si="46"/>
        <v>3.3461267099800396</v>
      </c>
      <c r="AC173" s="884">
        <f t="shared" si="46"/>
        <v>3.7171260803461106</v>
      </c>
      <c r="AD173" s="885">
        <f t="shared" si="46"/>
        <v>3.8720063336938662</v>
      </c>
      <c r="AE173" s="877"/>
      <c r="AF173" s="883">
        <f t="shared" si="46"/>
        <v>6.668087160624267E-2</v>
      </c>
      <c r="AG173" s="884">
        <f t="shared" si="46"/>
        <v>6.668087160624267E-2</v>
      </c>
      <c r="AH173" s="884">
        <f t="shared" si="46"/>
        <v>6.668087160624267E-2</v>
      </c>
      <c r="AI173" s="884">
        <f t="shared" si="46"/>
        <v>6.668087160624267E-2</v>
      </c>
      <c r="AJ173" s="884">
        <f t="shared" si="46"/>
        <v>7.3816264520961322E-2</v>
      </c>
      <c r="AK173" s="885">
        <f t="shared" si="46"/>
        <v>7.6891942209334707E-2</v>
      </c>
      <c r="AL173" s="877"/>
      <c r="AM173" s="883">
        <f t="shared" si="46"/>
        <v>1.290799200756773E-2</v>
      </c>
      <c r="AN173" s="884">
        <f t="shared" si="46"/>
        <v>1.290799200756773E-2</v>
      </c>
      <c r="AO173" s="884">
        <f t="shared" si="46"/>
        <v>1.290799200756773E-2</v>
      </c>
      <c r="AP173" s="884">
        <f t="shared" si="46"/>
        <v>1.290799200756773E-2</v>
      </c>
      <c r="AQ173" s="884">
        <f t="shared" si="46"/>
        <v>1.4192375379974802E-2</v>
      </c>
      <c r="AR173" s="885">
        <f t="shared" si="46"/>
        <v>1.478372435414042E-2</v>
      </c>
      <c r="AS173" s="877"/>
      <c r="AT173" s="883">
        <f t="shared" si="46"/>
        <v>4.6629121136329318E-2</v>
      </c>
      <c r="AU173" s="884">
        <f t="shared" si="46"/>
        <v>4.6629121136329318E-2</v>
      </c>
      <c r="AV173" s="884">
        <f t="shared" si="46"/>
        <v>4.6629121136329318E-2</v>
      </c>
      <c r="AW173" s="884">
        <f t="shared" si="46"/>
        <v>4.6629121136329318E-2</v>
      </c>
      <c r="AX173" s="884">
        <f t="shared" si="46"/>
        <v>5.0686525512972438E-2</v>
      </c>
      <c r="AY173" s="885">
        <f t="shared" si="46"/>
        <v>5.2798464076012956E-2</v>
      </c>
      <c r="AZ173" s="877"/>
      <c r="BA173" s="883">
        <f t="shared" si="46"/>
        <v>7.9975819267483858E-10</v>
      </c>
      <c r="BB173" s="884">
        <f t="shared" si="46"/>
        <v>7.9975819267483858E-10</v>
      </c>
      <c r="BC173" s="884">
        <f t="shared" si="46"/>
        <v>7.9975819267483858E-10</v>
      </c>
      <c r="BD173" s="884">
        <f t="shared" si="46"/>
        <v>7.9975819267483858E-10</v>
      </c>
      <c r="BE173" s="884">
        <f t="shared" si="46"/>
        <v>8.9312419222877733E-10</v>
      </c>
      <c r="BF173" s="885">
        <f t="shared" si="46"/>
        <v>9.3033770023830971E-10</v>
      </c>
      <c r="BG173" s="877"/>
      <c r="BH173" s="883">
        <f t="shared" si="46"/>
        <v>8.6399059776527643E-4</v>
      </c>
      <c r="BI173" s="884">
        <f t="shared" si="46"/>
        <v>8.6399059776527643E-4</v>
      </c>
      <c r="BJ173" s="884">
        <f t="shared" si="46"/>
        <v>8.6399059776527643E-4</v>
      </c>
      <c r="BK173" s="884">
        <f t="shared" si="46"/>
        <v>8.6399059776527643E-4</v>
      </c>
      <c r="BL173" s="884">
        <f t="shared" si="46"/>
        <v>9.6603984851795102E-4</v>
      </c>
      <c r="BM173" s="885">
        <f t="shared" si="46"/>
        <v>1.0062915088728658E-3</v>
      </c>
      <c r="BN173" s="877"/>
      <c r="BO173" s="883">
        <f t="shared" si="46"/>
        <v>1.2277622533669671E-4</v>
      </c>
      <c r="BP173" s="884">
        <f t="shared" si="46"/>
        <v>1.2277622533669671E-4</v>
      </c>
      <c r="BQ173" s="884">
        <f t="shared" si="46"/>
        <v>1.2277622533669671E-4</v>
      </c>
      <c r="BR173" s="884">
        <f t="shared" si="46"/>
        <v>1.2277622533669671E-4</v>
      </c>
      <c r="BS173" s="884">
        <f t="shared" si="46"/>
        <v>1.3365273458738682E-4</v>
      </c>
      <c r="BT173" s="885">
        <f t="shared" si="46"/>
        <v>1.3922159852852798E-4</v>
      </c>
      <c r="BU173" s="877"/>
      <c r="BV173" s="883">
        <f>BV177*$C$177+BV181*$C$181+BV185*$C$185+BV189*$C$189</f>
        <v>5.7233516468099221</v>
      </c>
      <c r="BW173" s="885">
        <f>BW177*$C$177+BW181*$C$181+BW185*$C$185+BW189*$C$189</f>
        <v>5.9618246320936681</v>
      </c>
      <c r="BX173" s="877"/>
      <c r="BY173" s="877"/>
      <c r="BZ173" s="877"/>
      <c r="CA173" s="877"/>
      <c r="CB173" s="877"/>
      <c r="CC173" s="877"/>
      <c r="CD173" s="877"/>
      <c r="CE173" s="877"/>
    </row>
    <row r="174" spans="1:83" ht="19.5" customHeight="1">
      <c r="A174" s="195"/>
      <c r="B174" s="55"/>
      <c r="C174" s="83"/>
      <c r="E174" s="511" t="s">
        <v>317</v>
      </c>
      <c r="F174" s="877">
        <f t="shared" ref="F174:W174" si="47">F178*$C$177+F182*$C$181+$C$185*F186+F190*$C$189</f>
        <v>0.54659871070312882</v>
      </c>
      <c r="G174" s="877">
        <f t="shared" si="47"/>
        <v>0.56084313009512887</v>
      </c>
      <c r="H174" s="878">
        <f t="shared" si="47"/>
        <v>1.0673857302211298</v>
      </c>
      <c r="I174" s="928">
        <f t="shared" si="47"/>
        <v>0</v>
      </c>
      <c r="J174" s="877">
        <f t="shared" si="47"/>
        <v>0</v>
      </c>
      <c r="K174" s="877">
        <f t="shared" si="47"/>
        <v>0</v>
      </c>
      <c r="L174" s="877">
        <f t="shared" si="47"/>
        <v>0</v>
      </c>
      <c r="M174" s="877">
        <f t="shared" si="47"/>
        <v>0.15662542941043178</v>
      </c>
      <c r="N174" s="877">
        <f t="shared" si="47"/>
        <v>0</v>
      </c>
      <c r="O174" s="877">
        <f t="shared" si="47"/>
        <v>0</v>
      </c>
      <c r="P174" s="877">
        <f t="shared" si="47"/>
        <v>1.4244419392E-2</v>
      </c>
      <c r="Q174" s="877">
        <f t="shared" si="47"/>
        <v>0</v>
      </c>
      <c r="R174" s="877">
        <f t="shared" si="47"/>
        <v>0</v>
      </c>
      <c r="S174" s="877">
        <f t="shared" si="47"/>
        <v>0.38997328129269704</v>
      </c>
      <c r="T174" s="877">
        <f t="shared" si="47"/>
        <v>0</v>
      </c>
      <c r="U174" s="877">
        <f t="shared" si="47"/>
        <v>0.56084313009512887</v>
      </c>
      <c r="V174" s="877">
        <f t="shared" si="47"/>
        <v>0.05</v>
      </c>
      <c r="W174" s="878">
        <f t="shared" si="47"/>
        <v>0.35175023517000004</v>
      </c>
      <c r="X174" s="877"/>
      <c r="Y174" s="879"/>
      <c r="Z174" s="877"/>
      <c r="AA174" s="877"/>
      <c r="AB174" s="877"/>
      <c r="AC174" s="877"/>
      <c r="AD174" s="886"/>
      <c r="AE174" s="877"/>
      <c r="AF174" s="879"/>
      <c r="AG174" s="877"/>
      <c r="AH174" s="877"/>
      <c r="AI174" s="877"/>
      <c r="AJ174" s="877"/>
      <c r="AK174" s="886"/>
      <c r="AL174" s="877"/>
      <c r="AM174" s="879"/>
      <c r="AN174" s="877"/>
      <c r="AO174" s="877"/>
      <c r="AP174" s="877"/>
      <c r="AQ174" s="877"/>
      <c r="AR174" s="886"/>
      <c r="AS174" s="877"/>
      <c r="AT174" s="879"/>
      <c r="AU174" s="877"/>
      <c r="AV174" s="877"/>
      <c r="AW174" s="877"/>
      <c r="AX174" s="877"/>
      <c r="AY174" s="886"/>
      <c r="AZ174" s="877"/>
      <c r="BA174" s="879"/>
      <c r="BB174" s="877"/>
      <c r="BC174" s="877"/>
      <c r="BD174" s="877"/>
      <c r="BE174" s="877"/>
      <c r="BF174" s="886"/>
      <c r="BG174" s="877"/>
      <c r="BH174" s="879"/>
      <c r="BI174" s="877"/>
      <c r="BJ174" s="877"/>
      <c r="BK174" s="877"/>
      <c r="BL174" s="877"/>
      <c r="BM174" s="886"/>
      <c r="BN174" s="877"/>
      <c r="BO174" s="879"/>
      <c r="BP174" s="877"/>
      <c r="BQ174" s="877"/>
      <c r="BR174" s="877"/>
      <c r="BS174" s="877"/>
      <c r="BT174" s="886"/>
      <c r="BU174" s="877"/>
      <c r="BV174" s="879"/>
      <c r="BW174" s="886"/>
      <c r="BX174" s="877"/>
      <c r="BY174" s="877"/>
      <c r="BZ174" s="877"/>
      <c r="CA174" s="877"/>
      <c r="CB174" s="877"/>
      <c r="CC174" s="877"/>
      <c r="CD174" s="877"/>
      <c r="CE174" s="877"/>
    </row>
    <row r="175" spans="1:83">
      <c r="A175" s="195"/>
      <c r="B175" s="55"/>
      <c r="C175" s="83"/>
      <c r="E175" s="511" t="s">
        <v>367</v>
      </c>
      <c r="F175" s="877">
        <f t="shared" ref="F175:M175" si="48">F179*$C$177+F183*$C$181+$C$185*F187+F191*$C$189</f>
        <v>2.4480749507209166E-4</v>
      </c>
      <c r="G175" s="877">
        <f t="shared" si="48"/>
        <v>2.4480749507209166E-4</v>
      </c>
      <c r="H175" s="878">
        <f t="shared" si="48"/>
        <v>2.7157435271027615E-4</v>
      </c>
      <c r="I175" s="928">
        <f t="shared" si="48"/>
        <v>0</v>
      </c>
      <c r="J175" s="877">
        <f t="shared" si="48"/>
        <v>0</v>
      </c>
      <c r="K175" s="877">
        <f t="shared" si="48"/>
        <v>0</v>
      </c>
      <c r="L175" s="877">
        <f t="shared" si="48"/>
        <v>0</v>
      </c>
      <c r="M175" s="877">
        <f t="shared" si="48"/>
        <v>2.4480749507209166E-4</v>
      </c>
      <c r="N175" s="877">
        <f t="shared" ref="N175:W176" si="49">N179*$C$177+N183*$C$181+$C$185*N187+N191*$C$189</f>
        <v>0</v>
      </c>
      <c r="O175" s="877">
        <f t="shared" si="49"/>
        <v>0</v>
      </c>
      <c r="P175" s="877">
        <f t="shared" si="49"/>
        <v>0</v>
      </c>
      <c r="Q175" s="877">
        <f t="shared" si="49"/>
        <v>0</v>
      </c>
      <c r="R175" s="877">
        <f t="shared" si="49"/>
        <v>0</v>
      </c>
      <c r="S175" s="877">
        <f t="shared" si="49"/>
        <v>0</v>
      </c>
      <c r="T175" s="877">
        <f t="shared" si="49"/>
        <v>0</v>
      </c>
      <c r="U175" s="877">
        <f t="shared" si="49"/>
        <v>2.4480749507209166E-4</v>
      </c>
      <c r="V175" s="877">
        <f t="shared" si="49"/>
        <v>0</v>
      </c>
      <c r="W175" s="878">
        <f t="shared" si="49"/>
        <v>0</v>
      </c>
      <c r="X175" s="877"/>
      <c r="Y175" s="879"/>
      <c r="Z175" s="877"/>
      <c r="AA175" s="877"/>
      <c r="AB175" s="877"/>
      <c r="AC175" s="877"/>
      <c r="AD175" s="886"/>
      <c r="AE175" s="877"/>
      <c r="AF175" s="879"/>
      <c r="AG175" s="877"/>
      <c r="AH175" s="877"/>
      <c r="AI175" s="877"/>
      <c r="AJ175" s="877"/>
      <c r="AK175" s="886"/>
      <c r="AL175" s="877"/>
      <c r="AM175" s="879"/>
      <c r="AN175" s="877"/>
      <c r="AO175" s="877"/>
      <c r="AP175" s="877"/>
      <c r="AQ175" s="877"/>
      <c r="AR175" s="886"/>
      <c r="AS175" s="877"/>
      <c r="AT175" s="879"/>
      <c r="AU175" s="877"/>
      <c r="AV175" s="877"/>
      <c r="AW175" s="877"/>
      <c r="AX175" s="877"/>
      <c r="AY175" s="886"/>
      <c r="AZ175" s="877"/>
      <c r="BA175" s="879"/>
      <c r="BB175" s="877"/>
      <c r="BC175" s="877"/>
      <c r="BD175" s="877"/>
      <c r="BE175" s="877"/>
      <c r="BF175" s="886"/>
      <c r="BG175" s="877"/>
      <c r="BH175" s="879"/>
      <c r="BI175" s="877"/>
      <c r="BJ175" s="877"/>
      <c r="BK175" s="877"/>
      <c r="BL175" s="877"/>
      <c r="BM175" s="886"/>
      <c r="BN175" s="877"/>
      <c r="BO175" s="879"/>
      <c r="BP175" s="877"/>
      <c r="BQ175" s="877"/>
      <c r="BR175" s="877"/>
      <c r="BS175" s="877"/>
      <c r="BT175" s="886"/>
      <c r="BU175" s="877"/>
      <c r="BV175" s="879"/>
      <c r="BW175" s="886"/>
      <c r="BX175" s="877"/>
      <c r="BY175" s="877"/>
      <c r="BZ175" s="877"/>
      <c r="CA175" s="877"/>
      <c r="CB175" s="877"/>
      <c r="CC175" s="877"/>
      <c r="CD175" s="877"/>
      <c r="CE175" s="877"/>
    </row>
    <row r="176" spans="1:83">
      <c r="A176" s="18"/>
      <c r="B176" s="360"/>
      <c r="C176" s="83"/>
      <c r="E176" s="512" t="s">
        <v>320</v>
      </c>
      <c r="F176" s="877">
        <f>F180*$C$177+F184*$C$181+$C$185*F188+F192*$C$189</f>
        <v>7.9659122581429134E-4</v>
      </c>
      <c r="G176" s="877">
        <f t="shared" ref="G176:M176" si="50">G180*$C$177+G184*$C$181+$C$185*G188+G192*$C$189</f>
        <v>7.9659122581429134E-4</v>
      </c>
      <c r="H176" s="878">
        <f t="shared" si="50"/>
        <v>8.8523974376470489E-4</v>
      </c>
      <c r="I176" s="928">
        <f t="shared" si="50"/>
        <v>0</v>
      </c>
      <c r="J176" s="877">
        <f t="shared" si="50"/>
        <v>0</v>
      </c>
      <c r="K176" s="877">
        <f t="shared" si="50"/>
        <v>0</v>
      </c>
      <c r="L176" s="877">
        <f t="shared" si="50"/>
        <v>0</v>
      </c>
      <c r="M176" s="877">
        <f t="shared" si="50"/>
        <v>7.9659122581429134E-4</v>
      </c>
      <c r="N176" s="877">
        <f t="shared" si="49"/>
        <v>0</v>
      </c>
      <c r="O176" s="877">
        <f t="shared" si="49"/>
        <v>0</v>
      </c>
      <c r="P176" s="877">
        <f t="shared" si="49"/>
        <v>0</v>
      </c>
      <c r="Q176" s="877">
        <f t="shared" si="49"/>
        <v>0</v>
      </c>
      <c r="R176" s="877">
        <f t="shared" si="49"/>
        <v>0</v>
      </c>
      <c r="S176" s="877">
        <f t="shared" si="49"/>
        <v>0</v>
      </c>
      <c r="T176" s="877">
        <f t="shared" si="49"/>
        <v>0</v>
      </c>
      <c r="U176" s="877">
        <f t="shared" si="49"/>
        <v>7.9659122581429134E-4</v>
      </c>
      <c r="V176" s="877">
        <f t="shared" si="49"/>
        <v>0</v>
      </c>
      <c r="W176" s="878">
        <f t="shared" si="49"/>
        <v>0</v>
      </c>
      <c r="X176" s="877"/>
      <c r="Y176" s="879"/>
      <c r="Z176" s="877"/>
      <c r="AA176" s="877"/>
      <c r="AB176" s="877"/>
      <c r="AC176" s="877"/>
      <c r="AD176" s="886"/>
      <c r="AE176" s="877"/>
      <c r="AF176" s="879"/>
      <c r="AG176" s="877"/>
      <c r="AH176" s="877"/>
      <c r="AI176" s="877"/>
      <c r="AJ176" s="877"/>
      <c r="AK176" s="886"/>
      <c r="AL176" s="877"/>
      <c r="AM176" s="879"/>
      <c r="AN176" s="877"/>
      <c r="AO176" s="877"/>
      <c r="AP176" s="877"/>
      <c r="AQ176" s="877"/>
      <c r="AR176" s="886"/>
      <c r="AS176" s="877"/>
      <c r="AT176" s="879"/>
      <c r="AU176" s="877"/>
      <c r="AV176" s="877"/>
      <c r="AW176" s="877"/>
      <c r="AX176" s="877"/>
      <c r="AY176" s="886"/>
      <c r="AZ176" s="877"/>
      <c r="BA176" s="879"/>
      <c r="BB176" s="877"/>
      <c r="BC176" s="877"/>
      <c r="BD176" s="877"/>
      <c r="BE176" s="877"/>
      <c r="BF176" s="886"/>
      <c r="BG176" s="877"/>
      <c r="BH176" s="879"/>
      <c r="BI176" s="877"/>
      <c r="BJ176" s="877"/>
      <c r="BK176" s="877"/>
      <c r="BL176" s="877"/>
      <c r="BM176" s="886"/>
      <c r="BN176" s="877"/>
      <c r="BO176" s="879"/>
      <c r="BP176" s="877"/>
      <c r="BQ176" s="877"/>
      <c r="BR176" s="877"/>
      <c r="BS176" s="877"/>
      <c r="BT176" s="886"/>
      <c r="BU176" s="877"/>
      <c r="BV176" s="879"/>
      <c r="BW176" s="886"/>
      <c r="BX176" s="877"/>
      <c r="BY176" s="877"/>
      <c r="BZ176" s="877"/>
      <c r="CA176" s="877"/>
      <c r="CB176" s="877"/>
      <c r="CC176" s="877"/>
      <c r="CD176" s="877"/>
      <c r="CE176" s="877"/>
    </row>
    <row r="177" spans="1:83">
      <c r="A177" s="108" t="s">
        <v>149</v>
      </c>
      <c r="B177" s="93" t="s">
        <v>121</v>
      </c>
      <c r="C177" s="87">
        <f>'Input data plant-based products'!D190</f>
        <v>0.32707280280000001</v>
      </c>
      <c r="E177" s="513" t="s">
        <v>316</v>
      </c>
      <c r="F177" s="872">
        <f>SUMPRODUCT($CJ$6:$CJ$8,F178:F180)</f>
        <v>0.74479647227401591</v>
      </c>
      <c r="G177" s="872">
        <f>SUMPRODUCT($CJ$6:$CJ$8,G178:G180)</f>
        <v>0.76479647227401593</v>
      </c>
      <c r="H177" s="873">
        <f>SUMPRODUCT($CJ$6:$CJ$8,H178:H180)</f>
        <v>1.2172211294779545</v>
      </c>
      <c r="I177" s="1277"/>
      <c r="J177" s="884"/>
      <c r="K177" s="884"/>
      <c r="L177" s="884"/>
      <c r="M177" s="884"/>
      <c r="N177" s="884"/>
      <c r="O177" s="884"/>
      <c r="P177" s="884"/>
      <c r="Q177" s="884"/>
      <c r="R177" s="884"/>
      <c r="S177" s="884"/>
      <c r="T177" s="884"/>
      <c r="U177" s="884"/>
      <c r="V177" s="884"/>
      <c r="W177" s="1278"/>
      <c r="X177" s="877"/>
      <c r="Y177" s="879">
        <f>1/'Input data plant-based products'!E172*10^4</f>
        <v>3.0873726458783577</v>
      </c>
      <c r="Z177" s="877">
        <f>$Y177*'Input data plant-based products'!Z172</f>
        <v>3.0873726458783577</v>
      </c>
      <c r="AA177" s="877">
        <f>$Y177*'Input data plant-based products'!AA172</f>
        <v>3.0873726458783577</v>
      </c>
      <c r="AB177" s="877">
        <f>$Y177*'Input data plant-based products'!AB172</f>
        <v>3.0873726458783577</v>
      </c>
      <c r="AC177" s="877">
        <f>$Y177*'Input data plant-based products'!AC172</f>
        <v>3.2826928717473236</v>
      </c>
      <c r="AD177" s="886">
        <f>$Y177*'Input data plant-based products'!AD172</f>
        <v>3.4194717414034623</v>
      </c>
      <c r="AE177" s="877"/>
      <c r="AF177" s="879">
        <f>SUM('Input data plant-based products'!F172,'Input data plant-based products'!Q172)/'Input data plant-based products'!E172</f>
        <v>7.3170731707317069E-2</v>
      </c>
      <c r="AG177" s="877">
        <f>$AF177*'Input data plant-based products'!Z172</f>
        <v>7.3170731707317069E-2</v>
      </c>
      <c r="AH177" s="877">
        <f>$AF177*'Input data plant-based products'!AA172</f>
        <v>7.3170731707317069E-2</v>
      </c>
      <c r="AI177" s="877">
        <f>$AF177*'Input data plant-based products'!AB172</f>
        <v>7.3170731707317069E-2</v>
      </c>
      <c r="AJ177" s="877">
        <f>$AF177*'Input data plant-based products'!AC172</f>
        <v>7.7799821060411556E-2</v>
      </c>
      <c r="AK177" s="886">
        <f>$AF177*'Input data plant-based products'!AD172</f>
        <v>8.1041480271262054E-2</v>
      </c>
      <c r="AL177" s="877"/>
      <c r="AM177" s="879">
        <f>'Input data plant-based products'!R172/'Input data plant-based products'!E172</f>
        <v>1.8524235875270145E-2</v>
      </c>
      <c r="AN177" s="877">
        <f>$AM177*'Input data plant-based products'!Z172</f>
        <v>1.8524235875270145E-2</v>
      </c>
      <c r="AO177" s="877">
        <f>$AM177*'Input data plant-based products'!AA172</f>
        <v>1.8524235875270145E-2</v>
      </c>
      <c r="AP177" s="877">
        <f>$AM177*'Input data plant-based products'!AB172</f>
        <v>1.8524235875270145E-2</v>
      </c>
      <c r="AQ177" s="877">
        <f>$AM177*'Input data plant-based products'!AC172</f>
        <v>1.969615723048394E-2</v>
      </c>
      <c r="AR177" s="886">
        <f>$AM177*'Input data plant-based products'!AD172</f>
        <v>2.0516830448420773E-2</v>
      </c>
      <c r="AS177" s="877"/>
      <c r="AT177" s="879">
        <f>'Input data plant-based products'!S172</f>
        <v>9.2364702723536099E-2</v>
      </c>
      <c r="AU177" s="877">
        <f>$AT177*'Input data plant-based products'!Z172</f>
        <v>9.2364702723536099E-2</v>
      </c>
      <c r="AV177" s="877">
        <f>$AT177*'Input data plant-based products'!AA172</f>
        <v>9.2364702723536099E-2</v>
      </c>
      <c r="AW177" s="877">
        <f>$AT177*'Input data plant-based products'!AB172</f>
        <v>9.2364702723536099E-2</v>
      </c>
      <c r="AX177" s="877">
        <f>$AT177*'Input data plant-based products'!AC172</f>
        <v>9.8208083703919299E-2</v>
      </c>
      <c r="AY177" s="886">
        <f>$AT177*'Input data plant-based products'!AD172</f>
        <v>0.10230008719158262</v>
      </c>
      <c r="AZ177" s="877"/>
      <c r="BA177" s="879">
        <f>((SUM('Input data plant-based products'!U172:Y172)*Y177)/('Common input data'!$B$192/10^6))/$BB$3</f>
        <v>5.2948791852627376E-10</v>
      </c>
      <c r="BB177" s="877">
        <f>$BA177*'Input data plant-based products'!Z172</f>
        <v>5.2948791852627376E-10</v>
      </c>
      <c r="BC177" s="877">
        <f>$BA177*'Input data plant-based products'!AA172</f>
        <v>5.2948791852627376E-10</v>
      </c>
      <c r="BD177" s="877">
        <f>$BA177*'Input data plant-based products'!AB172</f>
        <v>5.2948791852627376E-10</v>
      </c>
      <c r="BE177" s="877">
        <f>$BA177*'Input data plant-based products'!AC172</f>
        <v>5.6298555930491631E-10</v>
      </c>
      <c r="BF177" s="886">
        <f>$BA177*'Input data plant-based products'!AD172</f>
        <v>5.8644329094262118E-10</v>
      </c>
      <c r="BG177" s="877"/>
      <c r="BH177" s="879">
        <f>'Input data plant-based products'!T172/'Input data plant-based products'!E172</f>
        <v>5.1999999999999995E-4</v>
      </c>
      <c r="BI177" s="877">
        <f>$BH177*'Input data plant-based products'!Z172</f>
        <v>5.1999999999999995E-4</v>
      </c>
      <c r="BJ177" s="877">
        <f>$BH177*'Input data plant-based products'!AA172</f>
        <v>5.1999999999999995E-4</v>
      </c>
      <c r="BK177" s="877">
        <f>$BH177*'Input data plant-based products'!AB172</f>
        <v>5.1999999999999995E-4</v>
      </c>
      <c r="BL177" s="877">
        <f>$BH177*'Input data plant-based products'!AC172</f>
        <v>5.5289739500265808E-4</v>
      </c>
      <c r="BM177" s="886">
        <f>$BH177*'Input data plant-based products'!AD172</f>
        <v>5.7593478646110225E-4</v>
      </c>
      <c r="BN177" s="877"/>
      <c r="BO177" s="879">
        <f>('Input data plant-based products'!F172/'Input data plant-based products'!E172*'Common input data'!$B$195+'Input data plant-based products'!G172/'Input data plant-based products'!E172*'Common input data'!$B$196)/'Common input data'!$B$198</f>
        <v>2.3649644766995939E-4</v>
      </c>
      <c r="BP177" s="877">
        <f>$BO177*'Input data plant-based products'!Z172</f>
        <v>2.3649644766995939E-4</v>
      </c>
      <c r="BQ177" s="877">
        <f>$BO177*'Input data plant-based products'!AA172</f>
        <v>2.3649644766995939E-4</v>
      </c>
      <c r="BR177" s="877">
        <f>$BO177*'Input data plant-based products'!AB172</f>
        <v>2.3649644766995939E-4</v>
      </c>
      <c r="BS177" s="877">
        <f>$BO177*'Input data plant-based products'!AC172</f>
        <v>2.5145821123865962E-4</v>
      </c>
      <c r="BT177" s="886">
        <f>$BO177*'Input data plant-based products'!AD172</f>
        <v>2.6193563670693715E-4</v>
      </c>
      <c r="BU177" s="877"/>
      <c r="BV177" s="879">
        <f>('Common input data'!$B$215+'Common input data'!$C$215)*'Input data plant-based products'!AC172</f>
        <v>5.4353003721424775</v>
      </c>
      <c r="BW177" s="886">
        <f>('Common input data'!$B$215+'Common input data'!$C$215)*'Input data plant-based products'!AD172</f>
        <v>5.6617712209817483</v>
      </c>
      <c r="BX177" s="877"/>
      <c r="BY177" s="877"/>
      <c r="BZ177" s="877"/>
      <c r="CA177" s="877"/>
      <c r="CB177" s="877"/>
      <c r="CC177" s="877"/>
      <c r="CD177" s="877"/>
      <c r="CE177" s="877"/>
    </row>
    <row r="178" spans="1:83">
      <c r="A178" s="195"/>
      <c r="B178" s="55"/>
      <c r="C178" s="83"/>
      <c r="E178" s="511" t="s">
        <v>317</v>
      </c>
      <c r="F178" s="877">
        <f>IF(AND($F$2="No",$F$3="No"),SUM(L178:N178),IF(AND($F$2="Yes", $F$3="No"), (SUM(L178:M178)+S178), IF(AND($F$2="No", $F$3="Yes"),(SUM(L178:M178)+R178), (SUM(L178:M178)+S178+R178))))</f>
        <v>0.57544569333050699</v>
      </c>
      <c r="G178" s="877">
        <f>IF(AND($F$2="No",$F$3="No"),SUM(I178:Q178),IF(AND($F$2="Yes", $F$3="No"), (SUM(I178:Q178)+S178), IF(AND($F$2="No", $F$3="Yes"),(SUM(I178:Q178)+R178), (SUM(I178:Q178)+S178+R178))))</f>
        <v>0.59544569333050701</v>
      </c>
      <c r="H178" s="878">
        <f>SUM(U178:W178)/(1-'Common input data'!$C$143)</f>
        <v>1.0371565054019214</v>
      </c>
      <c r="I178" s="928"/>
      <c r="J178" s="877"/>
      <c r="K178" s="877"/>
      <c r="L178" s="877"/>
      <c r="M178" s="877">
        <v>0.18547241203780995</v>
      </c>
      <c r="N178" s="877"/>
      <c r="O178" s="877"/>
      <c r="P178" s="877">
        <f>'Input data plant-based products'!G309</f>
        <v>0.02</v>
      </c>
      <c r="Q178" s="877"/>
      <c r="R178" s="877">
        <v>0</v>
      </c>
      <c r="S178" s="877">
        <f>'Common input data'!$AR$27</f>
        <v>0.38997328129269704</v>
      </c>
      <c r="T178" s="877">
        <v>0</v>
      </c>
      <c r="U178" s="877">
        <f>G178+T178</f>
        <v>0.59544569333050701</v>
      </c>
      <c r="V178" s="877">
        <f>'Common input data'!$B$105</f>
        <v>0.05</v>
      </c>
      <c r="W178" s="878">
        <f>'Common input data'!$B$123+'Common input data'!$C$123</f>
        <v>0.32999999999999996</v>
      </c>
      <c r="X178" s="877"/>
      <c r="Y178" s="879"/>
      <c r="Z178" s="877"/>
      <c r="AA178" s="877"/>
      <c r="AB178" s="877"/>
      <c r="AC178" s="877"/>
      <c r="AD178" s="886"/>
      <c r="AE178" s="877"/>
      <c r="AF178" s="879"/>
      <c r="AG178" s="877"/>
      <c r="AH178" s="877"/>
      <c r="AI178" s="877"/>
      <c r="AJ178" s="877"/>
      <c r="AK178" s="886"/>
      <c r="AL178" s="877"/>
      <c r="AM178" s="879"/>
      <c r="AN178" s="877"/>
      <c r="AO178" s="877"/>
      <c r="AP178" s="877"/>
      <c r="AQ178" s="877"/>
      <c r="AR178" s="886"/>
      <c r="AS178" s="877"/>
      <c r="AT178" s="879"/>
      <c r="AU178" s="877"/>
      <c r="AV178" s="877"/>
      <c r="AW178" s="877"/>
      <c r="AX178" s="877"/>
      <c r="AY178" s="886"/>
      <c r="AZ178" s="877"/>
      <c r="BA178" s="879"/>
      <c r="BB178" s="877"/>
      <c r="BC178" s="877"/>
      <c r="BD178" s="877"/>
      <c r="BE178" s="877"/>
      <c r="BF178" s="886"/>
      <c r="BG178" s="877"/>
      <c r="BH178" s="879"/>
      <c r="BI178" s="877"/>
      <c r="BJ178" s="877"/>
      <c r="BK178" s="877"/>
      <c r="BL178" s="877"/>
      <c r="BM178" s="886"/>
      <c r="BN178" s="877"/>
      <c r="BO178" s="879"/>
      <c r="BP178" s="877"/>
      <c r="BQ178" s="877"/>
      <c r="BR178" s="877"/>
      <c r="BS178" s="877"/>
      <c r="BT178" s="886"/>
      <c r="BU178" s="877"/>
      <c r="BV178" s="879"/>
      <c r="BW178" s="886"/>
      <c r="BX178" s="877"/>
      <c r="BY178" s="877"/>
      <c r="BZ178" s="877"/>
      <c r="CA178" s="877"/>
      <c r="CB178" s="877"/>
      <c r="CC178" s="877"/>
      <c r="CD178" s="877"/>
      <c r="CE178" s="877"/>
    </row>
    <row r="179" spans="1:83">
      <c r="A179" s="195"/>
      <c r="B179" s="55"/>
      <c r="C179" s="83"/>
      <c r="E179" s="511" t="s">
        <v>367</v>
      </c>
      <c r="F179" s="877">
        <f>SUM(K179:M179)</f>
        <v>2.4378118117000003E-4</v>
      </c>
      <c r="G179" s="877">
        <f>SUM(I179:Q179)</f>
        <v>2.4378118117000003E-4</v>
      </c>
      <c r="H179" s="878">
        <f>SUM(U179:W179)/(1-'Common input data'!$C$143)</f>
        <v>2.5920380772993091E-4</v>
      </c>
      <c r="I179" s="928"/>
      <c r="J179" s="877"/>
      <c r="K179" s="877"/>
      <c r="L179" s="877"/>
      <c r="M179" s="877">
        <v>2.4378118117000003E-4</v>
      </c>
      <c r="N179" s="877"/>
      <c r="O179" s="877"/>
      <c r="P179" s="877"/>
      <c r="Q179" s="877"/>
      <c r="R179" s="877">
        <v>0</v>
      </c>
      <c r="S179" s="877">
        <v>0</v>
      </c>
      <c r="T179" s="877">
        <v>0</v>
      </c>
      <c r="U179" s="877">
        <f t="shared" ref="U179:U192" si="51">G179+T179</f>
        <v>2.4378118117000003E-4</v>
      </c>
      <c r="V179" s="877">
        <v>0</v>
      </c>
      <c r="W179" s="878">
        <v>0</v>
      </c>
      <c r="X179" s="877"/>
      <c r="Y179" s="879"/>
      <c r="Z179" s="877"/>
      <c r="AA179" s="877"/>
      <c r="AB179" s="877"/>
      <c r="AC179" s="877"/>
      <c r="AD179" s="886"/>
      <c r="AE179" s="877"/>
      <c r="AF179" s="879"/>
      <c r="AG179" s="877"/>
      <c r="AH179" s="877"/>
      <c r="AI179" s="877"/>
      <c r="AJ179" s="877"/>
      <c r="AK179" s="886"/>
      <c r="AL179" s="877"/>
      <c r="AM179" s="879"/>
      <c r="AN179" s="877"/>
      <c r="AO179" s="877"/>
      <c r="AP179" s="877"/>
      <c r="AQ179" s="877"/>
      <c r="AR179" s="886"/>
      <c r="AS179" s="877"/>
      <c r="AT179" s="879"/>
      <c r="AU179" s="877"/>
      <c r="AV179" s="877"/>
      <c r="AW179" s="877"/>
      <c r="AX179" s="877"/>
      <c r="AY179" s="886"/>
      <c r="AZ179" s="877"/>
      <c r="BA179" s="879"/>
      <c r="BB179" s="877"/>
      <c r="BC179" s="877"/>
      <c r="BD179" s="877"/>
      <c r="BE179" s="877"/>
      <c r="BF179" s="886"/>
      <c r="BG179" s="877"/>
      <c r="BH179" s="879"/>
      <c r="BI179" s="877"/>
      <c r="BJ179" s="877"/>
      <c r="BK179" s="877"/>
      <c r="BL179" s="877"/>
      <c r="BM179" s="886"/>
      <c r="BN179" s="877"/>
      <c r="BO179" s="879"/>
      <c r="BP179" s="877"/>
      <c r="BQ179" s="877"/>
      <c r="BR179" s="877"/>
      <c r="BS179" s="877"/>
      <c r="BT179" s="886"/>
      <c r="BU179" s="877"/>
      <c r="BV179" s="879"/>
      <c r="BW179" s="886"/>
      <c r="BX179" s="877"/>
      <c r="BY179" s="877"/>
      <c r="BZ179" s="877"/>
      <c r="CA179" s="877"/>
      <c r="CB179" s="877"/>
      <c r="CC179" s="877"/>
      <c r="CD179" s="877"/>
      <c r="CE179" s="877"/>
    </row>
    <row r="180" spans="1:83">
      <c r="A180" s="18"/>
      <c r="B180" s="360"/>
      <c r="C180" s="83"/>
      <c r="E180" s="512" t="s">
        <v>320</v>
      </c>
      <c r="F180" s="877">
        <f>SUM(K180:M180)</f>
        <v>7.2190990296999995E-4</v>
      </c>
      <c r="G180" s="877">
        <f>SUM(I180:Q180)</f>
        <v>7.2190990296999995E-4</v>
      </c>
      <c r="H180" s="878">
        <f>SUM(U180:W180)/(1-'Common input data'!$C$143)</f>
        <v>7.6758097072833595E-4</v>
      </c>
      <c r="I180" s="928"/>
      <c r="J180" s="877"/>
      <c r="K180" s="877"/>
      <c r="L180" s="877"/>
      <c r="M180" s="877">
        <v>7.2190990296999995E-4</v>
      </c>
      <c r="N180" s="877"/>
      <c r="O180" s="877"/>
      <c r="P180" s="877"/>
      <c r="Q180" s="877"/>
      <c r="R180" s="877">
        <v>0</v>
      </c>
      <c r="S180" s="877">
        <v>0</v>
      </c>
      <c r="T180" s="877">
        <v>0</v>
      </c>
      <c r="U180" s="877">
        <f t="shared" si="51"/>
        <v>7.2190990296999995E-4</v>
      </c>
      <c r="V180" s="877">
        <v>0</v>
      </c>
      <c r="W180" s="878">
        <v>0</v>
      </c>
      <c r="X180" s="877"/>
      <c r="Y180" s="879"/>
      <c r="Z180" s="877"/>
      <c r="AA180" s="877"/>
      <c r="AB180" s="877"/>
      <c r="AC180" s="877"/>
      <c r="AD180" s="886"/>
      <c r="AE180" s="877"/>
      <c r="AF180" s="879"/>
      <c r="AG180" s="877"/>
      <c r="AH180" s="877"/>
      <c r="AI180" s="877"/>
      <c r="AJ180" s="877"/>
      <c r="AK180" s="886"/>
      <c r="AL180" s="877"/>
      <c r="AM180" s="879"/>
      <c r="AN180" s="877"/>
      <c r="AO180" s="877"/>
      <c r="AP180" s="877"/>
      <c r="AQ180" s="877"/>
      <c r="AR180" s="886"/>
      <c r="AS180" s="877"/>
      <c r="AT180" s="879"/>
      <c r="AU180" s="877"/>
      <c r="AV180" s="877"/>
      <c r="AW180" s="877"/>
      <c r="AX180" s="877"/>
      <c r="AY180" s="886"/>
      <c r="AZ180" s="877"/>
      <c r="BA180" s="879"/>
      <c r="BB180" s="877"/>
      <c r="BC180" s="877"/>
      <c r="BD180" s="877"/>
      <c r="BE180" s="877"/>
      <c r="BF180" s="886"/>
      <c r="BG180" s="877"/>
      <c r="BH180" s="879"/>
      <c r="BI180" s="877"/>
      <c r="BJ180" s="877"/>
      <c r="BK180" s="877"/>
      <c r="BL180" s="877"/>
      <c r="BM180" s="886"/>
      <c r="BN180" s="877"/>
      <c r="BO180" s="879"/>
      <c r="BP180" s="877"/>
      <c r="BQ180" s="877"/>
      <c r="BR180" s="877"/>
      <c r="BS180" s="877"/>
      <c r="BT180" s="886"/>
      <c r="BU180" s="877"/>
      <c r="BV180" s="879"/>
      <c r="BW180" s="886"/>
      <c r="BX180" s="877"/>
      <c r="BY180" s="877"/>
      <c r="BZ180" s="877"/>
      <c r="CA180" s="877"/>
      <c r="CB180" s="877"/>
      <c r="CC180" s="877"/>
      <c r="CD180" s="877"/>
      <c r="CE180" s="877"/>
    </row>
    <row r="181" spans="1:83">
      <c r="A181" s="108" t="s">
        <v>142</v>
      </c>
      <c r="B181" s="93" t="s">
        <v>121</v>
      </c>
      <c r="C181" s="87">
        <f>'Input data plant-based products'!D191</f>
        <v>0.28777903040000002</v>
      </c>
      <c r="E181" s="513" t="s">
        <v>316</v>
      </c>
      <c r="F181" s="872">
        <f>SUMPRODUCT($CJ$6:$CJ$8,F182:F184)</f>
        <v>0.82093134063005602</v>
      </c>
      <c r="G181" s="872">
        <f>SUMPRODUCT($CJ$6:$CJ$8,G182:G184)</f>
        <v>0.82093134063005602</v>
      </c>
      <c r="H181" s="873">
        <f>SUMPRODUCT($CJ$6:$CJ$8,H182:H184)</f>
        <v>1.3593253700497312</v>
      </c>
      <c r="I181" s="1277"/>
      <c r="J181" s="884"/>
      <c r="K181" s="884"/>
      <c r="L181" s="884"/>
      <c r="M181" s="884"/>
      <c r="N181" s="884"/>
      <c r="O181" s="884"/>
      <c r="P181" s="884"/>
      <c r="Q181" s="884"/>
      <c r="R181" s="884"/>
      <c r="S181" s="884"/>
      <c r="T181" s="884"/>
      <c r="U181" s="884"/>
      <c r="V181" s="884"/>
      <c r="W181" s="1278"/>
      <c r="X181" s="877"/>
      <c r="Y181" s="879">
        <f>1/'Input data plant-based products'!E173*10^4</f>
        <v>3.3098554255150141</v>
      </c>
      <c r="Z181" s="877">
        <f>$Y181*'Input data plant-based products'!Z173</f>
        <v>3.3098554255150141</v>
      </c>
      <c r="AA181" s="877">
        <f>$Y181*'Input data plant-based products'!AA173</f>
        <v>3.3098554255150141</v>
      </c>
      <c r="AB181" s="877">
        <f>$Y181*'Input data plant-based products'!AB173</f>
        <v>3.3098554255150141</v>
      </c>
      <c r="AC181" s="877">
        <f>$Y181*'Input data plant-based products'!AC173</f>
        <v>3.7464010629773918</v>
      </c>
      <c r="AD181" s="886">
        <f>$Y181*'Input data plant-based products'!AD173</f>
        <v>3.9025011072681171</v>
      </c>
      <c r="AE181" s="877"/>
      <c r="AF181" s="879">
        <f>SUM('Input data plant-based products'!F173,'Input data plant-based products'!Q173)/'Input data plant-based products'!E173</f>
        <v>8.3739342265529843E-2</v>
      </c>
      <c r="AG181" s="877">
        <f>$AF181*'Input data plant-based products'!Z173</f>
        <v>8.3739342265529843E-2</v>
      </c>
      <c r="AH181" s="877">
        <f>$AF181*'Input data plant-based products'!AA173</f>
        <v>8.3739342265529843E-2</v>
      </c>
      <c r="AI181" s="877">
        <f>$AF181*'Input data plant-based products'!AB173</f>
        <v>8.3739342265529843E-2</v>
      </c>
      <c r="AJ181" s="877">
        <f>$AF181*'Input data plant-based products'!AC173</f>
        <v>9.4783946893328003E-2</v>
      </c>
      <c r="AK181" s="886">
        <f>$AF181*'Input data plant-based products'!AD173</f>
        <v>9.8733278013883347E-2</v>
      </c>
      <c r="AL181" s="877"/>
      <c r="AM181" s="879">
        <f>'Input data plant-based products'!R173/'Input data plant-based products'!E173</f>
        <v>1.654927712757507E-2</v>
      </c>
      <c r="AN181" s="877">
        <f>$AM181*'Input data plant-based products'!Z173</f>
        <v>1.654927712757507E-2</v>
      </c>
      <c r="AO181" s="877">
        <f>$AM181*'Input data plant-based products'!AA173</f>
        <v>1.654927712757507E-2</v>
      </c>
      <c r="AP181" s="877">
        <f>$AM181*'Input data plant-based products'!AB173</f>
        <v>1.654927712757507E-2</v>
      </c>
      <c r="AQ181" s="877">
        <f>$AM181*'Input data plant-based products'!AC173</f>
        <v>1.873200531488696E-2</v>
      </c>
      <c r="AR181" s="886">
        <f>$AM181*'Input data plant-based products'!AD173</f>
        <v>1.9512505536340582E-2</v>
      </c>
      <c r="AS181" s="877"/>
      <c r="AT181" s="879">
        <f>'Input data plant-based products'!S173</f>
        <v>8.3191495512068404E-4</v>
      </c>
      <c r="AU181" s="877">
        <f>$AT181*'Input data plant-based products'!Z173</f>
        <v>8.3191495512068404E-4</v>
      </c>
      <c r="AV181" s="877">
        <f>$AT181*'Input data plant-based products'!AA173</f>
        <v>8.3191495512068404E-4</v>
      </c>
      <c r="AW181" s="877">
        <f>$AT181*'Input data plant-based products'!AB173</f>
        <v>8.3191495512068404E-4</v>
      </c>
      <c r="AX181" s="877">
        <f>$AT181*'Input data plant-based products'!AC173</f>
        <v>9.4163843174085559E-4</v>
      </c>
      <c r="AY181" s="886">
        <f>$AT181*'Input data plant-based products'!AD173</f>
        <v>9.8087336639672454E-4</v>
      </c>
      <c r="AZ181" s="877"/>
      <c r="BA181" s="879">
        <f>((SUM('Input data plant-based products'!U173:Y173)*Y181)/('Common input data'!$B$192/10^6))/$BB$3</f>
        <v>1.3670298043044441E-9</v>
      </c>
      <c r="BB181" s="877">
        <f>$BA181*'Input data plant-based products'!Z173</f>
        <v>1.3670298043044441E-9</v>
      </c>
      <c r="BC181" s="877">
        <f>$BA181*'Input data plant-based products'!AA173</f>
        <v>1.3670298043044441E-9</v>
      </c>
      <c r="BD181" s="877">
        <f>$BA181*'Input data plant-based products'!AB173</f>
        <v>1.3670298043044441E-9</v>
      </c>
      <c r="BE181" s="877">
        <f>$BA181*'Input data plant-based products'!AC173</f>
        <v>1.5473310019790511E-9</v>
      </c>
      <c r="BF181" s="886">
        <f>$BA181*'Input data plant-based products'!AD173</f>
        <v>1.6118031270615118E-9</v>
      </c>
      <c r="BG181" s="877"/>
      <c r="BH181" s="879">
        <f>'Input data plant-based products'!T173/'Input data plant-based products'!E173</f>
        <v>1.5907165175025157E-3</v>
      </c>
      <c r="BI181" s="877">
        <f>$BH181*'Input data plant-based products'!Z173</f>
        <v>1.5907165175025157E-3</v>
      </c>
      <c r="BJ181" s="877">
        <f>$BH181*'Input data plant-based products'!AA173</f>
        <v>1.5907165175025157E-3</v>
      </c>
      <c r="BK181" s="877">
        <f>$BH181*'Input data plant-based products'!AB173</f>
        <v>1.5907165175025157E-3</v>
      </c>
      <c r="BL181" s="877">
        <f>$BH181*'Input data plant-based products'!AC173</f>
        <v>1.8005203508669346E-3</v>
      </c>
      <c r="BM181" s="886">
        <f>$BH181*'Input data plant-based products'!AD173</f>
        <v>1.8755420321530569E-3</v>
      </c>
      <c r="BN181" s="877"/>
      <c r="BO181" s="879">
        <f>('Input data plant-based products'!F173/'Input data plant-based products'!E173*'Common input data'!$B$195+'Input data plant-based products'!G173/'Input data plant-based products'!E173*'Common input data'!$B$196)/'Common input data'!$B$198</f>
        <v>8.4512965145346625E-5</v>
      </c>
      <c r="BP181" s="877">
        <f>$BO181*'Input data plant-based products'!Z173</f>
        <v>8.4512965145346625E-5</v>
      </c>
      <c r="BQ181" s="877">
        <f>$BO181*'Input data plant-based products'!AA173</f>
        <v>8.4512965145346625E-5</v>
      </c>
      <c r="BR181" s="877">
        <f>$BO181*'Input data plant-based products'!AB173</f>
        <v>8.4512965145346625E-5</v>
      </c>
      <c r="BS181" s="877">
        <f>$BO181*'Input data plant-based products'!AC173</f>
        <v>9.56596049528755E-5</v>
      </c>
      <c r="BT181" s="886">
        <f>$BO181*'Input data plant-based products'!AD173</f>
        <v>9.9645421825911981E-5</v>
      </c>
      <c r="BU181" s="877"/>
      <c r="BV181" s="879">
        <f>('Common input data'!$B$219+'Common input data'!$C$219)*'Input data plant-based products'!AC173</f>
        <v>5.6315055530653924</v>
      </c>
      <c r="BW181" s="886">
        <f>('Common input data'!$B$219+'Common input data'!$C$219)*'Input data plant-based products'!AD173</f>
        <v>5.8661516177764508</v>
      </c>
      <c r="BX181" s="877"/>
      <c r="BY181" s="877"/>
      <c r="BZ181" s="877"/>
      <c r="CA181" s="877"/>
      <c r="CB181" s="877"/>
      <c r="CC181" s="877"/>
      <c r="CD181" s="877"/>
      <c r="CE181" s="877"/>
    </row>
    <row r="182" spans="1:83">
      <c r="A182" s="195"/>
      <c r="B182" s="55"/>
      <c r="C182" s="83"/>
      <c r="E182" s="511" t="s">
        <v>317</v>
      </c>
      <c r="F182" s="877">
        <f>IF(AND($F$2="No",$F$3="No"),SUM(L182:N182),IF(AND($F$2="Yes", $F$3="No"), (SUM(L182:M182)+S182), IF(AND($F$2="No", $F$3="Yes"),(SUM(L182:M182)+R182), (SUM(L182:M182)+S182+R182))))</f>
        <v>0.58124275784819701</v>
      </c>
      <c r="G182" s="877">
        <f>IF(AND($F$2="No",$F$3="No"),SUM(I182:Q182),IF(AND($F$2="Yes", $F$3="No"), (SUM(I182:Q182)+S182), IF(AND($F$2="No", $F$3="Yes"),(SUM(I182:Q182)+R182), (SUM(I182:Q182)+S182+R182))))</f>
        <v>0.58124275784819701</v>
      </c>
      <c r="H182" s="878">
        <f>SUM(U182:W182)/(1-'Common input data'!$F$143)</f>
        <v>1.0880236224279971</v>
      </c>
      <c r="I182" s="928"/>
      <c r="J182" s="877"/>
      <c r="K182" s="877"/>
      <c r="L182" s="877"/>
      <c r="M182" s="877">
        <v>0.1912694765555</v>
      </c>
      <c r="N182" s="877"/>
      <c r="O182" s="877"/>
      <c r="P182" s="877"/>
      <c r="Q182" s="877"/>
      <c r="R182" s="877">
        <v>0</v>
      </c>
      <c r="S182" s="877">
        <f>'Common input data'!$AR$27</f>
        <v>0.38997328129269704</v>
      </c>
      <c r="T182" s="877">
        <v>0</v>
      </c>
      <c r="U182" s="877">
        <f t="shared" si="51"/>
        <v>0.58124275784819701</v>
      </c>
      <c r="V182" s="877">
        <f>'Common input data'!$B$105</f>
        <v>0.05</v>
      </c>
      <c r="W182" s="878">
        <f>'Common input data'!$B$123+'Common input data'!$C$123</f>
        <v>0.32999999999999996</v>
      </c>
      <c r="X182" s="877"/>
      <c r="Y182" s="879"/>
      <c r="Z182" s="877"/>
      <c r="AA182" s="877"/>
      <c r="AB182" s="877"/>
      <c r="AC182" s="877"/>
      <c r="AD182" s="886"/>
      <c r="AE182" s="877"/>
      <c r="AF182" s="879"/>
      <c r="AG182" s="877"/>
      <c r="AH182" s="877"/>
      <c r="AI182" s="877"/>
      <c r="AJ182" s="877"/>
      <c r="AK182" s="886"/>
      <c r="AL182" s="877"/>
      <c r="AM182" s="879"/>
      <c r="AN182" s="877"/>
      <c r="AO182" s="877"/>
      <c r="AP182" s="877"/>
      <c r="AQ182" s="877"/>
      <c r="AR182" s="886"/>
      <c r="AS182" s="877"/>
      <c r="AT182" s="879"/>
      <c r="AU182" s="877"/>
      <c r="AV182" s="877"/>
      <c r="AW182" s="877"/>
      <c r="AX182" s="877"/>
      <c r="AY182" s="886"/>
      <c r="AZ182" s="877"/>
      <c r="BA182" s="879"/>
      <c r="BB182" s="877"/>
      <c r="BC182" s="877"/>
      <c r="BD182" s="877"/>
      <c r="BE182" s="877"/>
      <c r="BF182" s="886"/>
      <c r="BG182" s="877"/>
      <c r="BH182" s="879"/>
      <c r="BI182" s="877"/>
      <c r="BJ182" s="877"/>
      <c r="BK182" s="877"/>
      <c r="BL182" s="877"/>
      <c r="BM182" s="886"/>
      <c r="BN182" s="877"/>
      <c r="BO182" s="879"/>
      <c r="BP182" s="877"/>
      <c r="BQ182" s="877"/>
      <c r="BR182" s="877"/>
      <c r="BS182" s="877"/>
      <c r="BT182" s="886"/>
      <c r="BU182" s="877"/>
      <c r="BV182" s="879"/>
      <c r="BW182" s="886"/>
      <c r="BX182" s="877"/>
      <c r="BY182" s="877"/>
      <c r="BZ182" s="877"/>
      <c r="CA182" s="877"/>
      <c r="CB182" s="877"/>
      <c r="CC182" s="877"/>
      <c r="CD182" s="877"/>
      <c r="CE182" s="877"/>
    </row>
    <row r="183" spans="1:83">
      <c r="A183" s="195"/>
      <c r="B183" s="55"/>
      <c r="C183" s="83"/>
      <c r="E183" s="511" t="s">
        <v>367</v>
      </c>
      <c r="F183" s="877">
        <f>SUM(K183:M183)</f>
        <v>3.2151556784999996E-4</v>
      </c>
      <c r="G183" s="877">
        <f>SUM(I183:Q183)</f>
        <v>3.2151556784999996E-4</v>
      </c>
      <c r="H183" s="878">
        <f>SUM(U183:W183)/(1-'Common input data'!$F$143)</f>
        <v>3.6392111143935998E-4</v>
      </c>
      <c r="I183" s="928"/>
      <c r="J183" s="877"/>
      <c r="K183" s="877"/>
      <c r="L183" s="877"/>
      <c r="M183" s="877">
        <v>3.2151556784999996E-4</v>
      </c>
      <c r="N183" s="877"/>
      <c r="O183" s="877"/>
      <c r="P183" s="877"/>
      <c r="Q183" s="877"/>
      <c r="R183" s="877">
        <v>0</v>
      </c>
      <c r="S183" s="877">
        <v>0</v>
      </c>
      <c r="T183" s="877">
        <v>0</v>
      </c>
      <c r="U183" s="877">
        <f t="shared" si="51"/>
        <v>3.2151556784999996E-4</v>
      </c>
      <c r="V183" s="877">
        <v>0</v>
      </c>
      <c r="W183" s="878">
        <v>0</v>
      </c>
      <c r="X183" s="877"/>
      <c r="Y183" s="879"/>
      <c r="Z183" s="877"/>
      <c r="AA183" s="877"/>
      <c r="AB183" s="877"/>
      <c r="AC183" s="877"/>
      <c r="AD183" s="886"/>
      <c r="AE183" s="877"/>
      <c r="AF183" s="879"/>
      <c r="AG183" s="877"/>
      <c r="AH183" s="877"/>
      <c r="AI183" s="877"/>
      <c r="AJ183" s="877"/>
      <c r="AK183" s="886"/>
      <c r="AL183" s="877"/>
      <c r="AM183" s="879"/>
      <c r="AN183" s="877"/>
      <c r="AO183" s="877"/>
      <c r="AP183" s="877"/>
      <c r="AQ183" s="877"/>
      <c r="AR183" s="886"/>
      <c r="AS183" s="877"/>
      <c r="AT183" s="879"/>
      <c r="AU183" s="877"/>
      <c r="AV183" s="877"/>
      <c r="AW183" s="877"/>
      <c r="AX183" s="877"/>
      <c r="AY183" s="886"/>
      <c r="AZ183" s="877"/>
      <c r="BA183" s="879"/>
      <c r="BB183" s="877"/>
      <c r="BC183" s="877"/>
      <c r="BD183" s="877"/>
      <c r="BE183" s="877"/>
      <c r="BF183" s="886"/>
      <c r="BG183" s="877"/>
      <c r="BH183" s="879"/>
      <c r="BI183" s="877"/>
      <c r="BJ183" s="877"/>
      <c r="BK183" s="877"/>
      <c r="BL183" s="877"/>
      <c r="BM183" s="886"/>
      <c r="BN183" s="877"/>
      <c r="BO183" s="879"/>
      <c r="BP183" s="877"/>
      <c r="BQ183" s="877"/>
      <c r="BR183" s="877"/>
      <c r="BS183" s="877"/>
      <c r="BT183" s="886"/>
      <c r="BU183" s="877"/>
      <c r="BV183" s="879"/>
      <c r="BW183" s="886"/>
      <c r="BX183" s="877"/>
      <c r="BY183" s="877"/>
      <c r="BZ183" s="877"/>
      <c r="CA183" s="877"/>
      <c r="CB183" s="877"/>
      <c r="CC183" s="877"/>
      <c r="CD183" s="877"/>
      <c r="CE183" s="877"/>
    </row>
    <row r="184" spans="1:83">
      <c r="A184" s="18"/>
      <c r="B184" s="360"/>
      <c r="C184" s="83"/>
      <c r="E184" s="512" t="s">
        <v>320</v>
      </c>
      <c r="F184" s="877">
        <f>SUM(K184:M184)</f>
        <v>1.022220856708E-3</v>
      </c>
      <c r="G184" s="877">
        <f>SUM(I184:Q184)</f>
        <v>1.022220856708E-3</v>
      </c>
      <c r="H184" s="878">
        <f>SUM(U184:W184)/(1-'Common input data'!$F$143)</f>
        <v>1.1570442849698239E-3</v>
      </c>
      <c r="I184" s="928"/>
      <c r="J184" s="877"/>
      <c r="K184" s="877"/>
      <c r="L184" s="877"/>
      <c r="M184" s="877">
        <v>1.022220856708E-3</v>
      </c>
      <c r="N184" s="877"/>
      <c r="O184" s="877"/>
      <c r="P184" s="877"/>
      <c r="Q184" s="877"/>
      <c r="R184" s="877">
        <v>0</v>
      </c>
      <c r="S184" s="877">
        <v>0</v>
      </c>
      <c r="T184" s="877">
        <v>0</v>
      </c>
      <c r="U184" s="877">
        <f t="shared" si="51"/>
        <v>1.022220856708E-3</v>
      </c>
      <c r="V184" s="877">
        <v>0</v>
      </c>
      <c r="W184" s="878">
        <v>0</v>
      </c>
      <c r="X184" s="877"/>
      <c r="Y184" s="879"/>
      <c r="Z184" s="877"/>
      <c r="AA184" s="877"/>
      <c r="AB184" s="877"/>
      <c r="AC184" s="877"/>
      <c r="AD184" s="886"/>
      <c r="AE184" s="877"/>
      <c r="AF184" s="879"/>
      <c r="AG184" s="877"/>
      <c r="AH184" s="877"/>
      <c r="AI184" s="877"/>
      <c r="AJ184" s="877"/>
      <c r="AK184" s="886"/>
      <c r="AL184" s="877"/>
      <c r="AM184" s="879"/>
      <c r="AN184" s="877"/>
      <c r="AO184" s="877"/>
      <c r="AP184" s="877"/>
      <c r="AQ184" s="877"/>
      <c r="AR184" s="886"/>
      <c r="AS184" s="877"/>
      <c r="AT184" s="879"/>
      <c r="AU184" s="877"/>
      <c r="AV184" s="877"/>
      <c r="AW184" s="877"/>
      <c r="AX184" s="877"/>
      <c r="AY184" s="886"/>
      <c r="AZ184" s="877"/>
      <c r="BA184" s="879"/>
      <c r="BB184" s="877"/>
      <c r="BC184" s="877"/>
      <c r="BD184" s="877"/>
      <c r="BE184" s="877"/>
      <c r="BF184" s="886"/>
      <c r="BG184" s="877"/>
      <c r="BH184" s="879"/>
      <c r="BI184" s="877"/>
      <c r="BJ184" s="877"/>
      <c r="BK184" s="877"/>
      <c r="BL184" s="877"/>
      <c r="BM184" s="886"/>
      <c r="BN184" s="877"/>
      <c r="BO184" s="879"/>
      <c r="BP184" s="877"/>
      <c r="BQ184" s="877"/>
      <c r="BR184" s="877"/>
      <c r="BS184" s="877"/>
      <c r="BT184" s="886"/>
      <c r="BU184" s="877"/>
      <c r="BV184" s="879"/>
      <c r="BW184" s="886"/>
      <c r="BX184" s="877"/>
      <c r="BY184" s="877"/>
      <c r="BZ184" s="877"/>
      <c r="CA184" s="877"/>
      <c r="CB184" s="877"/>
      <c r="CC184" s="877"/>
      <c r="CD184" s="877"/>
      <c r="CE184" s="877"/>
    </row>
    <row r="185" spans="1:83">
      <c r="A185" s="108" t="s">
        <v>184</v>
      </c>
      <c r="B185" s="93" t="s">
        <v>121</v>
      </c>
      <c r="C185" s="87">
        <f>'Input data plant-based products'!D192</f>
        <v>0.16764581510000001</v>
      </c>
      <c r="E185" s="513" t="s">
        <v>316</v>
      </c>
      <c r="F185" s="872">
        <f>SUMPRODUCT($CJ$6:$CJ$8,F186:F188)</f>
        <v>0.65025097730595316</v>
      </c>
      <c r="G185" s="872">
        <f>SUMPRODUCT($CJ$6:$CJ$8,G186:G188)</f>
        <v>0.67025097730595307</v>
      </c>
      <c r="H185" s="873">
        <f>SUMPRODUCT($CJ$6:$CJ$8,H186:H188)</f>
        <v>1.188771372743519</v>
      </c>
      <c r="I185" s="1277"/>
      <c r="J185" s="884"/>
      <c r="K185" s="884"/>
      <c r="L185" s="884"/>
      <c r="M185" s="884"/>
      <c r="N185" s="884"/>
      <c r="O185" s="884"/>
      <c r="P185" s="884"/>
      <c r="Q185" s="884"/>
      <c r="R185" s="884"/>
      <c r="S185" s="884"/>
      <c r="T185" s="884"/>
      <c r="U185" s="884"/>
      <c r="V185" s="884"/>
      <c r="W185" s="1278"/>
      <c r="X185" s="877"/>
      <c r="Y185" s="879">
        <f>1/'Input data plant-based products'!E174*10^4</f>
        <v>3.4075033223157396</v>
      </c>
      <c r="Z185" s="877">
        <f>$Y185*'Input data plant-based products'!Z174</f>
        <v>3.4075033223157396</v>
      </c>
      <c r="AA185" s="877">
        <f>$Y185*'Input data plant-based products'!AA174</f>
        <v>3.4075033223157396</v>
      </c>
      <c r="AB185" s="877">
        <f>$Y185*'Input data plant-based products'!AB174</f>
        <v>3.4075033223157396</v>
      </c>
      <c r="AC185" s="877">
        <f>$Y185*'Input data plant-based products'!AC174</f>
        <v>3.8569280006652584</v>
      </c>
      <c r="AD185" s="886">
        <f>$Y185*'Input data plant-based products'!AD174</f>
        <v>4.0176333340263115</v>
      </c>
      <c r="AE185" s="877"/>
      <c r="AF185" s="879">
        <f>SUM('Input data plant-based products'!F174,'Input data plant-based products'!Q174)/'Input data plant-based products'!E174</f>
        <v>3.1689780897536379E-2</v>
      </c>
      <c r="AG185" s="877">
        <f>$AF185*'Input data plant-based products'!Z174</f>
        <v>3.1689780897536379E-2</v>
      </c>
      <c r="AH185" s="877">
        <f>$AF185*'Input data plant-based products'!AA174</f>
        <v>3.1689780897536379E-2</v>
      </c>
      <c r="AI185" s="877">
        <f>$AF185*'Input data plant-based products'!AB174</f>
        <v>3.1689780897536379E-2</v>
      </c>
      <c r="AJ185" s="877">
        <f>$AF185*'Input data plant-based products'!AC174</f>
        <v>3.5869430406186904E-2</v>
      </c>
      <c r="AK185" s="886">
        <f>$AF185*'Input data plant-based products'!AD174</f>
        <v>3.7363990006444699E-2</v>
      </c>
      <c r="AL185" s="877"/>
      <c r="AM185" s="879">
        <f>'Input data plant-based products'!R174/'Input data plant-based products'!E174</f>
        <v>1.7037516611578696E-3</v>
      </c>
      <c r="AN185" s="877">
        <f>$AM185*'Input data plant-based products'!Z174</f>
        <v>1.7037516611578696E-3</v>
      </c>
      <c r="AO185" s="877">
        <f>$AM185*'Input data plant-based products'!AA174</f>
        <v>1.7037516611578696E-3</v>
      </c>
      <c r="AP185" s="877">
        <f>$AM185*'Input data plant-based products'!AB174</f>
        <v>1.7037516611578696E-3</v>
      </c>
      <c r="AQ185" s="877">
        <f>$AM185*'Input data plant-based products'!AC174</f>
        <v>1.9284640003326291E-3</v>
      </c>
      <c r="AR185" s="886">
        <f>$AM185*'Input data plant-based products'!AD174</f>
        <v>2.0088166670131553E-3</v>
      </c>
      <c r="AS185" s="877"/>
      <c r="AT185" s="879">
        <f>'Input data plant-based products'!S174</f>
        <v>5.3124997988455601E-3</v>
      </c>
      <c r="AU185" s="877">
        <f>$AT185*'Input data plant-based products'!Z174</f>
        <v>5.3124997988455601E-3</v>
      </c>
      <c r="AV185" s="877">
        <f>$AT185*'Input data plant-based products'!AA174</f>
        <v>5.3124997988455601E-3</v>
      </c>
      <c r="AW185" s="877">
        <f>$AT185*'Input data plant-based products'!AB174</f>
        <v>5.3124997988455601E-3</v>
      </c>
      <c r="AX185" s="877">
        <f>$AT185*'Input data plant-based products'!AC174</f>
        <v>6.0131795304519424E-3</v>
      </c>
      <c r="AY185" s="886">
        <f>$AT185*'Input data plant-based products'!AD174</f>
        <v>6.2637286775541071E-3</v>
      </c>
      <c r="AZ185" s="877"/>
      <c r="BA185" s="879">
        <f>((SUM('Input data plant-based products'!U174:Y174)*Y185)/('Common input data'!$B$192/10^6))/$BB$3</f>
        <v>3.028864943881293E-10</v>
      </c>
      <c r="BB185" s="877">
        <f>$BA185*'Input data plant-based products'!Z174</f>
        <v>3.028864943881293E-10</v>
      </c>
      <c r="BC185" s="877">
        <f>$BA185*'Input data plant-based products'!AA174</f>
        <v>3.028864943881293E-10</v>
      </c>
      <c r="BD185" s="877">
        <f>$BA185*'Input data plant-based products'!AB174</f>
        <v>3.028864943881293E-10</v>
      </c>
      <c r="BE185" s="877">
        <f>$BA185*'Input data plant-based products'!AC174</f>
        <v>3.4283499991865013E-10</v>
      </c>
      <c r="BF185" s="886">
        <f>$BA185*'Input data plant-based products'!AD174</f>
        <v>3.5711979158192724E-10</v>
      </c>
      <c r="BG185" s="877"/>
      <c r="BH185" s="879">
        <f>'Input data plant-based products'!T174/'Input data plant-based products'!E174</f>
        <v>3.1349030565304805E-4</v>
      </c>
      <c r="BI185" s="877">
        <f>$BH185*'Input data plant-based products'!Z174</f>
        <v>3.1349030565304805E-4</v>
      </c>
      <c r="BJ185" s="877">
        <f>$BH185*'Input data plant-based products'!AA174</f>
        <v>3.1349030565304805E-4</v>
      </c>
      <c r="BK185" s="877">
        <f>$BH185*'Input data plant-based products'!AB174</f>
        <v>3.1349030565304805E-4</v>
      </c>
      <c r="BL185" s="877">
        <f>$BH185*'Input data plant-based products'!AC174</f>
        <v>3.5483737606120376E-4</v>
      </c>
      <c r="BM185" s="886">
        <f>$BH185*'Input data plant-based products'!AD174</f>
        <v>3.6962226673042063E-4</v>
      </c>
      <c r="BN185" s="877"/>
      <c r="BO185" s="879">
        <f>('Input data plant-based products'!F174/'Input data plant-based products'!E174*'Common input data'!$B$195+'Input data plant-based products'!G174/'Input data plant-based products'!E174*'Common input data'!$B$196)/'Common input data'!$B$198</f>
        <v>8.7006280483297382E-5</v>
      </c>
      <c r="BP185" s="877">
        <f>$BO185*'Input data plant-based products'!Z174</f>
        <v>8.7006280483297382E-5</v>
      </c>
      <c r="BQ185" s="877">
        <f>$BO185*'Input data plant-based products'!AA174</f>
        <v>8.7006280483297382E-5</v>
      </c>
      <c r="BR185" s="877">
        <f>$BO185*'Input data plant-based products'!AB174</f>
        <v>8.7006280483297382E-5</v>
      </c>
      <c r="BS185" s="877">
        <f>$BO185*'Input data plant-based products'!AC174</f>
        <v>9.8481770283853081E-5</v>
      </c>
      <c r="BT185" s="886">
        <f>$BO185*'Input data plant-based products'!AD174</f>
        <v>1.0258517737901364E-4</v>
      </c>
      <c r="BU185" s="877"/>
      <c r="BV185" s="879">
        <f>('Common input data'!$B$217+'Common input data'!$C$217)*'Input data plant-based products'!AC174</f>
        <v>5.5770615161023054</v>
      </c>
      <c r="BW185" s="886">
        <f>('Common input data'!$B$217+'Common input data'!$C$217)*'Input data plant-based products'!AD174</f>
        <v>5.8094390792732353</v>
      </c>
      <c r="BX185" s="877"/>
      <c r="BY185" s="877"/>
      <c r="BZ185" s="877"/>
      <c r="CA185" s="877"/>
      <c r="CB185" s="877"/>
      <c r="CC185" s="877"/>
      <c r="CD185" s="877"/>
      <c r="CE185" s="877"/>
    </row>
    <row r="186" spans="1:83">
      <c r="A186" s="359"/>
      <c r="B186" s="360"/>
      <c r="C186" s="83"/>
      <c r="E186" s="511" t="s">
        <v>317</v>
      </c>
      <c r="F186" s="877">
        <f>IF(AND($F$2="No",$F$3="No"),SUM(L186:N186),IF(AND($F$2="Yes", $F$3="No"), (SUM(L186:M186)+S186), IF(AND($F$2="No", $F$3="Yes"),(SUM(L186:M186)+R186), (SUM(L186:M186)+S186+R186))))</f>
        <v>0.51139796810799709</v>
      </c>
      <c r="G186" s="877">
        <f>IF(AND($F$2="No",$F$3="No"),SUM(I186:Q186),IF(AND($F$2="Yes", $F$3="No"), (SUM(I186:Q186)+S186), IF(AND($F$2="No", $F$3="Yes"),(SUM(I186:Q186)+R186), (SUM(I186:Q186)+S186+R186))))</f>
        <v>0.531397968107997</v>
      </c>
      <c r="H186" s="878">
        <f>SUM(U186:W186)/(1-'Common input data'!$F$143)</f>
        <v>1.0316046707641149</v>
      </c>
      <c r="I186" s="928"/>
      <c r="J186" s="877"/>
      <c r="K186" s="877"/>
      <c r="L186" s="877"/>
      <c r="M186" s="877">
        <v>0.12142468681530003</v>
      </c>
      <c r="N186" s="877"/>
      <c r="O186" s="877"/>
      <c r="P186" s="877">
        <f>'Input data plant-based products'!G309</f>
        <v>0.02</v>
      </c>
      <c r="Q186" s="877"/>
      <c r="R186" s="877">
        <v>0</v>
      </c>
      <c r="S186" s="877">
        <f>'Common input data'!$AR$27</f>
        <v>0.38997328129269704</v>
      </c>
      <c r="T186" s="877">
        <v>0</v>
      </c>
      <c r="U186" s="877">
        <f t="shared" si="51"/>
        <v>0.531397968107997</v>
      </c>
      <c r="V186" s="877">
        <f>'Common input data'!$B$105</f>
        <v>0.05</v>
      </c>
      <c r="W186" s="878">
        <f>'Common input data'!$B$123+'Common input data'!$C$123</f>
        <v>0.32999999999999996</v>
      </c>
      <c r="X186" s="877"/>
      <c r="Y186" s="879"/>
      <c r="Z186" s="877"/>
      <c r="AA186" s="877"/>
      <c r="AB186" s="877"/>
      <c r="AC186" s="877"/>
      <c r="AD186" s="886"/>
      <c r="AE186" s="877"/>
      <c r="AF186" s="879"/>
      <c r="AG186" s="877"/>
      <c r="AH186" s="877"/>
      <c r="AI186" s="877"/>
      <c r="AJ186" s="877"/>
      <c r="AK186" s="886"/>
      <c r="AL186" s="877"/>
      <c r="AM186" s="879"/>
      <c r="AN186" s="877"/>
      <c r="AO186" s="877"/>
      <c r="AP186" s="877"/>
      <c r="AQ186" s="877"/>
      <c r="AR186" s="886"/>
      <c r="AS186" s="877"/>
      <c r="AT186" s="879"/>
      <c r="AU186" s="877"/>
      <c r="AV186" s="877"/>
      <c r="AW186" s="877"/>
      <c r="AX186" s="877"/>
      <c r="AY186" s="886"/>
      <c r="AZ186" s="877"/>
      <c r="BA186" s="879"/>
      <c r="BB186" s="877"/>
      <c r="BC186" s="877"/>
      <c r="BD186" s="877"/>
      <c r="BE186" s="877"/>
      <c r="BF186" s="886"/>
      <c r="BG186" s="877"/>
      <c r="BH186" s="879"/>
      <c r="BI186" s="877"/>
      <c r="BJ186" s="877"/>
      <c r="BK186" s="877"/>
      <c r="BL186" s="877"/>
      <c r="BM186" s="886"/>
      <c r="BN186" s="877"/>
      <c r="BO186" s="879"/>
      <c r="BP186" s="877"/>
      <c r="BQ186" s="877"/>
      <c r="BR186" s="877"/>
      <c r="BS186" s="877"/>
      <c r="BT186" s="886"/>
      <c r="BU186" s="877"/>
      <c r="BV186" s="879"/>
      <c r="BW186" s="886"/>
      <c r="BX186" s="877"/>
      <c r="BY186" s="877"/>
      <c r="BZ186" s="877"/>
      <c r="CA186" s="877"/>
      <c r="CB186" s="877"/>
      <c r="CC186" s="877"/>
      <c r="CD186" s="877"/>
      <c r="CE186" s="877"/>
    </row>
    <row r="187" spans="1:83">
      <c r="A187" s="359"/>
      <c r="B187" s="360"/>
      <c r="C187" s="83"/>
      <c r="E187" s="511" t="s">
        <v>367</v>
      </c>
      <c r="F187" s="877">
        <f>SUM(K187:M187)</f>
        <v>2.0006524148000003E-4</v>
      </c>
      <c r="G187" s="877">
        <f>SUM(I187:Q187)</f>
        <v>2.0006524148000003E-4</v>
      </c>
      <c r="H187" s="878">
        <f>SUM(U187:W187)/(1-'Common input data'!$F$143)</f>
        <v>2.264523784234094E-4</v>
      </c>
      <c r="I187" s="928"/>
      <c r="J187" s="877"/>
      <c r="K187" s="877"/>
      <c r="L187" s="877"/>
      <c r="M187" s="877">
        <v>2.0006524148000003E-4</v>
      </c>
      <c r="N187" s="877"/>
      <c r="O187" s="877"/>
      <c r="P187" s="877"/>
      <c r="Q187" s="877"/>
      <c r="R187" s="877">
        <v>0</v>
      </c>
      <c r="S187" s="877">
        <v>0</v>
      </c>
      <c r="T187" s="877">
        <v>0</v>
      </c>
      <c r="U187" s="877">
        <f t="shared" si="51"/>
        <v>2.0006524148000003E-4</v>
      </c>
      <c r="V187" s="877">
        <v>0</v>
      </c>
      <c r="W187" s="878">
        <v>0</v>
      </c>
      <c r="X187" s="877"/>
      <c r="Y187" s="879"/>
      <c r="Z187" s="877"/>
      <c r="AA187" s="877"/>
      <c r="AB187" s="877"/>
      <c r="AC187" s="877"/>
      <c r="AD187" s="886"/>
      <c r="AE187" s="877"/>
      <c r="AF187" s="879"/>
      <c r="AG187" s="877"/>
      <c r="AH187" s="877"/>
      <c r="AI187" s="877"/>
      <c r="AJ187" s="877"/>
      <c r="AK187" s="886"/>
      <c r="AL187" s="877"/>
      <c r="AM187" s="879"/>
      <c r="AN187" s="877"/>
      <c r="AO187" s="877"/>
      <c r="AP187" s="877"/>
      <c r="AQ187" s="877"/>
      <c r="AR187" s="886"/>
      <c r="AS187" s="877"/>
      <c r="AT187" s="879"/>
      <c r="AU187" s="877"/>
      <c r="AV187" s="877"/>
      <c r="AW187" s="877"/>
      <c r="AX187" s="877"/>
      <c r="AY187" s="886"/>
      <c r="AZ187" s="877"/>
      <c r="BA187" s="879"/>
      <c r="BB187" s="877"/>
      <c r="BC187" s="877"/>
      <c r="BD187" s="877"/>
      <c r="BE187" s="877"/>
      <c r="BF187" s="886"/>
      <c r="BG187" s="877"/>
      <c r="BH187" s="879"/>
      <c r="BI187" s="877"/>
      <c r="BJ187" s="877"/>
      <c r="BK187" s="877"/>
      <c r="BL187" s="877"/>
      <c r="BM187" s="886"/>
      <c r="BN187" s="877"/>
      <c r="BO187" s="879"/>
      <c r="BP187" s="877"/>
      <c r="BQ187" s="877"/>
      <c r="BR187" s="877"/>
      <c r="BS187" s="877"/>
      <c r="BT187" s="886"/>
      <c r="BU187" s="877"/>
      <c r="BV187" s="879"/>
      <c r="BW187" s="886"/>
      <c r="BX187" s="877"/>
      <c r="BY187" s="877"/>
      <c r="BZ187" s="877"/>
      <c r="CA187" s="877"/>
      <c r="CB187" s="877"/>
      <c r="CC187" s="877"/>
      <c r="CD187" s="877"/>
      <c r="CE187" s="877"/>
    </row>
    <row r="188" spans="1:83">
      <c r="A188" s="359"/>
      <c r="B188" s="360"/>
      <c r="C188" s="83"/>
      <c r="E188" s="512" t="s">
        <v>320</v>
      </c>
      <c r="F188" s="877">
        <f>SUM(K188:M188)</f>
        <v>5.9190001099999998E-4</v>
      </c>
      <c r="G188" s="877">
        <f>SUM(I188:Q188)</f>
        <v>5.9190001099999998E-4</v>
      </c>
      <c r="H188" s="878">
        <f>SUM(U188:W188)/(1-'Common input data'!$F$143)</f>
        <v>6.6996727811508179E-4</v>
      </c>
      <c r="I188" s="928"/>
      <c r="J188" s="877"/>
      <c r="K188" s="877"/>
      <c r="L188" s="877"/>
      <c r="M188" s="877">
        <v>5.9190001099999998E-4</v>
      </c>
      <c r="N188" s="877"/>
      <c r="O188" s="877"/>
      <c r="P188" s="877"/>
      <c r="Q188" s="877"/>
      <c r="R188" s="877">
        <v>0</v>
      </c>
      <c r="S188" s="877">
        <v>0</v>
      </c>
      <c r="T188" s="877">
        <v>0</v>
      </c>
      <c r="U188" s="877">
        <f t="shared" si="51"/>
        <v>5.9190001099999998E-4</v>
      </c>
      <c r="V188" s="877">
        <v>0</v>
      </c>
      <c r="W188" s="878">
        <v>0</v>
      </c>
      <c r="X188" s="877"/>
      <c r="Y188" s="879"/>
      <c r="Z188" s="877"/>
      <c r="AA188" s="877"/>
      <c r="AB188" s="877"/>
      <c r="AC188" s="877"/>
      <c r="AD188" s="886"/>
      <c r="AE188" s="877"/>
      <c r="AF188" s="879"/>
      <c r="AG188" s="877"/>
      <c r="AH188" s="877"/>
      <c r="AI188" s="877"/>
      <c r="AJ188" s="877"/>
      <c r="AK188" s="886"/>
      <c r="AL188" s="877"/>
      <c r="AM188" s="879"/>
      <c r="AN188" s="877"/>
      <c r="AO188" s="877"/>
      <c r="AP188" s="877"/>
      <c r="AQ188" s="877"/>
      <c r="AR188" s="886"/>
      <c r="AS188" s="877"/>
      <c r="AT188" s="879"/>
      <c r="AU188" s="877"/>
      <c r="AV188" s="877"/>
      <c r="AW188" s="877"/>
      <c r="AX188" s="877"/>
      <c r="AY188" s="886"/>
      <c r="AZ188" s="877"/>
      <c r="BA188" s="879"/>
      <c r="BB188" s="877"/>
      <c r="BC188" s="877"/>
      <c r="BD188" s="877"/>
      <c r="BE188" s="877"/>
      <c r="BF188" s="886"/>
      <c r="BG188" s="877"/>
      <c r="BH188" s="879"/>
      <c r="BI188" s="877"/>
      <c r="BJ188" s="877"/>
      <c r="BK188" s="877"/>
      <c r="BL188" s="877"/>
      <c r="BM188" s="886"/>
      <c r="BN188" s="877"/>
      <c r="BO188" s="879"/>
      <c r="BP188" s="877"/>
      <c r="BQ188" s="877"/>
      <c r="BR188" s="877"/>
      <c r="BS188" s="877"/>
      <c r="BT188" s="886"/>
      <c r="BU188" s="877"/>
      <c r="BV188" s="879"/>
      <c r="BW188" s="886"/>
      <c r="BX188" s="877"/>
      <c r="BY188" s="877"/>
      <c r="BZ188" s="877"/>
      <c r="CA188" s="877"/>
      <c r="CB188" s="877"/>
      <c r="CC188" s="877"/>
      <c r="CD188" s="877"/>
      <c r="CE188" s="877"/>
    </row>
    <row r="189" spans="1:83">
      <c r="A189" s="108" t="s">
        <v>134</v>
      </c>
      <c r="B189" s="93" t="s">
        <v>121</v>
      </c>
      <c r="C189" s="87">
        <f>'Input data plant-based products'!D193</f>
        <v>0.21750235169999999</v>
      </c>
      <c r="E189" s="513" t="s">
        <v>316</v>
      </c>
      <c r="F189" s="872">
        <f>SUMPRODUCT($CJ$6:$CJ$8,F190:F192)</f>
        <v>0.66433172042325506</v>
      </c>
      <c r="G189" s="872">
        <f>SUMPRODUCT($CJ$6:$CJ$8,G190:G192)</f>
        <v>0.68433172042325507</v>
      </c>
      <c r="H189" s="873">
        <f>SUMPRODUCT($CJ$6:$CJ$8,H190:H192)</f>
        <v>1.3164233791047426</v>
      </c>
      <c r="I189" s="1277"/>
      <c r="J189" s="884"/>
      <c r="K189" s="884"/>
      <c r="L189" s="884"/>
      <c r="M189" s="884"/>
      <c r="N189" s="884"/>
      <c r="O189" s="884"/>
      <c r="P189" s="884"/>
      <c r="Q189" s="884"/>
      <c r="R189" s="884"/>
      <c r="S189" s="884"/>
      <c r="T189" s="884"/>
      <c r="U189" s="884"/>
      <c r="V189" s="884"/>
      <c r="W189" s="1278"/>
      <c r="X189" s="877"/>
      <c r="Y189" s="879">
        <f>1/'Input data plant-based products'!E175*10^4</f>
        <v>3.735915598194806</v>
      </c>
      <c r="Z189" s="877">
        <f>$Y189*'Input data plant-based products'!Z175</f>
        <v>3.735915598194806</v>
      </c>
      <c r="AA189" s="877">
        <f>$Y189*'Input data plant-based products'!AA175</f>
        <v>3.735915598194806</v>
      </c>
      <c r="AB189" s="877">
        <f>$Y189*'Input data plant-based products'!AB175</f>
        <v>3.735915598194806</v>
      </c>
      <c r="AC189" s="877">
        <f>$Y189*'Input data plant-based products'!AC175</f>
        <v>4.2239222290001042</v>
      </c>
      <c r="AD189" s="886">
        <f>$Y189*'Input data plant-based products'!AD175</f>
        <v>4.3999189885417751</v>
      </c>
      <c r="AE189" s="877"/>
      <c r="AF189" s="879">
        <f>SUM('Input data plant-based products'!F175,'Input data plant-based products'!Q175)/'Input data plant-based products'!E175</f>
        <v>6.1321771130936377E-2</v>
      </c>
      <c r="AG189" s="877">
        <f>$AF189*'Input data plant-based products'!Z175</f>
        <v>6.1321771130936377E-2</v>
      </c>
      <c r="AH189" s="877">
        <f>$AF189*'Input data plant-based products'!AA175</f>
        <v>6.1321771130936377E-2</v>
      </c>
      <c r="AI189" s="877">
        <f>$AF189*'Input data plant-based products'!AB175</f>
        <v>6.1321771130936377E-2</v>
      </c>
      <c r="AJ189" s="877">
        <f>$AF189*'Input data plant-based products'!AC175</f>
        <v>6.9331971077391752E-2</v>
      </c>
      <c r="AK189" s="886">
        <f>$AF189*'Input data plant-based products'!AD175</f>
        <v>7.2220803205616413E-2</v>
      </c>
      <c r="AL189" s="877"/>
      <c r="AM189" s="879">
        <f>'Input data plant-based products'!R175/'Input data plant-based products'!E175</f>
        <v>8.2806300000000006E-3</v>
      </c>
      <c r="AN189" s="877">
        <f>$AM189*'Input data plant-based products'!Z175</f>
        <v>8.2806300000000006E-3</v>
      </c>
      <c r="AO189" s="877">
        <f>$AM189*'Input data plant-based products'!AA175</f>
        <v>8.2806300000000006E-3</v>
      </c>
      <c r="AP189" s="877">
        <f>$AM189*'Input data plant-based products'!AB175</f>
        <v>8.2806300000000006E-3</v>
      </c>
      <c r="AQ189" s="877">
        <f>$AM189*'Input data plant-based products'!AC175</f>
        <v>9.3622931802918377E-3</v>
      </c>
      <c r="AR189" s="886">
        <f>$AM189*'Input data plant-based products'!AD175</f>
        <v>9.7523887294706652E-3</v>
      </c>
      <c r="AS189" s="877"/>
      <c r="AT189" s="879">
        <f>'Input data plant-based products'!S175</f>
        <v>7.0294011899631498E-2</v>
      </c>
      <c r="AU189" s="877">
        <f>$AT189*'Input data plant-based products'!Z175</f>
        <v>7.0294011899631498E-2</v>
      </c>
      <c r="AV189" s="877">
        <f>$AT189*'Input data plant-based products'!AA175</f>
        <v>7.0294011899631498E-2</v>
      </c>
      <c r="AW189" s="877">
        <f>$AT189*'Input data plant-based products'!AB175</f>
        <v>7.0294011899631498E-2</v>
      </c>
      <c r="AX189" s="877">
        <f>$AT189*'Input data plant-based products'!AC175</f>
        <v>7.9476217174692415E-2</v>
      </c>
      <c r="AY189" s="886">
        <f>$AT189*'Input data plant-based products'!AD175</f>
        <v>8.2787726223637934E-2</v>
      </c>
      <c r="AZ189" s="877"/>
      <c r="BA189" s="879">
        <f>((SUM('Input data plant-based products'!U175:Y175)*Y189)/('Common input data'!$B$192/10^6))/$BB$3</f>
        <v>8.3859750868430694E-10</v>
      </c>
      <c r="BB189" s="877">
        <f>$BA189*'Input data plant-based products'!Z175</f>
        <v>8.3859750868430694E-10</v>
      </c>
      <c r="BC189" s="877">
        <f>$BA189*'Input data plant-based products'!AA175</f>
        <v>8.3859750868430694E-10</v>
      </c>
      <c r="BD189" s="877">
        <f>$BA189*'Input data plant-based products'!AB175</f>
        <v>8.3859750868430694E-10</v>
      </c>
      <c r="BE189" s="877">
        <f>$BA189*'Input data plant-based products'!AC175</f>
        <v>9.4813990439915946E-10</v>
      </c>
      <c r="BF189" s="886">
        <f>$BA189*'Input data plant-based products'!AD175</f>
        <v>9.8764573374912437E-10</v>
      </c>
      <c r="BG189" s="877"/>
      <c r="BH189" s="879">
        <f>'Input data plant-based products'!T175/'Input data plant-based products'!E175</f>
        <v>8.4404855399999998E-4</v>
      </c>
      <c r="BI189" s="877">
        <f>$BH189*'Input data plant-based products'!Z175</f>
        <v>8.4404855399999998E-4</v>
      </c>
      <c r="BJ189" s="877">
        <f>$BH189*'Input data plant-based products'!AA175</f>
        <v>8.4404855399999998E-4</v>
      </c>
      <c r="BK189" s="877">
        <f>$BH189*'Input data plant-based products'!AB175</f>
        <v>8.4404855399999998E-4</v>
      </c>
      <c r="BL189" s="877">
        <f>$BH189*'Input data plant-based products'!AC175</f>
        <v>9.5430299638425893E-4</v>
      </c>
      <c r="BM189" s="886">
        <f>$BH189*'Input data plant-based products'!AD175</f>
        <v>9.9406562123360311E-4</v>
      </c>
      <c r="BN189" s="877"/>
      <c r="BO189" s="879">
        <f>('Input data plant-based products'!F175/'Input data plant-based products'!E175*'Common input data'!$B$195+'Input data plant-based products'!G175/'Input data plant-based products'!E175*'Common input data'!$B$196)/'Common input data'!$B$198</f>
        <v>2.9964601844077961E-5</v>
      </c>
      <c r="BP189" s="877">
        <f>$BO189*'Input data plant-based products'!Z175</f>
        <v>2.9964601844077961E-5</v>
      </c>
      <c r="BQ189" s="877">
        <f>$BO189*'Input data plant-based products'!AA175</f>
        <v>2.9964601844077961E-5</v>
      </c>
      <c r="BR189" s="877">
        <f>$BO189*'Input data plant-based products'!AB175</f>
        <v>2.9964601844077961E-5</v>
      </c>
      <c r="BS189" s="877">
        <f>$BO189*'Input data plant-based products'!AC175</f>
        <v>3.3878749261224241E-5</v>
      </c>
      <c r="BT189" s="886">
        <f>$BO189*'Input data plant-based products'!AD175</f>
        <v>3.5290363813775251E-5</v>
      </c>
      <c r="BU189" s="877"/>
      <c r="BV189" s="879">
        <f>('Common input data'!$B$228+'Common input data'!$C$228)*'Input data plant-based products'!AC175</f>
        <v>6.3907929164253314</v>
      </c>
      <c r="BW189" s="886">
        <f>('Common input data'!$B$228+'Common input data'!$C$228)*'Input data plant-based products'!AD175</f>
        <v>6.6570759546097209</v>
      </c>
      <c r="BX189" s="877"/>
      <c r="BY189" s="877"/>
      <c r="BZ189" s="877"/>
      <c r="CA189" s="877"/>
      <c r="CB189" s="877"/>
      <c r="CC189" s="877"/>
      <c r="CD189" s="877"/>
      <c r="CE189" s="877"/>
    </row>
    <row r="190" spans="1:83">
      <c r="A190" s="359"/>
      <c r="B190" s="360"/>
      <c r="C190" s="83"/>
      <c r="E190" s="511" t="s">
        <v>317</v>
      </c>
      <c r="F190" s="877">
        <f>IF(AND($F$2="No",$F$3="No"),SUM(L190:N190),IF(AND($F$2="Yes", $F$3="No"), (SUM(L190:M190)+S190), IF(AND($F$2="No", $F$3="Yes"),(SUM(L190:M190)+R190), (SUM(L190:M190)+S190+R190))))</f>
        <v>0.48451369660204702</v>
      </c>
      <c r="G190" s="877">
        <f>IF(AND($F$2="No",$F$3="No"),SUM(I190:Q190),IF(AND($F$2="Yes", $F$3="No"), (SUM(I190:Q190)+S190), IF(AND($F$2="No", $F$3="Yes"),(SUM(I190:Q190)+R190), (SUM(I190:Q190)+S190+R190))))</f>
        <v>0.50451369660204703</v>
      </c>
      <c r="H190" s="878">
        <f>SUM(U190:W190)/(1-'Common input data'!$I$143)</f>
        <v>1.1131164980926878</v>
      </c>
      <c r="I190" s="928"/>
      <c r="J190" s="877"/>
      <c r="K190" s="877"/>
      <c r="L190" s="877"/>
      <c r="M190" s="877">
        <v>9.4540415309349993E-2</v>
      </c>
      <c r="N190" s="877"/>
      <c r="O190" s="877"/>
      <c r="P190" s="877">
        <f>'Input data plant-based products'!G309</f>
        <v>0.02</v>
      </c>
      <c r="Q190" s="877"/>
      <c r="R190" s="877">
        <v>0</v>
      </c>
      <c r="S190" s="877">
        <f>'Common input data'!$AR$27</f>
        <v>0.38997328129269704</v>
      </c>
      <c r="T190" s="877">
        <v>0</v>
      </c>
      <c r="U190" s="877">
        <f t="shared" si="51"/>
        <v>0.50451369660204703</v>
      </c>
      <c r="V190" s="877">
        <f>'Common input data'!$B$105</f>
        <v>0.05</v>
      </c>
      <c r="W190" s="878">
        <f>'Common input data'!$B$128+'Common input data'!$C$128</f>
        <v>0.43000000000000005</v>
      </c>
      <c r="X190" s="877"/>
      <c r="Y190" s="879"/>
      <c r="Z190" s="877"/>
      <c r="AA190" s="877"/>
      <c r="AB190" s="877"/>
      <c r="AC190" s="877"/>
      <c r="AD190" s="886"/>
      <c r="AE190" s="877"/>
      <c r="AF190" s="879"/>
      <c r="AG190" s="877"/>
      <c r="AH190" s="877"/>
      <c r="AI190" s="877"/>
      <c r="AJ190" s="877"/>
      <c r="AK190" s="886"/>
      <c r="AL190" s="877"/>
      <c r="AM190" s="879"/>
      <c r="AN190" s="877"/>
      <c r="AO190" s="877"/>
      <c r="AP190" s="877"/>
      <c r="AQ190" s="877"/>
      <c r="AR190" s="886"/>
      <c r="AS190" s="877"/>
      <c r="AT190" s="879"/>
      <c r="AU190" s="877"/>
      <c r="AV190" s="877"/>
      <c r="AW190" s="877"/>
      <c r="AX190" s="877"/>
      <c r="AY190" s="886"/>
      <c r="AZ190" s="877"/>
      <c r="BA190" s="879"/>
      <c r="BB190" s="877"/>
      <c r="BC190" s="877"/>
      <c r="BD190" s="877"/>
      <c r="BE190" s="877"/>
      <c r="BF190" s="886"/>
      <c r="BG190" s="877"/>
      <c r="BH190" s="879"/>
      <c r="BI190" s="877"/>
      <c r="BJ190" s="877"/>
      <c r="BK190" s="877"/>
      <c r="BL190" s="877"/>
      <c r="BM190" s="886"/>
      <c r="BN190" s="877"/>
      <c r="BO190" s="879"/>
      <c r="BP190" s="877"/>
      <c r="BQ190" s="877"/>
      <c r="BR190" s="877"/>
      <c r="BS190" s="877"/>
      <c r="BT190" s="886"/>
      <c r="BU190" s="877"/>
      <c r="BV190" s="879"/>
      <c r="BW190" s="886"/>
      <c r="BX190" s="877"/>
      <c r="BY190" s="877"/>
      <c r="BZ190" s="877"/>
      <c r="CA190" s="877"/>
      <c r="CB190" s="877"/>
      <c r="CC190" s="877"/>
      <c r="CD190" s="877"/>
      <c r="CE190" s="877"/>
    </row>
    <row r="191" spans="1:83">
      <c r="A191" s="359"/>
      <c r="B191" s="360"/>
      <c r="C191" s="83"/>
      <c r="E191" s="511" t="s">
        <v>367</v>
      </c>
      <c r="F191" s="877">
        <f>SUM(K191:M191)</f>
        <v>1.7934409313999998E-4</v>
      </c>
      <c r="G191" s="877">
        <f>SUM(I191:Q191)</f>
        <v>1.7934409313999998E-4</v>
      </c>
      <c r="H191" s="878">
        <f>SUM(U191:W191)/(1-'Common input data'!$I$143)</f>
        <v>2.0277104279870563E-4</v>
      </c>
      <c r="I191" s="928"/>
      <c r="J191" s="877"/>
      <c r="K191" s="877"/>
      <c r="L191" s="877"/>
      <c r="M191" s="877">
        <v>1.7934409313999998E-4</v>
      </c>
      <c r="N191" s="877"/>
      <c r="O191" s="877"/>
      <c r="P191" s="877"/>
      <c r="Q191" s="877"/>
      <c r="R191" s="877">
        <v>0</v>
      </c>
      <c r="S191" s="877">
        <v>0</v>
      </c>
      <c r="T191" s="877">
        <v>0</v>
      </c>
      <c r="U191" s="877">
        <f t="shared" si="51"/>
        <v>1.7934409313999998E-4</v>
      </c>
      <c r="V191" s="877">
        <v>0</v>
      </c>
      <c r="W191" s="878">
        <v>0</v>
      </c>
      <c r="X191" s="877"/>
      <c r="Y191" s="879"/>
      <c r="Z191" s="877"/>
      <c r="AA191" s="877"/>
      <c r="AB191" s="877"/>
      <c r="AC191" s="877"/>
      <c r="AD191" s="886"/>
      <c r="AE191" s="877"/>
      <c r="AF191" s="879"/>
      <c r="AG191" s="877"/>
      <c r="AH191" s="877"/>
      <c r="AI191" s="877"/>
      <c r="AJ191" s="877"/>
      <c r="AK191" s="886"/>
      <c r="AL191" s="877"/>
      <c r="AM191" s="879"/>
      <c r="AN191" s="877"/>
      <c r="AO191" s="877"/>
      <c r="AP191" s="877"/>
      <c r="AQ191" s="877"/>
      <c r="AR191" s="886"/>
      <c r="AS191" s="877"/>
      <c r="AT191" s="879"/>
      <c r="AU191" s="877"/>
      <c r="AV191" s="877"/>
      <c r="AW191" s="877"/>
      <c r="AX191" s="877"/>
      <c r="AY191" s="886"/>
      <c r="AZ191" s="877"/>
      <c r="BA191" s="879"/>
      <c r="BB191" s="877"/>
      <c r="BC191" s="877"/>
      <c r="BD191" s="877"/>
      <c r="BE191" s="877"/>
      <c r="BF191" s="886"/>
      <c r="BG191" s="877"/>
      <c r="BH191" s="879"/>
      <c r="BI191" s="877"/>
      <c r="BJ191" s="877"/>
      <c r="BK191" s="877"/>
      <c r="BL191" s="877"/>
      <c r="BM191" s="886"/>
      <c r="BN191" s="877"/>
      <c r="BO191" s="879"/>
      <c r="BP191" s="877"/>
      <c r="BQ191" s="877"/>
      <c r="BR191" s="877"/>
      <c r="BS191" s="877"/>
      <c r="BT191" s="886"/>
      <c r="BU191" s="877"/>
      <c r="BV191" s="879"/>
      <c r="BW191" s="886"/>
      <c r="BX191" s="877"/>
      <c r="BY191" s="877"/>
      <c r="BZ191" s="877"/>
      <c r="CA191" s="877"/>
      <c r="CB191" s="877"/>
      <c r="CC191" s="877"/>
      <c r="CD191" s="877"/>
      <c r="CE191" s="877"/>
    </row>
    <row r="192" spans="1:83">
      <c r="A192" s="359"/>
      <c r="B192" s="360"/>
      <c r="C192" s="83"/>
      <c r="E192" s="512" t="s">
        <v>320</v>
      </c>
      <c r="F192" s="877">
        <f>SUM(K192:M192)</f>
        <v>7.6813350465000012E-4</v>
      </c>
      <c r="G192" s="877">
        <f>SUM(I192:Q192)</f>
        <v>7.6813350465000012E-4</v>
      </c>
      <c r="H192" s="878">
        <f>SUM(U192:W192)/(1-'Common input data'!$I$143)</f>
        <v>8.6847148974635556E-4</v>
      </c>
      <c r="I192" s="928"/>
      <c r="J192" s="877"/>
      <c r="K192" s="877"/>
      <c r="L192" s="877"/>
      <c r="M192" s="877">
        <v>7.6813350465000012E-4</v>
      </c>
      <c r="N192" s="877"/>
      <c r="O192" s="877"/>
      <c r="P192" s="877"/>
      <c r="Q192" s="877"/>
      <c r="R192" s="877">
        <v>0</v>
      </c>
      <c r="S192" s="877">
        <v>0</v>
      </c>
      <c r="T192" s="877">
        <v>0</v>
      </c>
      <c r="U192" s="877">
        <f t="shared" si="51"/>
        <v>7.6813350465000012E-4</v>
      </c>
      <c r="V192" s="877">
        <v>0</v>
      </c>
      <c r="W192" s="878">
        <v>0</v>
      </c>
      <c r="X192" s="877"/>
      <c r="Y192" s="879"/>
      <c r="Z192" s="877"/>
      <c r="AA192" s="877"/>
      <c r="AB192" s="877"/>
      <c r="AC192" s="877"/>
      <c r="AD192" s="886"/>
      <c r="AE192" s="877"/>
      <c r="AF192" s="879"/>
      <c r="AG192" s="877"/>
      <c r="AH192" s="877"/>
      <c r="AI192" s="877"/>
      <c r="AJ192" s="877"/>
      <c r="AK192" s="886"/>
      <c r="AL192" s="877"/>
      <c r="AM192" s="879"/>
      <c r="AN192" s="877"/>
      <c r="AO192" s="877"/>
      <c r="AP192" s="877"/>
      <c r="AQ192" s="877"/>
      <c r="AR192" s="886"/>
      <c r="AS192" s="877"/>
      <c r="AT192" s="879"/>
      <c r="AU192" s="877"/>
      <c r="AV192" s="877"/>
      <c r="AW192" s="877"/>
      <c r="AX192" s="877"/>
      <c r="AY192" s="886"/>
      <c r="AZ192" s="877"/>
      <c r="BA192" s="879"/>
      <c r="BB192" s="877"/>
      <c r="BC192" s="877"/>
      <c r="BD192" s="877"/>
      <c r="BE192" s="877"/>
      <c r="BF192" s="886"/>
      <c r="BG192" s="877"/>
      <c r="BH192" s="879"/>
      <c r="BI192" s="877"/>
      <c r="BJ192" s="877"/>
      <c r="BK192" s="877"/>
      <c r="BL192" s="877"/>
      <c r="BM192" s="886"/>
      <c r="BN192" s="877"/>
      <c r="BO192" s="879"/>
      <c r="BP192" s="877"/>
      <c r="BQ192" s="877"/>
      <c r="BR192" s="877"/>
      <c r="BS192" s="877"/>
      <c r="BT192" s="886"/>
      <c r="BU192" s="877"/>
      <c r="BV192" s="879"/>
      <c r="BW192" s="886"/>
      <c r="BX192" s="877"/>
      <c r="BY192" s="877"/>
      <c r="BZ192" s="877"/>
      <c r="CA192" s="877"/>
      <c r="CB192" s="877"/>
      <c r="CC192" s="877"/>
      <c r="CD192" s="877"/>
      <c r="CE192" s="877"/>
    </row>
    <row r="193" spans="1:83">
      <c r="A193" s="362" t="s">
        <v>463</v>
      </c>
      <c r="B193" s="363"/>
      <c r="C193" s="770"/>
      <c r="E193" s="939"/>
      <c r="F193" s="892" t="s">
        <v>464</v>
      </c>
      <c r="G193" s="892" t="s">
        <v>464</v>
      </c>
      <c r="H193" s="970" t="s">
        <v>464</v>
      </c>
      <c r="I193" s="969"/>
      <c r="J193" s="892"/>
      <c r="K193" s="892"/>
      <c r="L193" s="892"/>
      <c r="M193" s="892"/>
      <c r="N193" s="892"/>
      <c r="O193" s="892"/>
      <c r="P193" s="892"/>
      <c r="Q193" s="892"/>
      <c r="R193" s="892"/>
      <c r="S193" s="892"/>
      <c r="T193" s="892"/>
      <c r="U193" s="892"/>
      <c r="V193" s="892"/>
      <c r="W193" s="970"/>
      <c r="X193" s="877"/>
      <c r="Y193" s="879"/>
      <c r="Z193" s="877"/>
      <c r="AA193" s="877"/>
      <c r="AB193" s="877"/>
      <c r="AC193" s="877"/>
      <c r="AD193" s="886"/>
      <c r="AE193" s="877"/>
      <c r="AF193" s="879"/>
      <c r="AG193" s="877"/>
      <c r="AH193" s="877"/>
      <c r="AI193" s="877"/>
      <c r="AJ193" s="877"/>
      <c r="AK193" s="886"/>
      <c r="AL193" s="877"/>
      <c r="AM193" s="879"/>
      <c r="AN193" s="877"/>
      <c r="AO193" s="877"/>
      <c r="AP193" s="877"/>
      <c r="AQ193" s="877"/>
      <c r="AR193" s="886"/>
      <c r="AS193" s="877"/>
      <c r="AT193" s="879"/>
      <c r="AU193" s="877"/>
      <c r="AV193" s="877"/>
      <c r="AW193" s="877"/>
      <c r="AX193" s="877"/>
      <c r="AY193" s="886"/>
      <c r="AZ193" s="877"/>
      <c r="BA193" s="879"/>
      <c r="BB193" s="877"/>
      <c r="BC193" s="877"/>
      <c r="BD193" s="877"/>
      <c r="BE193" s="877"/>
      <c r="BF193" s="886"/>
      <c r="BG193" s="877"/>
      <c r="BH193" s="879"/>
      <c r="BI193" s="877"/>
      <c r="BJ193" s="877"/>
      <c r="BK193" s="877"/>
      <c r="BL193" s="877"/>
      <c r="BM193" s="886"/>
      <c r="BN193" s="877"/>
      <c r="BO193" s="879"/>
      <c r="BP193" s="877"/>
      <c r="BQ193" s="877"/>
      <c r="BR193" s="877"/>
      <c r="BS193" s="877"/>
      <c r="BT193" s="886"/>
      <c r="BU193" s="877"/>
      <c r="BV193" s="879"/>
      <c r="BW193" s="886"/>
      <c r="BX193" s="877"/>
      <c r="BY193" s="877"/>
      <c r="BZ193" s="877"/>
      <c r="CA193" s="877"/>
      <c r="CB193" s="877"/>
      <c r="CC193" s="877"/>
      <c r="CD193" s="877"/>
      <c r="CE193" s="877"/>
    </row>
    <row r="194" spans="1:83">
      <c r="A194" s="108" t="s">
        <v>120</v>
      </c>
      <c r="B194" s="93" t="s">
        <v>121</v>
      </c>
      <c r="C194" s="87">
        <f>SUM(C198:C210)</f>
        <v>1</v>
      </c>
      <c r="E194" s="513" t="s">
        <v>316</v>
      </c>
      <c r="F194" s="872">
        <f>SUMPRODUCT($CJ$6:$CJ$8,F195:F197)</f>
        <v>0.3433817802520005</v>
      </c>
      <c r="G194" s="872">
        <f>SUMPRODUCT($CJ$6:$CJ$8,G195:G197)</f>
        <v>0.35762619964400055</v>
      </c>
      <c r="H194" s="873">
        <f>SUMPRODUCT($CJ$6:$CJ$8,H195:H197)</f>
        <v>2.3350153831461991</v>
      </c>
      <c r="I194" s="1277"/>
      <c r="J194" s="884"/>
      <c r="K194" s="884"/>
      <c r="L194" s="884"/>
      <c r="M194" s="884"/>
      <c r="N194" s="884"/>
      <c r="O194" s="884"/>
      <c r="P194" s="884"/>
      <c r="Q194" s="884"/>
      <c r="R194" s="884"/>
      <c r="S194" s="884"/>
      <c r="T194" s="884"/>
      <c r="U194" s="884"/>
      <c r="V194" s="884"/>
      <c r="W194" s="1278"/>
      <c r="X194" s="877"/>
      <c r="Y194" s="883">
        <f>Y198*$C$198+Y202*$C$202+Y206*$C$206+Y210*$C$210</f>
        <v>3.3461267099800396</v>
      </c>
      <c r="Z194" s="884">
        <f t="shared" ref="Z194:BT194" si="52">Z198*$C$198+Z202*$C$202+Z206*$C$206+Z210*$C$210</f>
        <v>3.3461267099800396</v>
      </c>
      <c r="AA194" s="884">
        <f t="shared" si="52"/>
        <v>18.58959283322244</v>
      </c>
      <c r="AB194" s="884">
        <f t="shared" si="52"/>
        <v>6.5063574916278526</v>
      </c>
      <c r="AC194" s="884">
        <f t="shared" si="52"/>
        <v>7.2277451562285471</v>
      </c>
      <c r="AD194" s="885">
        <f t="shared" si="52"/>
        <v>7.528901204404737</v>
      </c>
      <c r="AE194" s="877"/>
      <c r="AF194" s="883">
        <f t="shared" si="52"/>
        <v>6.668087160624267E-2</v>
      </c>
      <c r="AG194" s="884">
        <f t="shared" si="52"/>
        <v>6.668087160624267E-2</v>
      </c>
      <c r="AH194" s="884">
        <f t="shared" si="52"/>
        <v>0.37044928670134813</v>
      </c>
      <c r="AI194" s="884">
        <f t="shared" si="52"/>
        <v>0.12965725034547185</v>
      </c>
      <c r="AJ194" s="884">
        <f t="shared" si="52"/>
        <v>0.14353162545742476</v>
      </c>
      <c r="AK194" s="885">
        <f t="shared" si="52"/>
        <v>0.14951210985148414</v>
      </c>
      <c r="AL194" s="877"/>
      <c r="AM194" s="883">
        <f t="shared" si="52"/>
        <v>1.290799200756773E-2</v>
      </c>
      <c r="AN194" s="884">
        <f t="shared" si="52"/>
        <v>1.290799200756773E-2</v>
      </c>
      <c r="AO194" s="884">
        <f t="shared" si="52"/>
        <v>7.1711066708709609E-2</v>
      </c>
      <c r="AP194" s="884">
        <f t="shared" si="52"/>
        <v>2.5098873348048362E-2</v>
      </c>
      <c r="AQ194" s="884">
        <f t="shared" si="52"/>
        <v>2.759628546106211E-2</v>
      </c>
      <c r="AR194" s="885">
        <f t="shared" si="52"/>
        <v>2.8746130688606365E-2</v>
      </c>
      <c r="AS194" s="877"/>
      <c r="AT194" s="883">
        <f t="shared" si="52"/>
        <v>4.6629121136329318E-2</v>
      </c>
      <c r="AU194" s="884">
        <f t="shared" si="52"/>
        <v>4.6629121136329318E-2</v>
      </c>
      <c r="AV194" s="884">
        <f t="shared" si="52"/>
        <v>0.25905067297960732</v>
      </c>
      <c r="AW194" s="884">
        <f t="shared" si="52"/>
        <v>9.066773554286256E-2</v>
      </c>
      <c r="AX194" s="884">
        <f t="shared" si="52"/>
        <v>9.8557132941890835E-2</v>
      </c>
      <c r="AY194" s="885">
        <f t="shared" si="52"/>
        <v>0.10266368014780294</v>
      </c>
      <c r="AZ194" s="877"/>
      <c r="BA194" s="883">
        <f t="shared" si="52"/>
        <v>7.9975819267483858E-10</v>
      </c>
      <c r="BB194" s="884">
        <f t="shared" si="52"/>
        <v>7.9975819267483858E-10</v>
      </c>
      <c r="BC194" s="884">
        <f t="shared" si="52"/>
        <v>4.4431010704157692E-9</v>
      </c>
      <c r="BD194" s="884">
        <f t="shared" si="52"/>
        <v>1.555085374645519E-9</v>
      </c>
      <c r="BE194" s="884">
        <f t="shared" si="52"/>
        <v>1.7366303737781779E-9</v>
      </c>
      <c r="BF194" s="885">
        <f t="shared" si="52"/>
        <v>1.808989972685602E-9</v>
      </c>
      <c r="BG194" s="877"/>
      <c r="BH194" s="883">
        <f t="shared" si="52"/>
        <v>8.6399059776527643E-4</v>
      </c>
      <c r="BI194" s="884">
        <f t="shared" si="52"/>
        <v>8.6399059776527643E-4</v>
      </c>
      <c r="BJ194" s="884">
        <f t="shared" si="52"/>
        <v>4.7999477653626462E-3</v>
      </c>
      <c r="BK194" s="884">
        <f t="shared" si="52"/>
        <v>1.6799817178769264E-3</v>
      </c>
      <c r="BL194" s="884">
        <f t="shared" si="52"/>
        <v>1.8784108165626823E-3</v>
      </c>
      <c r="BM194" s="885">
        <f t="shared" si="52"/>
        <v>1.9566779339194604E-3</v>
      </c>
      <c r="BN194" s="877"/>
      <c r="BO194" s="883">
        <f t="shared" si="52"/>
        <v>1.2277622533669671E-4</v>
      </c>
      <c r="BP194" s="884">
        <f t="shared" si="52"/>
        <v>1.2277622533669671E-4</v>
      </c>
      <c r="BQ194" s="884">
        <f t="shared" si="52"/>
        <v>6.8209014075942614E-4</v>
      </c>
      <c r="BR194" s="884">
        <f t="shared" si="52"/>
        <v>2.3873154926579916E-4</v>
      </c>
      <c r="BS194" s="884">
        <f t="shared" si="52"/>
        <v>2.5988031725325214E-4</v>
      </c>
      <c r="BT194" s="885">
        <f t="shared" si="52"/>
        <v>2.7070866380547102E-4</v>
      </c>
      <c r="BU194" s="877"/>
      <c r="BV194" s="883">
        <f>BV198*$C$198+BV202*$C$202+BV206*$C$206+BV210*$C$210</f>
        <v>11.128739313241514</v>
      </c>
      <c r="BW194" s="885">
        <f>BW198*$C$198+BW202*$C$202+BW206*$C$206+BW210*$C$210</f>
        <v>9.8087642739546865</v>
      </c>
      <c r="BX194" s="877"/>
      <c r="BY194" s="877"/>
      <c r="BZ194" s="877"/>
      <c r="CA194" s="877"/>
      <c r="CB194" s="877"/>
      <c r="CC194" s="877"/>
      <c r="CD194" s="877"/>
      <c r="CE194" s="877"/>
    </row>
    <row r="195" spans="1:83" ht="19.5" customHeight="1">
      <c r="A195" s="195"/>
      <c r="B195" s="55"/>
      <c r="C195" s="83"/>
      <c r="E195" s="511" t="s">
        <v>317</v>
      </c>
      <c r="F195" s="877">
        <f>F199*$C$198+F203*$C$202+$C$206*F207+F211*$C$210</f>
        <v>0.15662542941043178</v>
      </c>
      <c r="G195" s="877">
        <f>G199*$C$198+G203*$C$202+$C$206*G207+G211*$C$210</f>
        <v>0.17086984880243181</v>
      </c>
      <c r="H195" s="878">
        <f>H199*$C$198+H203*$C$202+$C$206*H207+H211*$C$210</f>
        <v>1.9314707114005318</v>
      </c>
      <c r="I195" s="928">
        <f>I199*$C$198+I203*$C$202+$C$206*I207+I211*$C$210</f>
        <v>0</v>
      </c>
      <c r="J195" s="877">
        <f t="shared" ref="J195:W195" si="53">J199*$C$198+J203*$C$202+$C$206*J207+J211*$C$210</f>
        <v>0</v>
      </c>
      <c r="K195" s="877">
        <f t="shared" si="53"/>
        <v>0</v>
      </c>
      <c r="L195" s="877">
        <f>L199*$C$198+L203*$C$202+$C$206*L207+L211*$C$210</f>
        <v>0</v>
      </c>
      <c r="M195" s="877">
        <f t="shared" si="53"/>
        <v>0.15662542941043178</v>
      </c>
      <c r="N195" s="877">
        <f t="shared" si="53"/>
        <v>0</v>
      </c>
      <c r="O195" s="877">
        <f t="shared" si="53"/>
        <v>0</v>
      </c>
      <c r="P195" s="877">
        <f t="shared" si="53"/>
        <v>1.4244419392E-2</v>
      </c>
      <c r="Q195" s="877">
        <f t="shared" si="53"/>
        <v>0</v>
      </c>
      <c r="R195" s="877">
        <f t="shared" si="53"/>
        <v>0</v>
      </c>
      <c r="S195" s="877">
        <f t="shared" si="53"/>
        <v>0</v>
      </c>
      <c r="T195" s="877">
        <f>T199*$C$198+T203*$C$202+$C$206*T207+T211*$C$210</f>
        <v>0.311</v>
      </c>
      <c r="U195" s="877">
        <f t="shared" si="53"/>
        <v>1.090528308518306</v>
      </c>
      <c r="V195" s="877">
        <f t="shared" si="53"/>
        <v>0.30000000000000004</v>
      </c>
      <c r="W195" s="878">
        <f t="shared" si="53"/>
        <v>0.35175023517000004</v>
      </c>
      <c r="X195" s="877"/>
      <c r="Y195" s="879"/>
      <c r="Z195" s="877"/>
      <c r="AA195" s="877"/>
      <c r="AB195" s="877"/>
      <c r="AC195" s="877"/>
      <c r="AD195" s="886"/>
      <c r="AE195" s="877"/>
      <c r="AF195" s="879"/>
      <c r="AG195" s="877"/>
      <c r="AH195" s="877"/>
      <c r="AI195" s="877"/>
      <c r="AJ195" s="877"/>
      <c r="AK195" s="886"/>
      <c r="AL195" s="877"/>
      <c r="AM195" s="879"/>
      <c r="AN195" s="877"/>
      <c r="AO195" s="877"/>
      <c r="AP195" s="877"/>
      <c r="AQ195" s="877"/>
      <c r="AR195" s="886"/>
      <c r="AS195" s="877"/>
      <c r="AT195" s="879"/>
      <c r="AU195" s="877"/>
      <c r="AV195" s="877"/>
      <c r="AW195" s="877"/>
      <c r="AX195" s="877"/>
      <c r="AY195" s="886"/>
      <c r="AZ195" s="877"/>
      <c r="BA195" s="879"/>
      <c r="BB195" s="877"/>
      <c r="BC195" s="877"/>
      <c r="BD195" s="877"/>
      <c r="BE195" s="877"/>
      <c r="BF195" s="886"/>
      <c r="BG195" s="877"/>
      <c r="BH195" s="879"/>
      <c r="BI195" s="877"/>
      <c r="BJ195" s="877"/>
      <c r="BK195" s="877"/>
      <c r="BL195" s="877"/>
      <c r="BM195" s="886"/>
      <c r="BN195" s="877"/>
      <c r="BO195" s="879"/>
      <c r="BP195" s="877"/>
      <c r="BQ195" s="877"/>
      <c r="BR195" s="877"/>
      <c r="BS195" s="877"/>
      <c r="BT195" s="886"/>
      <c r="BU195" s="877"/>
      <c r="BV195" s="879"/>
      <c r="BW195" s="886"/>
      <c r="BX195" s="877"/>
      <c r="BY195" s="877"/>
      <c r="BZ195" s="877"/>
      <c r="CA195" s="877"/>
      <c r="CB195" s="877"/>
      <c r="CC195" s="877"/>
      <c r="CD195" s="877"/>
      <c r="CE195" s="877"/>
    </row>
    <row r="196" spans="1:83">
      <c r="A196" s="195"/>
      <c r="B196" s="55"/>
      <c r="C196" s="83"/>
      <c r="E196" s="511" t="s">
        <v>367</v>
      </c>
      <c r="F196" s="877">
        <f t="shared" ref="F196:H197" si="54">F200*$C$198+F204*$C$202+$C$206*F208+F212*$C$210</f>
        <v>2.4480749507209166E-4</v>
      </c>
      <c r="G196" s="877">
        <f t="shared" si="54"/>
        <v>2.4480749507209166E-4</v>
      </c>
      <c r="H196" s="878">
        <f t="shared" si="54"/>
        <v>5.2806124138109244E-4</v>
      </c>
      <c r="I196" s="928">
        <f t="shared" ref="I196:W196" si="55">I200*$C$198+I204*$C$202+$C$206*I208+I212*$C$210</f>
        <v>0</v>
      </c>
      <c r="J196" s="877">
        <f t="shared" si="55"/>
        <v>0</v>
      </c>
      <c r="K196" s="877">
        <f t="shared" si="55"/>
        <v>0</v>
      </c>
      <c r="L196" s="877">
        <f t="shared" si="55"/>
        <v>0</v>
      </c>
      <c r="M196" s="877">
        <f t="shared" si="55"/>
        <v>2.4480749507209166E-4</v>
      </c>
      <c r="N196" s="877">
        <f t="shared" si="55"/>
        <v>0</v>
      </c>
      <c r="O196" s="877">
        <f t="shared" si="55"/>
        <v>0</v>
      </c>
      <c r="P196" s="877">
        <f t="shared" si="55"/>
        <v>0</v>
      </c>
      <c r="Q196" s="877">
        <f t="shared" si="55"/>
        <v>0</v>
      </c>
      <c r="R196" s="877">
        <f t="shared" si="55"/>
        <v>0</v>
      </c>
      <c r="S196" s="877">
        <f t="shared" si="55"/>
        <v>0</v>
      </c>
      <c r="T196" s="877">
        <f t="shared" si="55"/>
        <v>0</v>
      </c>
      <c r="U196" s="877">
        <f t="shared" si="55"/>
        <v>4.7601457375128934E-4</v>
      </c>
      <c r="V196" s="877">
        <f t="shared" si="55"/>
        <v>0</v>
      </c>
      <c r="W196" s="878">
        <f t="shared" si="55"/>
        <v>0</v>
      </c>
      <c r="X196" s="877"/>
      <c r="Y196" s="879"/>
      <c r="Z196" s="877"/>
      <c r="AA196" s="877"/>
      <c r="AB196" s="877"/>
      <c r="AC196" s="877"/>
      <c r="AD196" s="886"/>
      <c r="AE196" s="877"/>
      <c r="AF196" s="879"/>
      <c r="AG196" s="877"/>
      <c r="AH196" s="877"/>
      <c r="AI196" s="877"/>
      <c r="AJ196" s="877"/>
      <c r="AK196" s="886"/>
      <c r="AL196" s="877"/>
      <c r="AM196" s="879"/>
      <c r="AN196" s="877"/>
      <c r="AO196" s="877"/>
      <c r="AP196" s="877"/>
      <c r="AQ196" s="877"/>
      <c r="AR196" s="886"/>
      <c r="AS196" s="877"/>
      <c r="AT196" s="879"/>
      <c r="AU196" s="877"/>
      <c r="AV196" s="877"/>
      <c r="AW196" s="877"/>
      <c r="AX196" s="877"/>
      <c r="AY196" s="886"/>
      <c r="AZ196" s="877"/>
      <c r="BA196" s="879"/>
      <c r="BB196" s="877"/>
      <c r="BC196" s="877"/>
      <c r="BD196" s="877"/>
      <c r="BE196" s="877"/>
      <c r="BF196" s="886"/>
      <c r="BG196" s="877"/>
      <c r="BH196" s="879"/>
      <c r="BI196" s="877"/>
      <c r="BJ196" s="877"/>
      <c r="BK196" s="877"/>
      <c r="BL196" s="877"/>
      <c r="BM196" s="886"/>
      <c r="BN196" s="877"/>
      <c r="BO196" s="879"/>
      <c r="BP196" s="877"/>
      <c r="BQ196" s="877"/>
      <c r="BR196" s="877"/>
      <c r="BS196" s="877"/>
      <c r="BT196" s="886"/>
      <c r="BU196" s="877"/>
      <c r="BV196" s="879"/>
      <c r="BW196" s="886"/>
      <c r="BX196" s="877"/>
      <c r="BY196" s="877"/>
      <c r="BZ196" s="877"/>
      <c r="CA196" s="877"/>
      <c r="CB196" s="877"/>
      <c r="CC196" s="877"/>
      <c r="CD196" s="877"/>
      <c r="CE196" s="877"/>
    </row>
    <row r="197" spans="1:83">
      <c r="A197" s="18"/>
      <c r="B197" s="360"/>
      <c r="C197" s="83"/>
      <c r="E197" s="512" t="s">
        <v>320</v>
      </c>
      <c r="F197" s="877">
        <f t="shared" si="54"/>
        <v>7.9659122581429134E-4</v>
      </c>
      <c r="G197" s="877">
        <f t="shared" si="54"/>
        <v>7.9659122581429134E-4</v>
      </c>
      <c r="H197" s="878">
        <f t="shared" si="54"/>
        <v>1.7212995017647035E-3</v>
      </c>
      <c r="I197" s="928">
        <f t="shared" ref="I197:W197" si="56">I201*$C$198+I205*$C$202+$C$206*I209+I213*$C$210</f>
        <v>0</v>
      </c>
      <c r="J197" s="877">
        <f t="shared" si="56"/>
        <v>0</v>
      </c>
      <c r="K197" s="877">
        <f t="shared" si="56"/>
        <v>0</v>
      </c>
      <c r="L197" s="877">
        <f t="shared" si="56"/>
        <v>0</v>
      </c>
      <c r="M197" s="877">
        <f t="shared" si="56"/>
        <v>7.9659122581429134E-4</v>
      </c>
      <c r="N197" s="877">
        <f t="shared" si="56"/>
        <v>0</v>
      </c>
      <c r="O197" s="877">
        <f t="shared" si="56"/>
        <v>0</v>
      </c>
      <c r="P197" s="877">
        <f t="shared" si="56"/>
        <v>0</v>
      </c>
      <c r="Q197" s="877">
        <f t="shared" si="56"/>
        <v>0</v>
      </c>
      <c r="R197" s="877">
        <f t="shared" si="56"/>
        <v>0</v>
      </c>
      <c r="S197" s="877">
        <f t="shared" si="56"/>
        <v>0</v>
      </c>
      <c r="T197" s="877">
        <f t="shared" si="56"/>
        <v>0</v>
      </c>
      <c r="U197" s="877">
        <f t="shared" si="56"/>
        <v>1.5489273835277888E-3</v>
      </c>
      <c r="V197" s="877">
        <f t="shared" si="56"/>
        <v>0</v>
      </c>
      <c r="W197" s="878">
        <f t="shared" si="56"/>
        <v>0</v>
      </c>
      <c r="X197" s="877"/>
      <c r="Y197" s="879"/>
      <c r="Z197" s="877"/>
      <c r="AA197" s="877"/>
      <c r="AB197" s="877"/>
      <c r="AC197" s="877"/>
      <c r="AD197" s="886"/>
      <c r="AE197" s="877"/>
      <c r="AF197" s="879"/>
      <c r="AG197" s="877"/>
      <c r="AH197" s="877"/>
      <c r="AI197" s="877"/>
      <c r="AJ197" s="877"/>
      <c r="AK197" s="886"/>
      <c r="AL197" s="877"/>
      <c r="AM197" s="879"/>
      <c r="AN197" s="877"/>
      <c r="AO197" s="877"/>
      <c r="AP197" s="877"/>
      <c r="AQ197" s="877"/>
      <c r="AR197" s="886"/>
      <c r="AS197" s="877"/>
      <c r="AT197" s="879"/>
      <c r="AU197" s="877"/>
      <c r="AV197" s="877"/>
      <c r="AW197" s="877"/>
      <c r="AX197" s="877"/>
      <c r="AY197" s="886"/>
      <c r="AZ197" s="877"/>
      <c r="BA197" s="879"/>
      <c r="BB197" s="877"/>
      <c r="BC197" s="877"/>
      <c r="BD197" s="877"/>
      <c r="BE197" s="877"/>
      <c r="BF197" s="886"/>
      <c r="BG197" s="877"/>
      <c r="BH197" s="879"/>
      <c r="BI197" s="877"/>
      <c r="BJ197" s="877"/>
      <c r="BK197" s="877"/>
      <c r="BL197" s="877"/>
      <c r="BM197" s="886"/>
      <c r="BN197" s="877"/>
      <c r="BO197" s="879"/>
      <c r="BP197" s="877"/>
      <c r="BQ197" s="877"/>
      <c r="BR197" s="877"/>
      <c r="BS197" s="877"/>
      <c r="BT197" s="886"/>
      <c r="BU197" s="877"/>
      <c r="BV197" s="879"/>
      <c r="BW197" s="886"/>
      <c r="BX197" s="877"/>
      <c r="BY197" s="877"/>
      <c r="BZ197" s="877"/>
      <c r="CA197" s="877"/>
      <c r="CB197" s="877"/>
      <c r="CC197" s="877"/>
      <c r="CD197" s="877"/>
      <c r="CE197" s="877"/>
    </row>
    <row r="198" spans="1:83">
      <c r="A198" s="108" t="s">
        <v>149</v>
      </c>
      <c r="B198" s="93" t="s">
        <v>121</v>
      </c>
      <c r="C198" s="87">
        <f>'Input data plant-based products'!D190</f>
        <v>0.32707280280000001</v>
      </c>
      <c r="E198" s="513" t="s">
        <v>316</v>
      </c>
      <c r="F198" s="872">
        <f>SUMPRODUCT($CJ$6:$CJ$8,F199:F201)</f>
        <v>0.35482319098131898</v>
      </c>
      <c r="G198" s="872">
        <f>SUMPRODUCT($CJ$6:$CJ$8,G199:G201)</f>
        <v>0.37482319098131894</v>
      </c>
      <c r="H198" s="873">
        <f>SUMPRODUCT($CJ$6:$CJ$8,H199:H201)</f>
        <v>2.2510412032364915</v>
      </c>
      <c r="I198" s="1277"/>
      <c r="J198" s="884"/>
      <c r="K198" s="884"/>
      <c r="L198" s="884"/>
      <c r="M198" s="884"/>
      <c r="N198" s="884"/>
      <c r="O198" s="884"/>
      <c r="P198" s="884"/>
      <c r="Q198" s="884"/>
      <c r="R198" s="884"/>
      <c r="S198" s="884"/>
      <c r="T198" s="884"/>
      <c r="U198" s="884"/>
      <c r="V198" s="884"/>
      <c r="W198" s="1278"/>
      <c r="X198" s="877"/>
      <c r="Y198" s="879">
        <f>1/'Input data plant-based products'!E190*10^4</f>
        <v>3.0873726458783577</v>
      </c>
      <c r="Z198" s="877">
        <f>$Y198*'Input data plant-based products'!Z190</f>
        <v>3.0873726458783577</v>
      </c>
      <c r="AA198" s="877">
        <f>$Y198*'Input data plant-based products'!AA190</f>
        <v>17.152070254879764</v>
      </c>
      <c r="AB198" s="877">
        <f>$Y198*'Input data plant-based products'!AB190</f>
        <v>6.0032245892079166</v>
      </c>
      <c r="AC198" s="877">
        <f>$Y198*'Input data plant-based products'!AC190</f>
        <v>6.3830139172864619</v>
      </c>
      <c r="AD198" s="886">
        <f>$Y198*'Input data plant-based products'!AD190</f>
        <v>6.6489728305067306</v>
      </c>
      <c r="AE198" s="877"/>
      <c r="AF198" s="879">
        <f>SUM('Input data plant-based products'!F190,'Input data plant-based products'!Q190)/'Input data plant-based products'!E190</f>
        <v>7.3170731707317069E-2</v>
      </c>
      <c r="AG198" s="877">
        <f>$AF198*'Input data plant-based products'!Z190</f>
        <v>7.3170731707317069E-2</v>
      </c>
      <c r="AH198" s="877">
        <f>$AF198*'Input data plant-based products'!AA190</f>
        <v>0.40650406504065034</v>
      </c>
      <c r="AI198" s="877">
        <f>$AF198*'Input data plant-based products'!AB190</f>
        <v>0.14227642276422761</v>
      </c>
      <c r="AJ198" s="877">
        <f>$AF198*'Input data plant-based products'!AC190</f>
        <v>0.15127742983968911</v>
      </c>
      <c r="AK198" s="886">
        <f>$AF198*'Input data plant-based products'!AD190</f>
        <v>0.1575806560830095</v>
      </c>
      <c r="AL198" s="877"/>
      <c r="AM198" s="879">
        <f>'Input data plant-based products'!R190/'Input data plant-based products'!E190</f>
        <v>1.8524235875270145E-2</v>
      </c>
      <c r="AN198" s="877">
        <f>$AM198*'Input data plant-based products'!Z190</f>
        <v>1.8524235875270145E-2</v>
      </c>
      <c r="AO198" s="877">
        <f>$AM198*'Input data plant-based products'!AA190</f>
        <v>0.10291242152927858</v>
      </c>
      <c r="AP198" s="877">
        <f>$AM198*'Input data plant-based products'!AB190</f>
        <v>3.6019347535247499E-2</v>
      </c>
      <c r="AQ198" s="877">
        <f>$AM198*'Input data plant-based products'!AC190</f>
        <v>3.8298083503718765E-2</v>
      </c>
      <c r="AR198" s="886">
        <f>$AM198*'Input data plant-based products'!AD190</f>
        <v>3.989383698304038E-2</v>
      </c>
      <c r="AS198" s="877"/>
      <c r="AT198" s="879">
        <f>'Input data plant-based products'!S190</f>
        <v>9.2364702723536099E-2</v>
      </c>
      <c r="AU198" s="877">
        <f>$AT198*'Input data plant-based products'!Z190</f>
        <v>9.2364702723536099E-2</v>
      </c>
      <c r="AV198" s="877">
        <f>$AT198*'Input data plant-based products'!AA190</f>
        <v>0.51313723735297834</v>
      </c>
      <c r="AW198" s="877">
        <f>$AT198*'Input data plant-based products'!AB190</f>
        <v>0.17959803307354238</v>
      </c>
      <c r="AX198" s="877">
        <f>$AT198*'Input data plant-based products'!AC190</f>
        <v>0.19096016275762084</v>
      </c>
      <c r="AY198" s="886">
        <f>$AT198*'Input data plant-based products'!AD190</f>
        <v>0.19891683620585504</v>
      </c>
      <c r="AZ198" s="877"/>
      <c r="BA198" s="879">
        <f>((SUM('Input data plant-based products'!U190:Y190)*Y198)/('Common input data'!$B$192/10^6))/$BB$3</f>
        <v>5.2948791852627376E-10</v>
      </c>
      <c r="BB198" s="877">
        <f>$BA198*'Input data plant-based products'!Z190</f>
        <v>5.2948791852627376E-10</v>
      </c>
      <c r="BC198" s="877">
        <f>$BA198*'Input data plant-based products'!AA190</f>
        <v>2.9415995473681873E-9</v>
      </c>
      <c r="BD198" s="877">
        <f>$BA198*'Input data plant-based products'!AB190</f>
        <v>1.0295598415788655E-9</v>
      </c>
      <c r="BE198" s="877">
        <f>$BA198*'Input data plant-based products'!AC190</f>
        <v>1.0946941430928927E-9</v>
      </c>
      <c r="BF198" s="886">
        <f>$BA198*'Input data plant-based products'!AD190</f>
        <v>1.1403063990550965E-9</v>
      </c>
      <c r="BG198" s="877"/>
      <c r="BH198" s="879">
        <f>'Input data plant-based products'!T190/'Input data plant-based products'!E190</f>
        <v>5.1999999999999995E-4</v>
      </c>
      <c r="BI198" s="877">
        <f>$BH198*'Input data plant-based products'!Z190</f>
        <v>5.1999999999999995E-4</v>
      </c>
      <c r="BJ198" s="877">
        <f>$BH198*'Input data plant-based products'!AA190</f>
        <v>2.8888888888888883E-3</v>
      </c>
      <c r="BK198" s="877">
        <f>$BH198*'Input data plant-based products'!AB190</f>
        <v>1.0111111111111108E-3</v>
      </c>
      <c r="BL198" s="877">
        <f>$BH198*'Input data plant-based products'!AC190</f>
        <v>1.0750782680607239E-3</v>
      </c>
      <c r="BM198" s="886">
        <f>$BH198*'Input data plant-based products'!AD190</f>
        <v>1.1198731958965875E-3</v>
      </c>
      <c r="BN198" s="877"/>
      <c r="BO198" s="879">
        <f>('Input data plant-based products'!F190/'Input data plant-based products'!E190*'Common input data'!$B$195+'Input data plant-based products'!G190/'Input data plant-based products'!E190*'Common input data'!$B$196)/'Common input data'!$B$198</f>
        <v>2.3649644766995939E-4</v>
      </c>
      <c r="BP198" s="877">
        <f>$BO198*'Input data plant-based products'!Z190</f>
        <v>2.3649644766995939E-4</v>
      </c>
      <c r="BQ198" s="877">
        <f>$BO198*'Input data plant-based products'!AA190</f>
        <v>1.3138691537219966E-3</v>
      </c>
      <c r="BR198" s="877">
        <f>$BO198*'Input data plant-based products'!AB190</f>
        <v>4.5985420380269878E-4</v>
      </c>
      <c r="BS198" s="877">
        <f>$BO198*'Input data plant-based products'!AC190</f>
        <v>4.8894652185294929E-4</v>
      </c>
      <c r="BT198" s="886">
        <f>$BO198*'Input data plant-based products'!AD190</f>
        <v>5.0931929359682214E-4</v>
      </c>
      <c r="BU198" s="877"/>
      <c r="BV198" s="879">
        <f>('Common input data'!$B$215+'Common input data'!$C$215)*'Input data plant-based products'!AC190</f>
        <v>10.568639612499261</v>
      </c>
      <c r="BW198" s="886">
        <f>('Common input data'!$B$215+'Common input data'!$C$215)*'Input data plant-based products'!AD190</f>
        <v>11.008999596353396</v>
      </c>
      <c r="BX198" s="877"/>
      <c r="BY198" s="877"/>
      <c r="BZ198" s="877"/>
      <c r="CA198" s="877"/>
      <c r="CB198" s="877"/>
      <c r="CC198" s="877"/>
      <c r="CD198" s="877"/>
      <c r="CE198" s="877"/>
    </row>
    <row r="199" spans="1:83">
      <c r="A199" s="195"/>
      <c r="B199" s="55"/>
      <c r="C199" s="83"/>
      <c r="E199" s="511" t="s">
        <v>317</v>
      </c>
      <c r="F199" s="877">
        <f>IF(AND($F$2="No",$F$3="No"),SUM(L199:N199),IF(AND($F$2="Yes", $F$3="No"), (SUM(L199:M199)+S199), IF(AND($F$2="No", $F$3="Yes"),(SUM(L199:M199)+R199), (SUM(L199:M199)+S199+R199))))</f>
        <v>0.18547241203780995</v>
      </c>
      <c r="G199" s="877">
        <f>IF(AND($F$2="No",$F$3="No"),SUM(I199:Q199),IF(AND($F$2="Yes", $F$3="No"), (SUM(I199:Q199)+S199), IF(AND($F$2="No", $F$3="Yes"),(SUM(I199:Q199)+R199), (SUM(I199:Q199)+S199+R199))))</f>
        <v>0.20547241203780994</v>
      </c>
      <c r="H199" s="878">
        <f>SUM(U199:W199)/(1-'Common input data'!$C$143)</f>
        <v>1.9009155453108717</v>
      </c>
      <c r="I199" s="928"/>
      <c r="J199" s="877"/>
      <c r="K199" s="877"/>
      <c r="L199" s="877"/>
      <c r="M199" s="877">
        <v>0.18547241203780995</v>
      </c>
      <c r="N199" s="877"/>
      <c r="O199" s="877"/>
      <c r="P199" s="877">
        <f>'Input data plant-based products'!G309</f>
        <v>0.02</v>
      </c>
      <c r="Q199" s="877"/>
      <c r="R199" s="877"/>
      <c r="S199" s="877"/>
      <c r="T199" s="877">
        <f>'Input data plant-based products'!B279</f>
        <v>0.311</v>
      </c>
      <c r="U199" s="877">
        <f>U178/'Common input data'!C$44*'Common input data'!D$44</f>
        <v>1.1578110703648747</v>
      </c>
      <c r="V199" s="877">
        <f>'Common input data'!$B$104</f>
        <v>0.3</v>
      </c>
      <c r="W199" s="878">
        <f>'Common input data'!$B$123+'Common input data'!$C$123</f>
        <v>0.32999999999999996</v>
      </c>
      <c r="X199" s="877"/>
      <c r="Y199" s="879"/>
      <c r="Z199" s="877"/>
      <c r="AA199" s="877"/>
      <c r="AB199" s="877"/>
      <c r="AC199" s="877"/>
      <c r="AD199" s="886"/>
      <c r="AE199" s="877"/>
      <c r="AF199" s="879"/>
      <c r="AG199" s="877"/>
      <c r="AH199" s="877"/>
      <c r="AI199" s="877"/>
      <c r="AJ199" s="877"/>
      <c r="AK199" s="886"/>
      <c r="AL199" s="877"/>
      <c r="AM199" s="879"/>
      <c r="AN199" s="877"/>
      <c r="AO199" s="877"/>
      <c r="AP199" s="877"/>
      <c r="AQ199" s="877"/>
      <c r="AR199" s="886"/>
      <c r="AS199" s="877"/>
      <c r="AT199" s="879"/>
      <c r="AU199" s="877"/>
      <c r="AV199" s="877"/>
      <c r="AW199" s="877"/>
      <c r="AX199" s="877"/>
      <c r="AY199" s="886"/>
      <c r="AZ199" s="877"/>
      <c r="BA199" s="879"/>
      <c r="BB199" s="877"/>
      <c r="BC199" s="877"/>
      <c r="BD199" s="877"/>
      <c r="BE199" s="877"/>
      <c r="BF199" s="886"/>
      <c r="BG199" s="877"/>
      <c r="BH199" s="879"/>
      <c r="BI199" s="877"/>
      <c r="BJ199" s="877"/>
      <c r="BK199" s="877"/>
      <c r="BL199" s="877"/>
      <c r="BM199" s="886"/>
      <c r="BN199" s="877"/>
      <c r="BO199" s="879"/>
      <c r="BP199" s="877"/>
      <c r="BQ199" s="877"/>
      <c r="BR199" s="877"/>
      <c r="BS199" s="877"/>
      <c r="BT199" s="886"/>
      <c r="BU199" s="877"/>
      <c r="BV199" s="879"/>
      <c r="BW199" s="886"/>
      <c r="BX199" s="877"/>
      <c r="BY199" s="877"/>
      <c r="BZ199" s="877"/>
      <c r="CA199" s="877"/>
      <c r="CB199" s="877"/>
      <c r="CC199" s="877"/>
      <c r="CD199" s="877"/>
      <c r="CE199" s="877"/>
    </row>
    <row r="200" spans="1:83">
      <c r="A200" s="195"/>
      <c r="B200" s="55"/>
      <c r="C200" s="83"/>
      <c r="E200" s="511" t="s">
        <v>367</v>
      </c>
      <c r="F200" s="877">
        <f>SUM(K200:M200)</f>
        <v>2.4378118117000003E-4</v>
      </c>
      <c r="G200" s="877">
        <f>SUM(I200:Q200)</f>
        <v>2.4378118117000003E-4</v>
      </c>
      <c r="H200" s="878">
        <f>SUM(U200:W200)/(1-'Common input data'!$C$143)</f>
        <v>5.0400740391931011E-4</v>
      </c>
      <c r="I200" s="928"/>
      <c r="J200" s="877"/>
      <c r="K200" s="877"/>
      <c r="L200" s="877"/>
      <c r="M200" s="877">
        <v>2.4378118117000003E-4</v>
      </c>
      <c r="N200" s="877"/>
      <c r="O200" s="877"/>
      <c r="P200" s="877"/>
      <c r="Q200" s="877"/>
      <c r="R200" s="877"/>
      <c r="S200" s="877"/>
      <c r="T200" s="877"/>
      <c r="U200" s="877">
        <f>U179/'Common input data'!C$44*'Common input data'!D$44</f>
        <v>4.7401896338611116E-4</v>
      </c>
      <c r="V200" s="877"/>
      <c r="W200" s="878">
        <v>0</v>
      </c>
      <c r="X200" s="877"/>
      <c r="Y200" s="879"/>
      <c r="Z200" s="877"/>
      <c r="AA200" s="877"/>
      <c r="AB200" s="877"/>
      <c r="AC200" s="877"/>
      <c r="AD200" s="886"/>
      <c r="AE200" s="877"/>
      <c r="AF200" s="879"/>
      <c r="AG200" s="877"/>
      <c r="AH200" s="877"/>
      <c r="AI200" s="877"/>
      <c r="AJ200" s="877"/>
      <c r="AK200" s="886"/>
      <c r="AL200" s="877"/>
      <c r="AM200" s="879"/>
      <c r="AN200" s="877"/>
      <c r="AO200" s="877"/>
      <c r="AP200" s="877"/>
      <c r="AQ200" s="877"/>
      <c r="AR200" s="886"/>
      <c r="AS200" s="877"/>
      <c r="AT200" s="879"/>
      <c r="AU200" s="877"/>
      <c r="AV200" s="877"/>
      <c r="AW200" s="877"/>
      <c r="AX200" s="877"/>
      <c r="AY200" s="886"/>
      <c r="AZ200" s="877"/>
      <c r="BA200" s="879"/>
      <c r="BB200" s="877"/>
      <c r="BC200" s="877"/>
      <c r="BD200" s="877"/>
      <c r="BE200" s="877"/>
      <c r="BF200" s="886"/>
      <c r="BG200" s="877"/>
      <c r="BH200" s="879"/>
      <c r="BI200" s="877"/>
      <c r="BJ200" s="877"/>
      <c r="BK200" s="877"/>
      <c r="BL200" s="877"/>
      <c r="BM200" s="886"/>
      <c r="BN200" s="877"/>
      <c r="BO200" s="879"/>
      <c r="BP200" s="877"/>
      <c r="BQ200" s="877"/>
      <c r="BR200" s="877"/>
      <c r="BS200" s="877"/>
      <c r="BT200" s="886"/>
      <c r="BU200" s="877"/>
      <c r="BV200" s="879"/>
      <c r="BW200" s="886"/>
      <c r="BX200" s="877"/>
      <c r="BY200" s="877"/>
      <c r="BZ200" s="877"/>
      <c r="CA200" s="877"/>
      <c r="CB200" s="877"/>
      <c r="CC200" s="877"/>
      <c r="CD200" s="877"/>
      <c r="CE200" s="877"/>
    </row>
    <row r="201" spans="1:83">
      <c r="A201" s="18"/>
      <c r="B201" s="360"/>
      <c r="C201" s="83"/>
      <c r="E201" s="512" t="s">
        <v>320</v>
      </c>
      <c r="F201" s="877">
        <f>SUM(K201:M201)</f>
        <v>7.2190990296999995E-4</v>
      </c>
      <c r="G201" s="877">
        <f>SUM(I201:Q201)</f>
        <v>7.2190990296999995E-4</v>
      </c>
      <c r="H201" s="878">
        <f>SUM(U201:W201)/(1-'Common input data'!$C$143)</f>
        <v>1.4925185541939865E-3</v>
      </c>
      <c r="I201" s="928"/>
      <c r="J201" s="877"/>
      <c r="K201" s="877"/>
      <c r="L201" s="877"/>
      <c r="M201" s="877">
        <v>7.2190990296999995E-4</v>
      </c>
      <c r="N201" s="877"/>
      <c r="O201" s="877"/>
      <c r="P201" s="877"/>
      <c r="Q201" s="877"/>
      <c r="R201" s="877"/>
      <c r="S201" s="877"/>
      <c r="T201" s="877"/>
      <c r="U201" s="877">
        <f>U180/'Common input data'!C$44*'Common input data'!D$44</f>
        <v>1.4037137002194443E-3</v>
      </c>
      <c r="V201" s="877"/>
      <c r="W201" s="878">
        <v>0</v>
      </c>
      <c r="X201" s="877"/>
      <c r="Y201" s="879"/>
      <c r="Z201" s="877"/>
      <c r="AA201" s="877"/>
      <c r="AB201" s="877"/>
      <c r="AC201" s="877"/>
      <c r="AD201" s="886"/>
      <c r="AE201" s="877"/>
      <c r="AF201" s="879"/>
      <c r="AG201" s="877"/>
      <c r="AH201" s="877"/>
      <c r="AI201" s="877"/>
      <c r="AJ201" s="877"/>
      <c r="AK201" s="886"/>
      <c r="AL201" s="877"/>
      <c r="AM201" s="879"/>
      <c r="AN201" s="877"/>
      <c r="AO201" s="877"/>
      <c r="AP201" s="877"/>
      <c r="AQ201" s="877"/>
      <c r="AR201" s="886"/>
      <c r="AS201" s="877"/>
      <c r="AT201" s="879"/>
      <c r="AU201" s="877"/>
      <c r="AV201" s="877"/>
      <c r="AW201" s="877"/>
      <c r="AX201" s="877"/>
      <c r="AY201" s="886"/>
      <c r="AZ201" s="877"/>
      <c r="BA201" s="879"/>
      <c r="BB201" s="877"/>
      <c r="BC201" s="877"/>
      <c r="BD201" s="877"/>
      <c r="BE201" s="877"/>
      <c r="BF201" s="886"/>
      <c r="BG201" s="877"/>
      <c r="BH201" s="879"/>
      <c r="BI201" s="877"/>
      <c r="BJ201" s="877"/>
      <c r="BK201" s="877"/>
      <c r="BL201" s="877"/>
      <c r="BM201" s="886"/>
      <c r="BN201" s="877"/>
      <c r="BO201" s="879"/>
      <c r="BP201" s="877"/>
      <c r="BQ201" s="877"/>
      <c r="BR201" s="877"/>
      <c r="BS201" s="877"/>
      <c r="BT201" s="886"/>
      <c r="BU201" s="877"/>
      <c r="BV201" s="879"/>
      <c r="BW201" s="886"/>
      <c r="BX201" s="877"/>
      <c r="BY201" s="877"/>
      <c r="BZ201" s="877"/>
      <c r="CA201" s="877"/>
      <c r="CB201" s="877"/>
      <c r="CC201" s="877"/>
      <c r="CD201" s="877"/>
      <c r="CE201" s="877"/>
    </row>
    <row r="202" spans="1:83">
      <c r="A202" s="108" t="s">
        <v>142</v>
      </c>
      <c r="B202" s="93" t="s">
        <v>121</v>
      </c>
      <c r="C202" s="87">
        <f>'Input data plant-based products'!D191</f>
        <v>0.28777903040000002</v>
      </c>
      <c r="E202" s="513" t="s">
        <v>316</v>
      </c>
      <c r="F202" s="872">
        <f>SUMPRODUCT($CJ$6:$CJ$8,F203:F205)</f>
        <v>0.43095805933735898</v>
      </c>
      <c r="G202" s="872">
        <f>SUMPRODUCT($CJ$6:$CJ$8,G203:G205)</f>
        <v>0.43095805933735898</v>
      </c>
      <c r="H202" s="873">
        <f>SUMPRODUCT($CJ$6:$CJ$8,H203:H205)</f>
        <v>2.5198821298580181</v>
      </c>
      <c r="I202" s="1277"/>
      <c r="J202" s="884"/>
      <c r="K202" s="884"/>
      <c r="L202" s="884"/>
      <c r="M202" s="884"/>
      <c r="N202" s="884"/>
      <c r="O202" s="884"/>
      <c r="P202" s="884"/>
      <c r="Q202" s="884"/>
      <c r="R202" s="884"/>
      <c r="S202" s="884"/>
      <c r="T202" s="884"/>
      <c r="U202" s="884"/>
      <c r="V202" s="884"/>
      <c r="W202" s="1278"/>
      <c r="X202" s="877"/>
      <c r="Y202" s="879">
        <f>1/'Input data plant-based products'!E191*10^4</f>
        <v>3.3098554255150141</v>
      </c>
      <c r="Z202" s="877">
        <f>$Y202*'Input data plant-based products'!Z191</f>
        <v>3.3098554255150141</v>
      </c>
      <c r="AA202" s="877">
        <f>$Y202*'Input data plant-based products'!AA191</f>
        <v>18.388085697305634</v>
      </c>
      <c r="AB202" s="877">
        <f>$Y202*'Input data plant-based products'!AB191</f>
        <v>6.435829994056971</v>
      </c>
      <c r="AC202" s="877">
        <f>$Y202*'Input data plant-based products'!AC191</f>
        <v>7.2846687335671501</v>
      </c>
      <c r="AD202" s="886">
        <f>$Y202*'Input data plant-based products'!AD191</f>
        <v>7.5881965974657808</v>
      </c>
      <c r="AE202" s="877"/>
      <c r="AF202" s="879">
        <f>SUM('Input data plant-based products'!F191,'Input data plant-based products'!Q191)/'Input data plant-based products'!E191</f>
        <v>8.3739342265529843E-2</v>
      </c>
      <c r="AG202" s="877">
        <f>$AF202*'Input data plant-based products'!Z191</f>
        <v>8.3739342265529843E-2</v>
      </c>
      <c r="AH202" s="877">
        <f>$AF202*'Input data plant-based products'!AA191</f>
        <v>0.46521856814183243</v>
      </c>
      <c r="AI202" s="877">
        <f>$AF202*'Input data plant-based products'!AB191</f>
        <v>0.16282649884964134</v>
      </c>
      <c r="AJ202" s="877">
        <f>$AF202*'Input data plant-based products'!AC191</f>
        <v>0.18430211895924886</v>
      </c>
      <c r="AK202" s="886">
        <f>$AF202*'Input data plant-based products'!AD191</f>
        <v>0.19198137391588421</v>
      </c>
      <c r="AL202" s="877"/>
      <c r="AM202" s="879">
        <f>'Input data plant-based products'!R191/'Input data plant-based products'!E191</f>
        <v>1.654927712757507E-2</v>
      </c>
      <c r="AN202" s="877">
        <f>$AM202*'Input data plant-based products'!Z191</f>
        <v>1.654927712757507E-2</v>
      </c>
      <c r="AO202" s="877">
        <f>$AM202*'Input data plant-based products'!AA191</f>
        <v>9.1940428486528156E-2</v>
      </c>
      <c r="AP202" s="877">
        <f>$AM202*'Input data plant-based products'!AB191</f>
        <v>3.2179149970284857E-2</v>
      </c>
      <c r="AQ202" s="877">
        <f>$AM202*'Input data plant-based products'!AC191</f>
        <v>3.6423343667835749E-2</v>
      </c>
      <c r="AR202" s="886">
        <f>$AM202*'Input data plant-based products'!AD191</f>
        <v>3.7940982987328904E-2</v>
      </c>
      <c r="AS202" s="877"/>
      <c r="AT202" s="879">
        <f>'Input data plant-based products'!S191</f>
        <v>8.3191495512068404E-4</v>
      </c>
      <c r="AU202" s="877">
        <f>$AT202*'Input data plant-based products'!Z191</f>
        <v>8.3191495512068404E-4</v>
      </c>
      <c r="AV202" s="877">
        <f>$AT202*'Input data plant-based products'!AA191</f>
        <v>4.6217497506704664E-3</v>
      </c>
      <c r="AW202" s="877">
        <f>$AT202*'Input data plant-based products'!AB191</f>
        <v>1.6176124127346631E-3</v>
      </c>
      <c r="AX202" s="877">
        <f>$AT202*'Input data plant-based products'!AC191</f>
        <v>1.8309636172738856E-3</v>
      </c>
      <c r="AY202" s="886">
        <f>$AT202*'Input data plant-based products'!AD191</f>
        <v>1.9072537679936305E-3</v>
      </c>
      <c r="AZ202" s="877"/>
      <c r="BA202" s="879">
        <f>((SUM('Input data plant-based products'!U191:Y191)*Y202)/('Common input data'!$B$192/10^6))/$BB$3</f>
        <v>1.3670298043044441E-9</v>
      </c>
      <c r="BB202" s="877">
        <f>$BA202*'Input data plant-based products'!Z191</f>
        <v>1.3670298043044441E-9</v>
      </c>
      <c r="BC202" s="877">
        <f>$BA202*'Input data plant-based products'!AA191</f>
        <v>7.594610023913579E-9</v>
      </c>
      <c r="BD202" s="877">
        <f>$BA202*'Input data plant-based products'!AB191</f>
        <v>2.6581135083697521E-9</v>
      </c>
      <c r="BE202" s="877">
        <f>$BA202*'Input data plant-based products'!AC191</f>
        <v>3.0086991705148211E-9</v>
      </c>
      <c r="BF202" s="886">
        <f>$BA202*'Input data plant-based products'!AD191</f>
        <v>3.1340616359529387E-9</v>
      </c>
      <c r="BG202" s="877"/>
      <c r="BH202" s="879">
        <f>'Input data plant-based products'!T191/'Input data plant-based products'!E191</f>
        <v>1.5907165175025157E-3</v>
      </c>
      <c r="BI202" s="877">
        <f>$BH202*'Input data plant-based products'!Z191</f>
        <v>1.5907165175025157E-3</v>
      </c>
      <c r="BJ202" s="877">
        <f>$BH202*'Input data plant-based products'!AA191</f>
        <v>8.8373139861250873E-3</v>
      </c>
      <c r="BK202" s="877">
        <f>$BH202*'Input data plant-based products'!AB191</f>
        <v>3.0930598951437803E-3</v>
      </c>
      <c r="BL202" s="877">
        <f>$BH202*'Input data plant-based products'!AC191</f>
        <v>3.5010117933523721E-3</v>
      </c>
      <c r="BM202" s="886">
        <f>$BH202*'Input data plant-based products'!AD191</f>
        <v>3.6468872847420539E-3</v>
      </c>
      <c r="BN202" s="877"/>
      <c r="BO202" s="879">
        <f>('Input data plant-based products'!F191/'Input data plant-based products'!E191*'Common input data'!$B$195+'Input data plant-based products'!G191/'Input data plant-based products'!E191*'Common input data'!$B$196)/'Common input data'!$B$198</f>
        <v>8.4512965145346625E-5</v>
      </c>
      <c r="BP202" s="877">
        <f>$BO202*'Input data plant-based products'!Z191</f>
        <v>8.4512965145346625E-5</v>
      </c>
      <c r="BQ202" s="877">
        <f>$BO202*'Input data plant-based products'!AA191</f>
        <v>4.6951647302970347E-4</v>
      </c>
      <c r="BR202" s="877">
        <f>$BO202*'Input data plant-based products'!AB191</f>
        <v>1.6433076556039618E-4</v>
      </c>
      <c r="BS202" s="877">
        <f>$BO202*'Input data plant-based products'!AC191</f>
        <v>1.8600478740836898E-4</v>
      </c>
      <c r="BT202" s="886">
        <f>$BO202*'Input data plant-based products'!AD191</f>
        <v>1.9375498688371768E-4</v>
      </c>
      <c r="BU202" s="877"/>
      <c r="BV202" s="879">
        <f>('Common input data'!$B$219+'Common input data'!$C$219)*'Input data plant-based products'!AC191</f>
        <v>10.950149686516038</v>
      </c>
      <c r="BW202" s="886">
        <f>('Common input data'!$B$219+'Common input data'!$C$219)*'Input data plant-based products'!AD191</f>
        <v>11.406405923454205</v>
      </c>
      <c r="BX202" s="877"/>
      <c r="BY202" s="877"/>
      <c r="BZ202" s="877"/>
      <c r="CA202" s="877"/>
      <c r="CB202" s="877"/>
      <c r="CC202" s="877"/>
      <c r="CD202" s="877"/>
      <c r="CE202" s="877"/>
    </row>
    <row r="203" spans="1:83">
      <c r="A203" s="195"/>
      <c r="B203" s="55"/>
      <c r="C203" s="83"/>
      <c r="E203" s="511" t="s">
        <v>317</v>
      </c>
      <c r="F203" s="877">
        <f>IF(AND($F$2="No",$F$3="No"),SUM(L203:N203),IF(AND($F$2="Yes", $F$3="No"), (SUM(L203:M203)+S203), IF(AND($F$2="No", $F$3="Yes"),(SUM(L203:M203)+R203), (SUM(L203:M203)+S203+R203))))</f>
        <v>0.1912694765555</v>
      </c>
      <c r="G203" s="877">
        <f>IF(AND($F$2="No",$F$3="No"),SUM(I203:Q203),IF(AND($F$2="Yes", $F$3="No"), (SUM(I203:Q203)+S203), IF(AND($F$2="No", $F$3="Yes"),(SUM(I203:Q203)+R203), (SUM(I203:Q203)+S203+R203))))</f>
        <v>0.1912694765555</v>
      </c>
      <c r="H203" s="878">
        <f>SUM(U203:W203)/(1-'Common input data'!$F$143)</f>
        <v>1.9923509539268687</v>
      </c>
      <c r="I203" s="928"/>
      <c r="J203" s="877"/>
      <c r="K203" s="877"/>
      <c r="L203" s="877"/>
      <c r="M203" s="877">
        <v>0.1912694765555</v>
      </c>
      <c r="N203" s="877"/>
      <c r="O203" s="877"/>
      <c r="P203" s="877"/>
      <c r="Q203" s="877"/>
      <c r="R203" s="877"/>
      <c r="S203" s="877"/>
      <c r="T203" s="877">
        <f>'Input data plant-based products'!$B$279</f>
        <v>0.311</v>
      </c>
      <c r="U203" s="877">
        <f>U182/'Common input data'!C$44*'Common input data'!D$44</f>
        <v>1.130194251371494</v>
      </c>
      <c r="V203" s="877">
        <f>'Common input data'!$B$104</f>
        <v>0.3</v>
      </c>
      <c r="W203" s="878">
        <f>'Common input data'!$B$123+'Common input data'!$C$123</f>
        <v>0.32999999999999996</v>
      </c>
      <c r="X203" s="877"/>
      <c r="Y203" s="879"/>
      <c r="Z203" s="877"/>
      <c r="AA203" s="877"/>
      <c r="AB203" s="877"/>
      <c r="AC203" s="877"/>
      <c r="AD203" s="886"/>
      <c r="AE203" s="877"/>
      <c r="AF203" s="879"/>
      <c r="AG203" s="877"/>
      <c r="AH203" s="877"/>
      <c r="AI203" s="877"/>
      <c r="AJ203" s="877"/>
      <c r="AK203" s="886"/>
      <c r="AL203" s="877"/>
      <c r="AM203" s="879"/>
      <c r="AN203" s="877"/>
      <c r="AO203" s="877"/>
      <c r="AP203" s="877"/>
      <c r="AQ203" s="877"/>
      <c r="AR203" s="886"/>
      <c r="AS203" s="877"/>
      <c r="AT203" s="879"/>
      <c r="AU203" s="877"/>
      <c r="AV203" s="877"/>
      <c r="AW203" s="877"/>
      <c r="AX203" s="877"/>
      <c r="AY203" s="886"/>
      <c r="AZ203" s="877"/>
      <c r="BA203" s="879"/>
      <c r="BB203" s="877"/>
      <c r="BC203" s="877"/>
      <c r="BD203" s="877"/>
      <c r="BE203" s="877"/>
      <c r="BF203" s="886"/>
      <c r="BG203" s="877"/>
      <c r="BH203" s="879"/>
      <c r="BI203" s="877"/>
      <c r="BJ203" s="877"/>
      <c r="BK203" s="877"/>
      <c r="BL203" s="877"/>
      <c r="BM203" s="886"/>
      <c r="BN203" s="877"/>
      <c r="BO203" s="879"/>
      <c r="BP203" s="877"/>
      <c r="BQ203" s="877"/>
      <c r="BR203" s="877"/>
      <c r="BS203" s="877"/>
      <c r="BT203" s="886"/>
      <c r="BU203" s="877"/>
      <c r="BV203" s="879"/>
      <c r="BW203" s="886"/>
      <c r="BX203" s="877"/>
      <c r="BY203" s="877"/>
      <c r="BZ203" s="877"/>
      <c r="CA203" s="877"/>
      <c r="CB203" s="877"/>
      <c r="CC203" s="877"/>
      <c r="CD203" s="877"/>
      <c r="CE203" s="877"/>
    </row>
    <row r="204" spans="1:83">
      <c r="A204" s="195"/>
      <c r="B204" s="55"/>
      <c r="C204" s="83"/>
      <c r="E204" s="511" t="s">
        <v>367</v>
      </c>
      <c r="F204" s="877">
        <f>SUM(K204:M204)</f>
        <v>3.2151556784999996E-4</v>
      </c>
      <c r="G204" s="877">
        <f>SUM(I204:Q204)</f>
        <v>3.2151556784999996E-4</v>
      </c>
      <c r="H204" s="878">
        <f>SUM(U204:W204)/(1-'Common input data'!$F$143)</f>
        <v>7.0762438335431098E-4</v>
      </c>
      <c r="I204" s="928"/>
      <c r="J204" s="877"/>
      <c r="K204" s="877"/>
      <c r="L204" s="877"/>
      <c r="M204" s="877">
        <v>3.2151556784999996E-4</v>
      </c>
      <c r="N204" s="877"/>
      <c r="O204" s="877"/>
      <c r="P204" s="877"/>
      <c r="Q204" s="877"/>
      <c r="R204" s="877"/>
      <c r="S204" s="877"/>
      <c r="T204" s="877"/>
      <c r="U204" s="877">
        <f>U183/'Common input data'!C$44*'Common input data'!D$44</f>
        <v>6.2516915970833322E-4</v>
      </c>
      <c r="V204" s="877"/>
      <c r="W204" s="878">
        <v>0</v>
      </c>
      <c r="X204" s="877"/>
      <c r="Y204" s="879"/>
      <c r="Z204" s="877"/>
      <c r="AA204" s="877"/>
      <c r="AB204" s="877"/>
      <c r="AC204" s="877"/>
      <c r="AD204" s="886"/>
      <c r="AE204" s="877"/>
      <c r="AF204" s="879"/>
      <c r="AG204" s="877"/>
      <c r="AH204" s="877"/>
      <c r="AI204" s="877"/>
      <c r="AJ204" s="877"/>
      <c r="AK204" s="886"/>
      <c r="AL204" s="877"/>
      <c r="AM204" s="879"/>
      <c r="AN204" s="877"/>
      <c r="AO204" s="877"/>
      <c r="AP204" s="877"/>
      <c r="AQ204" s="877"/>
      <c r="AR204" s="886"/>
      <c r="AS204" s="877"/>
      <c r="AT204" s="879"/>
      <c r="AU204" s="877"/>
      <c r="AV204" s="877"/>
      <c r="AW204" s="877"/>
      <c r="AX204" s="877"/>
      <c r="AY204" s="886"/>
      <c r="AZ204" s="877"/>
      <c r="BA204" s="879"/>
      <c r="BB204" s="877"/>
      <c r="BC204" s="877"/>
      <c r="BD204" s="877"/>
      <c r="BE204" s="877"/>
      <c r="BF204" s="886"/>
      <c r="BG204" s="877"/>
      <c r="BH204" s="879"/>
      <c r="BI204" s="877"/>
      <c r="BJ204" s="877"/>
      <c r="BK204" s="877"/>
      <c r="BL204" s="877"/>
      <c r="BM204" s="886"/>
      <c r="BN204" s="877"/>
      <c r="BO204" s="879"/>
      <c r="BP204" s="877"/>
      <c r="BQ204" s="877"/>
      <c r="BR204" s="877"/>
      <c r="BS204" s="877"/>
      <c r="BT204" s="886"/>
      <c r="BU204" s="877"/>
      <c r="BV204" s="879"/>
      <c r="BW204" s="886"/>
      <c r="BX204" s="877"/>
      <c r="BY204" s="877"/>
      <c r="BZ204" s="877"/>
      <c r="CA204" s="877"/>
      <c r="CB204" s="877"/>
      <c r="CC204" s="877"/>
      <c r="CD204" s="877"/>
      <c r="CE204" s="877"/>
    </row>
    <row r="205" spans="1:83">
      <c r="A205" s="18"/>
      <c r="B205" s="360"/>
      <c r="C205" s="83"/>
      <c r="E205" s="512" t="s">
        <v>320</v>
      </c>
      <c r="F205" s="877">
        <f>SUM(K205:M205)</f>
        <v>1.022220856708E-3</v>
      </c>
      <c r="G205" s="877">
        <f>SUM(I205:Q205)</f>
        <v>1.022220856708E-3</v>
      </c>
      <c r="H205" s="878">
        <f>SUM(U205:W205)/(1-'Common input data'!$F$143)</f>
        <v>2.2498083318857683E-3</v>
      </c>
      <c r="I205" s="928"/>
      <c r="J205" s="877"/>
      <c r="K205" s="877"/>
      <c r="L205" s="877"/>
      <c r="M205" s="877">
        <v>1.022220856708E-3</v>
      </c>
      <c r="N205" s="877"/>
      <c r="O205" s="877"/>
      <c r="P205" s="877"/>
      <c r="Q205" s="877"/>
      <c r="R205" s="877"/>
      <c r="S205" s="877"/>
      <c r="T205" s="877"/>
      <c r="U205" s="877">
        <f>U184/'Common input data'!C$44*'Common input data'!D$44</f>
        <v>1.9876516658211109E-3</v>
      </c>
      <c r="V205" s="877"/>
      <c r="W205" s="878">
        <v>0</v>
      </c>
      <c r="X205" s="877"/>
      <c r="Y205" s="879"/>
      <c r="Z205" s="877"/>
      <c r="AA205" s="877"/>
      <c r="AB205" s="877"/>
      <c r="AC205" s="877"/>
      <c r="AD205" s="886"/>
      <c r="AE205" s="877"/>
      <c r="AF205" s="879"/>
      <c r="AG205" s="877"/>
      <c r="AH205" s="877"/>
      <c r="AI205" s="877"/>
      <c r="AJ205" s="877"/>
      <c r="AK205" s="886"/>
      <c r="AL205" s="877"/>
      <c r="AM205" s="879"/>
      <c r="AN205" s="877"/>
      <c r="AO205" s="877"/>
      <c r="AP205" s="877"/>
      <c r="AQ205" s="877"/>
      <c r="AR205" s="886"/>
      <c r="AS205" s="877"/>
      <c r="AT205" s="879"/>
      <c r="AU205" s="877"/>
      <c r="AV205" s="877"/>
      <c r="AW205" s="877"/>
      <c r="AX205" s="877"/>
      <c r="AY205" s="886"/>
      <c r="AZ205" s="877"/>
      <c r="BA205" s="879"/>
      <c r="BB205" s="877"/>
      <c r="BC205" s="877"/>
      <c r="BD205" s="877"/>
      <c r="BE205" s="877"/>
      <c r="BF205" s="886"/>
      <c r="BG205" s="877"/>
      <c r="BH205" s="879"/>
      <c r="BI205" s="877"/>
      <c r="BJ205" s="877"/>
      <c r="BK205" s="877"/>
      <c r="BL205" s="877"/>
      <c r="BM205" s="886"/>
      <c r="BN205" s="877"/>
      <c r="BO205" s="879"/>
      <c r="BP205" s="877"/>
      <c r="BQ205" s="877"/>
      <c r="BR205" s="877"/>
      <c r="BS205" s="877"/>
      <c r="BT205" s="886"/>
      <c r="BU205" s="877"/>
      <c r="BV205" s="879"/>
      <c r="BW205" s="886"/>
      <c r="BX205" s="877"/>
      <c r="BY205" s="877"/>
      <c r="BZ205" s="877"/>
      <c r="CA205" s="877"/>
      <c r="CB205" s="877"/>
      <c r="CC205" s="877"/>
      <c r="CD205" s="877"/>
      <c r="CE205" s="877"/>
    </row>
    <row r="206" spans="1:83">
      <c r="A206" s="108" t="s">
        <v>184</v>
      </c>
      <c r="B206" s="93" t="s">
        <v>121</v>
      </c>
      <c r="C206" s="87">
        <f>'Input data plant-based products'!D192</f>
        <v>0.16764581510000001</v>
      </c>
      <c r="E206" s="513" t="s">
        <v>316</v>
      </c>
      <c r="F206" s="872">
        <f>SUMPRODUCT($CJ$6:$CJ$8,F207:F209)</f>
        <v>0.26027769601325601</v>
      </c>
      <c r="G206" s="872">
        <f>SUMPRODUCT($CJ$6:$CJ$8,G207:G209)</f>
        <v>0.28027769601325603</v>
      </c>
      <c r="H206" s="873">
        <f>SUMPRODUCT($CJ$6:$CJ$8,H207:H209)</f>
        <v>2.1882493573181607</v>
      </c>
      <c r="I206" s="1277"/>
      <c r="J206" s="884"/>
      <c r="K206" s="884"/>
      <c r="L206" s="884"/>
      <c r="M206" s="884"/>
      <c r="N206" s="884"/>
      <c r="O206" s="884"/>
      <c r="P206" s="884"/>
      <c r="Q206" s="884"/>
      <c r="R206" s="884"/>
      <c r="S206" s="884"/>
      <c r="T206" s="884"/>
      <c r="U206" s="884"/>
      <c r="V206" s="884"/>
      <c r="W206" s="1278"/>
      <c r="X206" s="877"/>
      <c r="Y206" s="879">
        <f>1/'Input data plant-based products'!E192*10^4</f>
        <v>3.4075033223157396</v>
      </c>
      <c r="Z206" s="877">
        <f>$Y206*'Input data plant-based products'!Z192</f>
        <v>3.4075033223157396</v>
      </c>
      <c r="AA206" s="877">
        <f>$Y206*'Input data plant-based products'!AA192</f>
        <v>18.930574012865218</v>
      </c>
      <c r="AB206" s="877">
        <f>$Y206*'Input data plant-based products'!AB192</f>
        <v>6.6257009045028266</v>
      </c>
      <c r="AC206" s="877">
        <f>$Y206*'Input data plant-based products'!AC192</f>
        <v>7.4995822235157785</v>
      </c>
      <c r="AD206" s="886">
        <f>$Y206*'Input data plant-based products'!AD192</f>
        <v>7.8120648161622697</v>
      </c>
      <c r="AE206" s="877"/>
      <c r="AF206" s="879">
        <f>SUM('Input data plant-based products'!F192,'Input data plant-based products'!Q192)/'Input data plant-based products'!E192</f>
        <v>3.1689780897536379E-2</v>
      </c>
      <c r="AG206" s="877">
        <f>$AF206*'Input data plant-based products'!Z192</f>
        <v>3.1689780897536379E-2</v>
      </c>
      <c r="AH206" s="877">
        <f>$AF206*'Input data plant-based products'!AA192</f>
        <v>0.17605433831964654</v>
      </c>
      <c r="AI206" s="877">
        <f>$AF206*'Input data plant-based products'!AB192</f>
        <v>6.1619018411876288E-2</v>
      </c>
      <c r="AJ206" s="877">
        <f>$AF206*'Input data plant-based products'!AC192</f>
        <v>6.974611467869675E-2</v>
      </c>
      <c r="AK206" s="886">
        <f>$AF206*'Input data plant-based products'!AD192</f>
        <v>7.2652202790309109E-2</v>
      </c>
      <c r="AL206" s="877"/>
      <c r="AM206" s="879">
        <f>'Input data plant-based products'!R192/'Input data plant-based products'!E192</f>
        <v>1.7037516611578696E-3</v>
      </c>
      <c r="AN206" s="877">
        <f>$AM206*'Input data plant-based products'!Z192</f>
        <v>1.7037516611578696E-3</v>
      </c>
      <c r="AO206" s="877">
        <f>$AM206*'Input data plant-based products'!AA192</f>
        <v>9.465287006432609E-3</v>
      </c>
      <c r="AP206" s="877">
        <f>$AM206*'Input data plant-based products'!AB192</f>
        <v>3.312850452251413E-3</v>
      </c>
      <c r="AQ206" s="877">
        <f>$AM206*'Input data plant-based products'!AC192</f>
        <v>3.7497911117578891E-3</v>
      </c>
      <c r="AR206" s="886">
        <f>$AM206*'Input data plant-based products'!AD192</f>
        <v>3.9060324080811342E-3</v>
      </c>
      <c r="AS206" s="877"/>
      <c r="AT206" s="879">
        <f>'Input data plant-based products'!S192</f>
        <v>5.3124997988455601E-3</v>
      </c>
      <c r="AU206" s="877">
        <f>$AT206*'Input data plant-based products'!Z192</f>
        <v>5.3124997988455601E-3</v>
      </c>
      <c r="AV206" s="877">
        <f>$AT206*'Input data plant-based products'!AA192</f>
        <v>2.9513887771364222E-2</v>
      </c>
      <c r="AW206" s="877">
        <f>$AT206*'Input data plant-based products'!AB192</f>
        <v>1.0329860719977477E-2</v>
      </c>
      <c r="AX206" s="877">
        <f>$AT206*'Input data plant-based products'!AC192</f>
        <v>1.169229353143433E-2</v>
      </c>
      <c r="AY206" s="886">
        <f>$AT206*'Input data plant-based products'!AD192</f>
        <v>1.2179472428577427E-2</v>
      </c>
      <c r="AZ206" s="877"/>
      <c r="BA206" s="879">
        <f>((SUM('Input data plant-based products'!U192:Y192)*Y206)/('Common input data'!$B$192/10^6))/$BB$3</f>
        <v>3.028864943881293E-10</v>
      </c>
      <c r="BB206" s="877">
        <f>$BA206*'Input data plant-based products'!Z192</f>
        <v>3.028864943881293E-10</v>
      </c>
      <c r="BC206" s="877">
        <f>$BA206*'Input data plant-based products'!AA192</f>
        <v>1.6827027466007183E-9</v>
      </c>
      <c r="BD206" s="877">
        <f>$BA206*'Input data plant-based products'!AB192</f>
        <v>5.8894596131025131E-10</v>
      </c>
      <c r="BE206" s="877">
        <f>$BA206*'Input data plant-based products'!AC192</f>
        <v>6.6662361095293065E-10</v>
      </c>
      <c r="BF206" s="886">
        <f>$BA206*'Input data plant-based products'!AD192</f>
        <v>6.9439959474263605E-10</v>
      </c>
      <c r="BG206" s="877"/>
      <c r="BH206" s="879">
        <f>'Input data plant-based products'!T192/'Input data plant-based products'!E192</f>
        <v>3.1349030565304805E-4</v>
      </c>
      <c r="BI206" s="877">
        <f>$BH206*'Input data plant-based products'!Z192</f>
        <v>3.1349030565304805E-4</v>
      </c>
      <c r="BJ206" s="877">
        <f>$BH206*'Input data plant-based products'!AA192</f>
        <v>1.7416128091836001E-3</v>
      </c>
      <c r="BK206" s="877">
        <f>$BH206*'Input data plant-based products'!AB192</f>
        <v>6.0956448321425999E-4</v>
      </c>
      <c r="BL206" s="877">
        <f>$BH206*'Input data plant-based products'!AC192</f>
        <v>6.8996156456345166E-4</v>
      </c>
      <c r="BM206" s="886">
        <f>$BH206*'Input data plant-based products'!AD192</f>
        <v>7.1870996308692878E-4</v>
      </c>
      <c r="BN206" s="877"/>
      <c r="BO206" s="879">
        <f>('Input data plant-based products'!F192/'Input data plant-based products'!E192*'Common input data'!$B$195+'Input data plant-based products'!G192/'Input data plant-based products'!E192*'Common input data'!$B$196)/'Common input data'!$B$198</f>
        <v>8.7006280483297382E-5</v>
      </c>
      <c r="BP206" s="877">
        <f>$BO206*'Input data plant-based products'!Z192</f>
        <v>8.7006280483297382E-5</v>
      </c>
      <c r="BQ206" s="877">
        <f>$BO206*'Input data plant-based products'!AA192</f>
        <v>4.8336822490720768E-4</v>
      </c>
      <c r="BR206" s="877">
        <f>$BO206*'Input data plant-based products'!AB192</f>
        <v>1.6917887871752265E-4</v>
      </c>
      <c r="BS206" s="877">
        <f>$BO206*'Input data plant-based products'!AC192</f>
        <v>1.9149233110749207E-4</v>
      </c>
      <c r="BT206" s="886">
        <f>$BO206*'Input data plant-based products'!AD192</f>
        <v>1.9947117823697089E-4</v>
      </c>
      <c r="BU206" s="877"/>
      <c r="BV206" s="879">
        <f>('Common input data'!B217+'Common input data'!$C$217)*'Input data plant-based products'!AC192</f>
        <v>10.844286281310037</v>
      </c>
      <c r="BW206" s="886">
        <f>('Common input data'!C217+'Common input data'!$C$217)*'Input data plant-based products'!AD192</f>
        <v>0.6566025478819939</v>
      </c>
      <c r="BX206" s="877"/>
      <c r="BY206" s="877"/>
      <c r="BZ206" s="877"/>
      <c r="CA206" s="877"/>
      <c r="CB206" s="877"/>
      <c r="CC206" s="877"/>
      <c r="CD206" s="877"/>
      <c r="CE206" s="877"/>
    </row>
    <row r="207" spans="1:83">
      <c r="A207" s="359"/>
      <c r="B207" s="360"/>
      <c r="C207" s="83"/>
      <c r="E207" s="511" t="s">
        <v>317</v>
      </c>
      <c r="F207" s="877">
        <f>IF(AND($F$2="No",$F$3="No"),SUM(L207:N207),IF(AND($F$2="Yes", $F$3="No"), (SUM(L207:M207)+S207), IF(AND($F$2="No", $F$3="Yes"),(SUM(L207:M207)+R207), (SUM(L207:M207)+S207+R207))))</f>
        <v>0.12142468681530003</v>
      </c>
      <c r="G207" s="877">
        <f>IF(AND($F$2="No",$F$3="No"),SUM(I207:Q207),IF(AND($F$2="Yes", $F$3="No"), (SUM(I207:Q207)+S207), IF(AND($F$2="No", $F$3="Yes"),(SUM(I207:Q207)+R207), (SUM(I207:Q207)+S207+R207))))</f>
        <v>0.14142468681530002</v>
      </c>
      <c r="H207" s="878">
        <f>SUM(U207:W207)/(1-'Common input data'!$F$143)</f>
        <v>1.8826474368026531</v>
      </c>
      <c r="I207" s="928"/>
      <c r="J207" s="877"/>
      <c r="K207" s="877"/>
      <c r="L207" s="877"/>
      <c r="M207" s="877">
        <v>0.12142468681530003</v>
      </c>
      <c r="N207" s="877"/>
      <c r="O207" s="877"/>
      <c r="P207" s="877">
        <f>'Input data plant-based products'!G309</f>
        <v>0.02</v>
      </c>
      <c r="Q207" s="877"/>
      <c r="R207" s="877"/>
      <c r="S207" s="877"/>
      <c r="T207" s="877">
        <f>'Input data plant-based products'!$B$279</f>
        <v>0.311</v>
      </c>
      <c r="U207" s="877">
        <f>U186/'Common input data'!C$44*'Common input data'!D$44</f>
        <v>1.0332738268766608</v>
      </c>
      <c r="V207" s="877">
        <f>'Common input data'!$B$104</f>
        <v>0.3</v>
      </c>
      <c r="W207" s="878">
        <f>'Common input data'!$B$123+'Common input data'!$C$123</f>
        <v>0.32999999999999996</v>
      </c>
      <c r="X207" s="877"/>
      <c r="Y207" s="879"/>
      <c r="Z207" s="877"/>
      <c r="AA207" s="877"/>
      <c r="AB207" s="877"/>
      <c r="AC207" s="877"/>
      <c r="AD207" s="886"/>
      <c r="AE207" s="877"/>
      <c r="AF207" s="879"/>
      <c r="AG207" s="877"/>
      <c r="AH207" s="877"/>
      <c r="AI207" s="877"/>
      <c r="AJ207" s="877"/>
      <c r="AK207" s="886"/>
      <c r="AL207" s="877"/>
      <c r="AM207" s="879"/>
      <c r="AN207" s="877"/>
      <c r="AO207" s="877"/>
      <c r="AP207" s="877"/>
      <c r="AQ207" s="877"/>
      <c r="AR207" s="886"/>
      <c r="AS207" s="877"/>
      <c r="AT207" s="879"/>
      <c r="AU207" s="877"/>
      <c r="AV207" s="877"/>
      <c r="AW207" s="877"/>
      <c r="AX207" s="877"/>
      <c r="AY207" s="886"/>
      <c r="AZ207" s="877"/>
      <c r="BA207" s="879"/>
      <c r="BB207" s="877"/>
      <c r="BC207" s="877"/>
      <c r="BD207" s="877"/>
      <c r="BE207" s="877"/>
      <c r="BF207" s="886"/>
      <c r="BG207" s="877"/>
      <c r="BH207" s="879"/>
      <c r="BI207" s="877"/>
      <c r="BJ207" s="877"/>
      <c r="BK207" s="877"/>
      <c r="BL207" s="877"/>
      <c r="BM207" s="886"/>
      <c r="BN207" s="877"/>
      <c r="BO207" s="879"/>
      <c r="BP207" s="877"/>
      <c r="BQ207" s="877"/>
      <c r="BR207" s="877"/>
      <c r="BS207" s="877"/>
      <c r="BT207" s="886"/>
      <c r="BU207" s="877"/>
      <c r="BV207" s="879"/>
      <c r="BW207" s="886"/>
      <c r="BX207" s="877"/>
      <c r="BY207" s="877"/>
      <c r="BZ207" s="877"/>
      <c r="CA207" s="877"/>
      <c r="CB207" s="877"/>
      <c r="CC207" s="877"/>
      <c r="CD207" s="877"/>
      <c r="CE207" s="877"/>
    </row>
    <row r="208" spans="1:83">
      <c r="A208" s="359"/>
      <c r="B208" s="360"/>
      <c r="C208" s="83"/>
      <c r="E208" s="511" t="s">
        <v>367</v>
      </c>
      <c r="F208" s="877">
        <f>SUM(K208:M208)</f>
        <v>2.0006524148000003E-4</v>
      </c>
      <c r="G208" s="877">
        <f>SUM(I208:Q208)</f>
        <v>2.0006524148000003E-4</v>
      </c>
      <c r="H208" s="878">
        <f>SUM(U208:W208)/(1-'Common input data'!$F$143)</f>
        <v>4.4032406915662939E-4</v>
      </c>
      <c r="I208" s="928"/>
      <c r="J208" s="877"/>
      <c r="K208" s="877"/>
      <c r="L208" s="877"/>
      <c r="M208" s="877">
        <v>2.0006524148000003E-4</v>
      </c>
      <c r="N208" s="877"/>
      <c r="O208" s="877"/>
      <c r="P208" s="877"/>
      <c r="Q208" s="877"/>
      <c r="R208" s="877"/>
      <c r="S208" s="877"/>
      <c r="T208" s="877"/>
      <c r="U208" s="877">
        <f>U187/'Common input data'!C$44*'Common input data'!D$44</f>
        <v>3.8901574732222227E-4</v>
      </c>
      <c r="V208" s="877"/>
      <c r="W208" s="878">
        <v>0</v>
      </c>
      <c r="X208" s="877"/>
      <c r="Y208" s="879"/>
      <c r="Z208" s="877"/>
      <c r="AA208" s="877"/>
      <c r="AB208" s="877"/>
      <c r="AC208" s="877"/>
      <c r="AD208" s="886"/>
      <c r="AE208" s="877"/>
      <c r="AF208" s="879"/>
      <c r="AG208" s="877"/>
      <c r="AH208" s="877"/>
      <c r="AI208" s="877"/>
      <c r="AJ208" s="877"/>
      <c r="AK208" s="886"/>
      <c r="AL208" s="877"/>
      <c r="AM208" s="879"/>
      <c r="AN208" s="877"/>
      <c r="AO208" s="877"/>
      <c r="AP208" s="877"/>
      <c r="AQ208" s="877"/>
      <c r="AR208" s="886"/>
      <c r="AS208" s="877"/>
      <c r="AT208" s="879"/>
      <c r="AU208" s="877"/>
      <c r="AV208" s="877"/>
      <c r="AW208" s="877"/>
      <c r="AX208" s="877"/>
      <c r="AY208" s="886"/>
      <c r="AZ208" s="877"/>
      <c r="BA208" s="879"/>
      <c r="BB208" s="877"/>
      <c r="BC208" s="877"/>
      <c r="BD208" s="877"/>
      <c r="BE208" s="877"/>
      <c r="BF208" s="886"/>
      <c r="BG208" s="877"/>
      <c r="BH208" s="879"/>
      <c r="BI208" s="877"/>
      <c r="BJ208" s="877"/>
      <c r="BK208" s="877"/>
      <c r="BL208" s="877"/>
      <c r="BM208" s="886"/>
      <c r="BN208" s="877"/>
      <c r="BO208" s="879"/>
      <c r="BP208" s="877"/>
      <c r="BQ208" s="877"/>
      <c r="BR208" s="877"/>
      <c r="BS208" s="877"/>
      <c r="BT208" s="886"/>
      <c r="BU208" s="877"/>
      <c r="BV208" s="879"/>
      <c r="BW208" s="886"/>
      <c r="BX208" s="877"/>
      <c r="BY208" s="877"/>
      <c r="BZ208" s="877"/>
      <c r="CA208" s="877"/>
      <c r="CB208" s="877"/>
      <c r="CC208" s="877"/>
      <c r="CD208" s="877"/>
      <c r="CE208" s="877"/>
    </row>
    <row r="209" spans="1:83" ht="12" customHeight="1">
      <c r="A209" s="359"/>
      <c r="B209" s="360"/>
      <c r="C209" s="83"/>
      <c r="E209" s="512" t="s">
        <v>320</v>
      </c>
      <c r="F209" s="877">
        <f>SUM(K209:M209)</f>
        <v>5.9190001099999998E-4</v>
      </c>
      <c r="G209" s="877">
        <f>SUM(I209:Q209)</f>
        <v>5.9190001099999998E-4</v>
      </c>
      <c r="H209" s="878">
        <f>SUM(U209:W209)/(1-'Common input data'!$F$143)</f>
        <v>1.3027141518904368E-3</v>
      </c>
      <c r="I209" s="928"/>
      <c r="J209" s="877"/>
      <c r="K209" s="877"/>
      <c r="L209" s="877"/>
      <c r="M209" s="877">
        <v>5.9190001099999998E-4</v>
      </c>
      <c r="N209" s="877"/>
      <c r="O209" s="877"/>
      <c r="P209" s="877"/>
      <c r="Q209" s="877"/>
      <c r="R209" s="877"/>
      <c r="S209" s="877"/>
      <c r="T209" s="877"/>
      <c r="U209" s="877">
        <f>U188/'Common input data'!C$44*'Common input data'!D$44</f>
        <v>1.1509166880555555E-3</v>
      </c>
      <c r="V209" s="877"/>
      <c r="W209" s="878">
        <v>0</v>
      </c>
      <c r="X209" s="877"/>
      <c r="Y209" s="879"/>
      <c r="Z209" s="877"/>
      <c r="AA209" s="877"/>
      <c r="AB209" s="877"/>
      <c r="AC209" s="877"/>
      <c r="AD209" s="886"/>
      <c r="AE209" s="877"/>
      <c r="AF209" s="879"/>
      <c r="AG209" s="877"/>
      <c r="AH209" s="877"/>
      <c r="AI209" s="877"/>
      <c r="AJ209" s="877"/>
      <c r="AK209" s="886"/>
      <c r="AL209" s="877"/>
      <c r="AM209" s="879"/>
      <c r="AN209" s="877"/>
      <c r="AO209" s="877"/>
      <c r="AP209" s="877"/>
      <c r="AQ209" s="877"/>
      <c r="AR209" s="886"/>
      <c r="AS209" s="877"/>
      <c r="AT209" s="879"/>
      <c r="AU209" s="877"/>
      <c r="AV209" s="877"/>
      <c r="AW209" s="877"/>
      <c r="AX209" s="877"/>
      <c r="AY209" s="886"/>
      <c r="AZ209" s="877"/>
      <c r="BA209" s="879"/>
      <c r="BB209" s="877"/>
      <c r="BC209" s="877"/>
      <c r="BD209" s="877"/>
      <c r="BE209" s="877"/>
      <c r="BF209" s="886"/>
      <c r="BG209" s="877"/>
      <c r="BH209" s="879"/>
      <c r="BI209" s="877"/>
      <c r="BJ209" s="877"/>
      <c r="BK209" s="877"/>
      <c r="BL209" s="877"/>
      <c r="BM209" s="886"/>
      <c r="BN209" s="877"/>
      <c r="BO209" s="879"/>
      <c r="BP209" s="877"/>
      <c r="BQ209" s="877"/>
      <c r="BR209" s="877"/>
      <c r="BS209" s="877"/>
      <c r="BT209" s="886"/>
      <c r="BU209" s="877"/>
      <c r="BV209" s="879"/>
      <c r="BW209" s="886"/>
      <c r="BX209" s="877"/>
      <c r="BY209" s="877"/>
      <c r="BZ209" s="877"/>
      <c r="CA209" s="877"/>
      <c r="CB209" s="877"/>
      <c r="CC209" s="877"/>
      <c r="CD209" s="877"/>
      <c r="CE209" s="877"/>
    </row>
    <row r="210" spans="1:83">
      <c r="A210" s="108" t="s">
        <v>134</v>
      </c>
      <c r="B210" s="93" t="s">
        <v>121</v>
      </c>
      <c r="C210" s="87">
        <f>'Input data plant-based products'!D193</f>
        <v>0.21750235169999999</v>
      </c>
      <c r="E210" s="513" t="s">
        <v>316</v>
      </c>
      <c r="F210" s="872">
        <f>SUMPRODUCT($CJ$6:$CJ$8,F211:F213)</f>
        <v>0.27435843913055802</v>
      </c>
      <c r="G210" s="872">
        <f>SUMPRODUCT($CJ$6:$CJ$8,G211:G213)</f>
        <v>0.29435843913055804</v>
      </c>
      <c r="H210" s="873">
        <f>SUMPRODUCT($CJ$6:$CJ$8,H211:H213)</f>
        <v>2.3298182314912128</v>
      </c>
      <c r="I210" s="1277"/>
      <c r="J210" s="884"/>
      <c r="K210" s="884"/>
      <c r="L210" s="884"/>
      <c r="M210" s="884"/>
      <c r="N210" s="884"/>
      <c r="O210" s="884"/>
      <c r="P210" s="884"/>
      <c r="Q210" s="884"/>
      <c r="R210" s="884"/>
      <c r="S210" s="884"/>
      <c r="T210" s="884"/>
      <c r="U210" s="884"/>
      <c r="V210" s="884"/>
      <c r="W210" s="1278"/>
      <c r="X210" s="877"/>
      <c r="Y210" s="879">
        <f>1/'Input data plant-based products'!E193*10^4</f>
        <v>3.735915598194806</v>
      </c>
      <c r="Z210" s="877">
        <f>$Y210*'Input data plant-based products'!Z193</f>
        <v>3.735915598194806</v>
      </c>
      <c r="AA210" s="877">
        <f>$Y210*'Input data plant-based products'!AA193</f>
        <v>20.755086656637811</v>
      </c>
      <c r="AB210" s="877">
        <f>$Y210*'Input data plant-based products'!AB193</f>
        <v>7.264280329823233</v>
      </c>
      <c r="AC210" s="877">
        <f>$Y210*'Input data plant-based products'!AC193</f>
        <v>8.2131821119446453</v>
      </c>
      <c r="AD210" s="886">
        <f>$Y210*'Input data plant-based products'!AD193</f>
        <v>8.5553980332756741</v>
      </c>
      <c r="AE210" s="877"/>
      <c r="AF210" s="879">
        <f>SUM('Input data plant-based products'!F193,'Input data plant-based products'!Q193)/'Input data plant-based products'!E193</f>
        <v>6.1321771130936377E-2</v>
      </c>
      <c r="AG210" s="877">
        <f>$AF210*'Input data plant-based products'!Z193</f>
        <v>6.1321771130936377E-2</v>
      </c>
      <c r="AH210" s="877">
        <f>$AF210*'Input data plant-based products'!AA193</f>
        <v>0.34067650628297985</v>
      </c>
      <c r="AI210" s="877">
        <f>$AF210*'Input data plant-based products'!AB193</f>
        <v>0.11923677719904294</v>
      </c>
      <c r="AJ210" s="877">
        <f>$AF210*'Input data plant-based products'!AC193</f>
        <v>0.13481216598381729</v>
      </c>
      <c r="AK210" s="886">
        <f>$AF210*'Input data plant-based products'!AD193</f>
        <v>0.14042933956647635</v>
      </c>
      <c r="AL210" s="877"/>
      <c r="AM210" s="879">
        <f>'Input data plant-based products'!R193/'Input data plant-based products'!E193</f>
        <v>8.2806300000000006E-3</v>
      </c>
      <c r="AN210" s="877">
        <f>$AM210*'Input data plant-based products'!Z193</f>
        <v>8.2806300000000006E-3</v>
      </c>
      <c r="AO210" s="877">
        <f>$AM210*'Input data plant-based products'!AA193</f>
        <v>4.6003500000000003E-2</v>
      </c>
      <c r="AP210" s="877">
        <f>$AM210*'Input data plant-based products'!AB193</f>
        <v>1.6101225E-2</v>
      </c>
      <c r="AQ210" s="877">
        <f>$AM210*'Input data plant-based products'!AC193</f>
        <v>1.8204458961678573E-2</v>
      </c>
      <c r="AR210" s="886">
        <f>$AM210*'Input data plant-based products'!AD193</f>
        <v>1.8962978085081846E-2</v>
      </c>
      <c r="AS210" s="877"/>
      <c r="AT210" s="879">
        <f>'Input data plant-based products'!S193</f>
        <v>7.0294011899631498E-2</v>
      </c>
      <c r="AU210" s="877">
        <f>$AT210*'Input data plant-based products'!Z193</f>
        <v>7.0294011899631498E-2</v>
      </c>
      <c r="AV210" s="877">
        <f>$AT210*'Input data plant-based products'!AA193</f>
        <v>0.3905222883312861</v>
      </c>
      <c r="AW210" s="877">
        <f>$AT210*'Input data plant-based products'!AB193</f>
        <v>0.13668280091595011</v>
      </c>
      <c r="AX210" s="877">
        <f>$AT210*'Input data plant-based products'!AC193</f>
        <v>0.1545370889507908</v>
      </c>
      <c r="AY210" s="886">
        <f>$AT210*'Input data plant-based products'!AD193</f>
        <v>0.16097613432374042</v>
      </c>
      <c r="AZ210" s="877"/>
      <c r="BA210" s="879">
        <f>((SUM('Input data plant-based products'!U193:Y193)*Y210)/('Common input data'!$B$192/10^6))/$BB$3</f>
        <v>8.3859750868430694E-10</v>
      </c>
      <c r="BB210" s="877">
        <f>$BA210*'Input data plant-based products'!Z193</f>
        <v>8.3859750868430694E-10</v>
      </c>
      <c r="BC210" s="877">
        <f>$BA210*'Input data plant-based products'!AA193</f>
        <v>4.6588750482461492E-9</v>
      </c>
      <c r="BD210" s="877">
        <f>$BA210*'Input data plant-based products'!AB193</f>
        <v>1.6306062668861521E-9</v>
      </c>
      <c r="BE210" s="877">
        <f>$BA210*'Input data plant-based products'!AC193</f>
        <v>1.843605369665032E-9</v>
      </c>
      <c r="BF210" s="886">
        <f>$BA210*'Input data plant-based products'!AD193</f>
        <v>1.920422260067742E-9</v>
      </c>
      <c r="BG210" s="877"/>
      <c r="BH210" s="879">
        <f>'Input data plant-based products'!T193/'Input data plant-based products'!E193</f>
        <v>8.4404855399999998E-4</v>
      </c>
      <c r="BI210" s="877">
        <f>$BH210*'Input data plant-based products'!Z193</f>
        <v>8.4404855399999998E-4</v>
      </c>
      <c r="BJ210" s="877">
        <f>$BH210*'Input data plant-based products'!AA193</f>
        <v>4.6891586333333334E-3</v>
      </c>
      <c r="BK210" s="877">
        <f>$BH210*'Input data plant-based products'!AB193</f>
        <v>1.6412055216666664E-3</v>
      </c>
      <c r="BL210" s="877">
        <f>$BH210*'Input data plant-based products'!AC193</f>
        <v>1.8555891596360589E-3</v>
      </c>
      <c r="BM210" s="886">
        <f>$BH210*'Input data plant-based products'!AD193</f>
        <v>1.9329053746208948E-3</v>
      </c>
      <c r="BN210" s="877"/>
      <c r="BO210" s="879">
        <f>('Input data plant-based products'!F193/'Input data plant-based products'!E193*'Common input data'!$B$195+'Input data plant-based products'!G193/'Input data plant-based products'!E193*'Common input data'!$B$196)/'Common input data'!$B$198</f>
        <v>2.9964601844077961E-5</v>
      </c>
      <c r="BP210" s="877">
        <f>$BO210*'Input data plant-based products'!Z193</f>
        <v>2.9964601844077961E-5</v>
      </c>
      <c r="BQ210" s="877">
        <f>$BO210*'Input data plant-based products'!AA193</f>
        <v>1.6647001024487756E-4</v>
      </c>
      <c r="BR210" s="877">
        <f>$BO210*'Input data plant-based products'!AB193</f>
        <v>5.8264503585707141E-5</v>
      </c>
      <c r="BS210" s="877">
        <f>$BO210*'Input data plant-based products'!AC193</f>
        <v>6.5875345785713799E-5</v>
      </c>
      <c r="BT210" s="886">
        <f>$BO210*'Input data plant-based products'!AD193</f>
        <v>6.8620151860118546E-5</v>
      </c>
      <c r="BU210" s="877"/>
      <c r="BV210" s="879">
        <f>('Common input data'!$B$228+'Common input data'!$C$228)*'Input data plant-based products'!AC193</f>
        <v>12.426541781938145</v>
      </c>
      <c r="BW210" s="886">
        <f>('Common input data'!$B$228+'Common input data'!$C$228)*'Input data plant-based products'!AD193</f>
        <v>12.944314356185567</v>
      </c>
      <c r="BX210" s="877"/>
      <c r="BY210" s="877"/>
      <c r="BZ210" s="877"/>
      <c r="CA210" s="877"/>
      <c r="CB210" s="877"/>
      <c r="CC210" s="877"/>
      <c r="CD210" s="877"/>
      <c r="CE210" s="877"/>
    </row>
    <row r="211" spans="1:83">
      <c r="A211" s="359"/>
      <c r="B211" s="360"/>
      <c r="C211" s="83"/>
      <c r="E211" s="511" t="s">
        <v>317</v>
      </c>
      <c r="F211" s="877">
        <f>IF(AND($F$2="No",$F$3="No"),SUM(L211:N211),IF(AND($F$2="Yes", $F$3="No"), (SUM(L211:M211)+S211), IF(AND($F$2="No", $F$3="Yes"),(SUM(L211:M211)+R211), (SUM(L211:M211)+S211+R211))))</f>
        <v>9.4540415309349993E-2</v>
      </c>
      <c r="G211" s="877">
        <f>IF(AND($F$2="No",$F$3="No"),SUM(I211:Q211),IF(AND($F$2="Yes", $F$3="No"), (SUM(I211:Q211)+S211), IF(AND($F$2="No", $F$3="Yes"),(SUM(I211:Q211)+R211), (SUM(I211:Q211)+S211+R211))))</f>
        <v>0.11454041530935</v>
      </c>
      <c r="H211" s="878">
        <f>SUM(U211:W211)/(1-'Common input data'!$I$143)</f>
        <v>1.9344992961899954</v>
      </c>
      <c r="I211" s="928"/>
      <c r="J211" s="877"/>
      <c r="K211" s="877"/>
      <c r="L211" s="877"/>
      <c r="M211" s="877">
        <v>9.4540415309349993E-2</v>
      </c>
      <c r="N211" s="877"/>
      <c r="O211" s="877"/>
      <c r="P211" s="877">
        <f>'Input data plant-based products'!G309</f>
        <v>0.02</v>
      </c>
      <c r="Q211" s="877"/>
      <c r="R211" s="877"/>
      <c r="S211" s="877"/>
      <c r="T211" s="877">
        <f>'Input data plant-based products'!$B$279</f>
        <v>0.311</v>
      </c>
      <c r="U211" s="877">
        <f>U190/'Common input data'!C$44*'Common input data'!D$44</f>
        <v>0.98099885450398028</v>
      </c>
      <c r="V211" s="877">
        <f>'Common input data'!$B$104</f>
        <v>0.3</v>
      </c>
      <c r="W211" s="878">
        <f>'Common input data'!$B$128+'Common input data'!$C$128</f>
        <v>0.43000000000000005</v>
      </c>
      <c r="X211" s="877"/>
      <c r="Y211" s="879"/>
      <c r="Z211" s="877"/>
      <c r="AA211" s="877"/>
      <c r="AB211" s="877"/>
      <c r="AC211" s="877"/>
      <c r="AD211" s="886"/>
      <c r="AE211" s="877"/>
      <c r="AF211" s="879"/>
      <c r="AG211" s="877"/>
      <c r="AH211" s="877"/>
      <c r="AI211" s="877"/>
      <c r="AJ211" s="877"/>
      <c r="AK211" s="886"/>
      <c r="AL211" s="877"/>
      <c r="AM211" s="879"/>
      <c r="AN211" s="877"/>
      <c r="AO211" s="877"/>
      <c r="AP211" s="877"/>
      <c r="AQ211" s="877"/>
      <c r="AR211" s="886"/>
      <c r="AS211" s="877"/>
      <c r="AT211" s="879"/>
      <c r="AU211" s="877"/>
      <c r="AV211" s="877"/>
      <c r="AW211" s="877"/>
      <c r="AX211" s="877"/>
      <c r="AY211" s="886"/>
      <c r="AZ211" s="877"/>
      <c r="BA211" s="879"/>
      <c r="BB211" s="877"/>
      <c r="BC211" s="877"/>
      <c r="BD211" s="877"/>
      <c r="BE211" s="877"/>
      <c r="BF211" s="886"/>
      <c r="BG211" s="877"/>
      <c r="BH211" s="879"/>
      <c r="BI211" s="877"/>
      <c r="BJ211" s="877"/>
      <c r="BK211" s="877"/>
      <c r="BL211" s="877"/>
      <c r="BM211" s="886"/>
      <c r="BN211" s="877"/>
      <c r="BO211" s="879"/>
      <c r="BP211" s="877"/>
      <c r="BQ211" s="877"/>
      <c r="BR211" s="877"/>
      <c r="BS211" s="877"/>
      <c r="BT211" s="886"/>
      <c r="BU211" s="877"/>
      <c r="BV211" s="879"/>
      <c r="BW211" s="886"/>
      <c r="BX211" s="877"/>
      <c r="BY211" s="877"/>
      <c r="BZ211" s="877"/>
      <c r="CA211" s="877"/>
      <c r="CB211" s="877"/>
      <c r="CC211" s="877"/>
      <c r="CD211" s="877"/>
      <c r="CE211" s="877"/>
    </row>
    <row r="212" spans="1:83">
      <c r="A212" s="359"/>
      <c r="B212" s="360"/>
      <c r="C212" s="83"/>
      <c r="E212" s="511" t="s">
        <v>367</v>
      </c>
      <c r="F212" s="877">
        <f>SUM(K212:M212)</f>
        <v>1.7934409313999998E-4</v>
      </c>
      <c r="G212" s="877">
        <f>SUM(I212:Q212)</f>
        <v>1.7934409313999998E-4</v>
      </c>
      <c r="H212" s="878">
        <f>SUM(U212:W212)/(1-'Common input data'!$I$143)</f>
        <v>3.9427702766414989E-4</v>
      </c>
      <c r="I212" s="928"/>
      <c r="J212" s="877"/>
      <c r="K212" s="877"/>
      <c r="L212" s="877"/>
      <c r="M212" s="877">
        <v>1.7934409313999998E-4</v>
      </c>
      <c r="N212" s="877"/>
      <c r="O212" s="877"/>
      <c r="P212" s="877"/>
      <c r="Q212" s="877"/>
      <c r="R212" s="877"/>
      <c r="S212" s="877"/>
      <c r="T212" s="877"/>
      <c r="U212" s="877">
        <f>U191/'Common input data'!C$44*'Common input data'!D$44</f>
        <v>3.4872462555E-4</v>
      </c>
      <c r="V212" s="877"/>
      <c r="W212" s="878">
        <v>0</v>
      </c>
      <c r="X212" s="877"/>
      <c r="Y212" s="879"/>
      <c r="Z212" s="877"/>
      <c r="AA212" s="877"/>
      <c r="AB212" s="877"/>
      <c r="AC212" s="877"/>
      <c r="AD212" s="886"/>
      <c r="AE212" s="877"/>
      <c r="AF212" s="879"/>
      <c r="AG212" s="877"/>
      <c r="AH212" s="877"/>
      <c r="AI212" s="877"/>
      <c r="AJ212" s="877"/>
      <c r="AK212" s="886"/>
      <c r="AL212" s="877"/>
      <c r="AM212" s="879"/>
      <c r="AN212" s="877"/>
      <c r="AO212" s="877"/>
      <c r="AP212" s="877"/>
      <c r="AQ212" s="877"/>
      <c r="AR212" s="886"/>
      <c r="AS212" s="877"/>
      <c r="AT212" s="879"/>
      <c r="AU212" s="877"/>
      <c r="AV212" s="877"/>
      <c r="AW212" s="877"/>
      <c r="AX212" s="877"/>
      <c r="AY212" s="886"/>
      <c r="AZ212" s="877"/>
      <c r="BA212" s="879"/>
      <c r="BB212" s="877"/>
      <c r="BC212" s="877"/>
      <c r="BD212" s="877"/>
      <c r="BE212" s="877"/>
      <c r="BF212" s="886"/>
      <c r="BG212" s="877"/>
      <c r="BH212" s="879"/>
      <c r="BI212" s="877"/>
      <c r="BJ212" s="877"/>
      <c r="BK212" s="877"/>
      <c r="BL212" s="877"/>
      <c r="BM212" s="886"/>
      <c r="BN212" s="877"/>
      <c r="BO212" s="879"/>
      <c r="BP212" s="877"/>
      <c r="BQ212" s="877"/>
      <c r="BR212" s="877"/>
      <c r="BS212" s="877"/>
      <c r="BT212" s="886"/>
      <c r="BU212" s="877"/>
      <c r="BV212" s="879"/>
      <c r="BW212" s="886"/>
      <c r="BX212" s="877"/>
      <c r="BY212" s="877"/>
      <c r="BZ212" s="877"/>
      <c r="CA212" s="877"/>
      <c r="CB212" s="877"/>
      <c r="CC212" s="877"/>
      <c r="CD212" s="877"/>
      <c r="CE212" s="877"/>
    </row>
    <row r="213" spans="1:83">
      <c r="A213" s="359"/>
      <c r="B213" s="360"/>
      <c r="C213" s="83"/>
      <c r="E213" s="512" t="s">
        <v>320</v>
      </c>
      <c r="F213" s="877">
        <f>SUM(K213:M213)</f>
        <v>7.6813350465000012E-4</v>
      </c>
      <c r="G213" s="877">
        <f>SUM(I213:Q213)</f>
        <v>7.6813350465000012E-4</v>
      </c>
      <c r="H213" s="878">
        <f>SUM(U213:W213)/(1-'Common input data'!$I$143)</f>
        <v>1.6886945633956913E-3</v>
      </c>
      <c r="I213" s="928"/>
      <c r="J213" s="877"/>
      <c r="K213" s="877"/>
      <c r="L213" s="877"/>
      <c r="M213" s="877">
        <v>7.6813350465000012E-4</v>
      </c>
      <c r="N213" s="877"/>
      <c r="O213" s="877"/>
      <c r="P213" s="877"/>
      <c r="Q213" s="877"/>
      <c r="R213" s="877"/>
      <c r="S213" s="877"/>
      <c r="T213" s="877"/>
      <c r="U213" s="877">
        <f>U192/'Common input data'!C$44*'Common input data'!D$44</f>
        <v>1.4935929257083335E-3</v>
      </c>
      <c r="V213" s="877"/>
      <c r="W213" s="878">
        <v>0</v>
      </c>
      <c r="X213" s="877"/>
      <c r="Y213" s="879"/>
      <c r="Z213" s="877"/>
      <c r="AA213" s="877"/>
      <c r="AB213" s="877"/>
      <c r="AC213" s="877"/>
      <c r="AD213" s="886"/>
      <c r="AE213" s="877"/>
      <c r="AF213" s="879"/>
      <c r="AG213" s="877"/>
      <c r="AH213" s="877"/>
      <c r="AI213" s="877"/>
      <c r="AJ213" s="877"/>
      <c r="AK213" s="886"/>
      <c r="AL213" s="877"/>
      <c r="AM213" s="879"/>
      <c r="AN213" s="877"/>
      <c r="AO213" s="877"/>
      <c r="AP213" s="877"/>
      <c r="AQ213" s="877"/>
      <c r="AR213" s="886"/>
      <c r="AS213" s="877"/>
      <c r="AT213" s="879"/>
      <c r="AU213" s="877"/>
      <c r="AV213" s="877"/>
      <c r="AW213" s="877"/>
      <c r="AX213" s="877"/>
      <c r="AY213" s="886"/>
      <c r="AZ213" s="877"/>
      <c r="BA213" s="879"/>
      <c r="BB213" s="877"/>
      <c r="BC213" s="877"/>
      <c r="BD213" s="877"/>
      <c r="BE213" s="877"/>
      <c r="BF213" s="886"/>
      <c r="BG213" s="877"/>
      <c r="BH213" s="879"/>
      <c r="BI213" s="877"/>
      <c r="BJ213" s="877"/>
      <c r="BK213" s="877"/>
      <c r="BL213" s="877"/>
      <c r="BM213" s="886"/>
      <c r="BN213" s="877"/>
      <c r="BO213" s="879"/>
      <c r="BP213" s="877"/>
      <c r="BQ213" s="877"/>
      <c r="BR213" s="877"/>
      <c r="BS213" s="877"/>
      <c r="BT213" s="886"/>
      <c r="BU213" s="877"/>
      <c r="BV213" s="879"/>
      <c r="BW213" s="886"/>
      <c r="BX213" s="877"/>
      <c r="BY213" s="877"/>
      <c r="BZ213" s="877"/>
      <c r="CA213" s="877"/>
      <c r="CB213" s="877"/>
      <c r="CC213" s="877"/>
      <c r="CD213" s="877"/>
      <c r="CE213" s="877"/>
    </row>
    <row r="214" spans="1:83">
      <c r="A214" s="1197" t="s">
        <v>465</v>
      </c>
      <c r="B214" s="363"/>
      <c r="C214" s="770"/>
      <c r="E214" s="939"/>
      <c r="F214" s="892" t="s">
        <v>466</v>
      </c>
      <c r="G214" s="892" t="s">
        <v>466</v>
      </c>
      <c r="H214" s="970" t="s">
        <v>466</v>
      </c>
      <c r="I214" s="969"/>
      <c r="J214" s="892"/>
      <c r="K214" s="892"/>
      <c r="L214" s="892"/>
      <c r="M214" s="892"/>
      <c r="N214" s="892"/>
      <c r="O214" s="892"/>
      <c r="P214" s="892"/>
      <c r="Q214" s="892"/>
      <c r="R214" s="892"/>
      <c r="S214" s="892"/>
      <c r="T214" s="892"/>
      <c r="U214" s="892"/>
      <c r="V214" s="892"/>
      <c r="W214" s="970"/>
      <c r="X214" s="877"/>
      <c r="Y214" s="879"/>
      <c r="Z214" s="877"/>
      <c r="AA214" s="877"/>
      <c r="AB214" s="877"/>
      <c r="AC214" s="877"/>
      <c r="AD214" s="886"/>
      <c r="AE214" s="877"/>
      <c r="AF214" s="879"/>
      <c r="AG214" s="877"/>
      <c r="AH214" s="877"/>
      <c r="AI214" s="877"/>
      <c r="AJ214" s="877"/>
      <c r="AK214" s="886"/>
      <c r="AL214" s="877"/>
      <c r="AM214" s="879"/>
      <c r="AN214" s="877"/>
      <c r="AO214" s="877"/>
      <c r="AP214" s="877"/>
      <c r="AQ214" s="877"/>
      <c r="AR214" s="886"/>
      <c r="AS214" s="877"/>
      <c r="AT214" s="879"/>
      <c r="AU214" s="877"/>
      <c r="AV214" s="877"/>
      <c r="AW214" s="877"/>
      <c r="AX214" s="877"/>
      <c r="AY214" s="886"/>
      <c r="AZ214" s="877"/>
      <c r="BA214" s="879"/>
      <c r="BB214" s="877"/>
      <c r="BC214" s="877"/>
      <c r="BD214" s="877"/>
      <c r="BE214" s="877"/>
      <c r="BF214" s="886"/>
      <c r="BG214" s="877"/>
      <c r="BH214" s="879"/>
      <c r="BI214" s="877"/>
      <c r="BJ214" s="877"/>
      <c r="BK214" s="877"/>
      <c r="BL214" s="877"/>
      <c r="BM214" s="886"/>
      <c r="BN214" s="877"/>
      <c r="BO214" s="879"/>
      <c r="BP214" s="877"/>
      <c r="BQ214" s="877"/>
      <c r="BR214" s="877"/>
      <c r="BS214" s="877"/>
      <c r="BT214" s="886"/>
      <c r="BU214" s="877"/>
      <c r="BV214" s="879"/>
      <c r="BW214" s="886"/>
      <c r="BX214" s="877"/>
      <c r="BY214" s="877"/>
      <c r="BZ214" s="877"/>
      <c r="CA214" s="877"/>
      <c r="CB214" s="877"/>
      <c r="CC214" s="877"/>
      <c r="CD214" s="877"/>
      <c r="CE214" s="877"/>
    </row>
    <row r="215" spans="1:83">
      <c r="A215" s="108" t="s">
        <v>120</v>
      </c>
      <c r="B215" s="93" t="s">
        <v>121</v>
      </c>
      <c r="C215" s="87">
        <f>SUM(C219:C223)</f>
        <v>1</v>
      </c>
      <c r="E215" s="513" t="s">
        <v>316</v>
      </c>
      <c r="F215" s="872">
        <f>SUMPRODUCT($CJ$6:$CJ$8,F216:F218)</f>
        <v>0</v>
      </c>
      <c r="G215" s="872">
        <f>SUMPRODUCT($CJ$6:$CJ$8,G216:G218)</f>
        <v>0.02</v>
      </c>
      <c r="H215" s="873">
        <f>SUMPRODUCT($CJ$6:$CJ$8,H216:H218)</f>
        <v>0</v>
      </c>
      <c r="I215" s="1277"/>
      <c r="J215" s="884"/>
      <c r="K215" s="884"/>
      <c r="L215" s="884"/>
      <c r="M215" s="884"/>
      <c r="N215" s="884"/>
      <c r="O215" s="884"/>
      <c r="P215" s="884"/>
      <c r="Q215" s="884"/>
      <c r="R215" s="884"/>
      <c r="S215" s="884"/>
      <c r="T215" s="884"/>
      <c r="U215" s="884"/>
      <c r="V215" s="884"/>
      <c r="W215" s="1278"/>
      <c r="X215" s="877"/>
      <c r="Y215" s="883">
        <f>Y219*$C$219+Y223*$C$223</f>
        <v>5.2817955515824222</v>
      </c>
      <c r="Z215" s="884">
        <f t="shared" ref="Z215:BT215" si="57">Z219*$C$219+Z223*$C$223</f>
        <v>5.2817955515824222</v>
      </c>
      <c r="AA215" s="884">
        <f t="shared" si="57"/>
        <v>13.204488878956056</v>
      </c>
      <c r="AB215" s="884">
        <f t="shared" si="57"/>
        <v>10.827680880743964</v>
      </c>
      <c r="AC215" s="884">
        <f t="shared" si="57"/>
        <v>12.072578154719061</v>
      </c>
      <c r="AD215" s="885">
        <f t="shared" si="57"/>
        <v>12.575602244499022</v>
      </c>
      <c r="AE215" s="877"/>
      <c r="AF215" s="883">
        <f t="shared" si="57"/>
        <v>6.866334217057149E-2</v>
      </c>
      <c r="AG215" s="884">
        <f t="shared" si="57"/>
        <v>6.866334217057149E-2</v>
      </c>
      <c r="AH215" s="884">
        <f t="shared" si="57"/>
        <v>0.17165835542642871</v>
      </c>
      <c r="AI215" s="884">
        <f t="shared" si="57"/>
        <v>0.14075985144967157</v>
      </c>
      <c r="AJ215" s="884">
        <f t="shared" si="57"/>
        <v>0.15694351601134779</v>
      </c>
      <c r="AK215" s="885">
        <f t="shared" si="57"/>
        <v>0.16348282917848728</v>
      </c>
      <c r="AL215" s="877"/>
      <c r="AM215" s="883">
        <f t="shared" si="57"/>
        <v>4.2254364412659375E-2</v>
      </c>
      <c r="AN215" s="884">
        <f t="shared" si="57"/>
        <v>4.2254364412659375E-2</v>
      </c>
      <c r="AO215" s="884">
        <f t="shared" si="57"/>
        <v>0.10563591103164845</v>
      </c>
      <c r="AP215" s="884">
        <f t="shared" si="57"/>
        <v>8.6621447045951719E-2</v>
      </c>
      <c r="AQ215" s="884">
        <f t="shared" si="57"/>
        <v>9.6580625237752488E-2</v>
      </c>
      <c r="AR215" s="885">
        <f t="shared" si="57"/>
        <v>0.10060481795599217</v>
      </c>
      <c r="AS215" s="877"/>
      <c r="AT215" s="883">
        <f t="shared" si="57"/>
        <v>0.10281717585131399</v>
      </c>
      <c r="AU215" s="884">
        <f t="shared" si="57"/>
        <v>0.10281717585131399</v>
      </c>
      <c r="AV215" s="884">
        <f t="shared" si="57"/>
        <v>0.25704293962828495</v>
      </c>
      <c r="AW215" s="884">
        <f t="shared" si="57"/>
        <v>0.21077521049519365</v>
      </c>
      <c r="AX215" s="884">
        <f t="shared" si="57"/>
        <v>0.23789102592168865</v>
      </c>
      <c r="AY215" s="885">
        <f t="shared" si="57"/>
        <v>0.24780315200175901</v>
      </c>
      <c r="AZ215" s="877"/>
      <c r="BA215" s="883">
        <f t="shared" si="57"/>
        <v>1.5228241788960174E-9</v>
      </c>
      <c r="BB215" s="884">
        <f t="shared" si="57"/>
        <v>1.5228241788960174E-9</v>
      </c>
      <c r="BC215" s="884">
        <f t="shared" si="57"/>
        <v>3.8070604472400433E-9</v>
      </c>
      <c r="BD215" s="884">
        <f t="shared" si="57"/>
        <v>3.1217895667368355E-9</v>
      </c>
      <c r="BE215" s="884">
        <f t="shared" si="57"/>
        <v>3.4807129007691508E-9</v>
      </c>
      <c r="BF215" s="885">
        <f t="shared" si="57"/>
        <v>3.625742604967866E-9</v>
      </c>
      <c r="BG215" s="877"/>
      <c r="BH215" s="883">
        <f t="shared" si="57"/>
        <v>0</v>
      </c>
      <c r="BI215" s="884">
        <f t="shared" si="57"/>
        <v>0</v>
      </c>
      <c r="BJ215" s="884">
        <f t="shared" si="57"/>
        <v>0</v>
      </c>
      <c r="BK215" s="884">
        <f t="shared" si="57"/>
        <v>0</v>
      </c>
      <c r="BL215" s="884">
        <f t="shared" si="57"/>
        <v>0</v>
      </c>
      <c r="BM215" s="885">
        <f t="shared" si="57"/>
        <v>0</v>
      </c>
      <c r="BN215" s="877"/>
      <c r="BO215" s="883">
        <f t="shared" si="57"/>
        <v>1.7532314550329879E-3</v>
      </c>
      <c r="BP215" s="884">
        <f t="shared" si="57"/>
        <v>1.7532314550329879E-3</v>
      </c>
      <c r="BQ215" s="884">
        <f t="shared" si="57"/>
        <v>4.3830786375824698E-3</v>
      </c>
      <c r="BR215" s="884">
        <f t="shared" si="57"/>
        <v>3.594124482817625E-3</v>
      </c>
      <c r="BS215" s="884">
        <f t="shared" si="57"/>
        <v>4.0073538548564677E-3</v>
      </c>
      <c r="BT215" s="885">
        <f t="shared" si="57"/>
        <v>4.1743269321421542E-3</v>
      </c>
      <c r="BU215" s="877"/>
      <c r="BV215" s="883">
        <f>BV219*$C$219+BV223*$C$223</f>
        <v>9.3768680391656254</v>
      </c>
      <c r="BW215" s="885">
        <f>BW219*$C$219+BW223*$C$223</f>
        <v>9.7675708741308611</v>
      </c>
      <c r="BX215" s="877"/>
      <c r="BY215" s="877"/>
      <c r="BZ215" s="877"/>
      <c r="CA215" s="877"/>
      <c r="CB215" s="877"/>
      <c r="CC215" s="877"/>
      <c r="CD215" s="877"/>
      <c r="CE215" s="877"/>
    </row>
    <row r="216" spans="1:83">
      <c r="A216" s="195"/>
      <c r="B216" s="55"/>
      <c r="C216" s="83"/>
      <c r="E216" s="511" t="s">
        <v>317</v>
      </c>
      <c r="F216" s="877">
        <f>IF(AND($F$2="No",$F$3="No"),SUM(L216:N216),IF(AND($F$2="Yes", $F$3="No"), (SUM(L216:M216)+S216), IF(AND($F$2="No", $F$3="Yes"),(SUM(L216:M216)+R216), (SUM(L216:M216)+S216+R216))))</f>
        <v>0</v>
      </c>
      <c r="G216" s="877">
        <f t="shared" ref="G216:H218" si="58">G220*$C$219+G224*$C$223</f>
        <v>0.02</v>
      </c>
      <c r="H216" s="878">
        <f t="shared" si="58"/>
        <v>0</v>
      </c>
      <c r="I216" s="928"/>
      <c r="J216" s="877"/>
      <c r="K216" s="877"/>
      <c r="L216" s="877"/>
      <c r="M216" s="877"/>
      <c r="N216" s="877"/>
      <c r="O216" s="877"/>
      <c r="P216" s="877"/>
      <c r="Q216" s="877"/>
      <c r="R216" s="877"/>
      <c r="S216" s="877"/>
      <c r="T216" s="877"/>
      <c r="U216" s="877"/>
      <c r="V216" s="877"/>
      <c r="W216" s="878"/>
      <c r="X216" s="877"/>
      <c r="Y216" s="879"/>
      <c r="Z216" s="877"/>
      <c r="AA216" s="877"/>
      <c r="AB216" s="877"/>
      <c r="AC216" s="877"/>
      <c r="AD216" s="886"/>
      <c r="AE216" s="877"/>
      <c r="AF216" s="879"/>
      <c r="AG216" s="877"/>
      <c r="AH216" s="877"/>
      <c r="AI216" s="877"/>
      <c r="AJ216" s="877"/>
      <c r="AK216" s="886"/>
      <c r="AL216" s="877"/>
      <c r="AM216" s="879"/>
      <c r="AN216" s="877"/>
      <c r="AO216" s="877"/>
      <c r="AP216" s="877"/>
      <c r="AQ216" s="877"/>
      <c r="AR216" s="886"/>
      <c r="AS216" s="877"/>
      <c r="AT216" s="879"/>
      <c r="AU216" s="877"/>
      <c r="AV216" s="877"/>
      <c r="AW216" s="877"/>
      <c r="AX216" s="877"/>
      <c r="AY216" s="886"/>
      <c r="AZ216" s="877"/>
      <c r="BA216" s="879"/>
      <c r="BB216" s="877"/>
      <c r="BC216" s="877"/>
      <c r="BD216" s="877"/>
      <c r="BE216" s="877"/>
      <c r="BF216" s="886"/>
      <c r="BG216" s="877"/>
      <c r="BH216" s="879"/>
      <c r="BI216" s="877"/>
      <c r="BJ216" s="877"/>
      <c r="BK216" s="877"/>
      <c r="BL216" s="877"/>
      <c r="BM216" s="886"/>
      <c r="BN216" s="877"/>
      <c r="BO216" s="879"/>
      <c r="BP216" s="877"/>
      <c r="BQ216" s="877"/>
      <c r="BR216" s="877"/>
      <c r="BS216" s="877"/>
      <c r="BT216" s="886"/>
      <c r="BU216" s="877"/>
      <c r="BV216" s="879"/>
      <c r="BW216" s="886"/>
      <c r="BX216" s="877"/>
      <c r="BY216" s="877"/>
      <c r="BZ216" s="877"/>
      <c r="CA216" s="877"/>
      <c r="CB216" s="877"/>
      <c r="CC216" s="877"/>
      <c r="CD216" s="877"/>
      <c r="CE216" s="877"/>
    </row>
    <row r="217" spans="1:83">
      <c r="A217" s="195"/>
      <c r="B217" s="55"/>
      <c r="C217" s="83"/>
      <c r="E217" s="511" t="s">
        <v>367</v>
      </c>
      <c r="F217" s="877">
        <f>IF(AND($F$2="No",$F$3="No"),SUM(L217:N217),IF(AND($F$2="Yes", $F$3="No"), (SUM(L217:M217)+S217), IF(AND($F$2="No", $F$3="Yes"),(SUM(L217:M217)+R217), (SUM(L217:M217)+S217+R217))))</f>
        <v>0</v>
      </c>
      <c r="G217" s="877">
        <f t="shared" si="58"/>
        <v>0</v>
      </c>
      <c r="H217" s="878">
        <f t="shared" si="58"/>
        <v>0</v>
      </c>
      <c r="I217" s="928"/>
      <c r="J217" s="877"/>
      <c r="K217" s="877"/>
      <c r="L217" s="877"/>
      <c r="M217" s="877"/>
      <c r="N217" s="877"/>
      <c r="O217" s="877"/>
      <c r="P217" s="877"/>
      <c r="Q217" s="877"/>
      <c r="R217" s="877"/>
      <c r="S217" s="877"/>
      <c r="T217" s="877"/>
      <c r="U217" s="877"/>
      <c r="V217" s="877"/>
      <c r="W217" s="878"/>
      <c r="X217" s="877"/>
      <c r="Y217" s="879"/>
      <c r="Z217" s="877"/>
      <c r="AA217" s="877"/>
      <c r="AB217" s="877"/>
      <c r="AC217" s="877"/>
      <c r="AD217" s="886"/>
      <c r="AE217" s="877"/>
      <c r="AF217" s="879"/>
      <c r="AG217" s="877"/>
      <c r="AH217" s="877"/>
      <c r="AI217" s="877"/>
      <c r="AJ217" s="877"/>
      <c r="AK217" s="886"/>
      <c r="AL217" s="877"/>
      <c r="AM217" s="879"/>
      <c r="AN217" s="877"/>
      <c r="AO217" s="877"/>
      <c r="AP217" s="877"/>
      <c r="AQ217" s="877"/>
      <c r="AR217" s="886"/>
      <c r="AS217" s="877"/>
      <c r="AT217" s="879"/>
      <c r="AU217" s="877"/>
      <c r="AV217" s="877"/>
      <c r="AW217" s="877"/>
      <c r="AX217" s="877"/>
      <c r="AY217" s="886"/>
      <c r="AZ217" s="877"/>
      <c r="BA217" s="879"/>
      <c r="BB217" s="877"/>
      <c r="BC217" s="877"/>
      <c r="BD217" s="877"/>
      <c r="BE217" s="877"/>
      <c r="BF217" s="886"/>
      <c r="BG217" s="877"/>
      <c r="BH217" s="879"/>
      <c r="BI217" s="877"/>
      <c r="BJ217" s="877"/>
      <c r="BK217" s="877"/>
      <c r="BL217" s="877"/>
      <c r="BM217" s="886"/>
      <c r="BN217" s="877"/>
      <c r="BO217" s="879"/>
      <c r="BP217" s="877"/>
      <c r="BQ217" s="877"/>
      <c r="BR217" s="877"/>
      <c r="BS217" s="877"/>
      <c r="BT217" s="886"/>
      <c r="BU217" s="877"/>
      <c r="BV217" s="879"/>
      <c r="BW217" s="886"/>
      <c r="BX217" s="877"/>
      <c r="BY217" s="877"/>
      <c r="BZ217" s="877"/>
      <c r="CA217" s="877"/>
      <c r="CB217" s="877"/>
      <c r="CC217" s="877"/>
      <c r="CD217" s="877"/>
      <c r="CE217" s="877"/>
    </row>
    <row r="218" spans="1:83">
      <c r="A218" s="18"/>
      <c r="B218" s="360"/>
      <c r="C218" s="83"/>
      <c r="E218" s="512" t="s">
        <v>320</v>
      </c>
      <c r="F218" s="877">
        <f>IF(AND($F$2="No",$F$3="No"),SUM(L218:N218),IF(AND($F$2="Yes", $F$3="No"), (SUM(L218:M218)+S218), IF(AND($F$2="No", $F$3="Yes"),(SUM(L218:M218)+R218), (SUM(L218:M218)+S218+R218))))</f>
        <v>0</v>
      </c>
      <c r="G218" s="877">
        <f t="shared" si="58"/>
        <v>0</v>
      </c>
      <c r="H218" s="878">
        <f t="shared" si="58"/>
        <v>0</v>
      </c>
      <c r="I218" s="928"/>
      <c r="J218" s="877"/>
      <c r="K218" s="877"/>
      <c r="L218" s="877"/>
      <c r="M218" s="877"/>
      <c r="N218" s="877"/>
      <c r="O218" s="877"/>
      <c r="P218" s="877"/>
      <c r="Q218" s="877"/>
      <c r="R218" s="877"/>
      <c r="S218" s="877"/>
      <c r="T218" s="877"/>
      <c r="U218" s="877"/>
      <c r="V218" s="877"/>
      <c r="W218" s="878"/>
      <c r="X218" s="877"/>
      <c r="Y218" s="879"/>
      <c r="Z218" s="877"/>
      <c r="AA218" s="877"/>
      <c r="AB218" s="877"/>
      <c r="AC218" s="877"/>
      <c r="AD218" s="886"/>
      <c r="AE218" s="877"/>
      <c r="AF218" s="879"/>
      <c r="AG218" s="877"/>
      <c r="AH218" s="877"/>
      <c r="AI218" s="877"/>
      <c r="AJ218" s="877"/>
      <c r="AK218" s="886"/>
      <c r="AL218" s="877"/>
      <c r="AM218" s="879"/>
      <c r="AN218" s="877"/>
      <c r="AO218" s="877"/>
      <c r="AP218" s="877"/>
      <c r="AQ218" s="877"/>
      <c r="AR218" s="886"/>
      <c r="AS218" s="877"/>
      <c r="AT218" s="879"/>
      <c r="AU218" s="877"/>
      <c r="AV218" s="877"/>
      <c r="AW218" s="877"/>
      <c r="AX218" s="877"/>
      <c r="AY218" s="886"/>
      <c r="AZ218" s="877"/>
      <c r="BA218" s="879"/>
      <c r="BB218" s="877"/>
      <c r="BC218" s="877"/>
      <c r="BD218" s="877"/>
      <c r="BE218" s="877"/>
      <c r="BF218" s="886"/>
      <c r="BG218" s="877"/>
      <c r="BH218" s="879"/>
      <c r="BI218" s="877"/>
      <c r="BJ218" s="877"/>
      <c r="BK218" s="877"/>
      <c r="BL218" s="877"/>
      <c r="BM218" s="886"/>
      <c r="BN218" s="877"/>
      <c r="BO218" s="879"/>
      <c r="BP218" s="877"/>
      <c r="BQ218" s="877"/>
      <c r="BR218" s="877"/>
      <c r="BS218" s="877"/>
      <c r="BT218" s="886"/>
      <c r="BU218" s="877"/>
      <c r="BV218" s="879"/>
      <c r="BW218" s="886"/>
      <c r="BX218" s="877"/>
      <c r="BY218" s="877"/>
      <c r="BZ218" s="877"/>
      <c r="CA218" s="877"/>
      <c r="CB218" s="877"/>
      <c r="CC218" s="877"/>
      <c r="CD218" s="877"/>
      <c r="CE218" s="877"/>
    </row>
    <row r="219" spans="1:83">
      <c r="A219" s="108" t="s">
        <v>161</v>
      </c>
      <c r="B219" s="93" t="s">
        <v>121</v>
      </c>
      <c r="C219" s="87">
        <f>'Input data plant-based products'!D195</f>
        <v>0.3295701577155068</v>
      </c>
      <c r="E219" s="513" t="s">
        <v>316</v>
      </c>
      <c r="F219" s="872">
        <f>SUMPRODUCT($CJ$6:$CJ$8,F220:F222)</f>
        <v>0</v>
      </c>
      <c r="G219" s="872">
        <f>SUMPRODUCT($CJ$6:$CJ$8,G220:G222)</f>
        <v>0.02</v>
      </c>
      <c r="H219" s="873">
        <f>SUMPRODUCT($CJ$6:$CJ$8,H220:H222)</f>
        <v>0</v>
      </c>
      <c r="I219" s="1277"/>
      <c r="J219" s="884"/>
      <c r="K219" s="884"/>
      <c r="L219" s="884"/>
      <c r="M219" s="884"/>
      <c r="N219" s="884"/>
      <c r="O219" s="884"/>
      <c r="P219" s="884"/>
      <c r="Q219" s="884"/>
      <c r="R219" s="884"/>
      <c r="S219" s="884"/>
      <c r="T219" s="884"/>
      <c r="U219" s="884"/>
      <c r="V219" s="884"/>
      <c r="W219" s="1278"/>
      <c r="X219" s="877"/>
      <c r="Y219" s="879">
        <f>1/'Input data plant-based products'!E195*10^4</f>
        <v>4.4302283339683335</v>
      </c>
      <c r="Z219" s="877">
        <f>$Y219*'Input data plant-based products'!Z195</f>
        <v>4.4302283339683335</v>
      </c>
      <c r="AA219" s="877">
        <f>$Y219*'Input data plant-based products'!AA195</f>
        <v>11.075570834920834</v>
      </c>
      <c r="AB219" s="877">
        <f>$Y219*'Input data plant-based products'!AB195</f>
        <v>9.0819680846350828</v>
      </c>
      <c r="AC219" s="877">
        <f>$Y219*'Input data plant-based products'!AC195</f>
        <v>9.7540724465656936</v>
      </c>
      <c r="AD219" s="886">
        <f>$Y219*'Input data plant-based products'!AD195</f>
        <v>10.160492131839264</v>
      </c>
      <c r="AE219" s="877"/>
      <c r="AF219" s="879">
        <f>SUM('Input data plant-based products'!F195,'Input data plant-based products'!Q195)/'Input data plant-based products'!E195</f>
        <v>5.7592968341588328E-2</v>
      </c>
      <c r="AG219" s="877">
        <f>$AF219*'Input data plant-based products'!Z195</f>
        <v>5.7592968341588328E-2</v>
      </c>
      <c r="AH219" s="877">
        <f>$AF219*'Input data plant-based products'!AA195</f>
        <v>0.14398242085397081</v>
      </c>
      <c r="AI219" s="877">
        <f>$AF219*'Input data plant-based products'!AB195</f>
        <v>0.11806558510025607</v>
      </c>
      <c r="AJ219" s="877">
        <f>$AF219*'Input data plant-based products'!AC195</f>
        <v>0.12680294180535401</v>
      </c>
      <c r="AK219" s="886">
        <f>$AF219*'Input data plant-based products'!AD195</f>
        <v>0.13208639771391043</v>
      </c>
      <c r="AL219" s="877"/>
      <c r="AM219" s="879">
        <f>'Input data plant-based products'!R195/'Input data plant-based products'!E195</f>
        <v>3.5441826671746668E-2</v>
      </c>
      <c r="AN219" s="877">
        <f>$AM219*'Input data plant-based products'!Z195</f>
        <v>3.5441826671746668E-2</v>
      </c>
      <c r="AO219" s="877">
        <f>$AM219*'Input data plant-based products'!AA195</f>
        <v>8.860456667936667E-2</v>
      </c>
      <c r="AP219" s="877">
        <f>$AM219*'Input data plant-based products'!AB195</f>
        <v>7.2655744677080664E-2</v>
      </c>
      <c r="AQ219" s="877">
        <f>$AM219*'Input data plant-based products'!AC195</f>
        <v>7.8032579572525546E-2</v>
      </c>
      <c r="AR219" s="886">
        <f>$AM219*'Input data plant-based products'!AD195</f>
        <v>8.1283937054714123E-2</v>
      </c>
      <c r="AS219" s="877"/>
      <c r="AT219" s="879">
        <f>'Input data plant-based products'!S195</f>
        <v>1.08966556123909E-2</v>
      </c>
      <c r="AU219" s="877">
        <f>$AT219*'Input data plant-based products'!Z195</f>
        <v>1.08966556123909E-2</v>
      </c>
      <c r="AV219" s="877">
        <f>$AT219*'Input data plant-based products'!AA195</f>
        <v>2.724163903097725E-2</v>
      </c>
      <c r="AW219" s="877">
        <f>$AT219*'Input data plant-based products'!AB195</f>
        <v>2.2338144005401343E-2</v>
      </c>
      <c r="AX219" s="877">
        <f>$AT219*'Input data plant-based products'!AC195</f>
        <v>2.3991261907110817E-2</v>
      </c>
      <c r="AY219" s="886">
        <f>$AT219*'Input data plant-based products'!AD195</f>
        <v>2.4990897819907106E-2</v>
      </c>
      <c r="AZ219" s="877"/>
      <c r="BA219" s="879">
        <f>((SUM('Input data plant-based products'!U195:Y195)*Y219)/('Common input data'!$B$192/10^6))/$BB$3</f>
        <v>1.2773040453972066E-9</v>
      </c>
      <c r="BB219" s="877">
        <f>$BA219*'Input data plant-based products'!Z195</f>
        <v>1.2773040453972066E-9</v>
      </c>
      <c r="BC219" s="877">
        <f>$BA219*'Input data plant-based products'!AA195</f>
        <v>3.1932601134930167E-9</v>
      </c>
      <c r="BD219" s="877">
        <f>$BA219*'Input data plant-based products'!AB195</f>
        <v>2.6184732930642731E-9</v>
      </c>
      <c r="BE219" s="877">
        <f>$BA219*'Input data plant-based products'!AC195</f>
        <v>2.8122514813894112E-9</v>
      </c>
      <c r="BF219" s="886">
        <f>$BA219*'Input data plant-based products'!AD195</f>
        <v>2.9294286264473037E-9</v>
      </c>
      <c r="BG219" s="877"/>
      <c r="BH219" s="879">
        <f>'Input data plant-based products'!T195/'Input data plant-based products'!E195</f>
        <v>0</v>
      </c>
      <c r="BI219" s="877">
        <f>$BH219*'Input data plant-based products'!Z195</f>
        <v>0</v>
      </c>
      <c r="BJ219" s="877">
        <f>$BH219*'Input data plant-based products'!AA195</f>
        <v>0</v>
      </c>
      <c r="BK219" s="877">
        <f>$BH219*'Input data plant-based products'!AB195</f>
        <v>0</v>
      </c>
      <c r="BL219" s="877">
        <f>$BH219*'Input data plant-based products'!AC195</f>
        <v>0</v>
      </c>
      <c r="BM219" s="886">
        <f>$BH219*'Input data plant-based products'!AD195</f>
        <v>0</v>
      </c>
      <c r="BN219" s="877"/>
      <c r="BO219" s="879">
        <f>('Input data plant-based products'!F195/'Input data plant-based products'!E195*'Common input data'!$B$195+'Input data plant-based products'!G195/'Input data plant-based products'!E195*'Common input data'!$B$196)/'Common input data'!$B$198</f>
        <v>1.4705634839963879E-3</v>
      </c>
      <c r="BP219" s="877">
        <f>$BO219*'Input data plant-based products'!Z195</f>
        <v>1.4705634839963879E-3</v>
      </c>
      <c r="BQ219" s="877">
        <f>$BO219*'Input data plant-based products'!AA195</f>
        <v>3.6764087099909696E-3</v>
      </c>
      <c r="BR219" s="877">
        <f>$BO219*'Input data plant-based products'!AB195</f>
        <v>3.0146551421925951E-3</v>
      </c>
      <c r="BS219" s="877">
        <f>$BO219*'Input data plant-based products'!AC195</f>
        <v>3.2377524765921798E-3</v>
      </c>
      <c r="BT219" s="886">
        <f>$BO219*'Input data plant-based products'!AD195</f>
        <v>3.3726588297835207E-3</v>
      </c>
      <c r="BU219" s="877"/>
      <c r="BV219" s="879">
        <f>('Common input data'!$B$211+'Common input data'!$C$211)*'Input data plant-based products'!AC195</f>
        <v>1.8007775790869891</v>
      </c>
      <c r="BW219" s="886">
        <f>('Common input data'!$B$211+'Common input data'!$C$211)*'Input data plant-based products'!AD195</f>
        <v>1.8758099782156137</v>
      </c>
      <c r="BX219" s="877"/>
      <c r="BY219" s="877"/>
      <c r="BZ219" s="877"/>
      <c r="CA219" s="877"/>
      <c r="CB219" s="877"/>
      <c r="CC219" s="877"/>
      <c r="CD219" s="877"/>
      <c r="CE219" s="877"/>
    </row>
    <row r="220" spans="1:83">
      <c r="A220" s="195"/>
      <c r="B220" s="55"/>
      <c r="C220" s="83"/>
      <c r="E220" s="511" t="s">
        <v>317</v>
      </c>
      <c r="F220" s="877">
        <f>IF(AND($F$2="No",$F$3="No"),SUM(L220:N220),IF(AND($F$2="Yes", $F$3="No"), (SUM(L220:M220)+S220), IF(AND($F$2="No", $F$3="Yes"),(SUM(L220:M220)+R220), (SUM(L220:M220)+S220+R220))))</f>
        <v>0</v>
      </c>
      <c r="G220" s="877">
        <f>IF(AND($F$2="No",$F$3="No"),SUM(I220:Q220),IF(AND($F$2="Yes", $F$3="No"), (SUM(I220:Q220)+S220), IF(AND($F$2="No", $F$3="Yes"),(SUM(I220:Q220)+R220), (SUM(I220:Q220)+S220+R220))))</f>
        <v>0.02</v>
      </c>
      <c r="H220" s="878">
        <f>SUM(U220:W220)/(1-'Common input data'!$B$143)</f>
        <v>0</v>
      </c>
      <c r="I220" s="928"/>
      <c r="J220" s="877"/>
      <c r="K220" s="877"/>
      <c r="L220" s="877"/>
      <c r="M220" s="877"/>
      <c r="N220" s="877"/>
      <c r="O220" s="877"/>
      <c r="P220" s="877">
        <f>'Input data plant-based products'!G309</f>
        <v>0.02</v>
      </c>
      <c r="Q220" s="877"/>
      <c r="R220" s="877"/>
      <c r="S220" s="877"/>
      <c r="T220" s="877">
        <f>'Input data plant-based products'!$B$281</f>
        <v>0.22900000000000001</v>
      </c>
      <c r="U220" s="877"/>
      <c r="V220" s="877"/>
      <c r="W220" s="878"/>
      <c r="X220" s="877"/>
      <c r="Y220" s="879"/>
      <c r="Z220" s="877"/>
      <c r="AA220" s="877"/>
      <c r="AB220" s="877"/>
      <c r="AC220" s="877"/>
      <c r="AD220" s="886"/>
      <c r="AE220" s="877"/>
      <c r="AF220" s="879"/>
      <c r="AG220" s="877"/>
      <c r="AH220" s="877"/>
      <c r="AI220" s="877"/>
      <c r="AJ220" s="877"/>
      <c r="AK220" s="886"/>
      <c r="AL220" s="877"/>
      <c r="AM220" s="879"/>
      <c r="AN220" s="877"/>
      <c r="AO220" s="877"/>
      <c r="AP220" s="877"/>
      <c r="AQ220" s="877"/>
      <c r="AR220" s="886"/>
      <c r="AS220" s="877"/>
      <c r="AT220" s="879"/>
      <c r="AU220" s="877"/>
      <c r="AV220" s="877"/>
      <c r="AW220" s="877"/>
      <c r="AX220" s="877"/>
      <c r="AY220" s="886"/>
      <c r="AZ220" s="877"/>
      <c r="BA220" s="879"/>
      <c r="BB220" s="877"/>
      <c r="BC220" s="877"/>
      <c r="BD220" s="877"/>
      <c r="BE220" s="877"/>
      <c r="BF220" s="886"/>
      <c r="BG220" s="877"/>
      <c r="BH220" s="879"/>
      <c r="BI220" s="877"/>
      <c r="BJ220" s="877"/>
      <c r="BK220" s="877"/>
      <c r="BL220" s="877"/>
      <c r="BM220" s="886"/>
      <c r="BN220" s="877"/>
      <c r="BO220" s="879"/>
      <c r="BP220" s="877"/>
      <c r="BQ220" s="877"/>
      <c r="BR220" s="877"/>
      <c r="BS220" s="877"/>
      <c r="BT220" s="886"/>
      <c r="BU220" s="877"/>
      <c r="BV220" s="879"/>
      <c r="BW220" s="886"/>
      <c r="BX220" s="877"/>
      <c r="BY220" s="877"/>
      <c r="BZ220" s="877"/>
      <c r="CA220" s="877"/>
      <c r="CB220" s="877"/>
      <c r="CC220" s="877"/>
      <c r="CD220" s="877"/>
      <c r="CE220" s="877"/>
    </row>
    <row r="221" spans="1:83">
      <c r="A221" s="195"/>
      <c r="B221" s="55"/>
      <c r="C221" s="83"/>
      <c r="E221" s="511" t="s">
        <v>367</v>
      </c>
      <c r="F221" s="877">
        <f>SUM(K221:M221)</f>
        <v>0</v>
      </c>
      <c r="G221" s="877">
        <f>SUM(I221:Q221)</f>
        <v>0</v>
      </c>
      <c r="H221" s="878">
        <f>SUM(U221:W221)/(1-'Common input data'!$B$143)</f>
        <v>0</v>
      </c>
      <c r="I221" s="928"/>
      <c r="J221" s="877"/>
      <c r="K221" s="877"/>
      <c r="L221" s="877"/>
      <c r="M221" s="877"/>
      <c r="N221" s="877"/>
      <c r="O221" s="877"/>
      <c r="P221" s="877"/>
      <c r="Q221" s="877"/>
      <c r="R221" s="877"/>
      <c r="S221" s="877"/>
      <c r="T221" s="877"/>
      <c r="U221" s="877"/>
      <c r="V221" s="877"/>
      <c r="W221" s="878"/>
      <c r="X221" s="877"/>
      <c r="Y221" s="879"/>
      <c r="Z221" s="877"/>
      <c r="AA221" s="877"/>
      <c r="AB221" s="877"/>
      <c r="AC221" s="877"/>
      <c r="AD221" s="886"/>
      <c r="AE221" s="877"/>
      <c r="AF221" s="879"/>
      <c r="AG221" s="877"/>
      <c r="AH221" s="877"/>
      <c r="AI221" s="877"/>
      <c r="AJ221" s="877"/>
      <c r="AK221" s="886"/>
      <c r="AL221" s="877"/>
      <c r="AM221" s="879"/>
      <c r="AN221" s="877"/>
      <c r="AO221" s="877"/>
      <c r="AP221" s="877"/>
      <c r="AQ221" s="877"/>
      <c r="AR221" s="886"/>
      <c r="AS221" s="877"/>
      <c r="AT221" s="879"/>
      <c r="AU221" s="877"/>
      <c r="AV221" s="877"/>
      <c r="AW221" s="877"/>
      <c r="AX221" s="877"/>
      <c r="AY221" s="886"/>
      <c r="AZ221" s="877"/>
      <c r="BA221" s="879"/>
      <c r="BB221" s="877"/>
      <c r="BC221" s="877"/>
      <c r="BD221" s="877"/>
      <c r="BE221" s="877"/>
      <c r="BF221" s="886"/>
      <c r="BG221" s="877"/>
      <c r="BH221" s="879"/>
      <c r="BI221" s="877"/>
      <c r="BJ221" s="877"/>
      <c r="BK221" s="877"/>
      <c r="BL221" s="877"/>
      <c r="BM221" s="886"/>
      <c r="BN221" s="877"/>
      <c r="BO221" s="879"/>
      <c r="BP221" s="877"/>
      <c r="BQ221" s="877"/>
      <c r="BR221" s="877"/>
      <c r="BS221" s="877"/>
      <c r="BT221" s="886"/>
      <c r="BU221" s="877"/>
      <c r="BV221" s="879"/>
      <c r="BW221" s="886"/>
      <c r="BX221" s="877"/>
      <c r="BY221" s="877"/>
      <c r="BZ221" s="877"/>
      <c r="CA221" s="877"/>
      <c r="CB221" s="877"/>
      <c r="CC221" s="877"/>
      <c r="CD221" s="877"/>
      <c r="CE221" s="877"/>
    </row>
    <row r="222" spans="1:83">
      <c r="A222" s="18"/>
      <c r="B222" s="360"/>
      <c r="C222" s="83"/>
      <c r="E222" s="512" t="s">
        <v>320</v>
      </c>
      <c r="F222" s="877">
        <f>SUM(K222:M222)</f>
        <v>0</v>
      </c>
      <c r="G222" s="877">
        <f>SUM(I222:Q222)</f>
        <v>0</v>
      </c>
      <c r="H222" s="878">
        <f>SUM(U222:W222)/(1-'Common input data'!$B$143)</f>
        <v>0</v>
      </c>
      <c r="I222" s="928"/>
      <c r="J222" s="877"/>
      <c r="K222" s="877"/>
      <c r="L222" s="877"/>
      <c r="M222" s="877"/>
      <c r="N222" s="877"/>
      <c r="O222" s="877"/>
      <c r="P222" s="877"/>
      <c r="Q222" s="877"/>
      <c r="R222" s="877"/>
      <c r="S222" s="877"/>
      <c r="T222" s="877"/>
      <c r="U222" s="877"/>
      <c r="V222" s="877"/>
      <c r="W222" s="878"/>
      <c r="X222" s="877"/>
      <c r="Y222" s="879"/>
      <c r="Z222" s="877"/>
      <c r="AA222" s="877"/>
      <c r="AB222" s="877"/>
      <c r="AC222" s="877"/>
      <c r="AD222" s="886"/>
      <c r="AE222" s="877"/>
      <c r="AF222" s="879"/>
      <c r="AG222" s="877"/>
      <c r="AH222" s="877"/>
      <c r="AI222" s="877"/>
      <c r="AJ222" s="877"/>
      <c r="AK222" s="886"/>
      <c r="AL222" s="877"/>
      <c r="AM222" s="879"/>
      <c r="AN222" s="877"/>
      <c r="AO222" s="877"/>
      <c r="AP222" s="877"/>
      <c r="AQ222" s="877"/>
      <c r="AR222" s="886"/>
      <c r="AS222" s="877"/>
      <c r="AT222" s="879"/>
      <c r="AU222" s="877"/>
      <c r="AV222" s="877"/>
      <c r="AW222" s="877"/>
      <c r="AX222" s="877"/>
      <c r="AY222" s="886"/>
      <c r="AZ222" s="877"/>
      <c r="BA222" s="879"/>
      <c r="BB222" s="877"/>
      <c r="BC222" s="877"/>
      <c r="BD222" s="877"/>
      <c r="BE222" s="877"/>
      <c r="BF222" s="886"/>
      <c r="BG222" s="877"/>
      <c r="BH222" s="879"/>
      <c r="BI222" s="877"/>
      <c r="BJ222" s="877"/>
      <c r="BK222" s="877"/>
      <c r="BL222" s="877"/>
      <c r="BM222" s="886"/>
      <c r="BN222" s="877"/>
      <c r="BO222" s="879"/>
      <c r="BP222" s="877"/>
      <c r="BQ222" s="877"/>
      <c r="BR222" s="877"/>
      <c r="BS222" s="877"/>
      <c r="BT222" s="886"/>
      <c r="BU222" s="877"/>
      <c r="BV222" s="879"/>
      <c r="BW222" s="886"/>
      <c r="BX222" s="877"/>
      <c r="BY222" s="877"/>
      <c r="BZ222" s="877"/>
      <c r="CA222" s="877"/>
      <c r="CB222" s="877"/>
      <c r="CC222" s="877"/>
      <c r="CD222" s="877"/>
      <c r="CE222" s="877"/>
    </row>
    <row r="223" spans="1:83">
      <c r="A223" s="108" t="s">
        <v>134</v>
      </c>
      <c r="B223" s="93" t="s">
        <v>121</v>
      </c>
      <c r="C223" s="87">
        <f>'Input data plant-based products'!D196</f>
        <v>0.6704298422844932</v>
      </c>
      <c r="E223" s="513" t="s">
        <v>316</v>
      </c>
      <c r="F223" s="872">
        <f>SUMPRODUCT($CJ$6:$CJ$8,F224:F226)</f>
        <v>0</v>
      </c>
      <c r="G223" s="872">
        <f>SUMPRODUCT($CJ$6:$CJ$8,G224:G226)</f>
        <v>0.02</v>
      </c>
      <c r="H223" s="873">
        <f>SUMPRODUCT($CJ$6:$CJ$8,H224:H226)</f>
        <v>0</v>
      </c>
      <c r="I223" s="1277"/>
      <c r="J223" s="884"/>
      <c r="K223" s="884"/>
      <c r="L223" s="884"/>
      <c r="M223" s="884"/>
      <c r="N223" s="884"/>
      <c r="O223" s="884"/>
      <c r="P223" s="884"/>
      <c r="Q223" s="884"/>
      <c r="R223" s="884"/>
      <c r="S223" s="884"/>
      <c r="T223" s="884"/>
      <c r="U223" s="884"/>
      <c r="V223" s="884"/>
      <c r="W223" s="1278"/>
      <c r="X223" s="877"/>
      <c r="Y223" s="879">
        <f>1/'Input data plant-based products'!E196*10^4</f>
        <v>5.700409289386978</v>
      </c>
      <c r="Z223" s="877">
        <f>$Y223*'Input data plant-based products'!Z196</f>
        <v>5.700409289386978</v>
      </c>
      <c r="AA223" s="877">
        <f>$Y223*'Input data plant-based products'!AA196</f>
        <v>14.251023223467445</v>
      </c>
      <c r="AB223" s="877">
        <f>$Y223*'Input data plant-based products'!AB196</f>
        <v>11.685839043243304</v>
      </c>
      <c r="AC223" s="877">
        <f>$Y223*'Input data plant-based products'!AC196</f>
        <v>13.212310075506922</v>
      </c>
      <c r="AD223" s="886">
        <f>$Y223*'Input data plant-based products'!AD196</f>
        <v>13.762822995319709</v>
      </c>
      <c r="AE223" s="877"/>
      <c r="AF223" s="879">
        <f>SUM('Input data plant-based products'!F196,'Input data plant-based products'!Q196)/'Input data plant-based products'!E196</f>
        <v>7.4105320762030719E-2</v>
      </c>
      <c r="AG223" s="877">
        <f>$AF223*'Input data plant-based products'!Z196</f>
        <v>7.4105320762030719E-2</v>
      </c>
      <c r="AH223" s="877">
        <f>$AF223*'Input data plant-based products'!AA196</f>
        <v>0.18526330190507678</v>
      </c>
      <c r="AI223" s="877">
        <f>$AF223*'Input data plant-based products'!AB196</f>
        <v>0.15191590756216297</v>
      </c>
      <c r="AJ223" s="877">
        <f>$AF223*'Input data plant-based products'!AC196</f>
        <v>0.17176003098158998</v>
      </c>
      <c r="AK223" s="886">
        <f>$AF223*'Input data plant-based products'!AD196</f>
        <v>0.17891669893915624</v>
      </c>
      <c r="AL223" s="877"/>
      <c r="AM223" s="879">
        <f>'Input data plant-based products'!R196/'Input data plant-based products'!E196</f>
        <v>4.5603274315095824E-2</v>
      </c>
      <c r="AN223" s="877">
        <f>$AM223*'Input data plant-based products'!Z196</f>
        <v>4.5603274315095824E-2</v>
      </c>
      <c r="AO223" s="877">
        <f>$AM223*'Input data plant-based products'!AA196</f>
        <v>0.11400818578773955</v>
      </c>
      <c r="AP223" s="877">
        <f>$AM223*'Input data plant-based products'!AB196</f>
        <v>9.3486712345946424E-2</v>
      </c>
      <c r="AQ223" s="877">
        <f>$AM223*'Input data plant-based products'!AC196</f>
        <v>0.10569848060405537</v>
      </c>
      <c r="AR223" s="886">
        <f>$AM223*'Input data plant-based products'!AD196</f>
        <v>0.11010258396255768</v>
      </c>
      <c r="AS223" s="877"/>
      <c r="AT223" s="879">
        <f>'Input data plant-based products'!S196</f>
        <v>0.14800350026850501</v>
      </c>
      <c r="AU223" s="877">
        <f>$AT223*'Input data plant-based products'!Z196</f>
        <v>0.14800350026850501</v>
      </c>
      <c r="AV223" s="877">
        <f>$AT223*'Input data plant-based products'!AA196</f>
        <v>0.37000875067126249</v>
      </c>
      <c r="AW223" s="877">
        <f>$AT223*'Input data plant-based products'!AB196</f>
        <v>0.30340717555043523</v>
      </c>
      <c r="AX223" s="877">
        <f>$AT223*'Input data plant-based products'!AC196</f>
        <v>0.34303995354308164</v>
      </c>
      <c r="AY223" s="886">
        <f>$AT223*'Input data plant-based products'!AD196</f>
        <v>0.35733328494071004</v>
      </c>
      <c r="AZ223" s="877"/>
      <c r="BA223" s="879">
        <f>((SUM('Input data plant-based products'!U196:Y196)*Y223)/('Common input data'!$B$192/10^6))/$BB$3</f>
        <v>1.6435170598152398E-9</v>
      </c>
      <c r="BB223" s="877">
        <f>$BA223*'Input data plant-based products'!Z196</f>
        <v>1.6435170598152398E-9</v>
      </c>
      <c r="BC223" s="877">
        <f>$BA223*'Input data plant-based products'!AA196</f>
        <v>4.1087926495380997E-9</v>
      </c>
      <c r="BD223" s="877">
        <f>$BA223*'Input data plant-based products'!AB196</f>
        <v>3.3692099726212413E-9</v>
      </c>
      <c r="BE223" s="877">
        <f>$BA223*'Input data plant-based products'!AC196</f>
        <v>3.8093154204019615E-9</v>
      </c>
      <c r="BF223" s="886">
        <f>$BA223*'Input data plant-based products'!AD196</f>
        <v>3.9680368962520435E-9</v>
      </c>
      <c r="BG223" s="877"/>
      <c r="BH223" s="879">
        <f>'Input data plant-based products'!T196/'Input data plant-based products'!E196</f>
        <v>0</v>
      </c>
      <c r="BI223" s="877">
        <f>$BH223*'Input data plant-based products'!Z196</f>
        <v>0</v>
      </c>
      <c r="BJ223" s="877">
        <f>$BH223*'Input data plant-based products'!AA196</f>
        <v>0</v>
      </c>
      <c r="BK223" s="877">
        <f>$BH223*'Input data plant-based products'!AB196</f>
        <v>0</v>
      </c>
      <c r="BL223" s="877">
        <f>$BH223*'Input data plant-based products'!AC196</f>
        <v>0</v>
      </c>
      <c r="BM223" s="886">
        <f>$BH223*'Input data plant-based products'!AD196</f>
        <v>0</v>
      </c>
      <c r="BN223" s="877"/>
      <c r="BO223" s="879">
        <f>('Input data plant-based products'!F196/'Input data plant-based products'!E196*'Common input data'!$B$195+'Input data plant-based products'!G196/'Input data plant-based products'!E196*'Common input data'!$B$196)/'Common input data'!$B$198</f>
        <v>1.892185484105165E-3</v>
      </c>
      <c r="BP223" s="877">
        <f>$BO223*'Input data plant-based products'!Z196</f>
        <v>1.892185484105165E-3</v>
      </c>
      <c r="BQ223" s="877">
        <f>$BO223*'Input data plant-based products'!AA196</f>
        <v>4.7304637102629126E-3</v>
      </c>
      <c r="BR223" s="877">
        <f>$BO223*'Input data plant-based products'!AB196</f>
        <v>3.8789802424155878E-3</v>
      </c>
      <c r="BS223" s="877">
        <f>$BO223*'Input data plant-based products'!AC196</f>
        <v>4.385674794074151E-3</v>
      </c>
      <c r="BT223" s="886">
        <f>$BO223*'Input data plant-based products'!AD196</f>
        <v>4.568411243827241E-3</v>
      </c>
      <c r="BU223" s="877"/>
      <c r="BV223" s="879">
        <f>('Common input data'!$B$228+'Common input data'!$C$228)*'Input data plant-based products'!AC196</f>
        <v>13.10112547867193</v>
      </c>
      <c r="BW223" s="886">
        <f>('Common input data'!$B$228+'Common input data'!$C$228)*'Input data plant-based products'!AD196</f>
        <v>13.647005706949928</v>
      </c>
      <c r="BX223" s="877"/>
      <c r="BY223" s="877"/>
      <c r="BZ223" s="877"/>
      <c r="CA223" s="877"/>
      <c r="CB223" s="877"/>
      <c r="CC223" s="877"/>
      <c r="CD223" s="877"/>
      <c r="CE223" s="877"/>
    </row>
    <row r="224" spans="1:83">
      <c r="A224" s="195"/>
      <c r="B224" s="55"/>
      <c r="C224" s="83"/>
      <c r="E224" s="511" t="s">
        <v>317</v>
      </c>
      <c r="F224" s="877">
        <f>IF(AND($F$2="No",$F$3="No"),SUM(L224:N224),IF(AND($F$2="Yes", $F$3="No"), (SUM(L224:M224)+S224), IF(AND($F$2="No", $F$3="Yes"),(SUM(L224:M224)+R224), (SUM(L224:M224)+S224+R224))))</f>
        <v>0</v>
      </c>
      <c r="G224" s="877">
        <f>IF(AND($F$2="No",$F$3="No"),SUM(I224:Q224),IF(AND($F$2="Yes", $F$3="No"), (SUM(I224:Q224)+S224), IF(AND($F$2="No", $F$3="Yes"),(SUM(I224:Q224)+R224), (SUM(I224:Q224)+S224+R224))))</f>
        <v>0.02</v>
      </c>
      <c r="H224" s="878">
        <f>SUM(U224:W224)/(1-'Common input data'!$I$143)</f>
        <v>0</v>
      </c>
      <c r="I224" s="928"/>
      <c r="J224" s="877"/>
      <c r="K224" s="877"/>
      <c r="L224" s="877"/>
      <c r="M224" s="877"/>
      <c r="N224" s="877"/>
      <c r="O224" s="877"/>
      <c r="P224" s="877">
        <f>'Input data plant-based products'!G309</f>
        <v>0.02</v>
      </c>
      <c r="Q224" s="877"/>
      <c r="R224" s="877"/>
      <c r="S224" s="877"/>
      <c r="T224" s="877">
        <f>'Input data plant-based products'!$B$281</f>
        <v>0.22900000000000001</v>
      </c>
      <c r="U224" s="877"/>
      <c r="V224" s="877"/>
      <c r="W224" s="878"/>
      <c r="X224" s="877"/>
      <c r="Y224" s="879"/>
      <c r="Z224" s="877"/>
      <c r="AA224" s="877"/>
      <c r="AB224" s="877"/>
      <c r="AC224" s="877"/>
      <c r="AD224" s="886"/>
      <c r="AE224" s="877"/>
      <c r="AF224" s="879"/>
      <c r="AG224" s="877"/>
      <c r="AH224" s="877"/>
      <c r="AI224" s="877"/>
      <c r="AJ224" s="877"/>
      <c r="AK224" s="886"/>
      <c r="AL224" s="877"/>
      <c r="AM224" s="879"/>
      <c r="AN224" s="877"/>
      <c r="AO224" s="877"/>
      <c r="AP224" s="877"/>
      <c r="AQ224" s="877"/>
      <c r="AR224" s="886"/>
      <c r="AS224" s="877"/>
      <c r="AT224" s="879"/>
      <c r="AU224" s="877"/>
      <c r="AV224" s="877"/>
      <c r="AW224" s="877"/>
      <c r="AX224" s="877"/>
      <c r="AY224" s="886"/>
      <c r="AZ224" s="877"/>
      <c r="BA224" s="879"/>
      <c r="BB224" s="877"/>
      <c r="BC224" s="877"/>
      <c r="BD224" s="877"/>
      <c r="BE224" s="877"/>
      <c r="BF224" s="886"/>
      <c r="BG224" s="877"/>
      <c r="BH224" s="879"/>
      <c r="BI224" s="877"/>
      <c r="BJ224" s="877"/>
      <c r="BK224" s="877"/>
      <c r="BL224" s="877"/>
      <c r="BM224" s="886"/>
      <c r="BN224" s="877"/>
      <c r="BO224" s="879"/>
      <c r="BP224" s="877"/>
      <c r="BQ224" s="877"/>
      <c r="BR224" s="877"/>
      <c r="BS224" s="877"/>
      <c r="BT224" s="886"/>
      <c r="BU224" s="877"/>
      <c r="BV224" s="879"/>
      <c r="BW224" s="886"/>
      <c r="BX224" s="877"/>
      <c r="BY224" s="877"/>
      <c r="BZ224" s="877"/>
      <c r="CA224" s="877"/>
      <c r="CB224" s="877"/>
      <c r="CC224" s="877"/>
      <c r="CD224" s="877"/>
      <c r="CE224" s="877"/>
    </row>
    <row r="225" spans="1:83">
      <c r="A225" s="195"/>
      <c r="B225" s="55"/>
      <c r="C225" s="83"/>
      <c r="E225" s="511" t="s">
        <v>367</v>
      </c>
      <c r="F225" s="877">
        <f>SUM(K225:M225)</f>
        <v>0</v>
      </c>
      <c r="G225" s="877">
        <f>SUM(I225:Q225)</f>
        <v>0</v>
      </c>
      <c r="H225" s="878">
        <f>SUM(U225:W225)/(1-'Common input data'!$I$143)</f>
        <v>0</v>
      </c>
      <c r="I225" s="928"/>
      <c r="J225" s="877"/>
      <c r="K225" s="877"/>
      <c r="L225" s="877"/>
      <c r="M225" s="877"/>
      <c r="N225" s="877"/>
      <c r="O225" s="877"/>
      <c r="P225" s="877"/>
      <c r="Q225" s="877"/>
      <c r="R225" s="877"/>
      <c r="S225" s="877"/>
      <c r="T225" s="877"/>
      <c r="U225" s="877"/>
      <c r="V225" s="877"/>
      <c r="W225" s="878"/>
      <c r="X225" s="877"/>
      <c r="Y225" s="879"/>
      <c r="Z225" s="877"/>
      <c r="AA225" s="877"/>
      <c r="AB225" s="877"/>
      <c r="AC225" s="877"/>
      <c r="AD225" s="886"/>
      <c r="AE225" s="877"/>
      <c r="AF225" s="879"/>
      <c r="AG225" s="877"/>
      <c r="AH225" s="877"/>
      <c r="AI225" s="877"/>
      <c r="AJ225" s="877"/>
      <c r="AK225" s="886"/>
      <c r="AL225" s="877"/>
      <c r="AM225" s="879"/>
      <c r="AN225" s="877"/>
      <c r="AO225" s="877"/>
      <c r="AP225" s="877"/>
      <c r="AQ225" s="877"/>
      <c r="AR225" s="886"/>
      <c r="AS225" s="877"/>
      <c r="AT225" s="879"/>
      <c r="AU225" s="877"/>
      <c r="AV225" s="877"/>
      <c r="AW225" s="877"/>
      <c r="AX225" s="877"/>
      <c r="AY225" s="886"/>
      <c r="AZ225" s="877"/>
      <c r="BA225" s="879"/>
      <c r="BB225" s="877"/>
      <c r="BC225" s="877"/>
      <c r="BD225" s="877"/>
      <c r="BE225" s="877"/>
      <c r="BF225" s="886"/>
      <c r="BG225" s="877"/>
      <c r="BH225" s="879"/>
      <c r="BI225" s="877"/>
      <c r="BJ225" s="877"/>
      <c r="BK225" s="877"/>
      <c r="BL225" s="877"/>
      <c r="BM225" s="886"/>
      <c r="BN225" s="877"/>
      <c r="BO225" s="879"/>
      <c r="BP225" s="877"/>
      <c r="BQ225" s="877"/>
      <c r="BR225" s="877"/>
      <c r="BS225" s="877"/>
      <c r="BT225" s="886"/>
      <c r="BU225" s="877"/>
      <c r="BV225" s="879"/>
      <c r="BW225" s="886"/>
      <c r="BX225" s="877"/>
      <c r="BY225" s="877"/>
      <c r="BZ225" s="877"/>
      <c r="CA225" s="877"/>
      <c r="CB225" s="877"/>
      <c r="CC225" s="877"/>
      <c r="CD225" s="877"/>
      <c r="CE225" s="877"/>
    </row>
    <row r="226" spans="1:83">
      <c r="A226" s="18"/>
      <c r="B226" s="360"/>
      <c r="C226" s="83"/>
      <c r="E226" s="512" t="s">
        <v>320</v>
      </c>
      <c r="F226" s="877">
        <f>SUM(K226:M226)</f>
        <v>0</v>
      </c>
      <c r="G226" s="877">
        <f>SUM(I226:Q226)</f>
        <v>0</v>
      </c>
      <c r="H226" s="878">
        <f>SUM(U226:W226)/(1-'Common input data'!$I$143)</f>
        <v>0</v>
      </c>
      <c r="I226" s="928"/>
      <c r="J226" s="877"/>
      <c r="K226" s="877"/>
      <c r="L226" s="877"/>
      <c r="M226" s="877"/>
      <c r="N226" s="877"/>
      <c r="O226" s="877"/>
      <c r="P226" s="877"/>
      <c r="Q226" s="877"/>
      <c r="R226" s="877"/>
      <c r="S226" s="877"/>
      <c r="T226" s="877"/>
      <c r="U226" s="877"/>
      <c r="V226" s="877"/>
      <c r="W226" s="878"/>
      <c r="X226" s="877"/>
      <c r="Y226" s="879"/>
      <c r="Z226" s="877"/>
      <c r="AA226" s="877"/>
      <c r="AB226" s="877"/>
      <c r="AC226" s="877"/>
      <c r="AD226" s="886"/>
      <c r="AE226" s="877"/>
      <c r="AF226" s="879"/>
      <c r="AG226" s="877"/>
      <c r="AH226" s="877"/>
      <c r="AI226" s="877"/>
      <c r="AJ226" s="877"/>
      <c r="AK226" s="886"/>
      <c r="AL226" s="877"/>
      <c r="AM226" s="879"/>
      <c r="AN226" s="877"/>
      <c r="AO226" s="877"/>
      <c r="AP226" s="877"/>
      <c r="AQ226" s="877"/>
      <c r="AR226" s="886"/>
      <c r="AS226" s="877"/>
      <c r="AT226" s="879"/>
      <c r="AU226" s="877"/>
      <c r="AV226" s="877"/>
      <c r="AW226" s="877"/>
      <c r="AX226" s="877"/>
      <c r="AY226" s="886"/>
      <c r="AZ226" s="877"/>
      <c r="BA226" s="879"/>
      <c r="BB226" s="877"/>
      <c r="BC226" s="877"/>
      <c r="BD226" s="877"/>
      <c r="BE226" s="877"/>
      <c r="BF226" s="886"/>
      <c r="BG226" s="877"/>
      <c r="BH226" s="879"/>
      <c r="BI226" s="877"/>
      <c r="BJ226" s="877"/>
      <c r="BK226" s="877"/>
      <c r="BL226" s="877"/>
      <c r="BM226" s="886"/>
      <c r="BN226" s="877"/>
      <c r="BO226" s="879"/>
      <c r="BP226" s="877"/>
      <c r="BQ226" s="877"/>
      <c r="BR226" s="877"/>
      <c r="BS226" s="877"/>
      <c r="BT226" s="886"/>
      <c r="BU226" s="877"/>
      <c r="BV226" s="879"/>
      <c r="BW226" s="886"/>
      <c r="BX226" s="877"/>
      <c r="BY226" s="877"/>
      <c r="BZ226" s="877"/>
      <c r="CA226" s="877"/>
      <c r="CB226" s="877"/>
      <c r="CC226" s="877"/>
      <c r="CD226" s="877"/>
      <c r="CE226" s="877"/>
    </row>
    <row r="227" spans="1:83">
      <c r="A227" s="362" t="s">
        <v>187</v>
      </c>
      <c r="B227" s="363"/>
      <c r="C227" s="770"/>
      <c r="E227" s="939"/>
      <c r="F227" s="892" t="s">
        <v>467</v>
      </c>
      <c r="G227" s="892" t="s">
        <v>467</v>
      </c>
      <c r="H227" s="970" t="s">
        <v>467</v>
      </c>
      <c r="I227" s="969"/>
      <c r="J227" s="892"/>
      <c r="K227" s="892"/>
      <c r="L227" s="892"/>
      <c r="M227" s="892"/>
      <c r="N227" s="892"/>
      <c r="O227" s="892"/>
      <c r="P227" s="892"/>
      <c r="Q227" s="892"/>
      <c r="R227" s="892"/>
      <c r="S227" s="892"/>
      <c r="T227" s="892"/>
      <c r="U227" s="892"/>
      <c r="V227" s="892"/>
      <c r="W227" s="970"/>
      <c r="X227" s="877"/>
      <c r="Y227" s="879"/>
      <c r="Z227" s="877"/>
      <c r="AA227" s="877"/>
      <c r="AB227" s="877"/>
      <c r="AC227" s="877"/>
      <c r="AD227" s="886"/>
      <c r="AE227" s="877"/>
      <c r="AF227" s="879"/>
      <c r="AG227" s="877"/>
      <c r="AH227" s="877"/>
      <c r="AI227" s="877"/>
      <c r="AJ227" s="877"/>
      <c r="AK227" s="886"/>
      <c r="AL227" s="877"/>
      <c r="AM227" s="879"/>
      <c r="AN227" s="877"/>
      <c r="AO227" s="877"/>
      <c r="AP227" s="877"/>
      <c r="AQ227" s="877"/>
      <c r="AR227" s="886"/>
      <c r="AS227" s="877"/>
      <c r="AT227" s="879"/>
      <c r="AU227" s="877"/>
      <c r="AV227" s="877"/>
      <c r="AW227" s="877"/>
      <c r="AX227" s="877"/>
      <c r="AY227" s="886"/>
      <c r="AZ227" s="877"/>
      <c r="BA227" s="879"/>
      <c r="BB227" s="877"/>
      <c r="BC227" s="877"/>
      <c r="BD227" s="877"/>
      <c r="BE227" s="877"/>
      <c r="BF227" s="886"/>
      <c r="BG227" s="877"/>
      <c r="BH227" s="879"/>
      <c r="BI227" s="877"/>
      <c r="BJ227" s="877"/>
      <c r="BK227" s="877"/>
      <c r="BL227" s="877"/>
      <c r="BM227" s="886"/>
      <c r="BN227" s="877"/>
      <c r="BO227" s="879"/>
      <c r="BP227" s="877"/>
      <c r="BQ227" s="877"/>
      <c r="BR227" s="877"/>
      <c r="BS227" s="877"/>
      <c r="BT227" s="886"/>
      <c r="BU227" s="877"/>
      <c r="BV227" s="879"/>
      <c r="BW227" s="886"/>
      <c r="BX227" s="877"/>
      <c r="BY227" s="877"/>
      <c r="BZ227" s="877"/>
      <c r="CA227" s="877"/>
      <c r="CB227" s="877"/>
      <c r="CC227" s="877"/>
      <c r="CD227" s="877"/>
      <c r="CE227" s="877"/>
    </row>
    <row r="228" spans="1:83">
      <c r="A228" s="108" t="s">
        <v>120</v>
      </c>
      <c r="B228" s="93" t="s">
        <v>121</v>
      </c>
      <c r="C228" s="87">
        <f>SUM(C232:C240)</f>
        <v>1</v>
      </c>
      <c r="E228" s="513" t="s">
        <v>316</v>
      </c>
      <c r="F228" s="872">
        <f>SUMPRODUCT($CJ$6:$CJ$8,F229:F231)</f>
        <v>2.1915702835013287</v>
      </c>
      <c r="G228" s="872">
        <f>SUMPRODUCT($CJ$6:$CJ$8,G229:G231)</f>
        <v>2.1915702835013287</v>
      </c>
      <c r="H228" s="873">
        <f>SUMPRODUCT($CJ$6:$CJ$8,H229:H231)</f>
        <v>5.0345943269290769</v>
      </c>
      <c r="I228" s="1277"/>
      <c r="J228" s="884"/>
      <c r="K228" s="884"/>
      <c r="L228" s="884"/>
      <c r="M228" s="884"/>
      <c r="N228" s="884"/>
      <c r="O228" s="884"/>
      <c r="P228" s="884"/>
      <c r="Q228" s="884"/>
      <c r="R228" s="884"/>
      <c r="S228" s="884"/>
      <c r="T228" s="884"/>
      <c r="U228" s="884"/>
      <c r="V228" s="884"/>
      <c r="W228" s="1278"/>
      <c r="X228" s="877"/>
      <c r="Y228" s="883">
        <f>Y232*$C$232+Y236*$C$236+Y240*$C$240</f>
        <v>0.59400133244252717</v>
      </c>
      <c r="Z228" s="884">
        <f t="shared" ref="Z228:BT228" si="59">Z232*$C$232+Z236*$C$236+Z240*$C$240</f>
        <v>0.59400133244252717</v>
      </c>
      <c r="AA228" s="884">
        <f t="shared" si="59"/>
        <v>2.970006662212636</v>
      </c>
      <c r="AB228" s="884">
        <f t="shared" si="59"/>
        <v>2.5245056628807405</v>
      </c>
      <c r="AC228" s="884">
        <f t="shared" si="59"/>
        <v>3.0172230358045269</v>
      </c>
      <c r="AD228" s="885">
        <f t="shared" si="59"/>
        <v>3.142940662296382</v>
      </c>
      <c r="AE228" s="877"/>
      <c r="AF228" s="883">
        <f t="shared" si="59"/>
        <v>5.6665347984810998E-3</v>
      </c>
      <c r="AG228" s="884">
        <f t="shared" si="59"/>
        <v>5.6665347984810998E-3</v>
      </c>
      <c r="AH228" s="884">
        <f t="shared" si="59"/>
        <v>2.8332673992405501E-2</v>
      </c>
      <c r="AI228" s="884">
        <f t="shared" si="59"/>
        <v>2.4082772893544678E-2</v>
      </c>
      <c r="AJ228" s="884">
        <f t="shared" si="59"/>
        <v>2.8843263753077737E-2</v>
      </c>
      <c r="AK228" s="885">
        <f t="shared" si="59"/>
        <v>3.0045066409455975E-2</v>
      </c>
      <c r="AL228" s="877"/>
      <c r="AM228" s="883">
        <f t="shared" si="59"/>
        <v>1.8765621307915655E-3</v>
      </c>
      <c r="AN228" s="884">
        <f t="shared" si="59"/>
        <v>1.8765621307915655E-3</v>
      </c>
      <c r="AO228" s="884">
        <f t="shared" si="59"/>
        <v>9.3828106539578272E-3</v>
      </c>
      <c r="AP228" s="884">
        <f t="shared" si="59"/>
        <v>7.975389055864153E-3</v>
      </c>
      <c r="AQ228" s="884">
        <f t="shared" si="59"/>
        <v>9.7058878466078583E-3</v>
      </c>
      <c r="AR228" s="885">
        <f t="shared" si="59"/>
        <v>1.0110299840216519E-2</v>
      </c>
      <c r="AS228" s="877"/>
      <c r="AT228" s="883">
        <f t="shared" si="59"/>
        <v>8.9719812944217097E-5</v>
      </c>
      <c r="AU228" s="884">
        <f t="shared" si="59"/>
        <v>8.9719812944217097E-5</v>
      </c>
      <c r="AV228" s="884">
        <f t="shared" si="59"/>
        <v>4.4859906472108547E-4</v>
      </c>
      <c r="AW228" s="884">
        <f t="shared" si="59"/>
        <v>3.8130920501292263E-4</v>
      </c>
      <c r="AX228" s="884">
        <f t="shared" si="59"/>
        <v>4.3111799098317249E-4</v>
      </c>
      <c r="AY228" s="885">
        <f t="shared" si="59"/>
        <v>4.4908124060747138E-4</v>
      </c>
      <c r="AZ228" s="877"/>
      <c r="BA228" s="883">
        <f t="shared" si="59"/>
        <v>1.1184962556630376E-9</v>
      </c>
      <c r="BB228" s="884">
        <f t="shared" si="59"/>
        <v>1.1184962556630376E-9</v>
      </c>
      <c r="BC228" s="884">
        <f t="shared" si="59"/>
        <v>5.5924812783151882E-9</v>
      </c>
      <c r="BD228" s="884">
        <f t="shared" si="59"/>
        <v>4.7536090865679106E-9</v>
      </c>
      <c r="BE228" s="884">
        <f t="shared" si="59"/>
        <v>5.6775172777630877E-9</v>
      </c>
      <c r="BF228" s="885">
        <f t="shared" si="59"/>
        <v>5.9140804976698836E-9</v>
      </c>
      <c r="BG228" s="877"/>
      <c r="BH228" s="883">
        <f t="shared" si="59"/>
        <v>7.8178498601872378E-5</v>
      </c>
      <c r="BI228" s="884">
        <f t="shared" si="59"/>
        <v>7.8178498601872378E-5</v>
      </c>
      <c r="BJ228" s="884">
        <f t="shared" si="59"/>
        <v>3.9089249300936196E-4</v>
      </c>
      <c r="BK228" s="884">
        <f t="shared" si="59"/>
        <v>3.3225861905795766E-4</v>
      </c>
      <c r="BL228" s="884">
        <f t="shared" si="59"/>
        <v>4.012122086942333E-4</v>
      </c>
      <c r="BM228" s="885">
        <f t="shared" si="59"/>
        <v>4.1792938405649298E-4</v>
      </c>
      <c r="BN228" s="877"/>
      <c r="BO228" s="883">
        <f t="shared" si="59"/>
        <v>1.4468778733572955E-4</v>
      </c>
      <c r="BP228" s="884">
        <f t="shared" si="59"/>
        <v>1.4468778733572955E-4</v>
      </c>
      <c r="BQ228" s="884">
        <f t="shared" si="59"/>
        <v>7.2343893667864781E-4</v>
      </c>
      <c r="BR228" s="884">
        <f t="shared" si="59"/>
        <v>6.1492309617685063E-4</v>
      </c>
      <c r="BS228" s="884">
        <f>BS232*$C$232+BS236*$C$236+BS240*$C$240</f>
        <v>7.3647619936831614E-4</v>
      </c>
      <c r="BT228" s="885">
        <f t="shared" si="59"/>
        <v>7.6716270767532941E-4</v>
      </c>
      <c r="BU228" s="877"/>
      <c r="BV228" s="883">
        <f>BV232*$C$232+BV236*$C$236+BV240*$C$240</f>
        <v>32.827911452032978</v>
      </c>
      <c r="BW228" s="885">
        <f>BW232*$C$232+BW236*$C$236+BW240*$C$240</f>
        <v>33.513963236020075</v>
      </c>
      <c r="BX228" s="877"/>
      <c r="BY228" s="877"/>
      <c r="BZ228" s="877"/>
      <c r="CA228" s="877"/>
      <c r="CB228" s="877"/>
      <c r="CC228" s="877"/>
      <c r="CD228" s="877"/>
      <c r="CE228" s="877"/>
    </row>
    <row r="229" spans="1:83">
      <c r="A229" s="195"/>
      <c r="B229" s="55"/>
      <c r="C229" s="83"/>
      <c r="E229" s="511" t="s">
        <v>317</v>
      </c>
      <c r="F229" s="877">
        <f t="shared" ref="F229:W229" si="60">F233*$C$232+F237*$C$236+$C$240*F241</f>
        <v>2.003931533730146</v>
      </c>
      <c r="G229" s="877">
        <f t="shared" si="60"/>
        <v>2.003931533730146</v>
      </c>
      <c r="H229" s="878">
        <f t="shared" si="60"/>
        <v>4.8087056181781058</v>
      </c>
      <c r="I229" s="928">
        <f t="shared" si="60"/>
        <v>0</v>
      </c>
      <c r="J229" s="877">
        <f t="shared" si="60"/>
        <v>0</v>
      </c>
      <c r="K229" s="877">
        <f t="shared" si="60"/>
        <v>0</v>
      </c>
      <c r="L229" s="877">
        <f t="shared" si="60"/>
        <v>0</v>
      </c>
      <c r="M229" s="877">
        <f t="shared" si="60"/>
        <v>2.003931533730146</v>
      </c>
      <c r="N229" s="877">
        <f t="shared" si="60"/>
        <v>0</v>
      </c>
      <c r="O229" s="877">
        <f t="shared" si="60"/>
        <v>0</v>
      </c>
      <c r="P229" s="877">
        <f t="shared" si="60"/>
        <v>0</v>
      </c>
      <c r="Q229" s="877">
        <f t="shared" si="60"/>
        <v>0</v>
      </c>
      <c r="R229" s="877">
        <f t="shared" si="60"/>
        <v>0</v>
      </c>
      <c r="S229" s="877">
        <f t="shared" si="60"/>
        <v>0</v>
      </c>
      <c r="T229" s="877">
        <f t="shared" si="60"/>
        <v>1.264</v>
      </c>
      <c r="U229" s="877">
        <f t="shared" si="60"/>
        <v>3.2679315337301462</v>
      </c>
      <c r="V229" s="877">
        <f t="shared" si="60"/>
        <v>0.3</v>
      </c>
      <c r="W229" s="878">
        <f t="shared" si="60"/>
        <v>0.43000000000000005</v>
      </c>
      <c r="X229" s="877"/>
      <c r="Y229" s="879"/>
      <c r="Z229" s="877"/>
      <c r="AA229" s="877"/>
      <c r="AB229" s="877"/>
      <c r="AC229" s="877"/>
      <c r="AD229" s="886"/>
      <c r="AE229" s="877"/>
      <c r="AF229" s="879"/>
      <c r="AG229" s="877"/>
      <c r="AH229" s="877"/>
      <c r="AI229" s="877"/>
      <c r="AJ229" s="877"/>
      <c r="AK229" s="886"/>
      <c r="AL229" s="877"/>
      <c r="AM229" s="879"/>
      <c r="AN229" s="877"/>
      <c r="AO229" s="877"/>
      <c r="AP229" s="877"/>
      <c r="AQ229" s="877"/>
      <c r="AR229" s="886"/>
      <c r="AS229" s="877"/>
      <c r="AT229" s="879"/>
      <c r="AU229" s="877"/>
      <c r="AV229" s="877"/>
      <c r="AW229" s="877"/>
      <c r="AX229" s="877"/>
      <c r="AY229" s="886"/>
      <c r="AZ229" s="877"/>
      <c r="BA229" s="879"/>
      <c r="BB229" s="877"/>
      <c r="BC229" s="877"/>
      <c r="BD229" s="877"/>
      <c r="BE229" s="877"/>
      <c r="BF229" s="886"/>
      <c r="BG229" s="877"/>
      <c r="BH229" s="879"/>
      <c r="BI229" s="877"/>
      <c r="BJ229" s="877"/>
      <c r="BK229" s="877"/>
      <c r="BL229" s="877"/>
      <c r="BM229" s="886"/>
      <c r="BN229" s="877"/>
      <c r="BO229" s="879"/>
      <c r="BP229" s="877"/>
      <c r="BQ229" s="877"/>
      <c r="BR229" s="877"/>
      <c r="BS229" s="877"/>
      <c r="BT229" s="886"/>
      <c r="BU229" s="877"/>
      <c r="BV229" s="879"/>
      <c r="BW229" s="886"/>
      <c r="BX229" s="877"/>
      <c r="BY229" s="877"/>
      <c r="BZ229" s="877"/>
      <c r="CA229" s="877"/>
      <c r="CB229" s="877"/>
      <c r="CC229" s="877"/>
      <c r="CD229" s="877"/>
      <c r="CE229" s="877"/>
    </row>
    <row r="230" spans="1:83">
      <c r="A230" s="195"/>
      <c r="B230" s="55"/>
      <c r="C230" s="83"/>
      <c r="E230" s="511" t="s">
        <v>367</v>
      </c>
      <c r="F230" s="877">
        <f t="shared" ref="F230:H231" si="61">F234*$C$232+F238*$C$236+$C$240*F242</f>
        <v>5.4402679520029946E-4</v>
      </c>
      <c r="G230" s="877">
        <f t="shared" si="61"/>
        <v>5.4402679520029946E-4</v>
      </c>
      <c r="H230" s="878">
        <f>H234*$C$232+H238*$C$236+$C$240*H242</f>
        <v>6.5520100897809041E-4</v>
      </c>
      <c r="I230" s="928">
        <f t="shared" ref="I230:S231" si="62">I234*$C$232+I238*$C$236+$C$240*I242</f>
        <v>0</v>
      </c>
      <c r="J230" s="877">
        <f t="shared" si="62"/>
        <v>0</v>
      </c>
      <c r="K230" s="877">
        <f t="shared" si="62"/>
        <v>0</v>
      </c>
      <c r="L230" s="877">
        <f t="shared" si="62"/>
        <v>0</v>
      </c>
      <c r="M230" s="877">
        <f t="shared" si="62"/>
        <v>5.4402679520029946E-4</v>
      </c>
      <c r="N230" s="877">
        <f t="shared" si="62"/>
        <v>0</v>
      </c>
      <c r="O230" s="877">
        <f t="shared" si="62"/>
        <v>0</v>
      </c>
      <c r="P230" s="877">
        <f t="shared" si="62"/>
        <v>0</v>
      </c>
      <c r="Q230" s="877">
        <f t="shared" si="62"/>
        <v>0</v>
      </c>
      <c r="R230" s="877">
        <f t="shared" si="62"/>
        <v>0</v>
      </c>
      <c r="S230" s="877">
        <f t="shared" si="62"/>
        <v>0</v>
      </c>
      <c r="T230" s="877">
        <f>T234*$C$232+T238*$C$236+$C$240*T242</f>
        <v>0</v>
      </c>
      <c r="U230" s="877">
        <f t="shared" ref="U230:W231" si="63">U234*$C$232+U238*$C$236+$C$240*U242</f>
        <v>5.4402679520029946E-4</v>
      </c>
      <c r="V230" s="877">
        <f t="shared" si="63"/>
        <v>0</v>
      </c>
      <c r="W230" s="878">
        <f t="shared" si="63"/>
        <v>0</v>
      </c>
      <c r="X230" s="877"/>
      <c r="Y230" s="879"/>
      <c r="Z230" s="877"/>
      <c r="AA230" s="877"/>
      <c r="AB230" s="877"/>
      <c r="AC230" s="877"/>
      <c r="AD230" s="886"/>
      <c r="AE230" s="877"/>
      <c r="AF230" s="879"/>
      <c r="AG230" s="877"/>
      <c r="AH230" s="877"/>
      <c r="AI230" s="877"/>
      <c r="AJ230" s="877"/>
      <c r="AK230" s="886"/>
      <c r="AL230" s="877"/>
      <c r="AM230" s="879"/>
      <c r="AN230" s="877"/>
      <c r="AO230" s="877"/>
      <c r="AP230" s="877"/>
      <c r="AQ230" s="877"/>
      <c r="AR230" s="886"/>
      <c r="AS230" s="877"/>
      <c r="AT230" s="879"/>
      <c r="AU230" s="877"/>
      <c r="AV230" s="877"/>
      <c r="AW230" s="877"/>
      <c r="AX230" s="877"/>
      <c r="AY230" s="886"/>
      <c r="AZ230" s="877"/>
      <c r="BA230" s="879"/>
      <c r="BB230" s="877"/>
      <c r="BC230" s="877"/>
      <c r="BD230" s="877"/>
      <c r="BE230" s="877"/>
      <c r="BF230" s="886"/>
      <c r="BG230" s="877"/>
      <c r="BH230" s="879"/>
      <c r="BI230" s="877"/>
      <c r="BJ230" s="877"/>
      <c r="BK230" s="877"/>
      <c r="BL230" s="877"/>
      <c r="BM230" s="886"/>
      <c r="BN230" s="877"/>
      <c r="BO230" s="879"/>
      <c r="BP230" s="877"/>
      <c r="BQ230" s="877"/>
      <c r="BR230" s="877"/>
      <c r="BS230" s="877"/>
      <c r="BT230" s="886"/>
      <c r="BU230" s="877"/>
      <c r="BV230" s="879"/>
      <c r="BW230" s="886"/>
      <c r="BX230" s="877"/>
      <c r="BY230" s="877"/>
      <c r="BZ230" s="877"/>
      <c r="CA230" s="877"/>
      <c r="CB230" s="877"/>
      <c r="CC230" s="877"/>
      <c r="CD230" s="877"/>
      <c r="CE230" s="877"/>
    </row>
    <row r="231" spans="1:83">
      <c r="A231" s="18"/>
      <c r="B231" s="360"/>
      <c r="C231" s="83"/>
      <c r="E231" s="512" t="s">
        <v>320</v>
      </c>
      <c r="F231" s="877">
        <f t="shared" si="61"/>
        <v>7.9434259156112037E-4</v>
      </c>
      <c r="G231" s="877">
        <f t="shared" si="61"/>
        <v>7.9434259156112037E-4</v>
      </c>
      <c r="H231" s="878">
        <f t="shared" si="61"/>
        <v>9.5626293565997489E-4</v>
      </c>
      <c r="I231" s="928">
        <f t="shared" si="62"/>
        <v>0</v>
      </c>
      <c r="J231" s="877">
        <f t="shared" si="62"/>
        <v>0</v>
      </c>
      <c r="K231" s="877">
        <f t="shared" si="62"/>
        <v>0</v>
      </c>
      <c r="L231" s="877">
        <f t="shared" si="62"/>
        <v>0</v>
      </c>
      <c r="M231" s="877">
        <f t="shared" si="62"/>
        <v>7.9434259156112037E-4</v>
      </c>
      <c r="N231" s="877">
        <f t="shared" si="62"/>
        <v>0</v>
      </c>
      <c r="O231" s="877">
        <f t="shared" si="62"/>
        <v>0</v>
      </c>
      <c r="P231" s="877">
        <f t="shared" si="62"/>
        <v>0</v>
      </c>
      <c r="Q231" s="877">
        <f t="shared" si="62"/>
        <v>0</v>
      </c>
      <c r="R231" s="877">
        <f t="shared" si="62"/>
        <v>0</v>
      </c>
      <c r="S231" s="877">
        <f t="shared" si="62"/>
        <v>0</v>
      </c>
      <c r="T231" s="877">
        <f>T235*$C$232+T239*$C$236+$C$240*T243</f>
        <v>0</v>
      </c>
      <c r="U231" s="877">
        <f t="shared" si="63"/>
        <v>7.9434259156112037E-4</v>
      </c>
      <c r="V231" s="877">
        <f t="shared" si="63"/>
        <v>0</v>
      </c>
      <c r="W231" s="878">
        <f t="shared" si="63"/>
        <v>0</v>
      </c>
      <c r="X231" s="877"/>
      <c r="Y231" s="879"/>
      <c r="Z231" s="877"/>
      <c r="AA231" s="877"/>
      <c r="AB231" s="877"/>
      <c r="AC231" s="877"/>
      <c r="AD231" s="886"/>
      <c r="AE231" s="877"/>
      <c r="AF231" s="879"/>
      <c r="AG231" s="877"/>
      <c r="AH231" s="877"/>
      <c r="AI231" s="877"/>
      <c r="AJ231" s="877"/>
      <c r="AK231" s="886"/>
      <c r="AL231" s="877"/>
      <c r="AM231" s="879"/>
      <c r="AN231" s="877"/>
      <c r="AO231" s="877"/>
      <c r="AP231" s="877"/>
      <c r="AQ231" s="877"/>
      <c r="AR231" s="886"/>
      <c r="AS231" s="877"/>
      <c r="AT231" s="879"/>
      <c r="AU231" s="877"/>
      <c r="AV231" s="877"/>
      <c r="AW231" s="877"/>
      <c r="AX231" s="877"/>
      <c r="AY231" s="886"/>
      <c r="AZ231" s="877"/>
      <c r="BA231" s="879"/>
      <c r="BB231" s="877"/>
      <c r="BC231" s="877"/>
      <c r="BD231" s="877"/>
      <c r="BE231" s="877"/>
      <c r="BF231" s="886"/>
      <c r="BG231" s="877"/>
      <c r="BH231" s="879"/>
      <c r="BI231" s="877"/>
      <c r="BJ231" s="877"/>
      <c r="BK231" s="877"/>
      <c r="BL231" s="877"/>
      <c r="BM231" s="886"/>
      <c r="BN231" s="877"/>
      <c r="BO231" s="879"/>
      <c r="BP231" s="877"/>
      <c r="BQ231" s="877"/>
      <c r="BR231" s="877"/>
      <c r="BS231" s="877"/>
      <c r="BT231" s="886"/>
      <c r="BU231" s="877"/>
      <c r="BV231" s="879"/>
      <c r="BW231" s="886"/>
      <c r="BX231" s="877"/>
      <c r="BY231" s="877"/>
      <c r="BZ231" s="877"/>
      <c r="CA231" s="877"/>
      <c r="CB231" s="877"/>
      <c r="CC231" s="877"/>
      <c r="CD231" s="877"/>
      <c r="CE231" s="877"/>
    </row>
    <row r="232" spans="1:83">
      <c r="A232" s="108" t="s">
        <v>188</v>
      </c>
      <c r="B232" s="93" t="s">
        <v>121</v>
      </c>
      <c r="C232" s="87">
        <f>'Input data plant-based products'!D198</f>
        <v>0.51376096997063825</v>
      </c>
      <c r="E232" s="513" t="s">
        <v>316</v>
      </c>
      <c r="F232" s="872">
        <f>SUMPRODUCT($CJ$6:$CJ$8,F233:F235)</f>
        <v>2.205526512379433</v>
      </c>
      <c r="G232" s="872">
        <f>SUMPRODUCT($CJ$6:$CJ$8,G233:G235)</f>
        <v>2.205526512379433</v>
      </c>
      <c r="H232" s="873">
        <f>SUMPRODUCT($CJ$6:$CJ$8,H233:H235)</f>
        <v>5.2395577718631881</v>
      </c>
      <c r="I232" s="1277"/>
      <c r="J232" s="884"/>
      <c r="K232" s="884"/>
      <c r="L232" s="884"/>
      <c r="M232" s="884"/>
      <c r="N232" s="884"/>
      <c r="O232" s="884"/>
      <c r="P232" s="884"/>
      <c r="Q232" s="884"/>
      <c r="R232" s="884"/>
      <c r="S232" s="884"/>
      <c r="T232" s="884"/>
      <c r="U232" s="884"/>
      <c r="V232" s="884"/>
      <c r="W232" s="1278"/>
      <c r="X232" s="877"/>
      <c r="Y232" s="879">
        <f>1/'Input data plant-based products'!E198*10^4</f>
        <v>0.52140416226514652</v>
      </c>
      <c r="Z232" s="877">
        <f>$Y232*'Input data plant-based products'!Z198</f>
        <v>0.52140416226514652</v>
      </c>
      <c r="AA232" s="877">
        <f>$Y232*'Input data plant-based products'!AA198</f>
        <v>2.6070208113257327</v>
      </c>
      <c r="AB232" s="877">
        <f>$Y232*'Input data plant-based products'!AB198</f>
        <v>2.2159676896268725</v>
      </c>
      <c r="AC232" s="877">
        <f>$Y232*'Input data plant-based products'!AC198</f>
        <v>2.7647618597372849</v>
      </c>
      <c r="AD232" s="886">
        <f>$Y232*'Input data plant-based products'!AD198</f>
        <v>2.8799602705596721</v>
      </c>
      <c r="AE232" s="877"/>
      <c r="AF232" s="879">
        <f>SUM('Input data plant-based products'!F198,'Input data plant-based products'!Q198)/'Input data plant-based products'!E198</f>
        <v>5.2140416226514651E-3</v>
      </c>
      <c r="AG232" s="877">
        <f>$AF232*'Input data plant-based products'!Z198</f>
        <v>5.2140416226514651E-3</v>
      </c>
      <c r="AH232" s="877">
        <f>$AF232*'Input data plant-based products'!AA198</f>
        <v>2.6070208113257325E-2</v>
      </c>
      <c r="AI232" s="877">
        <f>$AF232*'Input data plant-based products'!AB198</f>
        <v>2.2159676896268726E-2</v>
      </c>
      <c r="AJ232" s="877">
        <f>$AF232*'Input data plant-based products'!AC198</f>
        <v>2.7647618597372848E-2</v>
      </c>
      <c r="AK232" s="886">
        <f>$AF232*'Input data plant-based products'!AD198</f>
        <v>2.8799602705596717E-2</v>
      </c>
      <c r="AL232" s="877"/>
      <c r="AM232" s="879">
        <f>'Input data plant-based products'!R198/'Input data plant-based products'!E198</f>
        <v>2.3463187301931594E-3</v>
      </c>
      <c r="AN232" s="877">
        <f>$AM232*'Input data plant-based products'!Z198</f>
        <v>2.3463187301931594E-3</v>
      </c>
      <c r="AO232" s="877">
        <f>$AM232*'Input data plant-based products'!AA198</f>
        <v>1.1731593650965797E-2</v>
      </c>
      <c r="AP232" s="877">
        <f>$AM232*'Input data plant-based products'!AB198</f>
        <v>9.9718546033209267E-3</v>
      </c>
      <c r="AQ232" s="877">
        <f>$AM232*'Input data plant-based products'!AC198</f>
        <v>1.2441428368817783E-2</v>
      </c>
      <c r="AR232" s="886">
        <f>$AM232*'Input data plant-based products'!AD198</f>
        <v>1.2959821217518524E-2</v>
      </c>
      <c r="AS232" s="877"/>
      <c r="AT232" s="879">
        <f>'Input data plant-based products'!S198</f>
        <v>0</v>
      </c>
      <c r="AU232" s="877">
        <f>$AT232*'Input data plant-based products'!Z198</f>
        <v>0</v>
      </c>
      <c r="AV232" s="877">
        <f>$AT232*'Input data plant-based products'!AA198</f>
        <v>0</v>
      </c>
      <c r="AW232" s="877">
        <f>$AT232*'Input data plant-based products'!AB198</f>
        <v>0</v>
      </c>
      <c r="AX232" s="877">
        <f>$AT232*'Input data plant-based products'!AC198</f>
        <v>0</v>
      </c>
      <c r="AY232" s="886">
        <f>$AT232*'Input data plant-based products'!AD198</f>
        <v>0</v>
      </c>
      <c r="AZ232" s="877"/>
      <c r="BA232" s="879">
        <f>((SUM('Input data plant-based products'!U198:Y198)*Y232)/('Common input data'!$B$192/10^6))/$BB$3</f>
        <v>9.9703414578605958E-10</v>
      </c>
      <c r="BB232" s="877">
        <f>$BA232*'Input data plant-based products'!Z198</f>
        <v>9.9703414578605958E-10</v>
      </c>
      <c r="BC232" s="877">
        <f>$BA232*'Input data plant-based products'!AA198</f>
        <v>4.9851707289302981E-9</v>
      </c>
      <c r="BD232" s="877">
        <f>$BA232*'Input data plant-based products'!AB198</f>
        <v>4.2373951195907533E-9</v>
      </c>
      <c r="BE232" s="877">
        <f>$BA232*'Input data plant-based products'!AC198</f>
        <v>5.2868047066399585E-9</v>
      </c>
      <c r="BF232" s="886">
        <f>$BA232*'Input data plant-based products'!AD198</f>
        <v>5.5070882360832902E-9</v>
      </c>
      <c r="BG232" s="877"/>
      <c r="BH232" s="879">
        <f>'Input data plant-based products'!T198/'Input data plant-based products'!E198</f>
        <v>6.9758971999999997E-5</v>
      </c>
      <c r="BI232" s="877">
        <f>$BH232*'Input data plant-based products'!Z198</f>
        <v>6.9758971999999997E-5</v>
      </c>
      <c r="BJ232" s="877">
        <f>$BH232*'Input data plant-based products'!AA198</f>
        <v>3.4879485999999996E-4</v>
      </c>
      <c r="BK232" s="877">
        <f>$BH232*'Input data plant-based products'!AB198</f>
        <v>2.9647563100000001E-4</v>
      </c>
      <c r="BL232" s="877">
        <f>$BH232*'Input data plant-based products'!AC198</f>
        <v>3.698991283886294E-4</v>
      </c>
      <c r="BM232" s="886">
        <f>$BH232*'Input data plant-based products'!AD198</f>
        <v>3.8531159207148895E-4</v>
      </c>
      <c r="BN232" s="877"/>
      <c r="BO232" s="879">
        <f>('Input data plant-based products'!F198/'Input data plant-based products'!E198*'Common input data'!$B$195+'Input data plant-based products'!G198/'Input data plant-based products'!E198*'Common input data'!$B$196)/'Common input data'!$B$198</f>
        <v>1.3313394733939596E-4</v>
      </c>
      <c r="BP232" s="877">
        <f>$BO232*'Input data plant-based products'!Z198</f>
        <v>1.3313394733939596E-4</v>
      </c>
      <c r="BQ232" s="877">
        <f>$BO232*'Input data plant-based products'!AA198</f>
        <v>6.6566973669697981E-4</v>
      </c>
      <c r="BR232" s="877">
        <f>$BO232*'Input data plant-based products'!AB198</f>
        <v>5.6581927619243281E-4</v>
      </c>
      <c r="BS232" s="877">
        <f>$BO232*'Input data plant-based products'!AC198</f>
        <v>7.0594691504026539E-4</v>
      </c>
      <c r="BT232" s="886">
        <f>$BO232*'Input data plant-based products'!AD198</f>
        <v>7.3536136983360983E-4</v>
      </c>
      <c r="BU232" s="877"/>
      <c r="BV232" s="879">
        <f>('Common input data'!$B$224+'Common input data'!C224)*'Input data plant-based products'!AC198</f>
        <v>36.364228999480979</v>
      </c>
      <c r="BW232" s="886">
        <f>('Common input data'!$B$224+'Common input data'!D224)*'Input data plant-based products'!AD198</f>
        <v>37.08844429763711</v>
      </c>
      <c r="BX232" s="877"/>
      <c r="BY232" s="877"/>
      <c r="BZ232" s="877"/>
      <c r="CA232" s="877"/>
      <c r="CB232" s="877"/>
      <c r="CC232" s="877"/>
      <c r="CD232" s="877"/>
      <c r="CE232" s="877"/>
    </row>
    <row r="233" spans="1:83">
      <c r="A233" s="195"/>
      <c r="B233" s="55"/>
      <c r="C233" s="83"/>
      <c r="E233" s="511" t="s">
        <v>317</v>
      </c>
      <c r="F233" s="877">
        <f>IF(AND($F$2="No",$F$3="No"),SUM(L233:N233),IF(AND($F$2="Yes", $F$3="No"), (SUM(L233:M233)+S233), IF(AND($F$2="No", $F$3="Yes"),(SUM(L233:M233)+R233), (SUM(L233:M233)+S233+R233))))</f>
        <v>2.0132992527317</v>
      </c>
      <c r="G233" s="877">
        <f>IF(AND($F$2="No",$F$3="No"),SUM(I233:Q233),IF(AND($F$2="Yes", $F$3="No"), (SUM(I233:Q233)+S233), IF(AND($F$2="No", $F$3="Yes"),(SUM(I233:Q233)+R233), (SUM(I233:Q233)+S233+R233))))</f>
        <v>2.0132992527317</v>
      </c>
      <c r="H233" s="878">
        <f>SUM(U233:W233)/(1-'Common input data'!$D$143)</f>
        <v>4.9997245836972732</v>
      </c>
      <c r="I233" s="928"/>
      <c r="J233" s="877"/>
      <c r="K233" s="877"/>
      <c r="L233" s="877"/>
      <c r="M233" s="877">
        <v>2.0132992527317</v>
      </c>
      <c r="N233" s="877"/>
      <c r="O233" s="877"/>
      <c r="P233" s="877"/>
      <c r="Q233" s="877"/>
      <c r="R233" s="877"/>
      <c r="S233" s="877"/>
      <c r="T233" s="877">
        <f>'Input data plant-based products'!$B$280</f>
        <v>1.264</v>
      </c>
      <c r="U233" s="877">
        <f>G233+T233</f>
        <v>3.2772992527316998</v>
      </c>
      <c r="V233" s="877">
        <f>'Common input data'!$B$104</f>
        <v>0.3</v>
      </c>
      <c r="W233" s="878">
        <f>'Common input data'!$B$125+'Common input data'!$C$125</f>
        <v>0.43000000000000005</v>
      </c>
      <c r="X233" s="877"/>
      <c r="Y233" s="879"/>
      <c r="Z233" s="877"/>
      <c r="AA233" s="877"/>
      <c r="AB233" s="877"/>
      <c r="AC233" s="877"/>
      <c r="AD233" s="886"/>
      <c r="AE233" s="877"/>
      <c r="AF233" s="879"/>
      <c r="AG233" s="877"/>
      <c r="AH233" s="877"/>
      <c r="AI233" s="877"/>
      <c r="AJ233" s="877"/>
      <c r="AK233" s="886"/>
      <c r="AL233" s="877"/>
      <c r="AM233" s="879"/>
      <c r="AN233" s="877"/>
      <c r="AO233" s="877"/>
      <c r="AP233" s="877"/>
      <c r="AQ233" s="877"/>
      <c r="AR233" s="886"/>
      <c r="AS233" s="877"/>
      <c r="AT233" s="879"/>
      <c r="AU233" s="877"/>
      <c r="AV233" s="877"/>
      <c r="AW233" s="877"/>
      <c r="AX233" s="877"/>
      <c r="AY233" s="886"/>
      <c r="AZ233" s="877"/>
      <c r="BA233" s="879"/>
      <c r="BB233" s="877"/>
      <c r="BC233" s="877"/>
      <c r="BD233" s="877"/>
      <c r="BE233" s="877"/>
      <c r="BF233" s="886"/>
      <c r="BG233" s="877"/>
      <c r="BH233" s="879"/>
      <c r="BI233" s="877"/>
      <c r="BJ233" s="877"/>
      <c r="BK233" s="877"/>
      <c r="BL233" s="877"/>
      <c r="BM233" s="886"/>
      <c r="BN233" s="877"/>
      <c r="BO233" s="879"/>
      <c r="BP233" s="877"/>
      <c r="BQ233" s="877"/>
      <c r="BR233" s="877"/>
      <c r="BS233" s="877"/>
      <c r="BT233" s="886"/>
      <c r="BU233" s="877"/>
      <c r="BV233" s="879"/>
      <c r="BW233" s="886"/>
      <c r="BX233" s="877"/>
      <c r="BY233" s="877"/>
      <c r="BZ233" s="877"/>
      <c r="CA233" s="877"/>
      <c r="CB233" s="877"/>
      <c r="CC233" s="877"/>
      <c r="CD233" s="877"/>
      <c r="CE233" s="877"/>
    </row>
    <row r="234" spans="1:83">
      <c r="A234" s="195"/>
      <c r="B234" s="55"/>
      <c r="C234" s="83"/>
      <c r="E234" s="511" t="s">
        <v>367</v>
      </c>
      <c r="F234" s="877">
        <f>SUM(K234:M234)</f>
        <v>5.6311691139000004E-4</v>
      </c>
      <c r="G234" s="877">
        <f>SUM(I234:Q234)</f>
        <v>5.6311691139000004E-4</v>
      </c>
      <c r="H234" s="878">
        <f>SUM(U234:W234)/(1-'Common input data'!$D$143)</f>
        <v>7.0257529767786563E-4</v>
      </c>
      <c r="I234" s="928"/>
      <c r="J234" s="877"/>
      <c r="K234" s="877"/>
      <c r="L234" s="877"/>
      <c r="M234" s="877">
        <v>5.6311691139000004E-4</v>
      </c>
      <c r="N234" s="877"/>
      <c r="O234" s="877"/>
      <c r="P234" s="877"/>
      <c r="Q234" s="877"/>
      <c r="R234" s="877"/>
      <c r="S234" s="877"/>
      <c r="T234" s="877"/>
      <c r="U234" s="877">
        <f t="shared" ref="U234:U243" si="64">G234+T234</f>
        <v>5.6311691139000004E-4</v>
      </c>
      <c r="V234" s="877"/>
      <c r="W234" s="878"/>
      <c r="X234" s="877"/>
      <c r="Y234" s="879"/>
      <c r="Z234" s="877"/>
      <c r="AA234" s="877"/>
      <c r="AB234" s="877"/>
      <c r="AC234" s="877"/>
      <c r="AD234" s="886"/>
      <c r="AE234" s="877"/>
      <c r="AF234" s="879"/>
      <c r="AG234" s="877"/>
      <c r="AH234" s="877"/>
      <c r="AI234" s="877"/>
      <c r="AJ234" s="877"/>
      <c r="AK234" s="886"/>
      <c r="AL234" s="877"/>
      <c r="AM234" s="879"/>
      <c r="AN234" s="877"/>
      <c r="AO234" s="877"/>
      <c r="AP234" s="877"/>
      <c r="AQ234" s="877"/>
      <c r="AR234" s="886"/>
      <c r="AS234" s="877"/>
      <c r="AT234" s="879"/>
      <c r="AU234" s="877"/>
      <c r="AV234" s="877"/>
      <c r="AW234" s="877"/>
      <c r="AX234" s="877"/>
      <c r="AY234" s="886"/>
      <c r="AZ234" s="877"/>
      <c r="BA234" s="879"/>
      <c r="BB234" s="877"/>
      <c r="BC234" s="877"/>
      <c r="BD234" s="877"/>
      <c r="BE234" s="877"/>
      <c r="BF234" s="886"/>
      <c r="BG234" s="877"/>
      <c r="BH234" s="879"/>
      <c r="BI234" s="877"/>
      <c r="BJ234" s="877"/>
      <c r="BK234" s="877"/>
      <c r="BL234" s="877"/>
      <c r="BM234" s="886"/>
      <c r="BN234" s="877"/>
      <c r="BO234" s="879"/>
      <c r="BP234" s="877"/>
      <c r="BQ234" s="877"/>
      <c r="BR234" s="877"/>
      <c r="BS234" s="877"/>
      <c r="BT234" s="886"/>
      <c r="BU234" s="877"/>
      <c r="BV234" s="879"/>
      <c r="BW234" s="886"/>
      <c r="BX234" s="877"/>
      <c r="BY234" s="877"/>
      <c r="BZ234" s="877"/>
      <c r="CA234" s="877"/>
      <c r="CB234" s="877"/>
      <c r="CC234" s="877"/>
      <c r="CD234" s="877"/>
      <c r="CE234" s="877"/>
    </row>
    <row r="235" spans="1:83">
      <c r="A235" s="18"/>
      <c r="B235" s="360"/>
      <c r="C235" s="83"/>
      <c r="E235" s="512" t="s">
        <v>320</v>
      </c>
      <c r="F235" s="877">
        <f>SUM(K235:M235)</f>
        <v>8.1365068739999995E-4</v>
      </c>
      <c r="G235" s="877">
        <f>SUM(I235:Q235)</f>
        <v>8.1365068739999995E-4</v>
      </c>
      <c r="H235" s="878">
        <f>SUM(U235:W235)/(1-'Common input data'!$D$143)</f>
        <v>1.0151548680979758E-3</v>
      </c>
      <c r="I235" s="928"/>
      <c r="J235" s="877"/>
      <c r="K235" s="877"/>
      <c r="L235" s="877"/>
      <c r="M235" s="877">
        <v>8.1365068739999995E-4</v>
      </c>
      <c r="N235" s="877"/>
      <c r="O235" s="877"/>
      <c r="P235" s="877"/>
      <c r="Q235" s="877"/>
      <c r="R235" s="877"/>
      <c r="S235" s="877"/>
      <c r="T235" s="877"/>
      <c r="U235" s="877">
        <f t="shared" si="64"/>
        <v>8.1365068739999995E-4</v>
      </c>
      <c r="V235" s="877"/>
      <c r="W235" s="878"/>
      <c r="X235" s="877"/>
      <c r="Y235" s="879"/>
      <c r="Z235" s="877"/>
      <c r="AA235" s="877"/>
      <c r="AB235" s="877"/>
      <c r="AC235" s="877"/>
      <c r="AD235" s="886"/>
      <c r="AE235" s="877"/>
      <c r="AF235" s="879"/>
      <c r="AG235" s="877"/>
      <c r="AH235" s="877"/>
      <c r="AI235" s="877"/>
      <c r="AJ235" s="877"/>
      <c r="AK235" s="886"/>
      <c r="AL235" s="877"/>
      <c r="AM235" s="879"/>
      <c r="AN235" s="877"/>
      <c r="AO235" s="877"/>
      <c r="AP235" s="877"/>
      <c r="AQ235" s="877"/>
      <c r="AR235" s="886"/>
      <c r="AS235" s="877"/>
      <c r="AT235" s="879"/>
      <c r="AU235" s="877"/>
      <c r="AV235" s="877"/>
      <c r="AW235" s="877"/>
      <c r="AX235" s="877"/>
      <c r="AY235" s="886"/>
      <c r="AZ235" s="877"/>
      <c r="BA235" s="879"/>
      <c r="BB235" s="877"/>
      <c r="BC235" s="877"/>
      <c r="BD235" s="877"/>
      <c r="BE235" s="877"/>
      <c r="BF235" s="886"/>
      <c r="BG235" s="877"/>
      <c r="BH235" s="879"/>
      <c r="BI235" s="877"/>
      <c r="BJ235" s="877"/>
      <c r="BK235" s="877"/>
      <c r="BL235" s="877"/>
      <c r="BM235" s="886"/>
      <c r="BN235" s="877"/>
      <c r="BO235" s="879"/>
      <c r="BP235" s="877"/>
      <c r="BQ235" s="877"/>
      <c r="BR235" s="877"/>
      <c r="BS235" s="877"/>
      <c r="BT235" s="886"/>
      <c r="BU235" s="877"/>
      <c r="BV235" s="879"/>
      <c r="BW235" s="886"/>
      <c r="BX235" s="877"/>
      <c r="BY235" s="877"/>
      <c r="BZ235" s="877"/>
      <c r="CA235" s="877"/>
      <c r="CB235" s="877"/>
      <c r="CC235" s="877"/>
      <c r="CD235" s="877"/>
      <c r="CE235" s="877"/>
    </row>
    <row r="236" spans="1:83">
      <c r="A236" s="108" t="s">
        <v>139</v>
      </c>
      <c r="B236" s="93" t="s">
        <v>121</v>
      </c>
      <c r="C236" s="87">
        <f>'Input data plant-based products'!D199</f>
        <v>0.10199698240000001</v>
      </c>
      <c r="E236" s="513" t="s">
        <v>316</v>
      </c>
      <c r="F236" s="872">
        <f>SUMPRODUCT($CJ$6:$CJ$8,F237:F239)</f>
        <v>2.1768241087956199</v>
      </c>
      <c r="G236" s="872">
        <f>SUMPRODUCT($CJ$6:$CJ$8,G237:G239)</f>
        <v>2.1768241087956199</v>
      </c>
      <c r="H236" s="873">
        <f>SUMPRODUCT($CJ$6:$CJ$8,H237:H239)</f>
        <v>5.2037470914625743</v>
      </c>
      <c r="I236" s="1277"/>
      <c r="J236" s="884"/>
      <c r="K236" s="884"/>
      <c r="L236" s="884"/>
      <c r="M236" s="884"/>
      <c r="N236" s="884"/>
      <c r="O236" s="884"/>
      <c r="P236" s="884"/>
      <c r="Q236" s="884"/>
      <c r="R236" s="884"/>
      <c r="S236" s="884"/>
      <c r="T236" s="884"/>
      <c r="U236" s="884"/>
      <c r="V236" s="884"/>
      <c r="W236" s="1278"/>
      <c r="X236" s="877"/>
      <c r="Y236" s="879">
        <f>1/'Input data plant-based products'!E199*10^4</f>
        <v>0.58579150977217409</v>
      </c>
      <c r="Z236" s="877">
        <f>$Y236*'Input data plant-based products'!Z199</f>
        <v>0.58579150977217409</v>
      </c>
      <c r="AA236" s="877">
        <f>$Y236*'Input data plant-based products'!AA199</f>
        <v>2.9289575488608706</v>
      </c>
      <c r="AB236" s="877">
        <f>$Y236*'Input data plant-based products'!AB199</f>
        <v>2.4896139165317397</v>
      </c>
      <c r="AC236" s="877">
        <f>$Y236*'Input data plant-based products'!AC199</f>
        <v>3.106177781435576</v>
      </c>
      <c r="AD236" s="886">
        <f>$Y236*'Input data plant-based products'!AD199</f>
        <v>3.2356018556620585</v>
      </c>
      <c r="AE236" s="877"/>
      <c r="AF236" s="879">
        <f>SUM('Input data plant-based products'!F199,'Input data plant-based products'!Q199)/'Input data plant-based products'!E199</f>
        <v>5.5650193428356531E-3</v>
      </c>
      <c r="AG236" s="877">
        <f>$AF236*'Input data plant-based products'!Z199</f>
        <v>5.5650193428356531E-3</v>
      </c>
      <c r="AH236" s="877">
        <f>$AF236*'Input data plant-based products'!AA199</f>
        <v>2.7825096714178266E-2</v>
      </c>
      <c r="AI236" s="877">
        <f>$AF236*'Input data plant-based products'!AB199</f>
        <v>2.3651332207051526E-2</v>
      </c>
      <c r="AJ236" s="877">
        <f>$AF236*'Input data plant-based products'!AC199</f>
        <v>2.950868892363797E-2</v>
      </c>
      <c r="AK236" s="886">
        <f>$AF236*'Input data plant-based products'!AD199</f>
        <v>3.0738217628789553E-2</v>
      </c>
      <c r="AL236" s="877"/>
      <c r="AM236" s="879">
        <f>'Input data plant-based products'!R199/'Input data plant-based products'!E199</f>
        <v>1.7573745293165222E-3</v>
      </c>
      <c r="AN236" s="877">
        <f>$AM236*'Input data plant-based products'!Z199</f>
        <v>1.7573745293165222E-3</v>
      </c>
      <c r="AO236" s="877">
        <f>$AM236*'Input data plant-based products'!AA199</f>
        <v>8.7868726465826115E-3</v>
      </c>
      <c r="AP236" s="877">
        <f>$AM236*'Input data plant-based products'!AB199</f>
        <v>7.4688417495952196E-3</v>
      </c>
      <c r="AQ236" s="877">
        <f>$AM236*'Input data plant-based products'!AC199</f>
        <v>9.3185333443067276E-3</v>
      </c>
      <c r="AR236" s="886">
        <f>$AM236*'Input data plant-based products'!AD199</f>
        <v>9.7068055669861757E-3</v>
      </c>
      <c r="AS236" s="877"/>
      <c r="AT236" s="879">
        <f>'Input data plant-based products'!S199</f>
        <v>0</v>
      </c>
      <c r="AU236" s="877">
        <f>$AT236*'Input data plant-based products'!Z199</f>
        <v>0</v>
      </c>
      <c r="AV236" s="877">
        <f>$AT236*'Input data plant-based products'!AA199</f>
        <v>0</v>
      </c>
      <c r="AW236" s="877">
        <f>$AT236*'Input data plant-based products'!AB199</f>
        <v>0</v>
      </c>
      <c r="AX236" s="877">
        <f>$AT236*'Input data plant-based products'!AC199</f>
        <v>0</v>
      </c>
      <c r="AY236" s="886">
        <f>$AT236*'Input data plant-based products'!AD199</f>
        <v>0</v>
      </c>
      <c r="AZ236" s="877"/>
      <c r="BA236" s="879">
        <f>((SUM('Input data plant-based products'!U199:Y199)*Y236)/('Common input data'!$B$192/10^6))/$BB$3</f>
        <v>9.499658355494042E-10</v>
      </c>
      <c r="BB236" s="877">
        <f>$BA236*'Input data plant-based products'!Z199</f>
        <v>9.499658355494042E-10</v>
      </c>
      <c r="BC236" s="877">
        <f>$BA236*'Input data plant-based products'!AA199</f>
        <v>4.7498291777470214E-9</v>
      </c>
      <c r="BD236" s="877">
        <f>$BA236*'Input data plant-based products'!AB199</f>
        <v>4.0373548010849679E-9</v>
      </c>
      <c r="BE236" s="877">
        <f>$BA236*'Input data plant-based products'!AC199</f>
        <v>5.0372235211364739E-9</v>
      </c>
      <c r="BF236" s="886">
        <f>$BA236*'Input data plant-based products'!AD199</f>
        <v>5.2471078345171603E-9</v>
      </c>
      <c r="BG236" s="877"/>
      <c r="BH236" s="879">
        <f>'Input data plant-based products'!T199/'Input data plant-based products'!E199</f>
        <v>1.5230579254076526E-4</v>
      </c>
      <c r="BI236" s="877">
        <f>$BH236*'Input data plant-based products'!Z199</f>
        <v>1.5230579254076526E-4</v>
      </c>
      <c r="BJ236" s="877">
        <f>$BH236*'Input data plant-based products'!AA199</f>
        <v>7.615289627038263E-4</v>
      </c>
      <c r="BK236" s="877">
        <f>$BH236*'Input data plant-based products'!AB199</f>
        <v>6.4729961829825238E-4</v>
      </c>
      <c r="BL236" s="877">
        <f>$BH236*'Input data plant-based products'!AC199</f>
        <v>8.0760622317324973E-4</v>
      </c>
      <c r="BM236" s="886">
        <f>$BH236*'Input data plant-based products'!AD199</f>
        <v>8.4125648247213524E-4</v>
      </c>
      <c r="BN236" s="877"/>
      <c r="BO236" s="879">
        <f>('Input data plant-based products'!F199/'Input data plant-based products'!E199*'Common input data'!$B$195+'Input data plant-based products'!G199/'Input data plant-based products'!E199*'Common input data'!$B$196)/'Common input data'!$B$198</f>
        <v>1.4209571878235985E-4</v>
      </c>
      <c r="BP236" s="877">
        <f>$BO236*'Input data plant-based products'!Z199</f>
        <v>1.4209571878235985E-4</v>
      </c>
      <c r="BQ236" s="877">
        <f>$BO236*'Input data plant-based products'!AA199</f>
        <v>7.1047859391179925E-4</v>
      </c>
      <c r="BR236" s="877">
        <f>$BO236*'Input data plant-based products'!AB199</f>
        <v>6.039068048250293E-4</v>
      </c>
      <c r="BS236" s="877">
        <f>$BO236*'Input data plant-based products'!AC199</f>
        <v>7.5346698809367063E-4</v>
      </c>
      <c r="BT236" s="886">
        <f>$BO236*'Input data plant-based products'!AD199</f>
        <v>7.8486144593090687E-4</v>
      </c>
      <c r="BU236" s="877"/>
      <c r="BV236" s="879">
        <f>('Common input data'!$B$224+'Common input data'!$C$224)*'Input data plant-based products'!AC199</f>
        <v>36.364228999480979</v>
      </c>
      <c r="BW236" s="886">
        <f>('Common input data'!$B$224+'Common input data'!$C$224)*'Input data plant-based products'!AD199</f>
        <v>37.879405207792686</v>
      </c>
      <c r="BX236" s="877"/>
      <c r="BY236" s="877"/>
      <c r="BZ236" s="877"/>
      <c r="CA236" s="877"/>
      <c r="CB236" s="877"/>
      <c r="CC236" s="877"/>
      <c r="CD236" s="877"/>
      <c r="CE236" s="877"/>
    </row>
    <row r="237" spans="1:83">
      <c r="A237" s="195"/>
      <c r="B237" s="55"/>
      <c r="C237" s="83"/>
      <c r="E237" s="511" t="s">
        <v>317</v>
      </c>
      <c r="F237" s="877">
        <f>IF(AND($F$2="No",$F$3="No"),SUM(L237:N237),IF(AND($F$2="Yes", $F$3="No"), (SUM(L237:M237)+S237), IF(AND($F$2="No", $F$3="Yes"),(SUM(L237:M237)+R237), (SUM(L237:M237)+S237+R237))))</f>
        <v>1.9940335862117</v>
      </c>
      <c r="G237" s="877">
        <f>IF(AND($F$2="No",$F$3="No"),SUM(I237:Q237),IF(AND($F$2="Yes", $F$3="No"), (SUM(I237:Q237)+S237), IF(AND($F$2="No", $F$3="Yes"),(SUM(I237:Q237)+R237), (SUM(I237:Q237)+S237+R237))))</f>
        <v>1.9940335862117</v>
      </c>
      <c r="H237" s="878">
        <f>SUM(U237:W237)/(1-'Common input data'!$D$143)</f>
        <v>4.9756876899075984</v>
      </c>
      <c r="I237" s="928"/>
      <c r="J237" s="877"/>
      <c r="K237" s="877"/>
      <c r="L237" s="877"/>
      <c r="M237" s="877">
        <v>1.9940335862117</v>
      </c>
      <c r="N237" s="877"/>
      <c r="O237" s="877"/>
      <c r="P237" s="877"/>
      <c r="Q237" s="877"/>
      <c r="R237" s="877"/>
      <c r="S237" s="877"/>
      <c r="T237" s="877">
        <f>'Input data plant-based products'!$B$280</f>
        <v>1.264</v>
      </c>
      <c r="U237" s="877">
        <f t="shared" si="64"/>
        <v>3.2580335862116998</v>
      </c>
      <c r="V237" s="877">
        <f>'Common input data'!$B$104</f>
        <v>0.3</v>
      </c>
      <c r="W237" s="878">
        <f>'Common input data'!$B$125+'Common input data'!$C$125</f>
        <v>0.43000000000000005</v>
      </c>
      <c r="X237" s="877"/>
      <c r="Y237" s="879"/>
      <c r="Z237" s="877"/>
      <c r="AA237" s="877"/>
      <c r="AB237" s="877"/>
      <c r="AC237" s="877"/>
      <c r="AD237" s="886"/>
      <c r="AE237" s="877"/>
      <c r="AF237" s="879"/>
      <c r="AG237" s="877"/>
      <c r="AH237" s="877"/>
      <c r="AI237" s="877"/>
      <c r="AJ237" s="877"/>
      <c r="AK237" s="886"/>
      <c r="AL237" s="877"/>
      <c r="AM237" s="879"/>
      <c r="AN237" s="877"/>
      <c r="AO237" s="877"/>
      <c r="AP237" s="877"/>
      <c r="AQ237" s="877"/>
      <c r="AR237" s="886"/>
      <c r="AS237" s="877"/>
      <c r="AT237" s="879"/>
      <c r="AU237" s="877"/>
      <c r="AV237" s="877"/>
      <c r="AW237" s="877"/>
      <c r="AX237" s="877"/>
      <c r="AY237" s="886"/>
      <c r="AZ237" s="877"/>
      <c r="BA237" s="879"/>
      <c r="BB237" s="877"/>
      <c r="BC237" s="877"/>
      <c r="BD237" s="877"/>
      <c r="BE237" s="877"/>
      <c r="BF237" s="886"/>
      <c r="BG237" s="877"/>
      <c r="BH237" s="879"/>
      <c r="BI237" s="877"/>
      <c r="BJ237" s="877"/>
      <c r="BK237" s="877"/>
      <c r="BL237" s="877"/>
      <c r="BM237" s="886"/>
      <c r="BN237" s="877"/>
      <c r="BO237" s="879"/>
      <c r="BP237" s="877"/>
      <c r="BQ237" s="877"/>
      <c r="BR237" s="877"/>
      <c r="BS237" s="877"/>
      <c r="BT237" s="886"/>
      <c r="BU237" s="877"/>
      <c r="BV237" s="879"/>
      <c r="BW237" s="886"/>
      <c r="BX237" s="877"/>
      <c r="BY237" s="877"/>
      <c r="BZ237" s="877"/>
      <c r="CA237" s="877"/>
      <c r="CB237" s="877"/>
      <c r="CC237" s="877"/>
      <c r="CD237" s="877"/>
      <c r="CE237" s="877"/>
    </row>
    <row r="238" spans="1:83">
      <c r="A238" s="195"/>
      <c r="B238" s="55"/>
      <c r="C238" s="83"/>
      <c r="E238" s="511" t="s">
        <v>367</v>
      </c>
      <c r="F238" s="877">
        <f>SUM(K238:M238)</f>
        <v>5.238561466E-4</v>
      </c>
      <c r="G238" s="877">
        <f>SUM(I238:Q238)</f>
        <v>5.238561466E-4</v>
      </c>
      <c r="H238" s="878">
        <f>SUM(U238:W238)/(1-'Common input data'!$D$143)</f>
        <v>6.5359143135904497E-4</v>
      </c>
      <c r="I238" s="928"/>
      <c r="J238" s="877"/>
      <c r="K238" s="877"/>
      <c r="L238" s="877"/>
      <c r="M238" s="877">
        <v>5.238561466E-4</v>
      </c>
      <c r="N238" s="877"/>
      <c r="O238" s="877"/>
      <c r="P238" s="877"/>
      <c r="Q238" s="877"/>
      <c r="R238" s="877"/>
      <c r="S238" s="877"/>
      <c r="T238" s="877"/>
      <c r="U238" s="877">
        <f t="shared" si="64"/>
        <v>5.238561466E-4</v>
      </c>
      <c r="V238" s="877"/>
      <c r="W238" s="878"/>
      <c r="X238" s="877"/>
      <c r="Y238" s="879"/>
      <c r="Z238" s="877"/>
      <c r="AA238" s="877"/>
      <c r="AB238" s="877"/>
      <c r="AC238" s="877"/>
      <c r="AD238" s="886"/>
      <c r="AE238" s="877"/>
      <c r="AF238" s="879"/>
      <c r="AG238" s="877"/>
      <c r="AH238" s="877"/>
      <c r="AI238" s="877"/>
      <c r="AJ238" s="877"/>
      <c r="AK238" s="886"/>
      <c r="AL238" s="877"/>
      <c r="AM238" s="879"/>
      <c r="AN238" s="877"/>
      <c r="AO238" s="877"/>
      <c r="AP238" s="877"/>
      <c r="AQ238" s="877"/>
      <c r="AR238" s="886"/>
      <c r="AS238" s="877"/>
      <c r="AT238" s="879"/>
      <c r="AU238" s="877"/>
      <c r="AV238" s="877"/>
      <c r="AW238" s="877"/>
      <c r="AX238" s="877"/>
      <c r="AY238" s="886"/>
      <c r="AZ238" s="877"/>
      <c r="BA238" s="879"/>
      <c r="BB238" s="877"/>
      <c r="BC238" s="877"/>
      <c r="BD238" s="877"/>
      <c r="BE238" s="877"/>
      <c r="BF238" s="886"/>
      <c r="BG238" s="877"/>
      <c r="BH238" s="879"/>
      <c r="BI238" s="877"/>
      <c r="BJ238" s="877"/>
      <c r="BK238" s="877"/>
      <c r="BL238" s="877"/>
      <c r="BM238" s="886"/>
      <c r="BN238" s="877"/>
      <c r="BO238" s="879"/>
      <c r="BP238" s="877"/>
      <c r="BQ238" s="877"/>
      <c r="BR238" s="877"/>
      <c r="BS238" s="877"/>
      <c r="BT238" s="886"/>
      <c r="BU238" s="877"/>
      <c r="BV238" s="879"/>
      <c r="BW238" s="886"/>
      <c r="BX238" s="877"/>
      <c r="BY238" s="877"/>
      <c r="BZ238" s="877"/>
      <c r="CA238" s="877"/>
      <c r="CB238" s="877"/>
      <c r="CC238" s="877"/>
      <c r="CD238" s="877"/>
      <c r="CE238" s="877"/>
    </row>
    <row r="239" spans="1:83">
      <c r="A239" s="18"/>
      <c r="B239" s="360"/>
      <c r="C239" s="83"/>
      <c r="E239" s="512" t="s">
        <v>320</v>
      </c>
      <c r="F239" s="877">
        <f>SUM(K239:M239)</f>
        <v>7.7394162530000003E-4</v>
      </c>
      <c r="G239" s="877">
        <f>SUM(I239:Q239)</f>
        <v>7.7394162530000003E-4</v>
      </c>
      <c r="H239" s="878">
        <f>SUM(U239:W239)/(1-'Common input data'!$D$143)</f>
        <v>9.6561168166347275E-4</v>
      </c>
      <c r="I239" s="928"/>
      <c r="J239" s="877"/>
      <c r="K239" s="877"/>
      <c r="L239" s="877"/>
      <c r="M239" s="877">
        <v>7.7394162530000003E-4</v>
      </c>
      <c r="N239" s="877"/>
      <c r="O239" s="877"/>
      <c r="P239" s="877"/>
      <c r="Q239" s="877"/>
      <c r="R239" s="877"/>
      <c r="S239" s="877"/>
      <c r="T239" s="877"/>
      <c r="U239" s="877">
        <f t="shared" si="64"/>
        <v>7.7394162530000003E-4</v>
      </c>
      <c r="V239" s="877"/>
      <c r="W239" s="878"/>
      <c r="X239" s="877"/>
      <c r="Y239" s="879"/>
      <c r="Z239" s="877"/>
      <c r="AA239" s="877"/>
      <c r="AB239" s="877"/>
      <c r="AC239" s="877"/>
      <c r="AD239" s="886"/>
      <c r="AE239" s="877"/>
      <c r="AF239" s="879"/>
      <c r="AG239" s="877"/>
      <c r="AH239" s="877"/>
      <c r="AI239" s="877"/>
      <c r="AJ239" s="877"/>
      <c r="AK239" s="886"/>
      <c r="AL239" s="877"/>
      <c r="AM239" s="879"/>
      <c r="AN239" s="877"/>
      <c r="AO239" s="877"/>
      <c r="AP239" s="877"/>
      <c r="AQ239" s="877"/>
      <c r="AR239" s="886"/>
      <c r="AS239" s="877"/>
      <c r="AT239" s="879"/>
      <c r="AU239" s="877"/>
      <c r="AV239" s="877"/>
      <c r="AW239" s="877"/>
      <c r="AX239" s="877"/>
      <c r="AY239" s="886"/>
      <c r="AZ239" s="877"/>
      <c r="BA239" s="879"/>
      <c r="BB239" s="877"/>
      <c r="BC239" s="877"/>
      <c r="BD239" s="877"/>
      <c r="BE239" s="877"/>
      <c r="BF239" s="886"/>
      <c r="BG239" s="877"/>
      <c r="BH239" s="879"/>
      <c r="BI239" s="877"/>
      <c r="BJ239" s="877"/>
      <c r="BK239" s="877"/>
      <c r="BL239" s="877"/>
      <c r="BM239" s="886"/>
      <c r="BN239" s="877"/>
      <c r="BO239" s="879"/>
      <c r="BP239" s="877"/>
      <c r="BQ239" s="877"/>
      <c r="BR239" s="877"/>
      <c r="BS239" s="877"/>
      <c r="BT239" s="886"/>
      <c r="BU239" s="877"/>
      <c r="BV239" s="879"/>
      <c r="BW239" s="886"/>
      <c r="BX239" s="877"/>
      <c r="BY239" s="877"/>
      <c r="BZ239" s="877"/>
      <c r="CA239" s="877"/>
      <c r="CB239" s="877"/>
      <c r="CC239" s="877"/>
      <c r="CD239" s="877"/>
      <c r="CE239" s="877"/>
    </row>
    <row r="240" spans="1:83">
      <c r="A240" s="108" t="s">
        <v>134</v>
      </c>
      <c r="B240" s="93" t="s">
        <v>121</v>
      </c>
      <c r="C240" s="87">
        <f>'Input data plant-based products'!D200</f>
        <v>0.38424204762936176</v>
      </c>
      <c r="E240" s="513" t="s">
        <v>316</v>
      </c>
      <c r="F240" s="872">
        <f>SUMPRODUCT($CJ$6:$CJ$8,F241:F243)</f>
        <v>2.1768241087956199</v>
      </c>
      <c r="G240" s="872">
        <f>SUMPRODUCT($CJ$6:$CJ$8,G241:G243)</f>
        <v>2.1768241087956199</v>
      </c>
      <c r="H240" s="873">
        <f>SUMPRODUCT($CJ$6:$CJ$8,H241:H243)</f>
        <v>4.7156409729663098</v>
      </c>
      <c r="I240" s="1277"/>
      <c r="J240" s="884"/>
      <c r="K240" s="884"/>
      <c r="L240" s="884"/>
      <c r="M240" s="884"/>
      <c r="N240" s="884"/>
      <c r="O240" s="884"/>
      <c r="P240" s="884"/>
      <c r="Q240" s="884"/>
      <c r="R240" s="884"/>
      <c r="S240" s="884"/>
      <c r="T240" s="884"/>
      <c r="U240" s="884"/>
      <c r="V240" s="884"/>
      <c r="W240" s="1278"/>
      <c r="X240" s="877"/>
      <c r="Y240" s="879">
        <f>1/'Input data plant-based products'!E200*10^4</f>
        <v>0.69324859062561528</v>
      </c>
      <c r="Z240" s="877">
        <f>$Y240*'Input data plant-based products'!Z200</f>
        <v>0.69324859062561528</v>
      </c>
      <c r="AA240" s="877">
        <f>$Y240*'Input data plant-based products'!AA200</f>
        <v>3.4662429531280763</v>
      </c>
      <c r="AB240" s="877">
        <f>$Y240*'Input data plant-based products'!AB200</f>
        <v>2.9463065101588648</v>
      </c>
      <c r="AC240" s="877">
        <f>$Y240*'Input data plant-based products'!AC200</f>
        <v>3.3311698925214368</v>
      </c>
      <c r="AD240" s="886">
        <f>$Y240*'Input data plant-based products'!AD200</f>
        <v>3.4699686380431634</v>
      </c>
      <c r="AE240" s="877"/>
      <c r="AF240" s="879">
        <f>SUM('Input data plant-based products'!F200,'Input data plant-based products'!Q200)/'Input data plant-based products'!E200</f>
        <v>6.2985000000000003E-3</v>
      </c>
      <c r="AG240" s="877">
        <f>$AF240*'Input data plant-based products'!Z200</f>
        <v>6.2985000000000003E-3</v>
      </c>
      <c r="AH240" s="877">
        <f>$AF240*'Input data plant-based products'!AA200</f>
        <v>3.14925E-2</v>
      </c>
      <c r="AI240" s="877">
        <f>$AF240*'Input data plant-based products'!AB200</f>
        <v>2.6768625000000001E-2</v>
      </c>
      <c r="AJ240" s="877">
        <f>$AF240*'Input data plant-based products'!AC200</f>
        <v>3.0265295669929655E-2</v>
      </c>
      <c r="AK240" s="886">
        <f>$AF240*'Input data plant-based products'!AD200</f>
        <v>3.1526349656176726E-2</v>
      </c>
      <c r="AL240" s="877"/>
      <c r="AM240" s="879">
        <f>'Input data plant-based products'!R200/'Input data plant-based products'!E200</f>
        <v>1.2800999999999999E-3</v>
      </c>
      <c r="AN240" s="877">
        <f>$AM240*'Input data plant-based products'!Z200</f>
        <v>1.2800999999999999E-3</v>
      </c>
      <c r="AO240" s="877">
        <f>$AM240*'Input data plant-based products'!AA200</f>
        <v>6.4004999999999999E-3</v>
      </c>
      <c r="AP240" s="877">
        <f>$AM240*'Input data plant-based products'!AB200</f>
        <v>5.4404249999999996E-3</v>
      </c>
      <c r="AQ240" s="877">
        <f>$AM240*'Input data plant-based products'!AC200</f>
        <v>6.1510843831193056E-3</v>
      </c>
      <c r="AR240" s="886">
        <f>$AM240*'Input data plant-based products'!AD200</f>
        <v>6.4073795657492768E-3</v>
      </c>
      <c r="AS240" s="877"/>
      <c r="AT240" s="879">
        <f>'Input data plant-based products'!S200</f>
        <v>2.3349816475775302E-4</v>
      </c>
      <c r="AU240" s="877">
        <f>$AT240*'Input data plant-based products'!Z200</f>
        <v>2.3349816475775302E-4</v>
      </c>
      <c r="AV240" s="877">
        <f>$AT240*'Input data plant-based products'!AA200</f>
        <v>1.167490823788765E-3</v>
      </c>
      <c r="AW240" s="877">
        <f>$AT240*'Input data plant-based products'!AB200</f>
        <v>9.9236720022045032E-4</v>
      </c>
      <c r="AX240" s="877">
        <f>$AT240*'Input data plant-based products'!AC200</f>
        <v>1.1219958712041507E-3</v>
      </c>
      <c r="AY240" s="886">
        <f>$AT240*'Input data plant-based products'!AD200</f>
        <v>1.1687456991709903E-3</v>
      </c>
      <c r="AZ240" s="877"/>
      <c r="BA240" s="879">
        <f>((SUM('Input data plant-based products'!U200:Y200)*Y240)/('Common input data'!$B$192/10^6))/$BB$3</f>
        <v>1.3256367447644428E-9</v>
      </c>
      <c r="BB240" s="877">
        <f>$BA240*'Input data plant-based products'!Z200</f>
        <v>1.3256367447644428E-9</v>
      </c>
      <c r="BC240" s="877">
        <f>$BA240*'Input data plant-based products'!AA200</f>
        <v>6.628183723822214E-9</v>
      </c>
      <c r="BD240" s="877">
        <f>$BA240*'Input data plant-based products'!AB200</f>
        <v>5.6339561652488821E-9</v>
      </c>
      <c r="BE240" s="877">
        <f>$BA240*'Input data plant-based products'!AC200</f>
        <v>6.3698956944064351E-9</v>
      </c>
      <c r="BF240" s="886">
        <f>$BA240*'Input data plant-based products'!AD200</f>
        <v>6.6353080150067033E-9</v>
      </c>
      <c r="BG240" s="877"/>
      <c r="BH240" s="879">
        <f>'Input data plant-based products'!T200/'Input data plant-based products'!E200</f>
        <v>6.9758971999999984E-5</v>
      </c>
      <c r="BI240" s="877">
        <f>$BH240*'Input data plant-based products'!Z200</f>
        <v>6.9758971999999984E-5</v>
      </c>
      <c r="BJ240" s="877">
        <f>$BH240*'Input data plant-based products'!AA200</f>
        <v>3.4879485999999991E-4</v>
      </c>
      <c r="BK240" s="877">
        <f>$BH240*'Input data plant-based products'!AB200</f>
        <v>2.9647563099999996E-4</v>
      </c>
      <c r="BL240" s="877">
        <f>$BH240*'Input data plant-based products'!AC200</f>
        <v>3.3520297105824298E-4</v>
      </c>
      <c r="BM240" s="886">
        <f>$BH240*'Input data plant-based products'!AD200</f>
        <v>3.4916976151900311E-4</v>
      </c>
      <c r="BN240" s="877"/>
      <c r="BO240" s="879">
        <f>('Input data plant-based products'!F200/'Input data plant-based products'!E200*'Common input data'!$B$195+'Input data plant-based products'!G200/'Input data plant-based products'!E200*'Common input data'!$B$196)/'Common input data'!$B$198</f>
        <v>1.6082421814092953E-4</v>
      </c>
      <c r="BP240" s="877">
        <f>$BO240*'Input data plant-based products'!Z200</f>
        <v>1.6082421814092953E-4</v>
      </c>
      <c r="BQ240" s="877">
        <f>$BO240*'Input data plant-based products'!AA200</f>
        <v>8.0412109070464766E-4</v>
      </c>
      <c r="BR240" s="877">
        <f>$BO240*'Input data plant-based products'!AB200</f>
        <v>6.8350292709895046E-4</v>
      </c>
      <c r="BS240" s="877">
        <f>$BO240*'Input data plant-based products'!AC200</f>
        <v>7.7278598284043762E-4</v>
      </c>
      <c r="BT240" s="886">
        <f>$BO240*'Input data plant-based products'!AD200</f>
        <v>8.0498539879212262E-4</v>
      </c>
      <c r="BU240" s="877"/>
      <c r="BV240" s="879">
        <f>('Common input data'!$B$228+'Common input data'!C228)*'Input data plant-based products'!AC200</f>
        <v>27.160869894807661</v>
      </c>
      <c r="BW240" s="886">
        <f>('Common input data'!$B$228+'Common input data'!D228)*'Input data plant-based products'!AD200</f>
        <v>27.575803215797432</v>
      </c>
      <c r="BX240" s="877"/>
      <c r="BY240" s="877"/>
      <c r="BZ240" s="877"/>
      <c r="CA240" s="877"/>
      <c r="CB240" s="877"/>
      <c r="CC240" s="877"/>
      <c r="CD240" s="877"/>
      <c r="CE240" s="877"/>
    </row>
    <row r="241" spans="1:83">
      <c r="A241" s="359"/>
      <c r="B241" s="360"/>
      <c r="C241" s="83"/>
      <c r="E241" s="511" t="s">
        <v>317</v>
      </c>
      <c r="F241" s="877">
        <f>IF(AND($F$2="No",$F$3="No"),SUM(L241:N241),IF(AND($F$2="Yes", $F$3="No"), (SUM(L241:M241)+S241), IF(AND($F$2="No", $F$3="Yes"),(SUM(L241:M241)+R241), (SUM(L241:M241)+S241+R241))))</f>
        <v>1.9940335862117</v>
      </c>
      <c r="G241" s="877">
        <f>IF(AND($F$2="No",$F$3="No"),SUM(I241:Q241),IF(AND($F$2="Yes", $F$3="No"), (SUM(I241:Q241)+S241), IF(AND($F$2="No", $F$3="Yes"),(SUM(I241:Q241)+R241), (SUM(I241:Q241)+S241+R241))))</f>
        <v>1.9940335862117</v>
      </c>
      <c r="H241" s="878">
        <f>SUM(U241:W241)/(1-'Common input data'!$I$143)</f>
        <v>4.5089733084275707</v>
      </c>
      <c r="I241" s="928"/>
      <c r="J241" s="877"/>
      <c r="K241" s="877"/>
      <c r="L241" s="877"/>
      <c r="M241" s="877">
        <v>1.9940335862117</v>
      </c>
      <c r="N241" s="877"/>
      <c r="O241" s="877"/>
      <c r="P241" s="877"/>
      <c r="Q241" s="877"/>
      <c r="R241" s="877"/>
      <c r="S241" s="877"/>
      <c r="T241" s="877">
        <f>'Input data plant-based products'!$B$280</f>
        <v>1.264</v>
      </c>
      <c r="U241" s="877">
        <f t="shared" si="64"/>
        <v>3.2580335862116998</v>
      </c>
      <c r="V241" s="877">
        <f>'Common input data'!$B$104</f>
        <v>0.3</v>
      </c>
      <c r="W241" s="878">
        <f>'Common input data'!$B$128+'Common input data'!$C$128</f>
        <v>0.43000000000000005</v>
      </c>
      <c r="X241" s="877"/>
      <c r="Y241" s="879"/>
      <c r="Z241" s="877"/>
      <c r="AA241" s="877"/>
      <c r="AB241" s="877"/>
      <c r="AC241" s="877"/>
      <c r="AD241" s="886"/>
      <c r="AE241" s="877"/>
      <c r="AF241" s="879"/>
      <c r="AG241" s="877"/>
      <c r="AH241" s="877"/>
      <c r="AI241" s="877"/>
      <c r="AJ241" s="877"/>
      <c r="AK241" s="886"/>
      <c r="AL241" s="877"/>
      <c r="AM241" s="879"/>
      <c r="AN241" s="877"/>
      <c r="AO241" s="877"/>
      <c r="AP241" s="877"/>
      <c r="AQ241" s="877"/>
      <c r="AR241" s="886"/>
      <c r="AS241" s="877"/>
      <c r="AT241" s="879"/>
      <c r="AU241" s="877"/>
      <c r="AV241" s="877"/>
      <c r="AW241" s="877"/>
      <c r="AX241" s="877"/>
      <c r="AY241" s="886"/>
      <c r="AZ241" s="877"/>
      <c r="BA241" s="879"/>
      <c r="BB241" s="877"/>
      <c r="BC241" s="877"/>
      <c r="BD241" s="877"/>
      <c r="BE241" s="877"/>
      <c r="BF241" s="886"/>
      <c r="BG241" s="877"/>
      <c r="BH241" s="879"/>
      <c r="BI241" s="877"/>
      <c r="BJ241" s="877"/>
      <c r="BK241" s="877"/>
      <c r="BL241" s="877"/>
      <c r="BM241" s="886"/>
      <c r="BN241" s="877"/>
      <c r="BO241" s="879"/>
      <c r="BP241" s="877"/>
      <c r="BQ241" s="877"/>
      <c r="BR241" s="877"/>
      <c r="BS241" s="877"/>
      <c r="BT241" s="886"/>
      <c r="BU241" s="877"/>
      <c r="BV241" s="879"/>
      <c r="BW241" s="886"/>
      <c r="BX241" s="877"/>
      <c r="BY241" s="877"/>
      <c r="BZ241" s="877"/>
      <c r="CA241" s="877"/>
      <c r="CB241" s="877"/>
      <c r="CC241" s="877"/>
      <c r="CD241" s="877"/>
      <c r="CE241" s="877"/>
    </row>
    <row r="242" spans="1:83">
      <c r="A242" s="359"/>
      <c r="B242" s="360"/>
      <c r="C242" s="83"/>
      <c r="E242" s="511" t="s">
        <v>367</v>
      </c>
      <c r="F242" s="877">
        <f>SUM(K242:M242)</f>
        <v>5.238561466E-4</v>
      </c>
      <c r="G242" s="877">
        <f>SUM(I242:Q242)</f>
        <v>5.238561466E-4</v>
      </c>
      <c r="H242" s="878">
        <f>SUM(U242:W242)/(1-'Common input data'!$I$143)</f>
        <v>5.9228522814896219E-4</v>
      </c>
      <c r="I242" s="928"/>
      <c r="J242" s="877"/>
      <c r="K242" s="877"/>
      <c r="L242" s="877"/>
      <c r="M242" s="877">
        <v>5.238561466E-4</v>
      </c>
      <c r="N242" s="877"/>
      <c r="O242" s="877"/>
      <c r="P242" s="877"/>
      <c r="Q242" s="877"/>
      <c r="R242" s="877"/>
      <c r="S242" s="877"/>
      <c r="T242" s="877"/>
      <c r="U242" s="877">
        <f t="shared" si="64"/>
        <v>5.238561466E-4</v>
      </c>
      <c r="V242" s="877"/>
      <c r="W242" s="878"/>
      <c r="X242" s="877"/>
      <c r="Y242" s="879"/>
      <c r="Z242" s="877"/>
      <c r="AA242" s="877"/>
      <c r="AB242" s="877"/>
      <c r="AC242" s="877"/>
      <c r="AD242" s="886"/>
      <c r="AE242" s="877"/>
      <c r="AF242" s="879"/>
      <c r="AG242" s="877"/>
      <c r="AH242" s="877"/>
      <c r="AI242" s="877"/>
      <c r="AJ242" s="877"/>
      <c r="AK242" s="886"/>
      <c r="AL242" s="877"/>
      <c r="AM242" s="879"/>
      <c r="AN242" s="877"/>
      <c r="AO242" s="877"/>
      <c r="AP242" s="877"/>
      <c r="AQ242" s="877"/>
      <c r="AR242" s="886"/>
      <c r="AS242" s="877"/>
      <c r="AT242" s="879"/>
      <c r="AU242" s="877"/>
      <c r="AV242" s="877"/>
      <c r="AW242" s="877"/>
      <c r="AX242" s="877"/>
      <c r="AY242" s="886"/>
      <c r="AZ242" s="877"/>
      <c r="BA242" s="879"/>
      <c r="BB242" s="877"/>
      <c r="BC242" s="877"/>
      <c r="BD242" s="877"/>
      <c r="BE242" s="877"/>
      <c r="BF242" s="886"/>
      <c r="BG242" s="877"/>
      <c r="BH242" s="879"/>
      <c r="BI242" s="877"/>
      <c r="BJ242" s="877"/>
      <c r="BK242" s="877"/>
      <c r="BL242" s="877"/>
      <c r="BM242" s="886"/>
      <c r="BN242" s="877"/>
      <c r="BO242" s="879"/>
      <c r="BP242" s="877"/>
      <c r="BQ242" s="877"/>
      <c r="BR242" s="877"/>
      <c r="BS242" s="877"/>
      <c r="BT242" s="886"/>
      <c r="BU242" s="877"/>
      <c r="BV242" s="879"/>
      <c r="BW242" s="886"/>
      <c r="BX242" s="877"/>
      <c r="BY242" s="877"/>
      <c r="BZ242" s="877"/>
      <c r="CA242" s="877"/>
      <c r="CB242" s="877"/>
      <c r="CC242" s="877"/>
      <c r="CD242" s="877"/>
      <c r="CE242" s="877"/>
    </row>
    <row r="243" spans="1:83">
      <c r="A243" s="359"/>
      <c r="B243" s="360"/>
      <c r="C243" s="83"/>
      <c r="E243" s="512" t="s">
        <v>320</v>
      </c>
      <c r="F243" s="877">
        <f>SUM(K243:M243)</f>
        <v>7.7394162530000003E-4</v>
      </c>
      <c r="G243" s="877">
        <f>SUM(I243:Q243)</f>
        <v>7.7394162530000003E-4</v>
      </c>
      <c r="H243" s="878">
        <f>SUM(U243:W243)/(1-'Common input data'!$I$143)</f>
        <v>8.7503830028514383E-4</v>
      </c>
      <c r="I243" s="928"/>
      <c r="J243" s="877"/>
      <c r="K243" s="877"/>
      <c r="L243" s="877"/>
      <c r="M243" s="877">
        <v>7.7394162530000003E-4</v>
      </c>
      <c r="N243" s="877"/>
      <c r="O243" s="877"/>
      <c r="P243" s="877"/>
      <c r="Q243" s="877"/>
      <c r="R243" s="877"/>
      <c r="S243" s="877"/>
      <c r="T243" s="877"/>
      <c r="U243" s="877">
        <f t="shared" si="64"/>
        <v>7.7394162530000003E-4</v>
      </c>
      <c r="V243" s="877"/>
      <c r="W243" s="878"/>
      <c r="X243" s="877"/>
      <c r="Y243" s="879"/>
      <c r="Z243" s="877"/>
      <c r="AA243" s="877"/>
      <c r="AB243" s="877"/>
      <c r="AC243" s="877"/>
      <c r="AD243" s="886"/>
      <c r="AE243" s="877"/>
      <c r="AF243" s="879"/>
      <c r="AG243" s="877"/>
      <c r="AH243" s="877"/>
      <c r="AI243" s="877"/>
      <c r="AJ243" s="877"/>
      <c r="AK243" s="886"/>
      <c r="AL243" s="877"/>
      <c r="AM243" s="879"/>
      <c r="AN243" s="877"/>
      <c r="AO243" s="877"/>
      <c r="AP243" s="877"/>
      <c r="AQ243" s="877"/>
      <c r="AR243" s="886"/>
      <c r="AS243" s="877"/>
      <c r="AT243" s="879"/>
      <c r="AU243" s="877"/>
      <c r="AV243" s="877"/>
      <c r="AW243" s="877"/>
      <c r="AX243" s="877"/>
      <c r="AY243" s="886"/>
      <c r="AZ243" s="877"/>
      <c r="BA243" s="879"/>
      <c r="BB243" s="877"/>
      <c r="BC243" s="877"/>
      <c r="BD243" s="877"/>
      <c r="BE243" s="877"/>
      <c r="BF243" s="886"/>
      <c r="BG243" s="877"/>
      <c r="BH243" s="879"/>
      <c r="BI243" s="877"/>
      <c r="BJ243" s="877"/>
      <c r="BK243" s="877"/>
      <c r="BL243" s="877"/>
      <c r="BM243" s="886"/>
      <c r="BN243" s="877"/>
      <c r="BO243" s="879"/>
      <c r="BP243" s="877"/>
      <c r="BQ243" s="877"/>
      <c r="BR243" s="877"/>
      <c r="BS243" s="877"/>
      <c r="BT243" s="886"/>
      <c r="BU243" s="877"/>
      <c r="BV243" s="879"/>
      <c r="BW243" s="886"/>
      <c r="BX243" s="877"/>
      <c r="BY243" s="877"/>
      <c r="BZ243" s="877"/>
      <c r="CA243" s="877"/>
      <c r="CB243" s="877"/>
      <c r="CC243" s="877"/>
      <c r="CD243" s="877"/>
      <c r="CE243" s="877"/>
    </row>
    <row r="244" spans="1:83">
      <c r="A244" s="362" t="s">
        <v>189</v>
      </c>
      <c r="B244" s="363"/>
      <c r="C244" s="770"/>
      <c r="E244" s="939"/>
      <c r="F244" s="892" t="s">
        <v>468</v>
      </c>
      <c r="G244" s="892" t="s">
        <v>468</v>
      </c>
      <c r="H244" s="970" t="s">
        <v>468</v>
      </c>
      <c r="I244" s="969"/>
      <c r="J244" s="892"/>
      <c r="K244" s="892"/>
      <c r="L244" s="892"/>
      <c r="M244" s="892"/>
      <c r="N244" s="892"/>
      <c r="O244" s="892"/>
      <c r="P244" s="892"/>
      <c r="Q244" s="892"/>
      <c r="R244" s="892"/>
      <c r="S244" s="892"/>
      <c r="T244" s="892"/>
      <c r="U244" s="892"/>
      <c r="V244" s="892"/>
      <c r="W244" s="970"/>
      <c r="X244" s="877"/>
      <c r="Y244" s="879"/>
      <c r="Z244" s="877"/>
      <c r="AA244" s="877"/>
      <c r="AB244" s="877"/>
      <c r="AC244" s="877"/>
      <c r="AD244" s="886"/>
      <c r="AE244" s="877"/>
      <c r="AF244" s="879"/>
      <c r="AG244" s="877"/>
      <c r="AH244" s="877"/>
      <c r="AI244" s="877"/>
      <c r="AJ244" s="877"/>
      <c r="AK244" s="886"/>
      <c r="AL244" s="877"/>
      <c r="AM244" s="879"/>
      <c r="AN244" s="877"/>
      <c r="AO244" s="877"/>
      <c r="AP244" s="877"/>
      <c r="AQ244" s="877"/>
      <c r="AR244" s="886"/>
      <c r="AS244" s="877"/>
      <c r="AT244" s="879"/>
      <c r="AU244" s="877"/>
      <c r="AV244" s="877"/>
      <c r="AW244" s="877"/>
      <c r="AX244" s="877"/>
      <c r="AY244" s="886"/>
      <c r="AZ244" s="877"/>
      <c r="BA244" s="879"/>
      <c r="BB244" s="877"/>
      <c r="BC244" s="877"/>
      <c r="BD244" s="877"/>
      <c r="BE244" s="877"/>
      <c r="BF244" s="886"/>
      <c r="BG244" s="877"/>
      <c r="BH244" s="879"/>
      <c r="BI244" s="877"/>
      <c r="BJ244" s="877"/>
      <c r="BK244" s="877"/>
      <c r="BL244" s="877"/>
      <c r="BM244" s="886"/>
      <c r="BN244" s="877"/>
      <c r="BO244" s="879"/>
      <c r="BP244" s="877"/>
      <c r="BQ244" s="877"/>
      <c r="BR244" s="877"/>
      <c r="BS244" s="877"/>
      <c r="BT244" s="886"/>
      <c r="BU244" s="877"/>
      <c r="BV244" s="879"/>
      <c r="BW244" s="886"/>
      <c r="BX244" s="877"/>
      <c r="BY244" s="877"/>
      <c r="BZ244" s="877"/>
      <c r="CA244" s="877"/>
      <c r="CB244" s="877"/>
      <c r="CC244" s="877"/>
      <c r="CD244" s="877"/>
      <c r="CE244" s="877"/>
    </row>
    <row r="245" spans="1:83">
      <c r="A245" s="108" t="s">
        <v>120</v>
      </c>
      <c r="B245" s="93" t="s">
        <v>121</v>
      </c>
      <c r="C245" s="87">
        <f>SUM(C249:C260)</f>
        <v>1</v>
      </c>
      <c r="E245" s="513" t="s">
        <v>316</v>
      </c>
      <c r="F245" s="872">
        <f>SUMPRODUCT($CJ$6:$CJ$8,F246:F248)</f>
        <v>0.2743792087061917</v>
      </c>
      <c r="G245" s="872">
        <f>SUMPRODUCT($CJ$6:$CJ$8,G246:G248)</f>
        <v>0.2743792087061917</v>
      </c>
      <c r="H245" s="873">
        <f>SUMPRODUCT($CJ$6:$CJ$8,H246:H248)</f>
        <v>0.90329039140601075</v>
      </c>
      <c r="I245" s="1277"/>
      <c r="J245" s="884"/>
      <c r="K245" s="884"/>
      <c r="L245" s="884"/>
      <c r="M245" s="884"/>
      <c r="N245" s="884"/>
      <c r="O245" s="884"/>
      <c r="P245" s="884"/>
      <c r="Q245" s="884"/>
      <c r="R245" s="884"/>
      <c r="S245" s="884"/>
      <c r="T245" s="884"/>
      <c r="U245" s="884"/>
      <c r="V245" s="884"/>
      <c r="W245" s="1278"/>
      <c r="X245" s="877"/>
      <c r="Y245" s="883">
        <f>Y249*$C$249+Y253*$C$253+Y258*$C$257</f>
        <v>2.1589351210834593</v>
      </c>
      <c r="Z245" s="884">
        <f t="shared" ref="Z245:BT245" si="65">Z249*$C$249+Z253*$C$253+Z258*$C$257</f>
        <v>2.1589351210834593</v>
      </c>
      <c r="AA245" s="884">
        <f t="shared" si="65"/>
        <v>2.1589351210834593</v>
      </c>
      <c r="AB245" s="884">
        <f t="shared" si="65"/>
        <v>2.1589351210834593</v>
      </c>
      <c r="AC245" s="884">
        <f t="shared" si="65"/>
        <v>3.2947993893925256</v>
      </c>
      <c r="AD245" s="885">
        <f t="shared" si="65"/>
        <v>4.0676535671512664</v>
      </c>
      <c r="AE245" s="877"/>
      <c r="AF245" s="883">
        <f t="shared" si="65"/>
        <v>7.5840886755090819E-3</v>
      </c>
      <c r="AG245" s="884">
        <f t="shared" si="65"/>
        <v>7.5840886755090819E-3</v>
      </c>
      <c r="AH245" s="884">
        <f t="shared" si="65"/>
        <v>7.5840886755090819E-3</v>
      </c>
      <c r="AI245" s="884">
        <f t="shared" si="65"/>
        <v>7.5840886755090819E-3</v>
      </c>
      <c r="AJ245" s="884">
        <f t="shared" si="65"/>
        <v>1.1191786525186702E-2</v>
      </c>
      <c r="AK245" s="885">
        <f t="shared" si="65"/>
        <v>1.3817020401465065E-2</v>
      </c>
      <c r="AL245" s="877"/>
      <c r="AM245" s="883">
        <f t="shared" si="65"/>
        <v>4.8735589225685823E-3</v>
      </c>
      <c r="AN245" s="884">
        <f t="shared" si="65"/>
        <v>4.8735589225685823E-3</v>
      </c>
      <c r="AO245" s="884">
        <f t="shared" si="65"/>
        <v>4.8735589225685823E-3</v>
      </c>
      <c r="AP245" s="884">
        <f t="shared" si="65"/>
        <v>4.8735589225685823E-3</v>
      </c>
      <c r="AQ245" s="884">
        <f t="shared" si="65"/>
        <v>7.2581321569504939E-3</v>
      </c>
      <c r="AR245" s="885">
        <f t="shared" si="65"/>
        <v>8.9606569838894985E-3</v>
      </c>
      <c r="AS245" s="877"/>
      <c r="AT245" s="883">
        <f t="shared" si="65"/>
        <v>7.1739773551679649E-4</v>
      </c>
      <c r="AU245" s="884">
        <f t="shared" si="65"/>
        <v>7.1739773551679649E-4</v>
      </c>
      <c r="AV245" s="884">
        <f t="shared" si="65"/>
        <v>7.1739773551679649E-4</v>
      </c>
      <c r="AW245" s="884">
        <f t="shared" si="65"/>
        <v>7.1739773551679649E-4</v>
      </c>
      <c r="AX245" s="884">
        <f t="shared" si="65"/>
        <v>9.8440877040012692E-4</v>
      </c>
      <c r="AY245" s="885">
        <f t="shared" si="65"/>
        <v>1.2153194696297861E-3</v>
      </c>
      <c r="AZ245" s="877"/>
      <c r="BA245" s="883">
        <f t="shared" si="65"/>
        <v>1.3140296013192825E-8</v>
      </c>
      <c r="BB245" s="884">
        <f t="shared" si="65"/>
        <v>1.3140296013192825E-8</v>
      </c>
      <c r="BC245" s="884">
        <f t="shared" si="65"/>
        <v>1.3140296013192825E-8</v>
      </c>
      <c r="BD245" s="884">
        <f t="shared" si="65"/>
        <v>1.3140296013192825E-8</v>
      </c>
      <c r="BE245" s="884">
        <f t="shared" si="65"/>
        <v>1.9959966054638446E-8</v>
      </c>
      <c r="BF245" s="885">
        <f t="shared" si="65"/>
        <v>2.4641933400788206E-8</v>
      </c>
      <c r="BG245" s="877"/>
      <c r="BH245" s="883">
        <f t="shared" si="65"/>
        <v>0</v>
      </c>
      <c r="BI245" s="884">
        <f t="shared" si="65"/>
        <v>0</v>
      </c>
      <c r="BJ245" s="884">
        <f t="shared" si="65"/>
        <v>0</v>
      </c>
      <c r="BK245" s="884">
        <f t="shared" si="65"/>
        <v>0</v>
      </c>
      <c r="BL245" s="884">
        <f t="shared" si="65"/>
        <v>0</v>
      </c>
      <c r="BM245" s="885">
        <f t="shared" si="65"/>
        <v>0</v>
      </c>
      <c r="BN245" s="877"/>
      <c r="BO245" s="883">
        <f t="shared" si="65"/>
        <v>1.9365009630074235E-4</v>
      </c>
      <c r="BP245" s="884">
        <f t="shared" si="65"/>
        <v>1.9365009630074235E-4</v>
      </c>
      <c r="BQ245" s="884">
        <f t="shared" si="65"/>
        <v>1.9365009630074235E-4</v>
      </c>
      <c r="BR245" s="884">
        <f t="shared" si="65"/>
        <v>1.9365009630074235E-4</v>
      </c>
      <c r="BS245" s="884">
        <f>BS249*$C$249+BS253*$C$253+BS258*$C$257</f>
        <v>2.8576809042047183E-4</v>
      </c>
      <c r="BT245" s="885">
        <f t="shared" si="65"/>
        <v>3.5280011163021214E-4</v>
      </c>
      <c r="BU245" s="877"/>
      <c r="BV245" s="883">
        <f>BV249*$C$249+BV253*$C$253+BV258*$C$257</f>
        <v>9.9922436347821595</v>
      </c>
      <c r="BW245" s="885">
        <f>BW249*$C$249+BW253*$C$253+BW258*$C$257</f>
        <v>12.304570898070541</v>
      </c>
      <c r="BX245" s="877"/>
      <c r="BY245" s="877"/>
      <c r="BZ245" s="877"/>
      <c r="CA245" s="877"/>
      <c r="CB245" s="877"/>
      <c r="CC245" s="877"/>
      <c r="CD245" s="877"/>
      <c r="CE245" s="877"/>
    </row>
    <row r="246" spans="1:83">
      <c r="A246" s="195"/>
      <c r="B246" s="55"/>
      <c r="C246" s="83"/>
      <c r="E246" s="511" t="s">
        <v>317</v>
      </c>
      <c r="F246" s="877">
        <f>F250*$C$249+F254*$C$253+$C$257*F258</f>
        <v>0.16212862314996945</v>
      </c>
      <c r="G246" s="877">
        <f t="shared" ref="G246:W248" si="66">G250*$C$249+G254*$C$253+$C$257*G258</f>
        <v>0.16212862314996945</v>
      </c>
      <c r="H246" s="878">
        <f>H250*$C$249+H254*$C$253+$C$257*H258</f>
        <v>0.76864503936697948</v>
      </c>
      <c r="I246" s="928">
        <f t="shared" si="66"/>
        <v>0</v>
      </c>
      <c r="J246" s="877">
        <f t="shared" si="66"/>
        <v>0</v>
      </c>
      <c r="K246" s="877">
        <f t="shared" si="66"/>
        <v>0</v>
      </c>
      <c r="L246" s="877">
        <f t="shared" si="66"/>
        <v>0</v>
      </c>
      <c r="M246" s="877">
        <f t="shared" si="66"/>
        <v>0.25326767129135075</v>
      </c>
      <c r="N246" s="877">
        <f t="shared" si="66"/>
        <v>0</v>
      </c>
      <c r="O246" s="877">
        <f t="shared" si="66"/>
        <v>0</v>
      </c>
      <c r="P246" s="877">
        <f t="shared" si="66"/>
        <v>0</v>
      </c>
      <c r="Q246" s="877">
        <f t="shared" si="66"/>
        <v>0</v>
      </c>
      <c r="R246" s="877">
        <f t="shared" si="66"/>
        <v>-9.1139048141381296E-2</v>
      </c>
      <c r="S246" s="877">
        <f t="shared" si="66"/>
        <v>0</v>
      </c>
      <c r="T246" s="877">
        <f t="shared" si="66"/>
        <v>0</v>
      </c>
      <c r="U246" s="877">
        <f t="shared" si="66"/>
        <v>0.16212862314996945</v>
      </c>
      <c r="V246" s="877">
        <f t="shared" si="66"/>
        <v>0.05</v>
      </c>
      <c r="W246" s="878">
        <f t="shared" si="66"/>
        <v>0.43000000000000005</v>
      </c>
      <c r="X246" s="877"/>
      <c r="Y246" s="879"/>
      <c r="Z246" s="877"/>
      <c r="AA246" s="877"/>
      <c r="AB246" s="877"/>
      <c r="AC246" s="877"/>
      <c r="AD246" s="886"/>
      <c r="AE246" s="877"/>
      <c r="AF246" s="879"/>
      <c r="AG246" s="877"/>
      <c r="AH246" s="877"/>
      <c r="AI246" s="877"/>
      <c r="AJ246" s="877"/>
      <c r="AK246" s="886"/>
      <c r="AL246" s="877"/>
      <c r="AM246" s="879"/>
      <c r="AN246" s="877"/>
      <c r="AO246" s="877"/>
      <c r="AP246" s="877"/>
      <c r="AQ246" s="877"/>
      <c r="AR246" s="886"/>
      <c r="AS246" s="877"/>
      <c r="AT246" s="879"/>
      <c r="AU246" s="877"/>
      <c r="AV246" s="877"/>
      <c r="AW246" s="877"/>
      <c r="AX246" s="877"/>
      <c r="AY246" s="886"/>
      <c r="AZ246" s="877"/>
      <c r="BA246" s="879"/>
      <c r="BB246" s="877"/>
      <c r="BC246" s="877"/>
      <c r="BD246" s="877"/>
      <c r="BE246" s="877"/>
      <c r="BF246" s="886"/>
      <c r="BG246" s="877"/>
      <c r="BH246" s="879"/>
      <c r="BI246" s="877"/>
      <c r="BJ246" s="877"/>
      <c r="BK246" s="877"/>
      <c r="BL246" s="877"/>
      <c r="BM246" s="886"/>
      <c r="BN246" s="877"/>
      <c r="BO246" s="879"/>
      <c r="BP246" s="877"/>
      <c r="BQ246" s="877"/>
      <c r="BR246" s="877"/>
      <c r="BS246" s="877"/>
      <c r="BT246" s="886"/>
      <c r="BU246" s="877"/>
      <c r="BV246" s="879"/>
      <c r="BW246" s="886"/>
      <c r="BX246" s="877"/>
      <c r="BY246" s="877"/>
      <c r="BZ246" s="877"/>
      <c r="CA246" s="877"/>
      <c r="CB246" s="877"/>
      <c r="CC246" s="877"/>
      <c r="CD246" s="877"/>
      <c r="CE246" s="877"/>
    </row>
    <row r="247" spans="1:83">
      <c r="A247" s="195"/>
      <c r="B247" s="55"/>
      <c r="C247" s="83"/>
      <c r="E247" s="511" t="s">
        <v>367</v>
      </c>
      <c r="F247" s="877">
        <f>F251*$C$249+F255*$C$253+$C$257*F259</f>
        <v>8.6051761402595474E-4</v>
      </c>
      <c r="G247" s="877">
        <f>G251*$C$249+G255*$C$253+$C$257*G259</f>
        <v>8.6051761402595474E-4</v>
      </c>
      <c r="H247" s="878">
        <f t="shared" ref="H247:T247" si="67">H251*$C$249+H255*$C$253+$C$257*H259</f>
        <v>1.0322714414914382E-3</v>
      </c>
      <c r="I247" s="928">
        <f t="shared" si="67"/>
        <v>0</v>
      </c>
      <c r="J247" s="877">
        <f t="shared" si="67"/>
        <v>0</v>
      </c>
      <c r="K247" s="877">
        <f t="shared" si="67"/>
        <v>0</v>
      </c>
      <c r="L247" s="877">
        <f t="shared" si="67"/>
        <v>0</v>
      </c>
      <c r="M247" s="877">
        <f t="shared" si="67"/>
        <v>8.6051761402595474E-4</v>
      </c>
      <c r="N247" s="877">
        <f t="shared" si="67"/>
        <v>0</v>
      </c>
      <c r="O247" s="877">
        <f t="shared" si="67"/>
        <v>0</v>
      </c>
      <c r="P247" s="877">
        <f t="shared" si="67"/>
        <v>0</v>
      </c>
      <c r="Q247" s="877">
        <f t="shared" si="67"/>
        <v>0</v>
      </c>
      <c r="R247" s="877">
        <f t="shared" si="67"/>
        <v>0</v>
      </c>
      <c r="S247" s="877">
        <f t="shared" si="67"/>
        <v>0</v>
      </c>
      <c r="T247" s="877">
        <f t="shared" si="67"/>
        <v>0</v>
      </c>
      <c r="U247" s="877">
        <f>U251*$C$249+U255*$C$253+$C$257*U259</f>
        <v>8.6051761402595474E-4</v>
      </c>
      <c r="V247" s="877">
        <f t="shared" si="66"/>
        <v>0</v>
      </c>
      <c r="W247" s="878">
        <f t="shared" si="66"/>
        <v>0</v>
      </c>
      <c r="X247" s="877"/>
      <c r="Y247" s="879"/>
      <c r="Z247" s="877"/>
      <c r="AA247" s="877"/>
      <c r="AB247" s="877"/>
      <c r="AC247" s="877"/>
      <c r="AD247" s="886"/>
      <c r="AE247" s="877"/>
      <c r="AF247" s="879"/>
      <c r="AG247" s="877"/>
      <c r="AH247" s="877"/>
      <c r="AI247" s="877"/>
      <c r="AJ247" s="877"/>
      <c r="AK247" s="886"/>
      <c r="AL247" s="877"/>
      <c r="AM247" s="879"/>
      <c r="AN247" s="877"/>
      <c r="AO247" s="877"/>
      <c r="AP247" s="877"/>
      <c r="AQ247" s="877"/>
      <c r="AR247" s="886"/>
      <c r="AS247" s="877"/>
      <c r="AT247" s="879"/>
      <c r="AU247" s="877"/>
      <c r="AV247" s="877"/>
      <c r="AW247" s="877"/>
      <c r="AX247" s="877"/>
      <c r="AY247" s="886"/>
      <c r="AZ247" s="877"/>
      <c r="BA247" s="879"/>
      <c r="BB247" s="877"/>
      <c r="BC247" s="877"/>
      <c r="BD247" s="877"/>
      <c r="BE247" s="877"/>
      <c r="BF247" s="886"/>
      <c r="BG247" s="877"/>
      <c r="BH247" s="879"/>
      <c r="BI247" s="877"/>
      <c r="BJ247" s="877"/>
      <c r="BK247" s="877"/>
      <c r="BL247" s="877"/>
      <c r="BM247" s="886"/>
      <c r="BN247" s="877"/>
      <c r="BO247" s="879"/>
      <c r="BP247" s="877"/>
      <c r="BQ247" s="877"/>
      <c r="BR247" s="877"/>
      <c r="BS247" s="877"/>
      <c r="BT247" s="886"/>
      <c r="BU247" s="877"/>
      <c r="BV247" s="879"/>
      <c r="BW247" s="886"/>
      <c r="BX247" s="877"/>
      <c r="BY247" s="877"/>
      <c r="BZ247" s="877"/>
      <c r="CA247" s="877"/>
      <c r="CB247" s="877"/>
      <c r="CC247" s="877"/>
      <c r="CD247" s="877"/>
      <c r="CE247" s="877"/>
    </row>
    <row r="248" spans="1:83">
      <c r="A248" s="18"/>
      <c r="B248" s="360"/>
      <c r="C248" s="83"/>
      <c r="E248" s="512" t="s">
        <v>320</v>
      </c>
      <c r="F248" s="877">
        <f>F252*$C$249+F256*$C$253+$C$257*F260</f>
        <v>4.6440408914291947E-4</v>
      </c>
      <c r="G248" s="877">
        <f t="shared" si="66"/>
        <v>4.6440408914291947E-4</v>
      </c>
      <c r="H248" s="878">
        <f t="shared" si="66"/>
        <v>5.5705440456661585E-4</v>
      </c>
      <c r="I248" s="928">
        <f t="shared" si="66"/>
        <v>0</v>
      </c>
      <c r="J248" s="877">
        <f t="shared" si="66"/>
        <v>0</v>
      </c>
      <c r="K248" s="877">
        <f t="shared" si="66"/>
        <v>0</v>
      </c>
      <c r="L248" s="877">
        <f t="shared" si="66"/>
        <v>0</v>
      </c>
      <c r="M248" s="877">
        <f t="shared" si="66"/>
        <v>4.6440408914291947E-4</v>
      </c>
      <c r="N248" s="877">
        <f t="shared" si="66"/>
        <v>0</v>
      </c>
      <c r="O248" s="877">
        <f t="shared" si="66"/>
        <v>0</v>
      </c>
      <c r="P248" s="877">
        <f t="shared" si="66"/>
        <v>0</v>
      </c>
      <c r="Q248" s="877">
        <f t="shared" si="66"/>
        <v>0</v>
      </c>
      <c r="R248" s="877">
        <f t="shared" si="66"/>
        <v>0</v>
      </c>
      <c r="S248" s="877">
        <f t="shared" si="66"/>
        <v>0</v>
      </c>
      <c r="T248" s="877">
        <f t="shared" si="66"/>
        <v>0</v>
      </c>
      <c r="U248" s="877">
        <f t="shared" si="66"/>
        <v>4.6440408914291947E-4</v>
      </c>
      <c r="V248" s="877">
        <f t="shared" si="66"/>
        <v>0</v>
      </c>
      <c r="W248" s="878">
        <f t="shared" si="66"/>
        <v>0</v>
      </c>
      <c r="X248" s="877"/>
      <c r="Y248" s="879"/>
      <c r="Z248" s="877"/>
      <c r="AA248" s="877"/>
      <c r="AB248" s="877"/>
      <c r="AC248" s="877"/>
      <c r="AD248" s="886"/>
      <c r="AE248" s="877"/>
      <c r="AF248" s="879"/>
      <c r="AG248" s="877"/>
      <c r="AH248" s="877"/>
      <c r="AI248" s="877"/>
      <c r="AJ248" s="877"/>
      <c r="AK248" s="886"/>
      <c r="AL248" s="877"/>
      <c r="AM248" s="879"/>
      <c r="AN248" s="877"/>
      <c r="AO248" s="877"/>
      <c r="AP248" s="877"/>
      <c r="AQ248" s="877"/>
      <c r="AR248" s="886"/>
      <c r="AS248" s="877"/>
      <c r="AT248" s="879"/>
      <c r="AU248" s="877"/>
      <c r="AV248" s="877"/>
      <c r="AW248" s="877"/>
      <c r="AX248" s="877"/>
      <c r="AY248" s="886"/>
      <c r="AZ248" s="877"/>
      <c r="BA248" s="879"/>
      <c r="BB248" s="877"/>
      <c r="BC248" s="877"/>
      <c r="BD248" s="877"/>
      <c r="BE248" s="877"/>
      <c r="BF248" s="886"/>
      <c r="BG248" s="877"/>
      <c r="BH248" s="879"/>
      <c r="BI248" s="877"/>
      <c r="BJ248" s="877"/>
      <c r="BK248" s="877"/>
      <c r="BL248" s="877"/>
      <c r="BM248" s="886"/>
      <c r="BN248" s="877"/>
      <c r="BO248" s="879"/>
      <c r="BP248" s="877"/>
      <c r="BQ248" s="877"/>
      <c r="BR248" s="877"/>
      <c r="BS248" s="877"/>
      <c r="BT248" s="886"/>
      <c r="BU248" s="877"/>
      <c r="BV248" s="879"/>
      <c r="BW248" s="886"/>
      <c r="BX248" s="877"/>
      <c r="BY248" s="877"/>
      <c r="BZ248" s="877"/>
      <c r="CA248" s="877"/>
      <c r="CB248" s="877"/>
      <c r="CC248" s="877"/>
      <c r="CD248" s="877"/>
      <c r="CE248" s="877"/>
    </row>
    <row r="249" spans="1:83">
      <c r="A249" s="108" t="s">
        <v>190</v>
      </c>
      <c r="B249" s="93" t="s">
        <v>121</v>
      </c>
      <c r="C249" s="87">
        <f>'Input data plant-based products'!D182</f>
        <v>0.45497399219765922</v>
      </c>
      <c r="E249" s="513" t="s">
        <v>316</v>
      </c>
      <c r="F249" s="872">
        <f>SUMPRODUCT($CJ$6:$CJ$8,F250:F252)</f>
        <v>0.30940520580786368</v>
      </c>
      <c r="G249" s="872">
        <f>SUMPRODUCT($CJ$6:$CJ$8,G250:G252)</f>
        <v>0.30940520580786368</v>
      </c>
      <c r="H249" s="873">
        <f>SUMPRODUCT($CJ$6:$CJ$8,H250:H252)</f>
        <v>0.98490488607401039</v>
      </c>
      <c r="I249" s="1277"/>
      <c r="J249" s="884"/>
      <c r="K249" s="884"/>
      <c r="L249" s="884"/>
      <c r="M249" s="884"/>
      <c r="N249" s="884"/>
      <c r="O249" s="884"/>
      <c r="P249" s="884"/>
      <c r="Q249" s="884"/>
      <c r="R249" s="884"/>
      <c r="S249" s="884"/>
      <c r="T249" s="884"/>
      <c r="U249" s="884"/>
      <c r="V249" s="884"/>
      <c r="W249" s="1278"/>
      <c r="X249" s="877"/>
      <c r="Y249" s="879">
        <f>1/'Input data plant-based products'!E182*10^4</f>
        <v>2.441883180308654</v>
      </c>
      <c r="Z249" s="877">
        <f>$Y249*'Input data plant-based products'!Z182</f>
        <v>2.441883180308654</v>
      </c>
      <c r="AA249" s="877">
        <f>$Y249*'Input data plant-based products'!AA182</f>
        <v>2.441883180308654</v>
      </c>
      <c r="AB249" s="877">
        <f>$Y249*'Input data plant-based products'!AB182</f>
        <v>2.441883180308654</v>
      </c>
      <c r="AC249" s="877">
        <f>$Y249*'Input data plant-based products'!AC182</f>
        <v>3.9753897929322819</v>
      </c>
      <c r="AD249" s="886">
        <f>$Y249*'Input data plant-based products'!AD182</f>
        <v>4.9078886332497307</v>
      </c>
      <c r="AE249" s="877"/>
      <c r="AF249" s="879">
        <f>SUM('Input data plant-based products'!F182,'Input data plant-based products'!Q182)/'Input data plant-based products'!E182</f>
        <v>4.883766360617308E-3</v>
      </c>
      <c r="AG249" s="877">
        <f>$AF249*'Input data plant-based products'!Z182</f>
        <v>4.883766360617308E-3</v>
      </c>
      <c r="AH249" s="877">
        <f>$AF249*'Input data plant-based products'!AA182</f>
        <v>4.883766360617308E-3</v>
      </c>
      <c r="AI249" s="877">
        <f>$AF249*'Input data plant-based products'!AB182</f>
        <v>4.883766360617308E-3</v>
      </c>
      <c r="AJ249" s="877">
        <f>$AF249*'Input data plant-based products'!AC182</f>
        <v>7.9507795858645633E-3</v>
      </c>
      <c r="AK249" s="886">
        <f>$AF249*'Input data plant-based products'!AD182</f>
        <v>9.8157772664994609E-3</v>
      </c>
      <c r="AL249" s="877"/>
      <c r="AM249" s="879">
        <f>'Input data plant-based products'!R182/'Input data plant-based products'!E182</f>
        <v>3.662824770462981E-3</v>
      </c>
      <c r="AN249" s="877">
        <f>$AM249*'Input data plant-based products'!Z182</f>
        <v>3.662824770462981E-3</v>
      </c>
      <c r="AO249" s="877">
        <f>$AM249*'Input data plant-based products'!AA182</f>
        <v>3.662824770462981E-3</v>
      </c>
      <c r="AP249" s="877">
        <f>$AM249*'Input data plant-based products'!AB182</f>
        <v>3.662824770462981E-3</v>
      </c>
      <c r="AQ249" s="877">
        <f>$AM249*'Input data plant-based products'!AC182</f>
        <v>5.9630846893984225E-3</v>
      </c>
      <c r="AR249" s="886">
        <f>$AM249*'Input data plant-based products'!AD182</f>
        <v>7.3618329498745961E-3</v>
      </c>
      <c r="AS249" s="877"/>
      <c r="AT249" s="879">
        <f>'Input data plant-based products'!S182</f>
        <v>0</v>
      </c>
      <c r="AU249" s="877">
        <f>$AT249*'Input data plant-based products'!Z182</f>
        <v>0</v>
      </c>
      <c r="AV249" s="877">
        <f>$AT249*'Input data plant-based products'!AA182</f>
        <v>0</v>
      </c>
      <c r="AW249" s="877">
        <f>$AT249*'Input data plant-based products'!AB182</f>
        <v>0</v>
      </c>
      <c r="AX249" s="877">
        <f>$AT249*'Input data plant-based products'!AC182</f>
        <v>0</v>
      </c>
      <c r="AY249" s="886">
        <f>$AT249*'Input data plant-based products'!AD182</f>
        <v>0</v>
      </c>
      <c r="AZ249" s="877"/>
      <c r="BA249" s="879">
        <f>((SUM('Input data plant-based products'!U182:Y182)*Y249)/('Common input data'!$B$192/10^6))/$BB$3</f>
        <v>1.5903092828353875E-8</v>
      </c>
      <c r="BB249" s="877">
        <f>$BA249*'Input data plant-based products'!Z182</f>
        <v>1.5903092828353875E-8</v>
      </c>
      <c r="BC249" s="877">
        <f>$BA249*'Input data plant-based products'!AA182</f>
        <v>1.5903092828353875E-8</v>
      </c>
      <c r="BD249" s="877">
        <f>$BA249*'Input data plant-based products'!AB182</f>
        <v>1.5903092828353875E-8</v>
      </c>
      <c r="BE249" s="877">
        <f>$BA249*'Input data plant-based products'!AC182</f>
        <v>2.5890261014821124E-8</v>
      </c>
      <c r="BF249" s="886">
        <f>$BA249*'Input data plant-based products'!AD182</f>
        <v>3.1963285203482872E-8</v>
      </c>
      <c r="BG249" s="877"/>
      <c r="BH249" s="879">
        <f>'Input data plant-based products'!T182/'Input data plant-based products'!E182</f>
        <v>0</v>
      </c>
      <c r="BI249" s="877">
        <f>$BH249*'Input data plant-based products'!Z182</f>
        <v>0</v>
      </c>
      <c r="BJ249" s="877">
        <f>$BH249*'Input data plant-based products'!AA182</f>
        <v>0</v>
      </c>
      <c r="BK249" s="877">
        <f>$BH249*'Input data plant-based products'!AB182</f>
        <v>0</v>
      </c>
      <c r="BL249" s="877">
        <f>$BH249*'Input data plant-based products'!AC182</f>
        <v>0</v>
      </c>
      <c r="BM249" s="886">
        <f>$BH249*'Input data plant-based products'!AD182</f>
        <v>0</v>
      </c>
      <c r="BN249" s="877"/>
      <c r="BO249" s="879">
        <f>('Input data plant-based products'!F182/'Input data plant-based products'!E182*'Common input data'!$B$195+'Input data plant-based products'!G182/'Input data plant-based products'!E182*'Common input data'!$B$196)/'Common input data'!$B$198</f>
        <v>1.2470078693804104E-4</v>
      </c>
      <c r="BP249" s="877">
        <f>$BO249*'Input data plant-based products'!Z182</f>
        <v>1.2470078693804104E-4</v>
      </c>
      <c r="BQ249" s="877">
        <f>$BO249*'Input data plant-based products'!AA182</f>
        <v>1.2470078693804104E-4</v>
      </c>
      <c r="BR249" s="877">
        <f>$BO249*'Input data plant-based products'!AB182</f>
        <v>1.2470078693804104E-4</v>
      </c>
      <c r="BS249" s="877">
        <f>$BO249*'Input data plant-based products'!AC182</f>
        <v>2.0301308414821497E-4</v>
      </c>
      <c r="BT249" s="886">
        <f>$BO249*'Input data plant-based products'!AD182</f>
        <v>2.5063343722001849E-4</v>
      </c>
      <c r="BU249" s="877"/>
      <c r="BV249" s="879">
        <f>('Common input data'!$B$220+'Common input data'!$C$220)*'Input data plant-based products'!AC182</f>
        <v>11.850061050061051</v>
      </c>
      <c r="BW249" s="886">
        <f>('Common input data'!$B$220+'Common input data'!$C$220)*'Input data plant-based products'!AD182</f>
        <v>14.629705000075372</v>
      </c>
      <c r="BX249" s="877"/>
      <c r="BY249" s="877"/>
      <c r="BZ249" s="877"/>
      <c r="CA249" s="877"/>
      <c r="CB249" s="877"/>
      <c r="CC249" s="877"/>
      <c r="CD249" s="877"/>
      <c r="CE249" s="877"/>
    </row>
    <row r="250" spans="1:83">
      <c r="A250" s="195"/>
      <c r="B250" s="55"/>
      <c r="C250" s="83"/>
      <c r="E250" s="511" t="s">
        <v>317</v>
      </c>
      <c r="F250" s="877">
        <f>IF(AND($F$2="No",$F$3="No"),SUM(L250:N250),IF(AND($F$2="Yes", $F$3="No"), (SUM(L250:M250)+S250), IF(AND($F$2="No", $F$3="Yes"),(SUM(L250:M250)+R250), (SUM(L250:M250)+S250+R250))))</f>
        <v>0.18728866872051869</v>
      </c>
      <c r="G250" s="877">
        <f>IF(AND($F$2="No",$F$3="No"),SUM(I250:Q250),IF(AND($F$2="Yes", $F$3="No"), (SUM(I250:Q250)+S250), IF(AND($F$2="No", $F$3="Yes"),(SUM(I250:Q250)+R250), (SUM(I250:Q250)+S250+R250))))</f>
        <v>0.18728866872051869</v>
      </c>
      <c r="H250" s="878">
        <f>SUM(U250:W250)/(1-'Common input data'!$D$143)</f>
        <v>0.83254565007850079</v>
      </c>
      <c r="I250" s="928"/>
      <c r="J250" s="877"/>
      <c r="K250" s="877"/>
      <c r="L250" s="877"/>
      <c r="M250" s="877">
        <v>0.27842771686189999</v>
      </c>
      <c r="N250" s="877"/>
      <c r="O250" s="877"/>
      <c r="P250" s="877"/>
      <c r="Q250" s="877"/>
      <c r="R250" s="877">
        <f>'Common input data'!$F$19</f>
        <v>-9.1139048141381296E-2</v>
      </c>
      <c r="S250" s="877"/>
      <c r="T250" s="877"/>
      <c r="U250" s="877">
        <f>G250+T250</f>
        <v>0.18728866872051869</v>
      </c>
      <c r="V250" s="877">
        <f>'Common input data'!$B$105</f>
        <v>0.05</v>
      </c>
      <c r="W250" s="878">
        <f>'Common input data'!$B$125+'Common input data'!$C$125</f>
        <v>0.43000000000000005</v>
      </c>
      <c r="X250" s="877"/>
      <c r="Y250" s="879"/>
      <c r="Z250" s="877"/>
      <c r="AA250" s="877"/>
      <c r="AB250" s="877"/>
      <c r="AC250" s="877"/>
      <c r="AD250" s="886"/>
      <c r="AE250" s="877"/>
      <c r="AF250" s="879"/>
      <c r="AG250" s="877"/>
      <c r="AH250" s="877"/>
      <c r="AI250" s="877"/>
      <c r="AJ250" s="877"/>
      <c r="AK250" s="886"/>
      <c r="AL250" s="877"/>
      <c r="AM250" s="879"/>
      <c r="AN250" s="877"/>
      <c r="AO250" s="877"/>
      <c r="AP250" s="877"/>
      <c r="AQ250" s="877"/>
      <c r="AR250" s="886"/>
      <c r="AS250" s="877"/>
      <c r="AT250" s="879"/>
      <c r="AU250" s="877"/>
      <c r="AV250" s="877"/>
      <c r="AW250" s="877"/>
      <c r="AX250" s="877"/>
      <c r="AY250" s="886"/>
      <c r="AZ250" s="877"/>
      <c r="BA250" s="879"/>
      <c r="BB250" s="877"/>
      <c r="BC250" s="877"/>
      <c r="BD250" s="877"/>
      <c r="BE250" s="877"/>
      <c r="BF250" s="886"/>
      <c r="BG250" s="877"/>
      <c r="BH250" s="879"/>
      <c r="BI250" s="877"/>
      <c r="BJ250" s="877"/>
      <c r="BK250" s="877"/>
      <c r="BL250" s="877"/>
      <c r="BM250" s="886"/>
      <c r="BN250" s="877"/>
      <c r="BO250" s="879"/>
      <c r="BP250" s="877"/>
      <c r="BQ250" s="877"/>
      <c r="BR250" s="877"/>
      <c r="BS250" s="877"/>
      <c r="BT250" s="886"/>
      <c r="BU250" s="877"/>
      <c r="BV250" s="879"/>
      <c r="BW250" s="886"/>
      <c r="BX250" s="877"/>
      <c r="BY250" s="877"/>
      <c r="BZ250" s="877"/>
      <c r="CA250" s="877"/>
      <c r="CB250" s="877"/>
      <c r="CC250" s="877"/>
      <c r="CD250" s="877"/>
      <c r="CE250" s="877"/>
    </row>
    <row r="251" spans="1:83">
      <c r="A251" s="195"/>
      <c r="B251" s="55"/>
      <c r="C251" s="83"/>
      <c r="E251" s="511" t="s">
        <v>367</v>
      </c>
      <c r="F251" s="877">
        <f>SUM(K251:M251)</f>
        <v>9.8465614035000005E-4</v>
      </c>
      <c r="G251" s="877">
        <f>SUM(I251:Q251)</f>
        <v>9.8465614035000005E-4</v>
      </c>
      <c r="H251" s="878">
        <f>SUM(U251:W251)/(1-'Common input data'!$D$143)</f>
        <v>1.2285105755554559E-3</v>
      </c>
      <c r="I251" s="928"/>
      <c r="J251" s="877"/>
      <c r="K251" s="877"/>
      <c r="L251" s="877"/>
      <c r="M251" s="877">
        <v>9.8465614035000005E-4</v>
      </c>
      <c r="N251" s="877"/>
      <c r="O251" s="877"/>
      <c r="P251" s="877"/>
      <c r="Q251" s="877"/>
      <c r="R251" s="877"/>
      <c r="S251" s="877"/>
      <c r="T251" s="877"/>
      <c r="U251" s="877">
        <f t="shared" ref="U251:U260" si="68">G251+T251</f>
        <v>9.8465614035000005E-4</v>
      </c>
      <c r="V251" s="877"/>
      <c r="W251" s="878"/>
      <c r="X251" s="877"/>
      <c r="Y251" s="879"/>
      <c r="Z251" s="877"/>
      <c r="AA251" s="877"/>
      <c r="AB251" s="877"/>
      <c r="AC251" s="877"/>
      <c r="AD251" s="886"/>
      <c r="AE251" s="877"/>
      <c r="AF251" s="879"/>
      <c r="AG251" s="877"/>
      <c r="AH251" s="877"/>
      <c r="AI251" s="877"/>
      <c r="AJ251" s="877"/>
      <c r="AK251" s="886"/>
      <c r="AL251" s="877"/>
      <c r="AM251" s="879"/>
      <c r="AN251" s="877"/>
      <c r="AO251" s="877"/>
      <c r="AP251" s="877"/>
      <c r="AQ251" s="877"/>
      <c r="AR251" s="886"/>
      <c r="AS251" s="877"/>
      <c r="AT251" s="879"/>
      <c r="AU251" s="877"/>
      <c r="AV251" s="877"/>
      <c r="AW251" s="877"/>
      <c r="AX251" s="877"/>
      <c r="AY251" s="886"/>
      <c r="AZ251" s="877"/>
      <c r="BA251" s="879"/>
      <c r="BB251" s="877"/>
      <c r="BC251" s="877"/>
      <c r="BD251" s="877"/>
      <c r="BE251" s="877"/>
      <c r="BF251" s="886"/>
      <c r="BG251" s="877"/>
      <c r="BH251" s="879"/>
      <c r="BI251" s="877"/>
      <c r="BJ251" s="877"/>
      <c r="BK251" s="877"/>
      <c r="BL251" s="877"/>
      <c r="BM251" s="886"/>
      <c r="BN251" s="877"/>
      <c r="BO251" s="879"/>
      <c r="BP251" s="877"/>
      <c r="BQ251" s="877"/>
      <c r="BR251" s="877"/>
      <c r="BS251" s="877"/>
      <c r="BT251" s="886"/>
      <c r="BU251" s="877"/>
      <c r="BV251" s="879"/>
      <c r="BW251" s="886"/>
      <c r="BX251" s="877"/>
      <c r="BY251" s="877"/>
      <c r="BZ251" s="877"/>
      <c r="CA251" s="877"/>
      <c r="CB251" s="877"/>
      <c r="CC251" s="877"/>
      <c r="CD251" s="877"/>
      <c r="CE251" s="877"/>
    </row>
    <row r="252" spans="1:83">
      <c r="A252" s="18"/>
      <c r="B252" s="360"/>
      <c r="C252" s="83"/>
      <c r="E252" s="512" t="s">
        <v>320</v>
      </c>
      <c r="F252" s="877">
        <f>SUM(K252:M252)</f>
        <v>5.0424314690000001E-4</v>
      </c>
      <c r="G252" s="877">
        <f>SUM(I252:Q252)</f>
        <v>5.0424314690000001E-4</v>
      </c>
      <c r="H252" s="878">
        <f>SUM(U252:W252)/(1-'Common input data'!$D$143)</f>
        <v>6.2912118579570408E-4</v>
      </c>
      <c r="I252" s="928"/>
      <c r="J252" s="877"/>
      <c r="K252" s="877"/>
      <c r="L252" s="877"/>
      <c r="M252" s="877">
        <v>5.0424314690000001E-4</v>
      </c>
      <c r="N252" s="877"/>
      <c r="O252" s="877"/>
      <c r="P252" s="877"/>
      <c r="Q252" s="877"/>
      <c r="R252" s="877"/>
      <c r="S252" s="877"/>
      <c r="T252" s="877"/>
      <c r="U252" s="877">
        <f t="shared" si="68"/>
        <v>5.0424314690000001E-4</v>
      </c>
      <c r="V252" s="877"/>
      <c r="W252" s="878"/>
      <c r="X252" s="877"/>
      <c r="Y252" s="879"/>
      <c r="Z252" s="877"/>
      <c r="AA252" s="877"/>
      <c r="AB252" s="877"/>
      <c r="AC252" s="877"/>
      <c r="AD252" s="886"/>
      <c r="AE252" s="877"/>
      <c r="AF252" s="879"/>
      <c r="AG252" s="877"/>
      <c r="AH252" s="877"/>
      <c r="AI252" s="877"/>
      <c r="AJ252" s="877"/>
      <c r="AK252" s="886"/>
      <c r="AL252" s="877"/>
      <c r="AM252" s="879"/>
      <c r="AN252" s="877"/>
      <c r="AO252" s="877"/>
      <c r="AP252" s="877"/>
      <c r="AQ252" s="877"/>
      <c r="AR252" s="886"/>
      <c r="AS252" s="877"/>
      <c r="AT252" s="879"/>
      <c r="AU252" s="877"/>
      <c r="AV252" s="877"/>
      <c r="AW252" s="877"/>
      <c r="AX252" s="877"/>
      <c r="AY252" s="886"/>
      <c r="AZ252" s="877"/>
      <c r="BA252" s="879"/>
      <c r="BB252" s="877"/>
      <c r="BC252" s="877"/>
      <c r="BD252" s="877"/>
      <c r="BE252" s="877"/>
      <c r="BF252" s="886"/>
      <c r="BG252" s="877"/>
      <c r="BH252" s="879"/>
      <c r="BI252" s="877"/>
      <c r="BJ252" s="877"/>
      <c r="BK252" s="877"/>
      <c r="BL252" s="877"/>
      <c r="BM252" s="886"/>
      <c r="BN252" s="877"/>
      <c r="BO252" s="879"/>
      <c r="BP252" s="877"/>
      <c r="BQ252" s="877"/>
      <c r="BR252" s="877"/>
      <c r="BS252" s="877"/>
      <c r="BT252" s="886"/>
      <c r="BU252" s="877"/>
      <c r="BV252" s="879"/>
      <c r="BW252" s="886"/>
      <c r="BX252" s="877"/>
      <c r="BY252" s="877"/>
      <c r="BZ252" s="877"/>
      <c r="CA252" s="877"/>
      <c r="CB252" s="877"/>
      <c r="CC252" s="877"/>
      <c r="CD252" s="877"/>
      <c r="CE252" s="877"/>
    </row>
    <row r="253" spans="1:83">
      <c r="A253" s="108" t="s">
        <v>139</v>
      </c>
      <c r="B253" s="93" t="s">
        <v>121</v>
      </c>
      <c r="C253" s="87">
        <f>'Input data plant-based products'!D183</f>
        <v>0.10955786739999999</v>
      </c>
      <c r="E253" s="513" t="s">
        <v>316</v>
      </c>
      <c r="F253" s="872">
        <f>SUMPRODUCT($CJ$6:$CJ$8,F254:F256)</f>
        <v>0.17031597733785872</v>
      </c>
      <c r="G253" s="872">
        <f>SUMPRODUCT($CJ$6:$CJ$8,G254:G256)</f>
        <v>0.17031597733785872</v>
      </c>
      <c r="H253" s="873">
        <f>SUMPRODUCT($CJ$6:$CJ$8,H254:H256)</f>
        <v>0.81136959683028242</v>
      </c>
      <c r="I253" s="1277"/>
      <c r="J253" s="884"/>
      <c r="K253" s="884"/>
      <c r="L253" s="884"/>
      <c r="M253" s="884"/>
      <c r="N253" s="884"/>
      <c r="O253" s="884"/>
      <c r="P253" s="884"/>
      <c r="Q253" s="884"/>
      <c r="R253" s="884"/>
      <c r="S253" s="884"/>
      <c r="T253" s="884"/>
      <c r="U253" s="884"/>
      <c r="V253" s="884"/>
      <c r="W253" s="1278"/>
      <c r="X253" s="877"/>
      <c r="Y253" s="879">
        <f>1/'Input data plant-based products'!E183*10^4</f>
        <v>1.7170329670329672</v>
      </c>
      <c r="Z253" s="877">
        <f>$Y253*'Input data plant-based products'!Z183</f>
        <v>1.7170329670329672</v>
      </c>
      <c r="AA253" s="877">
        <f>$Y253*'Input data plant-based products'!AA183</f>
        <v>1.7170329670329672</v>
      </c>
      <c r="AB253" s="877">
        <f>$Y253*'Input data plant-based products'!AB183</f>
        <v>1.7170329670329672</v>
      </c>
      <c r="AC253" s="877">
        <f>$Y253*'Input data plant-based products'!AC183</f>
        <v>2.7953324656621361</v>
      </c>
      <c r="AD253" s="886">
        <f>$Y253*'Input data plant-based products'!AD183</f>
        <v>3.4510277353853533</v>
      </c>
      <c r="AE253" s="877"/>
      <c r="AF253" s="879">
        <f>SUM('Input data plant-based products'!F183,'Input data plant-based products'!Q183)/'Input data plant-based products'!E183</f>
        <v>7.726648351648352E-3</v>
      </c>
      <c r="AG253" s="877">
        <f>$AF253*'Input data plant-based products'!Z183</f>
        <v>7.726648351648352E-3</v>
      </c>
      <c r="AH253" s="877">
        <f>$AF253*'Input data plant-based products'!AA183</f>
        <v>7.726648351648352E-3</v>
      </c>
      <c r="AI253" s="877">
        <f>$AF253*'Input data plant-based products'!AB183</f>
        <v>7.726648351648352E-3</v>
      </c>
      <c r="AJ253" s="877">
        <f>$AF253*'Input data plant-based products'!AC183</f>
        <v>1.2578996095479612E-2</v>
      </c>
      <c r="AK253" s="886">
        <f>$AF253*'Input data plant-based products'!AD183</f>
        <v>1.552962480923409E-2</v>
      </c>
      <c r="AL253" s="877"/>
      <c r="AM253" s="879">
        <f>'Input data plant-based products'!R183/'Input data plant-based products'!E183</f>
        <v>5.151098901098901E-3</v>
      </c>
      <c r="AN253" s="877">
        <f>$AM253*'Input data plant-based products'!Z183</f>
        <v>5.151098901098901E-3</v>
      </c>
      <c r="AO253" s="877">
        <f>$AM253*'Input data plant-based products'!AA183</f>
        <v>5.151098901098901E-3</v>
      </c>
      <c r="AP253" s="877">
        <f>$AM253*'Input data plant-based products'!AB183</f>
        <v>5.151098901098901E-3</v>
      </c>
      <c r="AQ253" s="877">
        <f>$AM253*'Input data plant-based products'!AC183</f>
        <v>8.3859973969864082E-3</v>
      </c>
      <c r="AR253" s="886">
        <f>$AM253*'Input data plant-based products'!AD183</f>
        <v>1.035308320615606E-2</v>
      </c>
      <c r="AS253" s="877"/>
      <c r="AT253" s="879">
        <f>'Input data plant-based products'!S183</f>
        <v>0</v>
      </c>
      <c r="AU253" s="877">
        <f>$AT253*'Input data plant-based products'!Z183</f>
        <v>0</v>
      </c>
      <c r="AV253" s="877">
        <f>$AT253*'Input data plant-based products'!AA183</f>
        <v>0</v>
      </c>
      <c r="AW253" s="877">
        <f>$AT253*'Input data plant-based products'!AB183</f>
        <v>0</v>
      </c>
      <c r="AX253" s="877">
        <f>$AT253*'Input data plant-based products'!AC183</f>
        <v>0</v>
      </c>
      <c r="AY253" s="886">
        <f>$AT253*'Input data plant-based products'!AD183</f>
        <v>0</v>
      </c>
      <c r="AZ253" s="877"/>
      <c r="BA253" s="879">
        <f>((SUM('Input data plant-based products'!U183:Y183)*Y253)/('Common input data'!$B$192/10^6))/$BB$3</f>
        <v>2.7844764391135016E-9</v>
      </c>
      <c r="BB253" s="877">
        <f>$BA253*'Input data plant-based products'!Z183</f>
        <v>2.7844764391135016E-9</v>
      </c>
      <c r="BC253" s="877">
        <f>$BA253*'Input data plant-based products'!AA183</f>
        <v>2.7844764391135016E-9</v>
      </c>
      <c r="BD253" s="877">
        <f>$BA253*'Input data plant-based products'!AB183</f>
        <v>2.7844764391135016E-9</v>
      </c>
      <c r="BE253" s="877">
        <f>$BA253*'Input data plant-based products'!AC183</f>
        <v>4.5331321760089572E-9</v>
      </c>
      <c r="BF253" s="886">
        <f>$BA253*'Input data plant-based products'!AD183</f>
        <v>5.596459476554268E-9</v>
      </c>
      <c r="BG253" s="877"/>
      <c r="BH253" s="879">
        <f>'Input data plant-based products'!T183/'Input data plant-based products'!E183</f>
        <v>0</v>
      </c>
      <c r="BI253" s="877">
        <f>$BH253*'Input data plant-based products'!Z183</f>
        <v>0</v>
      </c>
      <c r="BJ253" s="877">
        <f>$BH253*'Input data plant-based products'!AA183</f>
        <v>0</v>
      </c>
      <c r="BK253" s="877">
        <f>$BH253*'Input data plant-based products'!AB183</f>
        <v>0</v>
      </c>
      <c r="BL253" s="877">
        <f>$BH253*'Input data plant-based products'!AC183</f>
        <v>0</v>
      </c>
      <c r="BM253" s="886">
        <f>$BH253*'Input data plant-based products'!AD183</f>
        <v>0</v>
      </c>
      <c r="BN253" s="877"/>
      <c r="BO253" s="879">
        <f>('Input data plant-based products'!F183/'Input data plant-based products'!E183*'Common input data'!$B$195+'Input data plant-based products'!G183/'Input data plant-based products'!E183*'Common input data'!$B$196)/'Common input data'!$B$198</f>
        <v>1.9729017702687119E-4</v>
      </c>
      <c r="BP253" s="877">
        <f>$BO253*'Input data plant-based products'!Z183</f>
        <v>1.9729017702687119E-4</v>
      </c>
      <c r="BQ253" s="877">
        <f>$BO253*'Input data plant-based products'!AA183</f>
        <v>1.9729017702687119E-4</v>
      </c>
      <c r="BR253" s="877">
        <f>$BO253*'Input data plant-based products'!AB183</f>
        <v>1.9729017702687119E-4</v>
      </c>
      <c r="BS253" s="877">
        <f>$BO253*'Input data plant-based products'!AC183</f>
        <v>3.211887293884757E-4</v>
      </c>
      <c r="BT253" s="886">
        <f>$BO253*'Input data plant-based products'!AD183</f>
        <v>3.9652929554132802E-4</v>
      </c>
      <c r="BU253" s="877"/>
      <c r="BV253" s="879">
        <f>('Common input data'!$B$224+'Common input data'!C224)*'Input data plant-based products'!AC183</f>
        <v>11.164672364672365</v>
      </c>
      <c r="BW253" s="886">
        <f>('Common input data'!$B$224+'Common input data'!D224)*'Input data plant-based products'!AD183</f>
        <v>13.495731520422879</v>
      </c>
      <c r="BX253" s="877"/>
      <c r="BY253" s="877"/>
      <c r="BZ253" s="877"/>
      <c r="CA253" s="877"/>
      <c r="CB253" s="877"/>
      <c r="CC253" s="877"/>
      <c r="CD253" s="877"/>
      <c r="CE253" s="877"/>
    </row>
    <row r="254" spans="1:83">
      <c r="A254" s="18"/>
      <c r="B254" s="55"/>
      <c r="C254" s="83"/>
      <c r="E254" s="511" t="s">
        <v>317</v>
      </c>
      <c r="F254" s="877">
        <f>IF(AND($F$2="No",$F$3="No"),SUM(L254:N254),IF(AND($F$2="Yes", $F$3="No"), (SUM(L254:M254)+S254), IF(AND($F$2="No", $F$3="Yes"),(SUM(L254:M254)+R254), (SUM(L254:M254)+S254+R254))))</f>
        <v>7.4393864598618714E-2</v>
      </c>
      <c r="G254" s="877">
        <f>IF(AND($F$2="No",$F$3="No"),SUM(I254:Q254),IF(AND($F$2="Yes", $F$3="No"), (SUM(I254:Q254)+S254), IF(AND($F$2="No", $F$3="Yes"),(SUM(I254:Q254)+R254), (SUM(I254:Q254)+S254+R254))))</f>
        <v>7.4393864598618714E-2</v>
      </c>
      <c r="H254" s="878">
        <f>SUM(U254:W254)/(1-'Common input data'!$D$143)</f>
        <v>0.69169194988249427</v>
      </c>
      <c r="I254" s="928"/>
      <c r="J254" s="877"/>
      <c r="K254" s="877"/>
      <c r="L254" s="877"/>
      <c r="M254" s="877">
        <v>0.16553291274000001</v>
      </c>
      <c r="N254" s="877"/>
      <c r="O254" s="877"/>
      <c r="P254" s="877"/>
      <c r="Q254" s="877"/>
      <c r="R254" s="877">
        <f>'Common input data'!$F$19</f>
        <v>-9.1139048141381296E-2</v>
      </c>
      <c r="S254" s="877"/>
      <c r="T254" s="877"/>
      <c r="U254" s="877">
        <f t="shared" si="68"/>
        <v>7.4393864598618714E-2</v>
      </c>
      <c r="V254" s="877">
        <f>'Common input data'!$B$105</f>
        <v>0.05</v>
      </c>
      <c r="W254" s="878">
        <f>'Common input data'!$B$125+'Common input data'!$C$125</f>
        <v>0.43000000000000005</v>
      </c>
      <c r="X254" s="877"/>
      <c r="Y254" s="879"/>
      <c r="Z254" s="877"/>
      <c r="AA254" s="877"/>
      <c r="AB254" s="877"/>
      <c r="AC254" s="877"/>
      <c r="AD254" s="886"/>
      <c r="AE254" s="877"/>
      <c r="AF254" s="879"/>
      <c r="AG254" s="877"/>
      <c r="AH254" s="877"/>
      <c r="AI254" s="877"/>
      <c r="AJ254" s="877"/>
      <c r="AK254" s="886"/>
      <c r="AL254" s="877"/>
      <c r="AM254" s="879"/>
      <c r="AN254" s="877"/>
      <c r="AO254" s="877"/>
      <c r="AP254" s="877"/>
      <c r="AQ254" s="877"/>
      <c r="AR254" s="886"/>
      <c r="AS254" s="877"/>
      <c r="AT254" s="879"/>
      <c r="AU254" s="877"/>
      <c r="AV254" s="877"/>
      <c r="AW254" s="877"/>
      <c r="AX254" s="877"/>
      <c r="AY254" s="886"/>
      <c r="AZ254" s="877"/>
      <c r="BA254" s="879"/>
      <c r="BB254" s="877"/>
      <c r="BC254" s="877"/>
      <c r="BD254" s="877"/>
      <c r="BE254" s="877"/>
      <c r="BF254" s="886"/>
      <c r="BG254" s="877"/>
      <c r="BH254" s="879"/>
      <c r="BI254" s="877"/>
      <c r="BJ254" s="877"/>
      <c r="BK254" s="877"/>
      <c r="BL254" s="877"/>
      <c r="BM254" s="886"/>
      <c r="BN254" s="877"/>
      <c r="BO254" s="879"/>
      <c r="BP254" s="877"/>
      <c r="BQ254" s="877"/>
      <c r="BR254" s="877"/>
      <c r="BS254" s="877"/>
      <c r="BT254" s="886"/>
      <c r="BU254" s="877"/>
      <c r="BV254" s="879"/>
      <c r="BW254" s="886"/>
      <c r="BX254" s="877"/>
      <c r="BY254" s="877"/>
      <c r="BZ254" s="877"/>
      <c r="CA254" s="877"/>
      <c r="CB254" s="877"/>
      <c r="CC254" s="877"/>
      <c r="CD254" s="877"/>
      <c r="CE254" s="877"/>
    </row>
    <row r="255" spans="1:83">
      <c r="A255" s="195"/>
      <c r="B255" s="55"/>
      <c r="C255" s="83"/>
      <c r="E255" s="511" t="s">
        <v>367</v>
      </c>
      <c r="F255" s="877">
        <f>SUM(K255:M255)</f>
        <v>5.3972765919999997E-4</v>
      </c>
      <c r="G255" s="877">
        <f>SUM(I255:Q255)</f>
        <v>5.3972765919999997E-4</v>
      </c>
      <c r="H255" s="878">
        <f>SUM(U255:W255)/(1-'Common input data'!$D$143)</f>
        <v>6.7339359404319874E-4</v>
      </c>
      <c r="I255" s="928"/>
      <c r="J255" s="877"/>
      <c r="K255" s="877"/>
      <c r="L255" s="877"/>
      <c r="M255" s="877">
        <v>5.3972765919999997E-4</v>
      </c>
      <c r="N255" s="877"/>
      <c r="O255" s="877"/>
      <c r="P255" s="877"/>
      <c r="Q255" s="877"/>
      <c r="R255" s="877"/>
      <c r="S255" s="877"/>
      <c r="T255" s="877"/>
      <c r="U255" s="877">
        <f t="shared" si="68"/>
        <v>5.3972765919999997E-4</v>
      </c>
      <c r="V255" s="877"/>
      <c r="W255" s="878"/>
      <c r="X255" s="877"/>
      <c r="Y255" s="879"/>
      <c r="Z255" s="877"/>
      <c r="AA255" s="877"/>
      <c r="AB255" s="877"/>
      <c r="AC255" s="877"/>
      <c r="AD255" s="886"/>
      <c r="AE255" s="877"/>
      <c r="AF255" s="879"/>
      <c r="AG255" s="877"/>
      <c r="AH255" s="877"/>
      <c r="AI255" s="877"/>
      <c r="AJ255" s="877"/>
      <c r="AK255" s="886"/>
      <c r="AL255" s="877"/>
      <c r="AM255" s="879"/>
      <c r="AN255" s="877"/>
      <c r="AO255" s="877"/>
      <c r="AP255" s="877"/>
      <c r="AQ255" s="877"/>
      <c r="AR255" s="886"/>
      <c r="AS255" s="877"/>
      <c r="AT255" s="879"/>
      <c r="AU255" s="877"/>
      <c r="AV255" s="877"/>
      <c r="AW255" s="877"/>
      <c r="AX255" s="877"/>
      <c r="AY255" s="886"/>
      <c r="AZ255" s="877"/>
      <c r="BA255" s="879"/>
      <c r="BB255" s="877"/>
      <c r="BC255" s="877"/>
      <c r="BD255" s="877"/>
      <c r="BE255" s="877"/>
      <c r="BF255" s="886"/>
      <c r="BG255" s="877"/>
      <c r="BH255" s="879"/>
      <c r="BI255" s="877"/>
      <c r="BJ255" s="877"/>
      <c r="BK255" s="877"/>
      <c r="BL255" s="877"/>
      <c r="BM255" s="886"/>
      <c r="BN255" s="877"/>
      <c r="BO255" s="879"/>
      <c r="BP255" s="877"/>
      <c r="BQ255" s="877"/>
      <c r="BR255" s="877"/>
      <c r="BS255" s="877"/>
      <c r="BT255" s="886"/>
      <c r="BU255" s="877"/>
      <c r="BV255" s="879"/>
      <c r="BW255" s="886"/>
      <c r="BX255" s="877"/>
      <c r="BY255" s="877"/>
      <c r="BZ255" s="877"/>
      <c r="CA255" s="877"/>
      <c r="CB255" s="877"/>
      <c r="CC255" s="877"/>
      <c r="CD255" s="877"/>
      <c r="CE255" s="877"/>
    </row>
    <row r="256" spans="1:83">
      <c r="A256" s="18"/>
      <c r="B256" s="360"/>
      <c r="C256" s="83"/>
      <c r="E256" s="512" t="s">
        <v>320</v>
      </c>
      <c r="F256" s="877">
        <f>SUM(K256:M256)</f>
        <v>4.0079567700000002E-4</v>
      </c>
      <c r="G256" s="877">
        <f>SUM(I256:Q256)</f>
        <v>4.0079567700000002E-4</v>
      </c>
      <c r="H256" s="878">
        <f>SUM(U256:W256)/(1-'Common input data'!$D$143)</f>
        <v>5.0005449380165288E-4</v>
      </c>
      <c r="I256" s="928"/>
      <c r="J256" s="877"/>
      <c r="K256" s="877"/>
      <c r="L256" s="877"/>
      <c r="M256" s="877">
        <v>4.0079567700000002E-4</v>
      </c>
      <c r="N256" s="877"/>
      <c r="O256" s="877"/>
      <c r="P256" s="877"/>
      <c r="Q256" s="877"/>
      <c r="R256" s="877"/>
      <c r="S256" s="877"/>
      <c r="T256" s="877"/>
      <c r="U256" s="877">
        <f t="shared" si="68"/>
        <v>4.0079567700000002E-4</v>
      </c>
      <c r="V256" s="877"/>
      <c r="W256" s="878"/>
      <c r="X256" s="877"/>
      <c r="Y256" s="879"/>
      <c r="Z256" s="877"/>
      <c r="AA256" s="877"/>
      <c r="AB256" s="877"/>
      <c r="AC256" s="877"/>
      <c r="AD256" s="886"/>
      <c r="AE256" s="877"/>
      <c r="AF256" s="879"/>
      <c r="AG256" s="877"/>
      <c r="AH256" s="877"/>
      <c r="AI256" s="877"/>
      <c r="AJ256" s="877"/>
      <c r="AK256" s="886"/>
      <c r="AL256" s="877"/>
      <c r="AM256" s="879"/>
      <c r="AN256" s="877"/>
      <c r="AO256" s="877"/>
      <c r="AP256" s="877"/>
      <c r="AQ256" s="877"/>
      <c r="AR256" s="886"/>
      <c r="AS256" s="877"/>
      <c r="AT256" s="879"/>
      <c r="AU256" s="877"/>
      <c r="AV256" s="877"/>
      <c r="AW256" s="877"/>
      <c r="AX256" s="877"/>
      <c r="AY256" s="886"/>
      <c r="AZ256" s="877"/>
      <c r="BA256" s="879"/>
      <c r="BB256" s="877"/>
      <c r="BC256" s="877"/>
      <c r="BD256" s="877"/>
      <c r="BE256" s="877"/>
      <c r="BF256" s="886"/>
      <c r="BG256" s="877"/>
      <c r="BH256" s="879"/>
      <c r="BI256" s="877"/>
      <c r="BJ256" s="877"/>
      <c r="BK256" s="877"/>
      <c r="BL256" s="877"/>
      <c r="BM256" s="886"/>
      <c r="BN256" s="877"/>
      <c r="BO256" s="879"/>
      <c r="BP256" s="877"/>
      <c r="BQ256" s="877"/>
      <c r="BR256" s="877"/>
      <c r="BS256" s="877"/>
      <c r="BT256" s="886"/>
      <c r="BU256" s="877"/>
      <c r="BV256" s="879"/>
      <c r="BW256" s="886"/>
      <c r="BX256" s="877"/>
      <c r="BY256" s="877"/>
      <c r="BZ256" s="877"/>
      <c r="CA256" s="877"/>
      <c r="CB256" s="877"/>
      <c r="CC256" s="877"/>
      <c r="CD256" s="877"/>
      <c r="CE256" s="877"/>
    </row>
    <row r="257" spans="1:83">
      <c r="A257" s="108" t="s">
        <v>134</v>
      </c>
      <c r="B257" s="93" t="s">
        <v>121</v>
      </c>
      <c r="C257" s="87">
        <f>'Input data plant-based products'!D184</f>
        <v>0.43546814040234083</v>
      </c>
      <c r="E257" s="513" t="s">
        <v>316</v>
      </c>
      <c r="F257" s="872">
        <f>SUMPRODUCT($CJ$6:$CJ$8,F258:F260)</f>
        <v>0.26396519305766675</v>
      </c>
      <c r="G257" s="872">
        <f>SUMPRODUCT($CJ$6:$CJ$8,G258:G260)</f>
        <v>0.26396519305766675</v>
      </c>
      <c r="H257" s="873">
        <f>SUMPRODUCT($CJ$6:$CJ$8,H258:H260)</f>
        <v>0.84114617527148228</v>
      </c>
      <c r="I257" s="1277"/>
      <c r="J257" s="884"/>
      <c r="K257" s="884"/>
      <c r="L257" s="884"/>
      <c r="M257" s="884"/>
      <c r="N257" s="884"/>
      <c r="O257" s="884"/>
      <c r="P257" s="884"/>
      <c r="Q257" s="884"/>
      <c r="R257" s="884"/>
      <c r="S257" s="884"/>
      <c r="T257" s="884"/>
      <c r="U257" s="884"/>
      <c r="V257" s="884"/>
      <c r="W257" s="1278"/>
      <c r="X257" s="877"/>
      <c r="Y257" s="879"/>
      <c r="Z257" s="877"/>
      <c r="AA257" s="877"/>
      <c r="AB257" s="877"/>
      <c r="AC257" s="877"/>
      <c r="AD257" s="886"/>
      <c r="AE257" s="877"/>
      <c r="AF257" s="879"/>
      <c r="AG257" s="877"/>
      <c r="AH257" s="877"/>
      <c r="AI257" s="877"/>
      <c r="AJ257" s="877"/>
      <c r="AK257" s="886"/>
      <c r="AL257" s="877"/>
      <c r="AM257" s="879"/>
      <c r="AN257" s="877"/>
      <c r="AO257" s="877"/>
      <c r="AP257" s="877"/>
      <c r="AQ257" s="877"/>
      <c r="AR257" s="886"/>
      <c r="AS257" s="877"/>
      <c r="AT257" s="879"/>
      <c r="AU257" s="877"/>
      <c r="AV257" s="877"/>
      <c r="AW257" s="877"/>
      <c r="AX257" s="877"/>
      <c r="AY257" s="886"/>
      <c r="AZ257" s="877"/>
      <c r="BA257" s="879"/>
      <c r="BB257" s="877"/>
      <c r="BC257" s="877"/>
      <c r="BD257" s="877"/>
      <c r="BE257" s="877"/>
      <c r="BF257" s="886"/>
      <c r="BG257" s="877"/>
      <c r="BH257" s="879"/>
      <c r="BI257" s="877"/>
      <c r="BJ257" s="877"/>
      <c r="BK257" s="877"/>
      <c r="BL257" s="877"/>
      <c r="BM257" s="886"/>
      <c r="BN257" s="877"/>
      <c r="BO257" s="879"/>
      <c r="BP257" s="877"/>
      <c r="BQ257" s="877"/>
      <c r="BR257" s="877"/>
      <c r="BS257" s="877"/>
      <c r="BT257" s="886"/>
      <c r="BU257" s="877"/>
      <c r="BV257" s="879"/>
      <c r="BW257" s="886"/>
      <c r="BX257" s="877"/>
      <c r="BY257" s="877"/>
      <c r="BZ257" s="877"/>
      <c r="CA257" s="877"/>
      <c r="CB257" s="877"/>
      <c r="CC257" s="877"/>
      <c r="CD257" s="877"/>
      <c r="CE257" s="877"/>
    </row>
    <row r="258" spans="1:83">
      <c r="A258" s="359"/>
      <c r="B258" s="360"/>
      <c r="C258" s="83"/>
      <c r="E258" s="511" t="s">
        <v>317</v>
      </c>
      <c r="F258" s="877">
        <f>IF(AND($F$2="No",$F$3="No"),SUM(L258:N258),IF(AND($F$2="Yes", $F$3="No"), (SUM(L258:M258)+S258), IF(AND($F$2="No", $F$3="Yes"),(SUM(L258:M258)+R258), (SUM(L258:M258)+S258+R258))))</f>
        <v>0.15791446104921872</v>
      </c>
      <c r="G258" s="877">
        <f>IF(AND($F$2="No",$F$3="No"),SUM(I258:Q258),IF(AND($F$2="Yes", $F$3="No"), (SUM(I258:Q258)+S258), IF(AND($F$2="No", $F$3="Yes"),(SUM(I258:Q258)+R258), (SUM(I258:Q258)+S258+R258))))</f>
        <v>0.15791446104921872</v>
      </c>
      <c r="H258" s="878">
        <f>SUM(U258:W258)/(1-'Common input data'!$I$143)</f>
        <v>0.72124249100498927</v>
      </c>
      <c r="I258" s="928"/>
      <c r="J258" s="877"/>
      <c r="K258" s="877"/>
      <c r="L258" s="877"/>
      <c r="M258" s="877">
        <v>0.24905350919060001</v>
      </c>
      <c r="N258" s="877"/>
      <c r="O258" s="877"/>
      <c r="P258" s="877"/>
      <c r="Q258" s="877"/>
      <c r="R258" s="877">
        <f>'Common input data'!$F$19</f>
        <v>-9.1139048141381296E-2</v>
      </c>
      <c r="S258" s="877"/>
      <c r="T258" s="877"/>
      <c r="U258" s="877">
        <f t="shared" si="68"/>
        <v>0.15791446104921872</v>
      </c>
      <c r="V258" s="877">
        <f>'Common input data'!$B$105</f>
        <v>0.05</v>
      </c>
      <c r="W258" s="878">
        <f>'Common input data'!$B$128+'Common input data'!$C$128</f>
        <v>0.43000000000000005</v>
      </c>
      <c r="X258" s="877"/>
      <c r="Y258" s="879">
        <f>1/'Input data plant-based products'!E184*10^4</f>
        <v>1.9744895944398371</v>
      </c>
      <c r="Z258" s="877">
        <f>$Y258*'Input data plant-based products'!Z184</f>
        <v>1.9744895944398371</v>
      </c>
      <c r="AA258" s="877">
        <f>$Y258*'Input data plant-based products'!AA184</f>
        <v>1.9744895944398371</v>
      </c>
      <c r="AB258" s="877">
        <f>$Y258*'Input data plant-based products'!AB184</f>
        <v>1.9744895944398371</v>
      </c>
      <c r="AC258" s="877">
        <f>$Y258*'Input data plant-based products'!AC184</f>
        <v>2.709382505131781</v>
      </c>
      <c r="AD258" s="886">
        <f>$Y258*'Input data plant-based products'!AD184</f>
        <v>3.3449166730021984</v>
      </c>
      <c r="AE258" s="877"/>
      <c r="AF258" s="879">
        <f>SUM('Input data plant-based products'!F184,'Input data plant-based products'!Q184)/'Input data plant-based products'!E184</f>
        <v>1.03695E-2</v>
      </c>
      <c r="AG258" s="877">
        <f>$AF258*'Input data plant-based products'!Z184</f>
        <v>1.03695E-2</v>
      </c>
      <c r="AH258" s="877">
        <f>$AF258*'Input data plant-based products'!AA184</f>
        <v>1.03695E-2</v>
      </c>
      <c r="AI258" s="877">
        <f>$AF258*'Input data plant-based products'!AB184</f>
        <v>1.03695E-2</v>
      </c>
      <c r="AJ258" s="877">
        <f>$AF258*'Input data plant-based products'!AC184</f>
        <v>1.4228964268071792E-2</v>
      </c>
      <c r="AK258" s="886">
        <f>$AF258*'Input data plant-based products'!AD184</f>
        <v>1.7566622553175051E-2</v>
      </c>
      <c r="AL258" s="877"/>
      <c r="AM258" s="879">
        <f>'Input data plant-based products'!R184/'Input data plant-based products'!E184</f>
        <v>6.0686999999999998E-3</v>
      </c>
      <c r="AN258" s="877">
        <f>$AM258*'Input data plant-based products'!Z184</f>
        <v>6.0686999999999998E-3</v>
      </c>
      <c r="AO258" s="877">
        <f>$AM258*'Input data plant-based products'!AA184</f>
        <v>6.0686999999999998E-3</v>
      </c>
      <c r="AP258" s="877">
        <f>$AM258*'Input data plant-based products'!AB184</f>
        <v>6.0686999999999998E-3</v>
      </c>
      <c r="AQ258" s="877">
        <f>$AM258*'Input data plant-based products'!AC184</f>
        <v>8.3274328997200719E-3</v>
      </c>
      <c r="AR258" s="886">
        <f>$AM258*'Input data plant-based products'!AD184</f>
        <v>1.0280781357679099E-2</v>
      </c>
      <c r="AS258" s="877"/>
      <c r="AT258" s="879">
        <f>'Input data plant-based products'!S184</f>
        <v>1.6474172711096E-3</v>
      </c>
      <c r="AU258" s="877">
        <f>$AT258*'Input data plant-based products'!Z184</f>
        <v>1.6474172711096E-3</v>
      </c>
      <c r="AV258" s="877">
        <f>$AT258*'Input data plant-based products'!AA184</f>
        <v>1.6474172711096E-3</v>
      </c>
      <c r="AW258" s="877">
        <f>$AT258*'Input data plant-based products'!AB184</f>
        <v>1.6474172711096E-3</v>
      </c>
      <c r="AX258" s="877">
        <f>$AT258*'Input data plant-based products'!AC184</f>
        <v>2.2605758701213017E-3</v>
      </c>
      <c r="AY258" s="886">
        <f>$AT258*'Input data plant-based products'!AD184</f>
        <v>2.7908344075571623E-3</v>
      </c>
      <c r="AZ258" s="877"/>
      <c r="BA258" s="879">
        <f>((SUM('Input data plant-based products'!U184:Y184)*Y258)/('Common input data'!$B$192/10^6))/$BB$3</f>
        <v>1.2859129200859847E-8</v>
      </c>
      <c r="BB258" s="877">
        <f>$BA258*'Input data plant-based products'!Z184</f>
        <v>1.2859129200859847E-8</v>
      </c>
      <c r="BC258" s="877">
        <f>$BA258*'Input data plant-based products'!AA184</f>
        <v>1.2859129200859847E-8</v>
      </c>
      <c r="BD258" s="877">
        <f>$BA258*'Input data plant-based products'!AB184</f>
        <v>1.2859129200859847E-8</v>
      </c>
      <c r="BE258" s="877">
        <f>$BA258*'Input data plant-based products'!AC184</f>
        <v>1.7645218180004179E-8</v>
      </c>
      <c r="BF258" s="886">
        <f>$BA258*'Input data plant-based products'!AD184</f>
        <v>2.17842199753138E-8</v>
      </c>
      <c r="BG258" s="877"/>
      <c r="BH258" s="879">
        <f>'Input data plant-based products'!T184/'Input data plant-based products'!E184</f>
        <v>0</v>
      </c>
      <c r="BI258" s="877">
        <f>$BH258*'Input data plant-based products'!Z184</f>
        <v>0</v>
      </c>
      <c r="BJ258" s="877">
        <f>$BH258*'Input data plant-based products'!AA184</f>
        <v>0</v>
      </c>
      <c r="BK258" s="877">
        <f>$BH258*'Input data plant-based products'!AB184</f>
        <v>0</v>
      </c>
      <c r="BL258" s="877">
        <f>$BH258*'Input data plant-based products'!AC184</f>
        <v>0</v>
      </c>
      <c r="BM258" s="886">
        <f>$BH258*'Input data plant-based products'!AD184</f>
        <v>0</v>
      </c>
      <c r="BN258" s="877"/>
      <c r="BO258" s="879">
        <f>('Input data plant-based products'!F184/'Input data plant-based products'!E184*'Common input data'!$B$195+'Input data plant-based products'!G184/'Input data plant-based products'!E184*'Common input data'!$B$196)/'Common input data'!$B$198</f>
        <v>2.6477204572713641E-4</v>
      </c>
      <c r="BP258" s="877">
        <f>$BO258*'Input data plant-based products'!Z184</f>
        <v>2.6477204572713641E-4</v>
      </c>
      <c r="BQ258" s="877">
        <f>$BO258*'Input data plant-based products'!AA184</f>
        <v>2.6477204572713641E-4</v>
      </c>
      <c r="BR258" s="877">
        <f>$BO258*'Input data plant-based products'!AB184</f>
        <v>2.6477204572713641E-4</v>
      </c>
      <c r="BS258" s="877">
        <f>$BO258*'Input data plant-based products'!AC184</f>
        <v>3.6331857638610292E-4</v>
      </c>
      <c r="BT258" s="886">
        <f>$BO258*'Input data plant-based products'!AD184</f>
        <v>4.4854145232852208E-4</v>
      </c>
      <c r="BU258" s="877"/>
      <c r="BV258" s="879">
        <f>('Common input data'!$B$228+'Common input data'!$C$228)*'Input data plant-based products'!AC184</f>
        <v>7.7562421752278485</v>
      </c>
      <c r="BW258" s="886">
        <f>('Common input data'!$B$228+'Common input data'!$C$228)*'Input data plant-based products'!AD184</f>
        <v>9.5756076237380832</v>
      </c>
      <c r="BX258" s="877"/>
      <c r="BY258" s="877"/>
      <c r="BZ258" s="877"/>
      <c r="CA258" s="877"/>
      <c r="CB258" s="877"/>
      <c r="CC258" s="877"/>
      <c r="CD258" s="877"/>
      <c r="CE258" s="877"/>
    </row>
    <row r="259" spans="1:83">
      <c r="A259" s="359"/>
      <c r="B259" s="360"/>
      <c r="C259" s="83"/>
      <c r="E259" s="511" t="s">
        <v>367</v>
      </c>
      <c r="F259" s="877">
        <f>SUM(K259:M259)</f>
        <v>8.1152496543999985E-4</v>
      </c>
      <c r="G259" s="877">
        <f>SUM(I259:Q259)</f>
        <v>8.1152496543999985E-4</v>
      </c>
      <c r="H259" s="878">
        <f>SUM(U259:W259)/(1-'Common input data'!$I$143)</f>
        <v>9.1753099094821038E-4</v>
      </c>
      <c r="I259" s="928"/>
      <c r="J259" s="877"/>
      <c r="K259" s="877"/>
      <c r="L259" s="877"/>
      <c r="M259" s="877">
        <v>8.1152496543999985E-4</v>
      </c>
      <c r="N259" s="877"/>
      <c r="O259" s="877"/>
      <c r="P259" s="877"/>
      <c r="Q259" s="877"/>
      <c r="R259" s="877"/>
      <c r="S259" s="877"/>
      <c r="T259" s="877"/>
      <c r="U259" s="877">
        <f t="shared" si="68"/>
        <v>8.1152496543999985E-4</v>
      </c>
      <c r="V259" s="877"/>
      <c r="W259" s="878"/>
      <c r="X259" s="877"/>
      <c r="Y259" s="879"/>
      <c r="Z259" s="877"/>
      <c r="AA259" s="877"/>
      <c r="AB259" s="877"/>
      <c r="AC259" s="877"/>
      <c r="AD259" s="886"/>
      <c r="AE259" s="877"/>
      <c r="AF259" s="879"/>
      <c r="AG259" s="877"/>
      <c r="AH259" s="877"/>
      <c r="AI259" s="877"/>
      <c r="AJ259" s="877"/>
      <c r="AK259" s="886"/>
      <c r="AL259" s="877"/>
      <c r="AM259" s="879"/>
      <c r="AN259" s="877"/>
      <c r="AO259" s="877"/>
      <c r="AP259" s="877"/>
      <c r="AQ259" s="877"/>
      <c r="AR259" s="886"/>
      <c r="AS259" s="877"/>
      <c r="AT259" s="879"/>
      <c r="AU259" s="877"/>
      <c r="AV259" s="877"/>
      <c r="AW259" s="877"/>
      <c r="AX259" s="877"/>
      <c r="AY259" s="886"/>
      <c r="AZ259" s="877"/>
      <c r="BA259" s="879"/>
      <c r="BB259" s="877"/>
      <c r="BC259" s="877"/>
      <c r="BD259" s="877"/>
      <c r="BE259" s="877"/>
      <c r="BF259" s="886"/>
      <c r="BG259" s="877"/>
      <c r="BH259" s="879"/>
      <c r="BI259" s="877"/>
      <c r="BJ259" s="877"/>
      <c r="BK259" s="877"/>
      <c r="BL259" s="877"/>
      <c r="BM259" s="886"/>
      <c r="BN259" s="877"/>
      <c r="BO259" s="879"/>
      <c r="BP259" s="877"/>
      <c r="BQ259" s="877"/>
      <c r="BR259" s="877"/>
      <c r="BS259" s="877"/>
      <c r="BT259" s="886"/>
      <c r="BU259" s="877"/>
      <c r="BV259" s="879"/>
      <c r="BW259" s="886"/>
      <c r="BX259" s="877"/>
      <c r="BY259" s="877"/>
      <c r="BZ259" s="877"/>
      <c r="CA259" s="877"/>
      <c r="CB259" s="877"/>
      <c r="CC259" s="877"/>
      <c r="CD259" s="877"/>
      <c r="CE259" s="877"/>
    </row>
    <row r="260" spans="1:83">
      <c r="A260" s="359"/>
      <c r="B260" s="360"/>
      <c r="C260" s="83"/>
      <c r="E260" s="512" t="s">
        <v>320</v>
      </c>
      <c r="F260" s="877">
        <f>SUM(K260:M260)</f>
        <v>4.3878353936000001E-4</v>
      </c>
      <c r="G260" s="877">
        <f>SUM(I260:Q260)</f>
        <v>4.3878353936000001E-4</v>
      </c>
      <c r="H260" s="878">
        <f>SUM(U260:W260)/(1-'Common input data'!$I$143)</f>
        <v>4.9609995111174433E-4</v>
      </c>
      <c r="I260" s="928"/>
      <c r="J260" s="877"/>
      <c r="K260" s="877"/>
      <c r="L260" s="877"/>
      <c r="M260" s="877">
        <v>4.3878353936000001E-4</v>
      </c>
      <c r="N260" s="877"/>
      <c r="O260" s="877"/>
      <c r="P260" s="877"/>
      <c r="Q260" s="877"/>
      <c r="R260" s="877"/>
      <c r="S260" s="877"/>
      <c r="T260" s="877"/>
      <c r="U260" s="877">
        <f t="shared" si="68"/>
        <v>4.3878353936000001E-4</v>
      </c>
      <c r="V260" s="877"/>
      <c r="W260" s="878"/>
      <c r="X260" s="877"/>
      <c r="Y260" s="879"/>
      <c r="Z260" s="877"/>
      <c r="AA260" s="877"/>
      <c r="AB260" s="877"/>
      <c r="AC260" s="877"/>
      <c r="AD260" s="886"/>
      <c r="AE260" s="877"/>
      <c r="AF260" s="879"/>
      <c r="AG260" s="877"/>
      <c r="AH260" s="877"/>
      <c r="AI260" s="877"/>
      <c r="AJ260" s="877"/>
      <c r="AK260" s="886"/>
      <c r="AL260" s="877"/>
      <c r="AM260" s="879"/>
      <c r="AN260" s="877"/>
      <c r="AO260" s="877"/>
      <c r="AP260" s="877"/>
      <c r="AQ260" s="877"/>
      <c r="AR260" s="886"/>
      <c r="AS260" s="877"/>
      <c r="AT260" s="879"/>
      <c r="AU260" s="877"/>
      <c r="AV260" s="877"/>
      <c r="AW260" s="877"/>
      <c r="AX260" s="877"/>
      <c r="AY260" s="886"/>
      <c r="AZ260" s="877"/>
      <c r="BA260" s="879"/>
      <c r="BB260" s="877"/>
      <c r="BC260" s="877"/>
      <c r="BD260" s="877"/>
      <c r="BE260" s="877"/>
      <c r="BF260" s="886"/>
      <c r="BG260" s="877"/>
      <c r="BH260" s="879"/>
      <c r="BI260" s="877"/>
      <c r="BJ260" s="877"/>
      <c r="BK260" s="877"/>
      <c r="BL260" s="877"/>
      <c r="BM260" s="886"/>
      <c r="BN260" s="877"/>
      <c r="BO260" s="879"/>
      <c r="BP260" s="877"/>
      <c r="BQ260" s="877"/>
      <c r="BR260" s="877"/>
      <c r="BS260" s="877"/>
      <c r="BT260" s="886"/>
      <c r="BU260" s="877"/>
      <c r="BV260" s="879"/>
      <c r="BW260" s="886"/>
      <c r="BX260" s="877"/>
      <c r="BY260" s="877"/>
      <c r="BZ260" s="877"/>
      <c r="CA260" s="877"/>
      <c r="CB260" s="877"/>
      <c r="CC260" s="877"/>
      <c r="CD260" s="877"/>
      <c r="CE260" s="877"/>
    </row>
    <row r="261" spans="1:83">
      <c r="A261" s="362" t="s">
        <v>191</v>
      </c>
      <c r="B261" s="363"/>
      <c r="C261" s="770"/>
      <c r="E261" s="939"/>
      <c r="F261" s="892" t="s">
        <v>469</v>
      </c>
      <c r="G261" s="892" t="s">
        <v>469</v>
      </c>
      <c r="H261" s="970" t="s">
        <v>469</v>
      </c>
      <c r="I261" s="969"/>
      <c r="J261" s="892"/>
      <c r="K261" s="892"/>
      <c r="L261" s="892"/>
      <c r="M261" s="892"/>
      <c r="N261" s="892"/>
      <c r="O261" s="892"/>
      <c r="P261" s="892"/>
      <c r="Q261" s="892"/>
      <c r="R261" s="892"/>
      <c r="S261" s="892"/>
      <c r="T261" s="892"/>
      <c r="U261" s="892"/>
      <c r="V261" s="892"/>
      <c r="W261" s="970"/>
      <c r="X261" s="877"/>
      <c r="Y261" s="879"/>
      <c r="Z261" s="877"/>
      <c r="AA261" s="877"/>
      <c r="AB261" s="877"/>
      <c r="AC261" s="877"/>
      <c r="AD261" s="886"/>
      <c r="AE261" s="877"/>
      <c r="AF261" s="879"/>
      <c r="AG261" s="877"/>
      <c r="AH261" s="877"/>
      <c r="AI261" s="877"/>
      <c r="AJ261" s="877"/>
      <c r="AK261" s="886"/>
      <c r="AL261" s="877"/>
      <c r="AM261" s="879"/>
      <c r="AN261" s="877"/>
      <c r="AO261" s="877"/>
      <c r="AP261" s="877"/>
      <c r="AQ261" s="877"/>
      <c r="AR261" s="886"/>
      <c r="AS261" s="877"/>
      <c r="AT261" s="879"/>
      <c r="AU261" s="877"/>
      <c r="AV261" s="877"/>
      <c r="AW261" s="877"/>
      <c r="AX261" s="877"/>
      <c r="AY261" s="886"/>
      <c r="AZ261" s="877"/>
      <c r="BA261" s="879"/>
      <c r="BB261" s="877"/>
      <c r="BC261" s="877"/>
      <c r="BD261" s="877"/>
      <c r="BE261" s="877"/>
      <c r="BF261" s="886"/>
      <c r="BG261" s="877"/>
      <c r="BH261" s="879"/>
      <c r="BI261" s="877"/>
      <c r="BJ261" s="877"/>
      <c r="BK261" s="877"/>
      <c r="BL261" s="877"/>
      <c r="BM261" s="886"/>
      <c r="BN261" s="877"/>
      <c r="BO261" s="879"/>
      <c r="BP261" s="877"/>
      <c r="BQ261" s="877"/>
      <c r="BR261" s="877"/>
      <c r="BS261" s="877"/>
      <c r="BT261" s="886"/>
      <c r="BU261" s="877"/>
      <c r="BV261" s="879"/>
      <c r="BW261" s="886"/>
      <c r="BX261" s="877"/>
      <c r="BY261" s="877"/>
      <c r="BZ261" s="877"/>
      <c r="CA261" s="877"/>
      <c r="CB261" s="877"/>
      <c r="CC261" s="877"/>
      <c r="CD261" s="877"/>
      <c r="CE261" s="877"/>
    </row>
    <row r="262" spans="1:83">
      <c r="A262" s="108" t="s">
        <v>120</v>
      </c>
      <c r="B262" s="93" t="s">
        <v>121</v>
      </c>
      <c r="C262" s="87">
        <f>SUM(C266:C278)</f>
        <v>1</v>
      </c>
      <c r="E262" s="513" t="s">
        <v>316</v>
      </c>
      <c r="F262" s="872">
        <f>SUMPRODUCT($CJ$6:$CJ$8,F263:F265)</f>
        <v>1.7114715743453455</v>
      </c>
      <c r="G262" s="872">
        <f>SUMPRODUCT($CJ$6:$CJ$8,G263:G265)</f>
        <v>1.7114715743453455</v>
      </c>
      <c r="H262" s="873">
        <f>SUMPRODUCT($CJ$6:$CJ$8,H263:H265)</f>
        <v>2.914410047591224</v>
      </c>
      <c r="I262" s="1277"/>
      <c r="J262" s="884"/>
      <c r="K262" s="884"/>
      <c r="L262" s="884"/>
      <c r="M262" s="884"/>
      <c r="N262" s="884"/>
      <c r="O262" s="884"/>
      <c r="P262" s="884"/>
      <c r="Q262" s="884"/>
      <c r="R262" s="884"/>
      <c r="S262" s="884"/>
      <c r="T262" s="884"/>
      <c r="U262" s="884"/>
      <c r="V262" s="884"/>
      <c r="W262" s="1278"/>
      <c r="X262" s="877"/>
      <c r="Y262" s="883">
        <f>Y266*$C$266+Y270*$C$270+Y275*$C$274+Y279*$C$278</f>
        <v>1.9756414716639337</v>
      </c>
      <c r="Z262" s="884">
        <f t="shared" ref="Z262:BT262" si="69">Z266*$C$266+Z270*$C$270+Z275*$C$274+Z279*$C$278</f>
        <v>1.9756414716639337</v>
      </c>
      <c r="AA262" s="884">
        <f t="shared" si="69"/>
        <v>5.5317961206590152</v>
      </c>
      <c r="AB262" s="884">
        <f t="shared" si="69"/>
        <v>5.5317961206590152</v>
      </c>
      <c r="AC262" s="884">
        <f t="shared" si="69"/>
        <v>6.6128538268622536</v>
      </c>
      <c r="AD262" s="885">
        <f t="shared" si="69"/>
        <v>6.8883894029815149</v>
      </c>
      <c r="AE262" s="877"/>
      <c r="AF262" s="883">
        <f t="shared" si="69"/>
        <v>9.3780054150844148E-3</v>
      </c>
      <c r="AG262" s="884">
        <f t="shared" si="69"/>
        <v>9.3780054150844148E-3</v>
      </c>
      <c r="AH262" s="884">
        <f t="shared" si="69"/>
        <v>2.625841516223636E-2</v>
      </c>
      <c r="AI262" s="884">
        <f t="shared" si="69"/>
        <v>2.625841516223636E-2</v>
      </c>
      <c r="AJ262" s="884">
        <f t="shared" si="69"/>
        <v>3.0841409551129843E-2</v>
      </c>
      <c r="AK262" s="885">
        <f t="shared" si="69"/>
        <v>3.2126468282426927E-2</v>
      </c>
      <c r="AL262" s="877"/>
      <c r="AM262" s="883">
        <f t="shared" si="69"/>
        <v>5.2119619972443463E-3</v>
      </c>
      <c r="AN262" s="884">
        <f t="shared" si="69"/>
        <v>5.2119619972443463E-3</v>
      </c>
      <c r="AO262" s="884">
        <f t="shared" si="69"/>
        <v>1.4593493592284169E-2</v>
      </c>
      <c r="AP262" s="884">
        <f t="shared" si="69"/>
        <v>1.4593493592284169E-2</v>
      </c>
      <c r="AQ262" s="884">
        <f t="shared" si="69"/>
        <v>1.729910008369262E-2</v>
      </c>
      <c r="AR262" s="885">
        <f t="shared" si="69"/>
        <v>1.8019895920513149E-2</v>
      </c>
      <c r="AS262" s="877"/>
      <c r="AT262" s="883">
        <f t="shared" si="69"/>
        <v>4.6127683591068805E-4</v>
      </c>
      <c r="AU262" s="884">
        <f t="shared" si="69"/>
        <v>4.6127683591068805E-4</v>
      </c>
      <c r="AV262" s="884">
        <f t="shared" si="69"/>
        <v>1.2915751405499264E-3</v>
      </c>
      <c r="AW262" s="884">
        <f t="shared" si="69"/>
        <v>1.2915751405499264E-3</v>
      </c>
      <c r="AX262" s="884">
        <f t="shared" si="69"/>
        <v>1.4602880614403794E-3</v>
      </c>
      <c r="AY262" s="885">
        <f t="shared" si="69"/>
        <v>1.5211333973337287E-3</v>
      </c>
      <c r="AZ262" s="877"/>
      <c r="BA262" s="883">
        <f t="shared" si="69"/>
        <v>6.3095916328755163E-9</v>
      </c>
      <c r="BB262" s="884">
        <f t="shared" si="69"/>
        <v>6.3095916328755163E-9</v>
      </c>
      <c r="BC262" s="884">
        <f t="shared" si="69"/>
        <v>1.7666856572051442E-8</v>
      </c>
      <c r="BD262" s="884">
        <f t="shared" si="69"/>
        <v>1.7666856572051442E-8</v>
      </c>
      <c r="BE262" s="884">
        <f t="shared" si="69"/>
        <v>2.1456070620847128E-8</v>
      </c>
      <c r="BF262" s="885">
        <f t="shared" si="69"/>
        <v>2.235007356338243E-8</v>
      </c>
      <c r="BG262" s="877"/>
      <c r="BH262" s="883">
        <f t="shared" si="69"/>
        <v>0</v>
      </c>
      <c r="BI262" s="884">
        <f t="shared" si="69"/>
        <v>0</v>
      </c>
      <c r="BJ262" s="884">
        <f t="shared" si="69"/>
        <v>0</v>
      </c>
      <c r="BK262" s="884">
        <f t="shared" si="69"/>
        <v>0</v>
      </c>
      <c r="BL262" s="884">
        <f t="shared" si="69"/>
        <v>0</v>
      </c>
      <c r="BM262" s="885">
        <f t="shared" si="69"/>
        <v>0</v>
      </c>
      <c r="BN262" s="877"/>
      <c r="BO262" s="883">
        <f t="shared" si="69"/>
        <v>2.3945548759265767E-4</v>
      </c>
      <c r="BP262" s="884">
        <f t="shared" si="69"/>
        <v>2.3945548759265767E-4</v>
      </c>
      <c r="BQ262" s="884">
        <f t="shared" si="69"/>
        <v>6.7047536525944142E-4</v>
      </c>
      <c r="BR262" s="884">
        <f t="shared" si="69"/>
        <v>6.7047536525944142E-4</v>
      </c>
      <c r="BS262" s="884">
        <f>BS266*$C$266+BS270*$C$270+BS275*$C$274+BS279*$C$278</f>
        <v>7.874963209374699E-4</v>
      </c>
      <c r="BT262" s="885">
        <f t="shared" si="69"/>
        <v>8.2030866764319773E-4</v>
      </c>
      <c r="BU262" s="877"/>
      <c r="BV262" s="883">
        <f>BV266*$C$266+BV270*$C$270+BV274*$C$274+BV278*$C$278</f>
        <v>21.54476231639223</v>
      </c>
      <c r="BW262" s="885">
        <f>BW266*$C$266+BW270*$C$270+BW274*$C$274+BW278*$C$278</f>
        <v>22.44246074624191</v>
      </c>
      <c r="BX262" s="877"/>
      <c r="BY262" s="877"/>
      <c r="BZ262" s="877"/>
      <c r="CA262" s="877"/>
      <c r="CB262" s="877"/>
      <c r="CC262" s="877"/>
      <c r="CD262" s="877"/>
      <c r="CE262" s="877"/>
    </row>
    <row r="263" spans="1:83">
      <c r="A263" s="195"/>
      <c r="B263" s="55"/>
      <c r="C263" s="83"/>
      <c r="E263" s="511" t="s">
        <v>317</v>
      </c>
      <c r="F263" s="877">
        <f>F267*$C$266+F271*$C$270+$C$274*F275+F279*$C$278</f>
        <v>1.3710922799758201</v>
      </c>
      <c r="G263" s="877">
        <f t="shared" ref="G263:W265" si="70">G267*$C$266+G271*$C$270+$C$274*G275+G279*$C$278</f>
        <v>1.3710922799758201</v>
      </c>
      <c r="H263" s="878">
        <f t="shared" si="70"/>
        <v>2.5076473581905017</v>
      </c>
      <c r="I263" s="928">
        <f t="shared" si="70"/>
        <v>0</v>
      </c>
      <c r="J263" s="877">
        <f t="shared" si="70"/>
        <v>0</v>
      </c>
      <c r="K263" s="877">
        <f t="shared" si="70"/>
        <v>0</v>
      </c>
      <c r="L263" s="877">
        <f t="shared" si="70"/>
        <v>0</v>
      </c>
      <c r="M263" s="877">
        <f t="shared" si="70"/>
        <v>1.3710922799758201</v>
      </c>
      <c r="N263" s="877">
        <f t="shared" si="70"/>
        <v>0</v>
      </c>
      <c r="O263" s="877">
        <f t="shared" si="70"/>
        <v>0</v>
      </c>
      <c r="P263" s="877">
        <f t="shared" si="70"/>
        <v>0</v>
      </c>
      <c r="Q263" s="877">
        <f t="shared" si="70"/>
        <v>0</v>
      </c>
      <c r="R263" s="877">
        <f t="shared" si="70"/>
        <v>0</v>
      </c>
      <c r="S263" s="877">
        <f t="shared" si="70"/>
        <v>0</v>
      </c>
      <c r="T263" s="877">
        <f t="shared" si="70"/>
        <v>0</v>
      </c>
      <c r="U263" s="877">
        <f t="shared" si="70"/>
        <v>1.3710922799758201</v>
      </c>
      <c r="V263" s="877">
        <f t="shared" si="70"/>
        <v>0.3</v>
      </c>
      <c r="W263" s="878">
        <f t="shared" si="70"/>
        <v>0.43000000000000005</v>
      </c>
      <c r="X263" s="877"/>
      <c r="Y263" s="879"/>
      <c r="Z263" s="877"/>
      <c r="AA263" s="877"/>
      <c r="AB263" s="877"/>
      <c r="AC263" s="877"/>
      <c r="AD263" s="886"/>
      <c r="AE263" s="877"/>
      <c r="AF263" s="879"/>
      <c r="AG263" s="877"/>
      <c r="AH263" s="877"/>
      <c r="AI263" s="877"/>
      <c r="AJ263" s="877"/>
      <c r="AK263" s="886"/>
      <c r="AL263" s="877"/>
      <c r="AM263" s="879"/>
      <c r="AN263" s="877"/>
      <c r="AO263" s="877"/>
      <c r="AP263" s="877"/>
      <c r="AQ263" s="877"/>
      <c r="AR263" s="886"/>
      <c r="AS263" s="877"/>
      <c r="AT263" s="879"/>
      <c r="AU263" s="877"/>
      <c r="AV263" s="877"/>
      <c r="AW263" s="877"/>
      <c r="AX263" s="877"/>
      <c r="AY263" s="886"/>
      <c r="AZ263" s="877"/>
      <c r="BA263" s="879"/>
      <c r="BB263" s="877"/>
      <c r="BC263" s="877"/>
      <c r="BD263" s="877"/>
      <c r="BE263" s="877"/>
      <c r="BF263" s="886"/>
      <c r="BG263" s="877"/>
      <c r="BH263" s="879"/>
      <c r="BI263" s="877"/>
      <c r="BJ263" s="877"/>
      <c r="BK263" s="877"/>
      <c r="BL263" s="877"/>
      <c r="BM263" s="886"/>
      <c r="BN263" s="877"/>
      <c r="BO263" s="879"/>
      <c r="BP263" s="877"/>
      <c r="BQ263" s="877"/>
      <c r="BR263" s="877"/>
      <c r="BS263" s="877"/>
      <c r="BT263" s="886"/>
      <c r="BU263" s="877"/>
      <c r="BV263" s="879"/>
      <c r="BW263" s="886"/>
      <c r="BX263" s="877"/>
      <c r="BY263" s="877"/>
      <c r="BZ263" s="877"/>
      <c r="CA263" s="877"/>
      <c r="CB263" s="877"/>
      <c r="CC263" s="877"/>
      <c r="CD263" s="877"/>
      <c r="CE263" s="877"/>
    </row>
    <row r="264" spans="1:83">
      <c r="A264" s="195"/>
      <c r="B264" s="55"/>
      <c r="C264" s="83"/>
      <c r="E264" s="511" t="s">
        <v>367</v>
      </c>
      <c r="F264" s="877">
        <f t="shared" ref="F264:U265" si="71">F268*$C$266+F272*$C$270+$C$274*F276+F280*$C$278</f>
        <v>3.3036532894220004E-3</v>
      </c>
      <c r="G264" s="877">
        <f t="shared" si="71"/>
        <v>3.3036532894220004E-3</v>
      </c>
      <c r="H264" s="878">
        <f t="shared" si="71"/>
        <v>3.943172877949935E-3</v>
      </c>
      <c r="I264" s="928">
        <f t="shared" si="71"/>
        <v>0</v>
      </c>
      <c r="J264" s="877">
        <f t="shared" si="71"/>
        <v>0</v>
      </c>
      <c r="K264" s="877">
        <f t="shared" si="71"/>
        <v>0</v>
      </c>
      <c r="L264" s="877">
        <f t="shared" si="71"/>
        <v>0</v>
      </c>
      <c r="M264" s="877">
        <f t="shared" si="71"/>
        <v>3.3036532894220004E-3</v>
      </c>
      <c r="N264" s="877">
        <f t="shared" si="71"/>
        <v>0</v>
      </c>
      <c r="O264" s="877">
        <f t="shared" si="71"/>
        <v>0</v>
      </c>
      <c r="P264" s="877">
        <f t="shared" si="71"/>
        <v>0</v>
      </c>
      <c r="Q264" s="877">
        <f t="shared" si="71"/>
        <v>0</v>
      </c>
      <c r="R264" s="877">
        <f t="shared" si="71"/>
        <v>0</v>
      </c>
      <c r="S264" s="877">
        <f t="shared" si="71"/>
        <v>0</v>
      </c>
      <c r="T264" s="877">
        <f t="shared" si="71"/>
        <v>0</v>
      </c>
      <c r="U264" s="877">
        <f t="shared" si="71"/>
        <v>3.3036532894220004E-3</v>
      </c>
      <c r="V264" s="877">
        <f t="shared" si="70"/>
        <v>0</v>
      </c>
      <c r="W264" s="878">
        <f t="shared" si="70"/>
        <v>0</v>
      </c>
      <c r="X264" s="877"/>
      <c r="Y264" s="879"/>
      <c r="Z264" s="877"/>
      <c r="AA264" s="877"/>
      <c r="AB264" s="877"/>
      <c r="AC264" s="877"/>
      <c r="AD264" s="886"/>
      <c r="AE264" s="877"/>
      <c r="AF264" s="879"/>
      <c r="AG264" s="877"/>
      <c r="AH264" s="877"/>
      <c r="AI264" s="877"/>
      <c r="AJ264" s="877"/>
      <c r="AK264" s="886"/>
      <c r="AL264" s="877"/>
      <c r="AM264" s="879"/>
      <c r="AN264" s="877"/>
      <c r="AO264" s="877"/>
      <c r="AP264" s="877"/>
      <c r="AQ264" s="877"/>
      <c r="AR264" s="886"/>
      <c r="AS264" s="877"/>
      <c r="AT264" s="879"/>
      <c r="AU264" s="877"/>
      <c r="AV264" s="877"/>
      <c r="AW264" s="877"/>
      <c r="AX264" s="877"/>
      <c r="AY264" s="886"/>
      <c r="AZ264" s="877"/>
      <c r="BA264" s="879"/>
      <c r="BB264" s="877"/>
      <c r="BC264" s="877"/>
      <c r="BD264" s="877"/>
      <c r="BE264" s="877"/>
      <c r="BF264" s="886"/>
      <c r="BG264" s="877"/>
      <c r="BH264" s="879"/>
      <c r="BI264" s="877"/>
      <c r="BJ264" s="877"/>
      <c r="BK264" s="877"/>
      <c r="BL264" s="877"/>
      <c r="BM264" s="886"/>
      <c r="BN264" s="877"/>
      <c r="BO264" s="879"/>
      <c r="BP264" s="877"/>
      <c r="BQ264" s="877"/>
      <c r="BR264" s="877"/>
      <c r="BS264" s="877"/>
      <c r="BT264" s="886"/>
      <c r="BU264" s="877"/>
      <c r="BV264" s="879"/>
      <c r="BW264" s="886"/>
      <c r="BX264" s="877"/>
      <c r="BY264" s="877"/>
      <c r="BZ264" s="877"/>
      <c r="CA264" s="877"/>
      <c r="CB264" s="877"/>
      <c r="CC264" s="877"/>
      <c r="CD264" s="877"/>
      <c r="CE264" s="877"/>
    </row>
    <row r="265" spans="1:83">
      <c r="A265" s="18"/>
      <c r="B265" s="360"/>
      <c r="C265" s="83"/>
      <c r="E265" s="512" t="s">
        <v>320</v>
      </c>
      <c r="F265" s="877">
        <f t="shared" si="71"/>
        <v>1.3942151240740001E-3</v>
      </c>
      <c r="G265" s="877">
        <f>G269*$C$266+G273*$C$270+$C$274*G277+G281*$C$278</f>
        <v>1.3942151240740001E-3</v>
      </c>
      <c r="H265" s="878">
        <f t="shared" si="70"/>
        <v>1.6662222183448823E-3</v>
      </c>
      <c r="I265" s="928">
        <f t="shared" si="70"/>
        <v>0</v>
      </c>
      <c r="J265" s="877">
        <f t="shared" si="70"/>
        <v>0</v>
      </c>
      <c r="K265" s="877">
        <f t="shared" si="70"/>
        <v>0</v>
      </c>
      <c r="L265" s="877">
        <f t="shared" si="70"/>
        <v>0</v>
      </c>
      <c r="M265" s="877">
        <f t="shared" si="70"/>
        <v>1.3942151240740001E-3</v>
      </c>
      <c r="N265" s="877">
        <f t="shared" si="70"/>
        <v>0</v>
      </c>
      <c r="O265" s="877">
        <f t="shared" si="70"/>
        <v>0</v>
      </c>
      <c r="P265" s="877">
        <f t="shared" si="70"/>
        <v>0</v>
      </c>
      <c r="Q265" s="877">
        <f t="shared" si="70"/>
        <v>0</v>
      </c>
      <c r="R265" s="877">
        <f t="shared" si="70"/>
        <v>0</v>
      </c>
      <c r="S265" s="877">
        <f t="shared" si="70"/>
        <v>0</v>
      </c>
      <c r="T265" s="877">
        <f t="shared" si="70"/>
        <v>0</v>
      </c>
      <c r="U265" s="877">
        <f t="shared" si="70"/>
        <v>1.3942151240740001E-3</v>
      </c>
      <c r="V265" s="877">
        <f t="shared" si="70"/>
        <v>0</v>
      </c>
      <c r="W265" s="878">
        <f t="shared" si="70"/>
        <v>0</v>
      </c>
      <c r="X265" s="877"/>
      <c r="Y265" s="879"/>
      <c r="Z265" s="877"/>
      <c r="AA265" s="877"/>
      <c r="AB265" s="877"/>
      <c r="AC265" s="877"/>
      <c r="AD265" s="886"/>
      <c r="AE265" s="877"/>
      <c r="AF265" s="879"/>
      <c r="AG265" s="877"/>
      <c r="AH265" s="877"/>
      <c r="AI265" s="877"/>
      <c r="AJ265" s="877"/>
      <c r="AK265" s="886"/>
      <c r="AL265" s="877"/>
      <c r="AM265" s="879"/>
      <c r="AN265" s="877"/>
      <c r="AO265" s="877"/>
      <c r="AP265" s="877"/>
      <c r="AQ265" s="877"/>
      <c r="AR265" s="886"/>
      <c r="AS265" s="877"/>
      <c r="AT265" s="879"/>
      <c r="AU265" s="877"/>
      <c r="AV265" s="877"/>
      <c r="AW265" s="877"/>
      <c r="AX265" s="877"/>
      <c r="AY265" s="886"/>
      <c r="AZ265" s="877"/>
      <c r="BA265" s="879"/>
      <c r="BB265" s="877"/>
      <c r="BC265" s="877"/>
      <c r="BD265" s="877"/>
      <c r="BE265" s="877"/>
      <c r="BF265" s="886"/>
      <c r="BG265" s="877"/>
      <c r="BH265" s="879"/>
      <c r="BI265" s="877"/>
      <c r="BJ265" s="877"/>
      <c r="BK265" s="877"/>
      <c r="BL265" s="877"/>
      <c r="BM265" s="886"/>
      <c r="BN265" s="877"/>
      <c r="BO265" s="879"/>
      <c r="BP265" s="877"/>
      <c r="BQ265" s="877"/>
      <c r="BR265" s="877"/>
      <c r="BS265" s="877"/>
      <c r="BT265" s="886"/>
      <c r="BU265" s="877"/>
      <c r="BV265" s="879"/>
      <c r="BW265" s="886"/>
      <c r="BX265" s="877"/>
      <c r="BY265" s="877"/>
      <c r="BZ265" s="877"/>
      <c r="CA265" s="877"/>
      <c r="CB265" s="877"/>
      <c r="CC265" s="877"/>
      <c r="CD265" s="877"/>
      <c r="CE265" s="877"/>
    </row>
    <row r="266" spans="1:83">
      <c r="A266" s="108" t="s">
        <v>139</v>
      </c>
      <c r="B266" s="93" t="s">
        <v>121</v>
      </c>
      <c r="C266" s="87">
        <f>'Input data plant-based products'!D202</f>
        <v>0.31</v>
      </c>
      <c r="E266" s="513" t="s">
        <v>316</v>
      </c>
      <c r="F266" s="872">
        <f>SUMPRODUCT($CJ$6:$CJ$8,F267:F269)</f>
        <v>1.7164963024076201</v>
      </c>
      <c r="G266" s="872">
        <f>SUMPRODUCT($CJ$6:$CJ$8,G267:G269)</f>
        <v>1.7164963024076201</v>
      </c>
      <c r="H266" s="873">
        <f>SUMPRODUCT($CJ$6:$CJ$8,H267:H269)</f>
        <v>3.0523819000374548</v>
      </c>
      <c r="I266" s="1277"/>
      <c r="J266" s="884"/>
      <c r="K266" s="884"/>
      <c r="L266" s="884"/>
      <c r="M266" s="884"/>
      <c r="N266" s="884"/>
      <c r="O266" s="884"/>
      <c r="P266" s="884"/>
      <c r="Q266" s="884"/>
      <c r="R266" s="884"/>
      <c r="S266" s="884"/>
      <c r="T266" s="884"/>
      <c r="U266" s="884"/>
      <c r="V266" s="884"/>
      <c r="W266" s="1278"/>
      <c r="X266" s="877"/>
      <c r="Y266" s="879">
        <f>1/'Input data plant-based products'!E202*10^4</f>
        <v>1.7170329670329672</v>
      </c>
      <c r="Z266" s="877">
        <f>$Y266*'Input data plant-based products'!Z202</f>
        <v>1.7170329670329672</v>
      </c>
      <c r="AA266" s="877">
        <f>$Y266*'Input data plant-based products'!AA202</f>
        <v>4.8076923076923075</v>
      </c>
      <c r="AB266" s="877">
        <f>$Y266*'Input data plant-based products'!AB202</f>
        <v>4.8076923076923075</v>
      </c>
      <c r="AC266" s="877">
        <f>$Y266*'Input data plant-based products'!AC202</f>
        <v>5.9983385082199314</v>
      </c>
      <c r="AD266" s="886">
        <f>$Y266*'Input data plant-based products'!AD202</f>
        <v>6.2482692793957622</v>
      </c>
      <c r="AE266" s="877"/>
      <c r="AF266" s="879">
        <f>SUM('Input data plant-based products'!F202,'Input data plant-based products'!Q202)/'Input data plant-based products'!E202</f>
        <v>7.726648351648352E-3</v>
      </c>
      <c r="AG266" s="877">
        <f>$AF266*'Input data plant-based products'!Z202</f>
        <v>7.726648351648352E-3</v>
      </c>
      <c r="AH266" s="877">
        <f>$AF266*'Input data plant-based products'!AA202</f>
        <v>2.1634615384615384E-2</v>
      </c>
      <c r="AI266" s="877">
        <f>$AF266*'Input data plant-based products'!AB202</f>
        <v>2.1634615384615384E-2</v>
      </c>
      <c r="AJ266" s="877">
        <f>$AF266*'Input data plant-based products'!AC202</f>
        <v>2.699252328698969E-2</v>
      </c>
      <c r="AK266" s="886">
        <f>$AF266*'Input data plant-based products'!AD202</f>
        <v>2.8117211757280929E-2</v>
      </c>
      <c r="AL266" s="877"/>
      <c r="AM266" s="879">
        <f>'Input data plant-based products'!R202/'Input data plant-based products'!E202</f>
        <v>5.151098901098901E-3</v>
      </c>
      <c r="AN266" s="877">
        <f>$AM266*'Input data plant-based products'!Z202</f>
        <v>5.151098901098901E-3</v>
      </c>
      <c r="AO266" s="877">
        <f>$AM266*'Input data plant-based products'!AA202</f>
        <v>1.4423076923076922E-2</v>
      </c>
      <c r="AP266" s="877">
        <f>$AM266*'Input data plant-based products'!AB202</f>
        <v>1.4423076923076922E-2</v>
      </c>
      <c r="AQ266" s="877">
        <f>$AM266*'Input data plant-based products'!AC202</f>
        <v>1.7995015524659791E-2</v>
      </c>
      <c r="AR266" s="886">
        <f>$AM266*'Input data plant-based products'!AD202</f>
        <v>1.8744807838187286E-2</v>
      </c>
      <c r="AS266" s="877"/>
      <c r="AT266" s="879">
        <f>'Input data plant-based products'!S202</f>
        <v>0</v>
      </c>
      <c r="AU266" s="877">
        <f>$AT266*'Input data plant-based products'!Z202</f>
        <v>0</v>
      </c>
      <c r="AV266" s="877">
        <f>$AT266*'Input data plant-based products'!AA202</f>
        <v>0</v>
      </c>
      <c r="AW266" s="877">
        <f>$AT266*'Input data plant-based products'!AB202</f>
        <v>0</v>
      </c>
      <c r="AX266" s="877">
        <f>$AT266*'Input data plant-based products'!AC202</f>
        <v>0</v>
      </c>
      <c r="AY266" s="886">
        <f>$AT266*'Input data plant-based products'!AD202</f>
        <v>0</v>
      </c>
      <c r="AZ266" s="877"/>
      <c r="BA266" s="879">
        <f>((SUM('Input data plant-based products'!U202:Y202)*Y266)/('Common input data'!$B$192/10^6))/$BB$3</f>
        <v>2.7844764391135016E-9</v>
      </c>
      <c r="BB266" s="877">
        <f>$BA266*'Input data plant-based products'!Z202</f>
        <v>2.7844764391135016E-9</v>
      </c>
      <c r="BC266" s="877">
        <f>$BA266*'Input data plant-based products'!AA202</f>
        <v>7.7965340295178035E-9</v>
      </c>
      <c r="BD266" s="877">
        <f>$BA266*'Input data plant-based products'!AB202</f>
        <v>7.7965340295178035E-9</v>
      </c>
      <c r="BE266" s="877">
        <f>$BA266*'Input data plant-based products'!AC202</f>
        <v>9.72738006237998E-9</v>
      </c>
      <c r="BF266" s="886">
        <f>$BA266*'Input data plant-based products'!AD202</f>
        <v>1.0132687564979147E-8</v>
      </c>
      <c r="BG266" s="877"/>
      <c r="BH266" s="879">
        <f>'Input data plant-based products'!T202/'Input data plant-based products'!E202</f>
        <v>0</v>
      </c>
      <c r="BI266" s="877">
        <f>$BH266*'Input data plant-based products'!Z202</f>
        <v>0</v>
      </c>
      <c r="BJ266" s="877">
        <f>$BH266*'Input data plant-based products'!AA202</f>
        <v>0</v>
      </c>
      <c r="BK266" s="877">
        <f>$BH266*'Input data plant-based products'!AB202</f>
        <v>0</v>
      </c>
      <c r="BL266" s="877">
        <f>$BH266*'Input data plant-based products'!AC202</f>
        <v>0</v>
      </c>
      <c r="BM266" s="886">
        <f>$BH266*'Input data plant-based products'!AD202</f>
        <v>0</v>
      </c>
      <c r="BN266" s="877"/>
      <c r="BO266" s="879">
        <f>('Input data plant-based products'!F202/'Input data plant-based products'!E202*'Common input data'!$B$195+'Input data plant-based products'!G202/'Input data plant-based products'!E202*'Common input data'!$B$196)/'Common input data'!$B$198</f>
        <v>1.9729017702687119E-4</v>
      </c>
      <c r="BP266" s="877">
        <f>$BO266*'Input data plant-based products'!Z202</f>
        <v>1.9729017702687119E-4</v>
      </c>
      <c r="BQ266" s="877">
        <f>$BO266*'Input data plant-based products'!AA202</f>
        <v>5.5241249567523931E-4</v>
      </c>
      <c r="BR266" s="877">
        <f>$BO266*'Input data plant-based products'!AB202</f>
        <v>5.5241249567523931E-4</v>
      </c>
      <c r="BS266" s="877">
        <f>$BO266*'Input data plant-based products'!AC202</f>
        <v>6.8921988620797812E-4</v>
      </c>
      <c r="BT266" s="886">
        <f>$BO266*'Input data plant-based products'!AD202</f>
        <v>7.1793738146664395E-4</v>
      </c>
      <c r="BU266" s="877"/>
      <c r="BV266" s="879">
        <f>('Common input data'!$B$224+'Common input data'!$C$224)*'Input data plant-based products'!AC202</f>
        <v>23.957609693775701</v>
      </c>
      <c r="BW266" s="886">
        <f>('Common input data'!$B$224+'Common input data'!$C$224)*'Input data plant-based products'!AD202</f>
        <v>24.955843431016355</v>
      </c>
      <c r="BX266" s="877"/>
      <c r="BY266" s="877"/>
      <c r="BZ266" s="877"/>
      <c r="CA266" s="877"/>
      <c r="CB266" s="877"/>
      <c r="CC266" s="877"/>
      <c r="CD266" s="877"/>
      <c r="CE266" s="877"/>
    </row>
    <row r="267" spans="1:83">
      <c r="A267" s="195"/>
      <c r="B267" s="55"/>
      <c r="C267" s="83"/>
      <c r="E267" s="511" t="s">
        <v>317</v>
      </c>
      <c r="F267" s="877">
        <f>IF(AND($F$2="No",$F$3="No"),SUM(L267:N267),IF(AND($F$2="Yes", $F$3="No"), (SUM(L267:M267)+S267), IF(AND($F$2="No", $F$3="Yes"),(SUM(L267:M267)+R267), (SUM(L267:M267)+S267+R267))))</f>
        <v>1.3837455518100001</v>
      </c>
      <c r="G267" s="877">
        <f>IF(AND($F$2="No",$F$3="No"),SUM(I267:Q267),IF(AND($F$2="Yes", $F$3="No"), (SUM(I267:Q267)+S267), IF(AND($F$2="No", $F$3="Yes"),(SUM(I267:Q267)+R267), (SUM(I267:Q267)+S267+R267))))</f>
        <v>1.3837455518100001</v>
      </c>
      <c r="H267" s="878">
        <f>SUM(U267:W267)/(1-'Common input data'!$D$143)</f>
        <v>2.6372239587201065</v>
      </c>
      <c r="I267" s="928"/>
      <c r="J267" s="877"/>
      <c r="K267" s="877"/>
      <c r="L267" s="877"/>
      <c r="M267" s="877">
        <v>1.3837455518100001</v>
      </c>
      <c r="N267" s="877"/>
      <c r="O267" s="877"/>
      <c r="P267" s="877"/>
      <c r="Q267" s="877"/>
      <c r="R267" s="877"/>
      <c r="S267" s="877"/>
      <c r="T267" s="877"/>
      <c r="U267" s="877">
        <f>G267+T267</f>
        <v>1.3837455518100001</v>
      </c>
      <c r="V267" s="877">
        <f>'Common input data'!$B$104</f>
        <v>0.3</v>
      </c>
      <c r="W267" s="878">
        <f>'Common input data'!$B$125+'Common input data'!$C$125</f>
        <v>0.43000000000000005</v>
      </c>
      <c r="X267" s="877"/>
      <c r="Y267" s="879"/>
      <c r="Z267" s="877"/>
      <c r="AA267" s="877"/>
      <c r="AB267" s="877"/>
      <c r="AC267" s="877"/>
      <c r="AD267" s="886"/>
      <c r="AE267" s="877"/>
      <c r="AF267" s="879"/>
      <c r="AG267" s="877"/>
      <c r="AH267" s="877"/>
      <c r="AI267" s="877"/>
      <c r="AJ267" s="877"/>
      <c r="AK267" s="886"/>
      <c r="AL267" s="877"/>
      <c r="AM267" s="879"/>
      <c r="AN267" s="877"/>
      <c r="AO267" s="877"/>
      <c r="AP267" s="877"/>
      <c r="AQ267" s="877"/>
      <c r="AR267" s="886"/>
      <c r="AS267" s="877"/>
      <c r="AT267" s="879"/>
      <c r="AU267" s="877"/>
      <c r="AV267" s="877"/>
      <c r="AW267" s="877"/>
      <c r="AX267" s="877"/>
      <c r="AY267" s="886"/>
      <c r="AZ267" s="877"/>
      <c r="BA267" s="879"/>
      <c r="BB267" s="877"/>
      <c r="BC267" s="877"/>
      <c r="BD267" s="877"/>
      <c r="BE267" s="877"/>
      <c r="BF267" s="886"/>
      <c r="BG267" s="877"/>
      <c r="BH267" s="879"/>
      <c r="BI267" s="877"/>
      <c r="BJ267" s="877"/>
      <c r="BK267" s="877"/>
      <c r="BL267" s="877"/>
      <c r="BM267" s="886"/>
      <c r="BN267" s="877"/>
      <c r="BO267" s="879"/>
      <c r="BP267" s="877"/>
      <c r="BQ267" s="877"/>
      <c r="BR267" s="877"/>
      <c r="BS267" s="877"/>
      <c r="BT267" s="886"/>
      <c r="BU267" s="877"/>
      <c r="BV267" s="879"/>
      <c r="BW267" s="886"/>
      <c r="BX267" s="877"/>
      <c r="BY267" s="877"/>
      <c r="BZ267" s="877"/>
      <c r="CA267" s="877"/>
      <c r="CB267" s="877"/>
      <c r="CC267" s="877"/>
      <c r="CD267" s="877"/>
      <c r="CE267" s="877"/>
    </row>
    <row r="268" spans="1:83">
      <c r="A268" s="195"/>
      <c r="B268" s="55"/>
      <c r="C268" s="83"/>
      <c r="E268" s="511" t="s">
        <v>367</v>
      </c>
      <c r="F268" s="877">
        <f>SUM(K268:M268)</f>
        <v>3.3184858396000006E-3</v>
      </c>
      <c r="G268" s="877">
        <f>SUM(I268:Q268)</f>
        <v>3.3184858396000006E-3</v>
      </c>
      <c r="H268" s="878">
        <f>SUM(U268:W268)/(1-'Common input data'!$D$143)</f>
        <v>4.1403234913362889E-3</v>
      </c>
      <c r="I268" s="928"/>
      <c r="J268" s="877"/>
      <c r="K268" s="877"/>
      <c r="L268" s="877"/>
      <c r="M268" s="877">
        <v>3.3184858396000006E-3</v>
      </c>
      <c r="N268" s="877"/>
      <c r="O268" s="877"/>
      <c r="P268" s="877"/>
      <c r="Q268" s="877"/>
      <c r="R268" s="877"/>
      <c r="S268" s="877"/>
      <c r="T268" s="877"/>
      <c r="U268" s="877">
        <f t="shared" ref="U268:U281" si="72">G268+T268</f>
        <v>3.3184858396000006E-3</v>
      </c>
      <c r="V268" s="877"/>
      <c r="W268" s="878"/>
      <c r="X268" s="877"/>
      <c r="Y268" s="879"/>
      <c r="Z268" s="877"/>
      <c r="AA268" s="877"/>
      <c r="AB268" s="877"/>
      <c r="AC268" s="877"/>
      <c r="AD268" s="886"/>
      <c r="AE268" s="877"/>
      <c r="AF268" s="879"/>
      <c r="AG268" s="877"/>
      <c r="AH268" s="877"/>
      <c r="AI268" s="877"/>
      <c r="AJ268" s="877"/>
      <c r="AK268" s="886"/>
      <c r="AL268" s="877"/>
      <c r="AM268" s="879"/>
      <c r="AN268" s="877"/>
      <c r="AO268" s="877"/>
      <c r="AP268" s="877"/>
      <c r="AQ268" s="877"/>
      <c r="AR268" s="886"/>
      <c r="AS268" s="877"/>
      <c r="AT268" s="879"/>
      <c r="AU268" s="877"/>
      <c r="AV268" s="877"/>
      <c r="AW268" s="877"/>
      <c r="AX268" s="877"/>
      <c r="AY268" s="886"/>
      <c r="AZ268" s="877"/>
      <c r="BA268" s="879"/>
      <c r="BB268" s="877"/>
      <c r="BC268" s="877"/>
      <c r="BD268" s="877"/>
      <c r="BE268" s="877"/>
      <c r="BF268" s="886"/>
      <c r="BG268" s="877"/>
      <c r="BH268" s="879"/>
      <c r="BI268" s="877"/>
      <c r="BJ268" s="877"/>
      <c r="BK268" s="877"/>
      <c r="BL268" s="877"/>
      <c r="BM268" s="886"/>
      <c r="BN268" s="877"/>
      <c r="BO268" s="879"/>
      <c r="BP268" s="877"/>
      <c r="BQ268" s="877"/>
      <c r="BR268" s="877"/>
      <c r="BS268" s="877"/>
      <c r="BT268" s="886"/>
      <c r="BU268" s="877"/>
      <c r="BV268" s="879"/>
      <c r="BW268" s="886"/>
      <c r="BX268" s="877"/>
      <c r="BY268" s="877"/>
      <c r="BZ268" s="877"/>
      <c r="CA268" s="877"/>
      <c r="CB268" s="877"/>
      <c r="CC268" s="877"/>
      <c r="CD268" s="877"/>
      <c r="CE268" s="877"/>
    </row>
    <row r="269" spans="1:83">
      <c r="A269" s="18"/>
      <c r="B269" s="360"/>
      <c r="C269" s="83"/>
      <c r="E269" s="512" t="s">
        <v>320</v>
      </c>
      <c r="F269" s="877">
        <f>SUM(K269:M269)</f>
        <v>1.3611753955E-3</v>
      </c>
      <c r="G269" s="877">
        <f>SUM(I269:Q269)</f>
        <v>1.3611753955E-3</v>
      </c>
      <c r="H269" s="878">
        <f>SUM(U269:W269)/(1-'Common input data'!$D$143)</f>
        <v>1.6982764845839822E-3</v>
      </c>
      <c r="I269" s="928"/>
      <c r="J269" s="877"/>
      <c r="K269" s="877"/>
      <c r="L269" s="877"/>
      <c r="M269" s="877">
        <v>1.3611753955E-3</v>
      </c>
      <c r="N269" s="877"/>
      <c r="O269" s="877"/>
      <c r="P269" s="877"/>
      <c r="Q269" s="877"/>
      <c r="R269" s="877"/>
      <c r="S269" s="877"/>
      <c r="T269" s="877"/>
      <c r="U269" s="877">
        <f t="shared" si="72"/>
        <v>1.3611753955E-3</v>
      </c>
      <c r="V269" s="877"/>
      <c r="W269" s="878"/>
      <c r="X269" s="877"/>
      <c r="Y269" s="879"/>
      <c r="Z269" s="877"/>
      <c r="AA269" s="877"/>
      <c r="AB269" s="877"/>
      <c r="AC269" s="877"/>
      <c r="AD269" s="886"/>
      <c r="AE269" s="877"/>
      <c r="AF269" s="879"/>
      <c r="AG269" s="877"/>
      <c r="AH269" s="877"/>
      <c r="AI269" s="877"/>
      <c r="AJ269" s="877"/>
      <c r="AK269" s="886"/>
      <c r="AL269" s="877"/>
      <c r="AM269" s="879"/>
      <c r="AN269" s="877"/>
      <c r="AO269" s="877"/>
      <c r="AP269" s="877"/>
      <c r="AQ269" s="877"/>
      <c r="AR269" s="886"/>
      <c r="AS269" s="877"/>
      <c r="AT269" s="879"/>
      <c r="AU269" s="877"/>
      <c r="AV269" s="877"/>
      <c r="AW269" s="877"/>
      <c r="AX269" s="877"/>
      <c r="AY269" s="886"/>
      <c r="AZ269" s="877"/>
      <c r="BA269" s="879"/>
      <c r="BB269" s="877"/>
      <c r="BC269" s="877"/>
      <c r="BD269" s="877"/>
      <c r="BE269" s="877"/>
      <c r="BF269" s="886"/>
      <c r="BG269" s="877"/>
      <c r="BH269" s="879"/>
      <c r="BI269" s="877"/>
      <c r="BJ269" s="877"/>
      <c r="BK269" s="877"/>
      <c r="BL269" s="877"/>
      <c r="BM269" s="886"/>
      <c r="BN269" s="877"/>
      <c r="BO269" s="879"/>
      <c r="BP269" s="877"/>
      <c r="BQ269" s="877"/>
      <c r="BR269" s="877"/>
      <c r="BS269" s="877"/>
      <c r="BT269" s="886"/>
      <c r="BU269" s="877"/>
      <c r="BV269" s="879"/>
      <c r="BW269" s="886"/>
      <c r="BX269" s="877"/>
      <c r="BY269" s="877"/>
      <c r="BZ269" s="877"/>
      <c r="CA269" s="877"/>
      <c r="CB269" s="877"/>
      <c r="CC269" s="877"/>
      <c r="CD269" s="877"/>
      <c r="CE269" s="877"/>
    </row>
    <row r="270" spans="1:83">
      <c r="A270" s="108" t="s">
        <v>190</v>
      </c>
      <c r="B270" s="93" t="s">
        <v>121</v>
      </c>
      <c r="C270" s="87">
        <f>'Input data plant-based products'!D203</f>
        <v>0.23</v>
      </c>
      <c r="E270" s="513" t="s">
        <v>316</v>
      </c>
      <c r="F270" s="872">
        <f>SUMPRODUCT($CJ$6:$CJ$8,F271:F273)</f>
        <v>1.6946496586586002</v>
      </c>
      <c r="G270" s="872">
        <f>SUMPRODUCT($CJ$6:$CJ$8,G271:G273)</f>
        <v>1.6946496586586002</v>
      </c>
      <c r="H270" s="873">
        <f>SUMPRODUCT($CJ$6:$CJ$8,H271:H273)</f>
        <v>3.0251248386266321</v>
      </c>
      <c r="I270" s="1277"/>
      <c r="J270" s="884"/>
      <c r="K270" s="884"/>
      <c r="L270" s="884"/>
      <c r="M270" s="884"/>
      <c r="N270" s="884"/>
      <c r="O270" s="884"/>
      <c r="P270" s="884"/>
      <c r="Q270" s="884"/>
      <c r="R270" s="884"/>
      <c r="S270" s="884"/>
      <c r="T270" s="884"/>
      <c r="U270" s="884"/>
      <c r="V270" s="884"/>
      <c r="W270" s="1278"/>
      <c r="X270" s="877"/>
      <c r="Y270" s="879">
        <f>1/'Input data plant-based products'!E203*10^4</f>
        <v>2.4420024420024422</v>
      </c>
      <c r="Z270" s="877">
        <f>$Y270*'Input data plant-based products'!Z203</f>
        <v>2.4420024420024422</v>
      </c>
      <c r="AA270" s="877">
        <f>$Y270*'Input data plant-based products'!AA203</f>
        <v>6.8376068376068382</v>
      </c>
      <c r="AB270" s="877">
        <f>$Y270*'Input data plant-based products'!AB203</f>
        <v>6.8376068376068382</v>
      </c>
      <c r="AC270" s="877">
        <f>$Y270*'Input data plant-based products'!AC203</f>
        <v>8.5309703228016804</v>
      </c>
      <c r="AD270" s="886">
        <f>$Y270*'Input data plant-based products'!AD203</f>
        <v>8.8864274195850843</v>
      </c>
      <c r="AE270" s="877"/>
      <c r="AF270" s="879">
        <f>SUM('Input data plant-based products'!F203,'Input data plant-based products'!Q203)/'Input data plant-based products'!E203</f>
        <v>4.884004884004884E-3</v>
      </c>
      <c r="AG270" s="877">
        <f>$AF270*'Input data plant-based products'!Z203</f>
        <v>4.884004884004884E-3</v>
      </c>
      <c r="AH270" s="877">
        <f>$AF270*'Input data plant-based products'!AA203</f>
        <v>1.3675213675213675E-2</v>
      </c>
      <c r="AI270" s="877">
        <f>$AF270*'Input data plant-based products'!AB203</f>
        <v>1.3675213675213675E-2</v>
      </c>
      <c r="AJ270" s="877">
        <f>$AF270*'Input data plant-based products'!AC203</f>
        <v>1.706194064560336E-2</v>
      </c>
      <c r="AK270" s="886">
        <f>$AF270*'Input data plant-based products'!AD203</f>
        <v>1.7772854839170165E-2</v>
      </c>
      <c r="AL270" s="877"/>
      <c r="AM270" s="879">
        <f>'Input data plant-based products'!R203/'Input data plant-based products'!E203</f>
        <v>3.663003663003663E-3</v>
      </c>
      <c r="AN270" s="877">
        <f>$AM270*'Input data plant-based products'!Z203</f>
        <v>3.663003663003663E-3</v>
      </c>
      <c r="AO270" s="877">
        <f>$AM270*'Input data plant-based products'!AA203</f>
        <v>1.0256410256410256E-2</v>
      </c>
      <c r="AP270" s="877">
        <f>$AM270*'Input data plant-based products'!AB203</f>
        <v>1.0256410256410256E-2</v>
      </c>
      <c r="AQ270" s="877">
        <f>$AM270*'Input data plant-based products'!AC203</f>
        <v>1.2796455484202518E-2</v>
      </c>
      <c r="AR270" s="886">
        <f>$AM270*'Input data plant-based products'!AD203</f>
        <v>1.3329641129377625E-2</v>
      </c>
      <c r="AS270" s="877"/>
      <c r="AT270" s="879">
        <f>'Input data plant-based products'!S203</f>
        <v>0</v>
      </c>
      <c r="AU270" s="877">
        <f>$AT270*'Input data plant-based products'!Z203</f>
        <v>0</v>
      </c>
      <c r="AV270" s="877">
        <f>$AT270*'Input data plant-based products'!AA203</f>
        <v>0</v>
      </c>
      <c r="AW270" s="877">
        <f>$AT270*'Input data plant-based products'!AB203</f>
        <v>0</v>
      </c>
      <c r="AX270" s="877">
        <f>$AT270*'Input data plant-based products'!AC203</f>
        <v>0</v>
      </c>
      <c r="AY270" s="886">
        <f>$AT270*'Input data plant-based products'!AD203</f>
        <v>0</v>
      </c>
      <c r="AZ270" s="877"/>
      <c r="BA270" s="879">
        <f>((SUM('Input data plant-based products'!U203:Y203)*Y270)/('Common input data'!$B$192/10^6))/$BB$3</f>
        <v>1.5903869536184322E-8</v>
      </c>
      <c r="BB270" s="877">
        <f>$BA270*'Input data plant-based products'!Z203</f>
        <v>1.5903869536184322E-8</v>
      </c>
      <c r="BC270" s="877">
        <f>$BA270*'Input data plant-based products'!AA203</f>
        <v>4.4530834701316099E-8</v>
      </c>
      <c r="BD270" s="877">
        <f>$BA270*'Input data plant-based products'!AB203</f>
        <v>4.4530834701316099E-8</v>
      </c>
      <c r="BE270" s="877">
        <f>$BA270*'Input data plant-based products'!AC203</f>
        <v>5.5559092283152795E-8</v>
      </c>
      <c r="BF270" s="886">
        <f>$BA270*'Input data plant-based products'!AD203</f>
        <v>5.7874054461617501E-8</v>
      </c>
      <c r="BG270" s="877"/>
      <c r="BH270" s="879">
        <f>'Input data plant-based products'!T203/'Input data plant-based products'!E203</f>
        <v>0</v>
      </c>
      <c r="BI270" s="877">
        <f>$BH270*'Input data plant-based products'!Z203</f>
        <v>0</v>
      </c>
      <c r="BJ270" s="877">
        <f>$BH270*'Input data plant-based products'!AA203</f>
        <v>0</v>
      </c>
      <c r="BK270" s="877">
        <f>$BH270*'Input data plant-based products'!AB203</f>
        <v>0</v>
      </c>
      <c r="BL270" s="877">
        <f>$BH270*'Input data plant-based products'!AC203</f>
        <v>0</v>
      </c>
      <c r="BM270" s="886">
        <f>$BH270*'Input data plant-based products'!AD203</f>
        <v>0</v>
      </c>
      <c r="BN270" s="877"/>
      <c r="BO270" s="879">
        <f>('Input data plant-based products'!F203/'Input data plant-based products'!E203*'Common input data'!$B$195+'Input data plant-based products'!G203/'Input data plant-based products'!E203*'Common input data'!$B$196)/'Common input data'!$B$198</f>
        <v>1.2470687733056549E-4</v>
      </c>
      <c r="BP270" s="877">
        <f>$BO270*'Input data plant-based products'!Z203</f>
        <v>1.2470687733056549E-4</v>
      </c>
      <c r="BQ270" s="877">
        <f>$BO270*'Input data plant-based products'!AA203</f>
        <v>3.4917925652558335E-4</v>
      </c>
      <c r="BR270" s="877">
        <f>$BO270*'Input data plant-based products'!AB203</f>
        <v>3.4917925652558335E-4</v>
      </c>
      <c r="BS270" s="877">
        <f>$BO270*'Input data plant-based products'!AC203</f>
        <v>4.3565503918331454E-4</v>
      </c>
      <c r="BT270" s="886">
        <f>$BO270*'Input data plant-based products'!AD203</f>
        <v>4.5380733248261937E-4</v>
      </c>
      <c r="BU270" s="877"/>
      <c r="BV270" s="879">
        <f>('Common input data'!$B$220+'Common input data'!$C$220)*'Input data plant-based products'!AC203</f>
        <v>25.428344711941548</v>
      </c>
      <c r="BW270" s="886">
        <f>('Common input data'!$B$220+'Common input data'!$C$220)*'Input data plant-based products'!AD203</f>
        <v>26.487859074939117</v>
      </c>
      <c r="BX270" s="877"/>
      <c r="BY270" s="877"/>
      <c r="BZ270" s="877"/>
      <c r="CA270" s="877"/>
      <c r="CB270" s="877"/>
      <c r="CC270" s="877"/>
      <c r="CD270" s="877"/>
      <c r="CE270" s="877"/>
    </row>
    <row r="271" spans="1:83">
      <c r="A271" s="195"/>
      <c r="B271" s="55"/>
      <c r="C271" s="83"/>
      <c r="E271" s="511" t="s">
        <v>317</v>
      </c>
      <c r="F271" s="877">
        <f>IF(AND($F$2="No",$F$3="No"),SUM(L271:N271),IF(AND($F$2="Yes", $F$3="No"), (SUM(L271:M271)+S271), IF(AND($F$2="No", $F$3="Yes"),(SUM(L271:M271)+R271), (SUM(L271:M271)+S271+R271))))</f>
        <v>1.3287313264440002</v>
      </c>
      <c r="G271" s="877">
        <f>IF(AND($F$2="No",$F$3="No"),SUM(I271:Q271),IF(AND($F$2="Yes", $F$3="No"), (SUM(I271:Q271)+S271), IF(AND($F$2="No", $F$3="Yes"),(SUM(I271:Q271)+R271), (SUM(I271:Q271)+S271+R271))))</f>
        <v>1.3287313264440002</v>
      </c>
      <c r="H271" s="878">
        <f>SUM(U271:W271)/(1-'Common input data'!$D$143)</f>
        <v>2.5685852178454507</v>
      </c>
      <c r="I271" s="928"/>
      <c r="J271" s="877"/>
      <c r="K271" s="877"/>
      <c r="L271" s="877"/>
      <c r="M271" s="877">
        <v>1.3287313264440002</v>
      </c>
      <c r="N271" s="877"/>
      <c r="O271" s="877"/>
      <c r="P271" s="877"/>
      <c r="Q271" s="877"/>
      <c r="R271" s="877"/>
      <c r="S271" s="877"/>
      <c r="T271" s="877"/>
      <c r="U271" s="877">
        <f t="shared" si="72"/>
        <v>1.3287313264440002</v>
      </c>
      <c r="V271" s="877">
        <f>'Common input data'!$B$104</f>
        <v>0.3</v>
      </c>
      <c r="W271" s="878">
        <f>'Common input data'!$B$125+'Common input data'!$C$125</f>
        <v>0.43000000000000005</v>
      </c>
      <c r="X271" s="877"/>
      <c r="Y271" s="879"/>
      <c r="Z271" s="877"/>
      <c r="AA271" s="877"/>
      <c r="AB271" s="877"/>
      <c r="AC271" s="877"/>
      <c r="AD271" s="886"/>
      <c r="AE271" s="877"/>
      <c r="AF271" s="879"/>
      <c r="AG271" s="877"/>
      <c r="AH271" s="877"/>
      <c r="AI271" s="877"/>
      <c r="AJ271" s="877"/>
      <c r="AK271" s="886"/>
      <c r="AL271" s="877"/>
      <c r="AM271" s="879"/>
      <c r="AN271" s="877"/>
      <c r="AO271" s="877"/>
      <c r="AP271" s="877"/>
      <c r="AQ271" s="877"/>
      <c r="AR271" s="886"/>
      <c r="AS271" s="877"/>
      <c r="AT271" s="879"/>
      <c r="AU271" s="877"/>
      <c r="AV271" s="877"/>
      <c r="AW271" s="877"/>
      <c r="AX271" s="877"/>
      <c r="AY271" s="886"/>
      <c r="AZ271" s="877"/>
      <c r="BA271" s="879"/>
      <c r="BB271" s="877"/>
      <c r="BC271" s="877"/>
      <c r="BD271" s="877"/>
      <c r="BE271" s="877"/>
      <c r="BF271" s="886"/>
      <c r="BG271" s="877"/>
      <c r="BH271" s="879"/>
      <c r="BI271" s="877"/>
      <c r="BJ271" s="877"/>
      <c r="BK271" s="877"/>
      <c r="BL271" s="877"/>
      <c r="BM271" s="886"/>
      <c r="BN271" s="877"/>
      <c r="BO271" s="879"/>
      <c r="BP271" s="877"/>
      <c r="BQ271" s="877"/>
      <c r="BR271" s="877"/>
      <c r="BS271" s="877"/>
      <c r="BT271" s="886"/>
      <c r="BU271" s="877"/>
      <c r="BV271" s="879"/>
      <c r="BW271" s="886"/>
      <c r="BX271" s="877"/>
      <c r="BY271" s="877"/>
      <c r="BZ271" s="877"/>
      <c r="CA271" s="877"/>
      <c r="CB271" s="877"/>
      <c r="CC271" s="877"/>
      <c r="CD271" s="877"/>
      <c r="CE271" s="877"/>
    </row>
    <row r="272" spans="1:83">
      <c r="A272" s="195"/>
      <c r="B272" s="55"/>
      <c r="C272" s="83"/>
      <c r="E272" s="511" t="s">
        <v>367</v>
      </c>
      <c r="F272" s="877">
        <f>SUM(K272:M272)</f>
        <v>3.2539964910000001E-3</v>
      </c>
      <c r="G272" s="877">
        <f>SUM(I272:Q272)</f>
        <v>3.2539964910000001E-3</v>
      </c>
      <c r="H272" s="878">
        <f>SUM(U272:W272)/(1-'Common input data'!$D$143)</f>
        <v>4.0598630711761886E-3</v>
      </c>
      <c r="I272" s="928"/>
      <c r="J272" s="877"/>
      <c r="K272" s="877"/>
      <c r="L272" s="877"/>
      <c r="M272" s="877">
        <v>3.2539964910000001E-3</v>
      </c>
      <c r="N272" s="877"/>
      <c r="O272" s="877"/>
      <c r="P272" s="877"/>
      <c r="Q272" s="877"/>
      <c r="R272" s="877"/>
      <c r="S272" s="877"/>
      <c r="T272" s="877"/>
      <c r="U272" s="877">
        <f t="shared" si="72"/>
        <v>3.2539964910000001E-3</v>
      </c>
      <c r="V272" s="877"/>
      <c r="W272" s="878"/>
      <c r="X272" s="877"/>
      <c r="Y272" s="879"/>
      <c r="Z272" s="877"/>
      <c r="AA272" s="877"/>
      <c r="AB272" s="877"/>
      <c r="AC272" s="877"/>
      <c r="AD272" s="886"/>
      <c r="AE272" s="877"/>
      <c r="AF272" s="879"/>
      <c r="AG272" s="877"/>
      <c r="AH272" s="877"/>
      <c r="AI272" s="877"/>
      <c r="AJ272" s="877"/>
      <c r="AK272" s="886"/>
      <c r="AL272" s="877"/>
      <c r="AM272" s="879"/>
      <c r="AN272" s="877"/>
      <c r="AO272" s="877"/>
      <c r="AP272" s="877"/>
      <c r="AQ272" s="877"/>
      <c r="AR272" s="886"/>
      <c r="AS272" s="877"/>
      <c r="AT272" s="879"/>
      <c r="AU272" s="877"/>
      <c r="AV272" s="877"/>
      <c r="AW272" s="877"/>
      <c r="AX272" s="877"/>
      <c r="AY272" s="886"/>
      <c r="AZ272" s="877"/>
      <c r="BA272" s="879"/>
      <c r="BB272" s="877"/>
      <c r="BC272" s="877"/>
      <c r="BD272" s="877"/>
      <c r="BE272" s="877"/>
      <c r="BF272" s="886"/>
      <c r="BG272" s="877"/>
      <c r="BH272" s="879"/>
      <c r="BI272" s="877"/>
      <c r="BJ272" s="877"/>
      <c r="BK272" s="877"/>
      <c r="BL272" s="877"/>
      <c r="BM272" s="886"/>
      <c r="BN272" s="877"/>
      <c r="BO272" s="879"/>
      <c r="BP272" s="877"/>
      <c r="BQ272" s="877"/>
      <c r="BR272" s="877"/>
      <c r="BS272" s="877"/>
      <c r="BT272" s="886"/>
      <c r="BU272" s="877"/>
      <c r="BV272" s="879"/>
      <c r="BW272" s="886"/>
      <c r="BX272" s="877"/>
      <c r="BY272" s="877"/>
      <c r="BZ272" s="877"/>
      <c r="CA272" s="877"/>
      <c r="CB272" s="877"/>
      <c r="CC272" s="877"/>
      <c r="CD272" s="877"/>
      <c r="CE272" s="877"/>
    </row>
    <row r="273" spans="1:83">
      <c r="A273" s="18"/>
      <c r="B273" s="360"/>
      <c r="C273" s="83"/>
      <c r="E273" s="512" t="s">
        <v>320</v>
      </c>
      <c r="F273" s="877">
        <f>SUM(K273:M273)</f>
        <v>1.5048263893000001E-3</v>
      </c>
      <c r="G273" s="877">
        <f>SUM(I273:Q273)</f>
        <v>1.5048263893000001E-3</v>
      </c>
      <c r="H273" s="878">
        <f>SUM(U273:W273)/(1-'Common input data'!$D$143)</f>
        <v>1.8775032804577397E-3</v>
      </c>
      <c r="I273" s="928"/>
      <c r="J273" s="877"/>
      <c r="K273" s="877"/>
      <c r="L273" s="877"/>
      <c r="M273" s="877">
        <v>1.5048263893000001E-3</v>
      </c>
      <c r="N273" s="877"/>
      <c r="O273" s="877"/>
      <c r="P273" s="877"/>
      <c r="Q273" s="877"/>
      <c r="R273" s="877"/>
      <c r="S273" s="877"/>
      <c r="T273" s="877"/>
      <c r="U273" s="877">
        <f t="shared" si="72"/>
        <v>1.5048263893000001E-3</v>
      </c>
      <c r="V273" s="877"/>
      <c r="W273" s="878"/>
      <c r="X273" s="877"/>
      <c r="Y273" s="879"/>
      <c r="Z273" s="877"/>
      <c r="AA273" s="877"/>
      <c r="AB273" s="877"/>
      <c r="AC273" s="877"/>
      <c r="AD273" s="886"/>
      <c r="AE273" s="877"/>
      <c r="AF273" s="879"/>
      <c r="AG273" s="877"/>
      <c r="AH273" s="877"/>
      <c r="AI273" s="877"/>
      <c r="AJ273" s="877"/>
      <c r="AK273" s="886"/>
      <c r="AL273" s="877"/>
      <c r="AM273" s="879"/>
      <c r="AN273" s="877"/>
      <c r="AO273" s="877"/>
      <c r="AP273" s="877"/>
      <c r="AQ273" s="877"/>
      <c r="AR273" s="886"/>
      <c r="AS273" s="877"/>
      <c r="AT273" s="879"/>
      <c r="AU273" s="877"/>
      <c r="AV273" s="877"/>
      <c r="AW273" s="877"/>
      <c r="AX273" s="877"/>
      <c r="AY273" s="886"/>
      <c r="AZ273" s="877"/>
      <c r="BA273" s="879"/>
      <c r="BB273" s="877"/>
      <c r="BC273" s="877"/>
      <c r="BD273" s="877"/>
      <c r="BE273" s="877"/>
      <c r="BF273" s="886"/>
      <c r="BG273" s="877"/>
      <c r="BH273" s="879"/>
      <c r="BI273" s="877"/>
      <c r="BJ273" s="877"/>
      <c r="BK273" s="877"/>
      <c r="BL273" s="877"/>
      <c r="BM273" s="886"/>
      <c r="BN273" s="877"/>
      <c r="BO273" s="879"/>
      <c r="BP273" s="877"/>
      <c r="BQ273" s="877"/>
      <c r="BR273" s="877"/>
      <c r="BS273" s="877"/>
      <c r="BT273" s="886"/>
      <c r="BU273" s="877"/>
      <c r="BV273" s="879"/>
      <c r="BW273" s="886"/>
      <c r="BX273" s="877"/>
      <c r="BY273" s="877"/>
      <c r="BZ273" s="877"/>
      <c r="CA273" s="877"/>
      <c r="CB273" s="877"/>
      <c r="CC273" s="877"/>
      <c r="CD273" s="877"/>
      <c r="CE273" s="877"/>
    </row>
    <row r="274" spans="1:83">
      <c r="A274" s="108" t="s">
        <v>146</v>
      </c>
      <c r="B274" s="93" t="s">
        <v>121</v>
      </c>
      <c r="C274" s="87">
        <f>'Input data plant-based products'!D204</f>
        <v>0.18</v>
      </c>
      <c r="E274" s="513" t="s">
        <v>316</v>
      </c>
      <c r="F274" s="872">
        <f>SUMPRODUCT($CJ$6:$CJ$8,F275:F277)</f>
        <v>1.7164963024076201</v>
      </c>
      <c r="G274" s="872">
        <f>SUMPRODUCT($CJ$6:$CJ$8,G275:G277)</f>
        <v>1.7164963024076201</v>
      </c>
      <c r="H274" s="873">
        <f>SUMPRODUCT($CJ$6:$CJ$8,H275:H277)</f>
        <v>2.7660716210771472</v>
      </c>
      <c r="I274" s="1277"/>
      <c r="J274" s="884"/>
      <c r="K274" s="884"/>
      <c r="L274" s="884"/>
      <c r="M274" s="884"/>
      <c r="N274" s="884"/>
      <c r="O274" s="884"/>
      <c r="P274" s="884"/>
      <c r="Q274" s="884"/>
      <c r="R274" s="884"/>
      <c r="S274" s="884"/>
      <c r="T274" s="884"/>
      <c r="U274" s="884"/>
      <c r="V274" s="884"/>
      <c r="W274" s="1278"/>
      <c r="X274" s="877"/>
      <c r="Y274" s="879"/>
      <c r="Z274" s="877"/>
      <c r="AA274" s="877"/>
      <c r="AB274" s="877"/>
      <c r="AC274" s="877"/>
      <c r="AD274" s="886"/>
      <c r="AE274" s="877"/>
      <c r="AF274" s="879"/>
      <c r="AG274" s="877"/>
      <c r="AH274" s="877"/>
      <c r="AI274" s="877"/>
      <c r="AJ274" s="877"/>
      <c r="AK274" s="886"/>
      <c r="AL274" s="877"/>
      <c r="AM274" s="879"/>
      <c r="AN274" s="877"/>
      <c r="AO274" s="877"/>
      <c r="AP274" s="877"/>
      <c r="AQ274" s="877"/>
      <c r="AR274" s="886"/>
      <c r="AS274" s="877"/>
      <c r="AT274" s="879"/>
      <c r="AU274" s="877"/>
      <c r="AV274" s="877"/>
      <c r="AW274" s="877"/>
      <c r="AX274" s="877"/>
      <c r="AY274" s="886"/>
      <c r="AZ274" s="877"/>
      <c r="BA274" s="879"/>
      <c r="BB274" s="877"/>
      <c r="BC274" s="877"/>
      <c r="BD274" s="877"/>
      <c r="BE274" s="877"/>
      <c r="BF274" s="886"/>
      <c r="BG274" s="877"/>
      <c r="BH274" s="879"/>
      <c r="BI274" s="877"/>
      <c r="BJ274" s="877"/>
      <c r="BK274" s="877"/>
      <c r="BL274" s="877"/>
      <c r="BM274" s="886"/>
      <c r="BN274" s="877"/>
      <c r="BO274" s="879"/>
      <c r="BP274" s="877"/>
      <c r="BQ274" s="877"/>
      <c r="BR274" s="877"/>
      <c r="BS274" s="877"/>
      <c r="BT274" s="886"/>
      <c r="BU274" s="877"/>
      <c r="BV274" s="879">
        <f>('Common input data'!$B$222+'Common input data'!$C$222)*'Input data plant-based products'!AC204</f>
        <v>18.105568783876372</v>
      </c>
      <c r="BW274" s="886">
        <f>('Common input data'!$B$222+'Common input data'!$C$222)*'Input data plant-based products'!AD204</f>
        <v>18.859967483204557</v>
      </c>
      <c r="BX274" s="877"/>
      <c r="BY274" s="877"/>
      <c r="BZ274" s="877"/>
      <c r="CA274" s="877"/>
      <c r="CB274" s="877"/>
      <c r="CC274" s="877"/>
      <c r="CD274" s="877"/>
      <c r="CE274" s="877"/>
    </row>
    <row r="275" spans="1:83">
      <c r="A275" s="359"/>
      <c r="B275" s="360"/>
      <c r="C275" s="83"/>
      <c r="E275" s="511" t="s">
        <v>317</v>
      </c>
      <c r="F275" s="877">
        <f>IF(AND($F$2="No",$F$3="No"),SUM(L275:N275),IF(AND($F$2="Yes", $F$3="No"), (SUM(L275:M275)+S275), IF(AND($F$2="No", $F$3="Yes"),(SUM(L275:M275)+R275), (SUM(L275:M275)+S275+R275))))</f>
        <v>1.3837455518100001</v>
      </c>
      <c r="G275" s="877">
        <f>IF(AND($F$2="No",$F$3="No"),SUM(I275:Q275),IF(AND($F$2="Yes", $F$3="No"), (SUM(I275:Q275)+S275), IF(AND($F$2="No", $F$3="Yes"),(SUM(I275:Q275)+R275), (SUM(I275:Q275)+S275+R275))))</f>
        <v>1.3837455518100001</v>
      </c>
      <c r="H275" s="878">
        <f>SUM(U275:W275)/(1-'Common input data'!$H$143)</f>
        <v>2.3898550671365548</v>
      </c>
      <c r="I275" s="928"/>
      <c r="J275" s="877"/>
      <c r="K275" s="877"/>
      <c r="L275" s="877"/>
      <c r="M275" s="877">
        <v>1.3837455518100001</v>
      </c>
      <c r="N275" s="877"/>
      <c r="O275" s="877"/>
      <c r="P275" s="877"/>
      <c r="Q275" s="877"/>
      <c r="R275" s="877"/>
      <c r="S275" s="877"/>
      <c r="T275" s="877"/>
      <c r="U275" s="877">
        <f t="shared" si="72"/>
        <v>1.3837455518100001</v>
      </c>
      <c r="V275" s="877">
        <f>'Common input data'!$B$104</f>
        <v>0.3</v>
      </c>
      <c r="W275" s="878">
        <f>'Common input data'!$B$125+'Common input data'!$C$125</f>
        <v>0.43000000000000005</v>
      </c>
      <c r="X275" s="877"/>
      <c r="Y275" s="879">
        <f>1/'Input data plant-based products'!E204*10^4</f>
        <v>1.8271514708569341</v>
      </c>
      <c r="Z275" s="877">
        <f>$Y275*'Input data plant-based products'!Z204</f>
        <v>1.8271514708569341</v>
      </c>
      <c r="AA275" s="877">
        <f>$Y275*'Input data plant-based products'!AA204</f>
        <v>5.1160241183994151</v>
      </c>
      <c r="AB275" s="877">
        <f>$Y275*'Input data plant-based products'!AB204</f>
        <v>5.1160241183994151</v>
      </c>
      <c r="AC275" s="877">
        <f>$Y275*'Input data plant-based products'!AC204</f>
        <v>5.7843084057492495</v>
      </c>
      <c r="AD275" s="886">
        <f>$Y275*'Input data plant-based products'!AD204</f>
        <v>6.0253212559888016</v>
      </c>
      <c r="AE275" s="877"/>
      <c r="AF275" s="879">
        <f>SUM('Input data plant-based products'!F204,'Input data plant-based products'!Q204)/'Input data plant-based products'!E204</f>
        <v>1.6422018348623901E-2</v>
      </c>
      <c r="AG275" s="877">
        <f>$AF275*'Input data plant-based products'!Z204</f>
        <v>1.6422018348623901E-2</v>
      </c>
      <c r="AH275" s="877">
        <f>$AF275*'Input data plant-based products'!AA204</f>
        <v>4.5981651376146918E-2</v>
      </c>
      <c r="AI275" s="877">
        <f>$AF275*'Input data plant-based products'!AB204</f>
        <v>4.5981651376146918E-2</v>
      </c>
      <c r="AJ275" s="877">
        <f>$AF275*'Input data plant-based products'!AC204</f>
        <v>5.1988037274634552E-2</v>
      </c>
      <c r="AK275" s="886">
        <f>$AF275*'Input data plant-based products'!AD204</f>
        <v>5.4154205494410995E-2</v>
      </c>
      <c r="AL275" s="877"/>
      <c r="AM275" s="879">
        <f>'Input data plant-based products'!R204/'Input data plant-based products'!E204</f>
        <v>5.9633027522935792E-3</v>
      </c>
      <c r="AN275" s="877">
        <f>$AM275*'Input data plant-based products'!Z204</f>
        <v>5.9633027522935792E-3</v>
      </c>
      <c r="AO275" s="877">
        <f>$AM275*'Input data plant-based products'!AA204</f>
        <v>1.669724770642202E-2</v>
      </c>
      <c r="AP275" s="877">
        <f>$AM275*'Input data plant-based products'!AB204</f>
        <v>1.669724770642202E-2</v>
      </c>
      <c r="AQ275" s="877">
        <f>$AM275*'Input data plant-based products'!AC204</f>
        <v>1.887833755782814E-2</v>
      </c>
      <c r="AR275" s="886">
        <f>$AM275*'Input data plant-based products'!AD204</f>
        <v>1.9664934956070978E-2</v>
      </c>
      <c r="AS275" s="877"/>
      <c r="AT275" s="879">
        <f>'Input data plant-based products'!S204</f>
        <v>0</v>
      </c>
      <c r="AU275" s="877">
        <f>$AT275*'Input data plant-based products'!Z204</f>
        <v>0</v>
      </c>
      <c r="AV275" s="877">
        <f>$AT275*'Input data plant-based products'!AA204</f>
        <v>0</v>
      </c>
      <c r="AW275" s="877">
        <f>$AT275*'Input data plant-based products'!AB204</f>
        <v>0</v>
      </c>
      <c r="AX275" s="877">
        <f>$AT275*'Input data plant-based products'!AC204</f>
        <v>0</v>
      </c>
      <c r="AY275" s="886">
        <f>$AT275*'Input data plant-based products'!AD204</f>
        <v>0</v>
      </c>
      <c r="AZ275" s="877"/>
      <c r="BA275" s="879">
        <f>((SUM('Input data plant-based products'!U204:Y204)*Y275)/('Common input data'!$B$192/10^6))/$BB$3</f>
        <v>1.0311306142197549E-9</v>
      </c>
      <c r="BB275" s="877">
        <f>$BA275*'Input data plant-based products'!Z204</f>
        <v>1.0311306142197549E-9</v>
      </c>
      <c r="BC275" s="877">
        <f>$BA275*'Input data plant-based products'!AA204</f>
        <v>2.8871657198153138E-9</v>
      </c>
      <c r="BD275" s="877">
        <f>$BA275*'Input data plant-based products'!AB204</f>
        <v>2.8871657198153138E-9</v>
      </c>
      <c r="BE275" s="877">
        <f>$BA275*'Input data plant-based products'!AC204</f>
        <v>3.2643037943972E-9</v>
      </c>
      <c r="BF275" s="886">
        <f>$BA275*'Input data plant-based products'!AD204</f>
        <v>3.4003164524970835E-9</v>
      </c>
      <c r="BG275" s="877"/>
      <c r="BH275" s="879">
        <f>'Input data plant-based products'!T204/'Input data plant-based products'!E204</f>
        <v>0</v>
      </c>
      <c r="BI275" s="877">
        <f>$BH275*'Input data plant-based products'!Z204</f>
        <v>0</v>
      </c>
      <c r="BJ275" s="877">
        <f>$BH275*'Input data plant-based products'!AA204</f>
        <v>0</v>
      </c>
      <c r="BK275" s="877">
        <f>$BH275*'Input data plant-based products'!AB204</f>
        <v>0</v>
      </c>
      <c r="BL275" s="877">
        <f>$BH275*'Input data plant-based products'!AC204</f>
        <v>0</v>
      </c>
      <c r="BM275" s="886">
        <f>$BH275*'Input data plant-based products'!AD204</f>
        <v>0</v>
      </c>
      <c r="BN275" s="877"/>
      <c r="BO275" s="879">
        <f>('Input data plant-based products'!F204/'Input data plant-based products'!E204*'Common input data'!$B$195+'Input data plant-based products'!G204/'Input data plant-based products'!E204*'Common input data'!$B$196)/'Common input data'!$B$198</f>
        <v>4.1931543402610739E-4</v>
      </c>
      <c r="BP275" s="877">
        <f>$BO275*'Input data plant-based products'!Z204</f>
        <v>4.1931543402610739E-4</v>
      </c>
      <c r="BQ275" s="877">
        <f>$BO275*'Input data plant-based products'!AA204</f>
        <v>1.1740832152731006E-3</v>
      </c>
      <c r="BR275" s="877">
        <f>$BO275*'Input data plant-based products'!AB204</f>
        <v>1.1740832152731006E-3</v>
      </c>
      <c r="BS275" s="877">
        <f>$BO275*'Input data plant-based products'!AC204</f>
        <v>1.3274486699015008E-3</v>
      </c>
      <c r="BT275" s="886">
        <f>$BO275*'Input data plant-based products'!AD204</f>
        <v>1.3827590311473966E-3</v>
      </c>
      <c r="BU275" s="877"/>
      <c r="BV275" s="879"/>
      <c r="BW275" s="886"/>
      <c r="BX275" s="877"/>
      <c r="BY275" s="877"/>
      <c r="BZ275" s="877"/>
      <c r="CA275" s="877"/>
      <c r="CB275" s="877"/>
      <c r="CC275" s="877"/>
      <c r="CD275" s="877"/>
      <c r="CE275" s="877"/>
    </row>
    <row r="276" spans="1:83">
      <c r="A276" s="359"/>
      <c r="B276" s="360"/>
      <c r="C276" s="83"/>
      <c r="E276" s="511" t="s">
        <v>367</v>
      </c>
      <c r="F276" s="877">
        <f>SUM(K276:M276)</f>
        <v>3.3184858396000006E-3</v>
      </c>
      <c r="G276" s="877">
        <f>SUM(I276:Q276)</f>
        <v>3.3184858396000006E-3</v>
      </c>
      <c r="H276" s="878">
        <f>SUM(U276:W276)/(1-'Common input data'!$H$143)</f>
        <v>3.751965411446003E-3</v>
      </c>
      <c r="I276" s="928"/>
      <c r="J276" s="877"/>
      <c r="K276" s="877"/>
      <c r="L276" s="877"/>
      <c r="M276" s="877">
        <v>3.3184858396000006E-3</v>
      </c>
      <c r="N276" s="877"/>
      <c r="O276" s="877"/>
      <c r="P276" s="877"/>
      <c r="Q276" s="877"/>
      <c r="R276" s="877"/>
      <c r="S276" s="877"/>
      <c r="T276" s="877"/>
      <c r="U276" s="877">
        <f t="shared" si="72"/>
        <v>3.3184858396000006E-3</v>
      </c>
      <c r="V276" s="877"/>
      <c r="W276" s="878"/>
      <c r="X276" s="877"/>
      <c r="Y276" s="879"/>
      <c r="Z276" s="877"/>
      <c r="AA276" s="877"/>
      <c r="AB276" s="877"/>
      <c r="AC276" s="877"/>
      <c r="AD276" s="886"/>
      <c r="AE276" s="877"/>
      <c r="AF276" s="879"/>
      <c r="AG276" s="877"/>
      <c r="AH276" s="877"/>
      <c r="AI276" s="877"/>
      <c r="AJ276" s="877"/>
      <c r="AK276" s="886"/>
      <c r="AL276" s="877"/>
      <c r="AM276" s="879"/>
      <c r="AN276" s="877"/>
      <c r="AO276" s="877"/>
      <c r="AP276" s="877"/>
      <c r="AQ276" s="877"/>
      <c r="AR276" s="886"/>
      <c r="AS276" s="877"/>
      <c r="AT276" s="879"/>
      <c r="AU276" s="877"/>
      <c r="AV276" s="877"/>
      <c r="AW276" s="877"/>
      <c r="AX276" s="877"/>
      <c r="AY276" s="886"/>
      <c r="AZ276" s="877"/>
      <c r="BA276" s="879"/>
      <c r="BB276" s="877"/>
      <c r="BC276" s="877"/>
      <c r="BD276" s="877"/>
      <c r="BE276" s="877"/>
      <c r="BF276" s="886"/>
      <c r="BG276" s="877"/>
      <c r="BH276" s="879"/>
      <c r="BI276" s="877"/>
      <c r="BJ276" s="877"/>
      <c r="BK276" s="877"/>
      <c r="BL276" s="877"/>
      <c r="BM276" s="886"/>
      <c r="BN276" s="877"/>
      <c r="BO276" s="879"/>
      <c r="BP276" s="877"/>
      <c r="BQ276" s="877"/>
      <c r="BR276" s="877"/>
      <c r="BS276" s="877"/>
      <c r="BT276" s="886"/>
      <c r="BU276" s="877"/>
      <c r="BV276" s="879"/>
      <c r="BW276" s="886"/>
      <c r="BX276" s="877"/>
      <c r="BY276" s="877"/>
      <c r="BZ276" s="877"/>
      <c r="CA276" s="877"/>
      <c r="CB276" s="877"/>
      <c r="CC276" s="877"/>
      <c r="CD276" s="877"/>
      <c r="CE276" s="877"/>
    </row>
    <row r="277" spans="1:83">
      <c r="A277" s="359"/>
      <c r="B277" s="360"/>
      <c r="C277" s="83"/>
      <c r="E277" s="512" t="s">
        <v>320</v>
      </c>
      <c r="F277" s="877">
        <f>SUM(K277:M277)</f>
        <v>1.3611753955E-3</v>
      </c>
      <c r="G277" s="877">
        <f>SUM(I277:Q277)</f>
        <v>1.3611753955E-3</v>
      </c>
      <c r="H277" s="878">
        <f>SUM(U277:W277)/(1-'Common input data'!$H$143)</f>
        <v>1.5389798991707992E-3</v>
      </c>
      <c r="I277" s="928"/>
      <c r="J277" s="877"/>
      <c r="K277" s="877"/>
      <c r="L277" s="877"/>
      <c r="M277" s="877">
        <v>1.3611753955E-3</v>
      </c>
      <c r="N277" s="877"/>
      <c r="O277" s="877"/>
      <c r="P277" s="877"/>
      <c r="Q277" s="877"/>
      <c r="R277" s="877"/>
      <c r="S277" s="877"/>
      <c r="T277" s="877"/>
      <c r="U277" s="877">
        <f t="shared" si="72"/>
        <v>1.3611753955E-3</v>
      </c>
      <c r="V277" s="877"/>
      <c r="W277" s="878"/>
      <c r="X277" s="877"/>
      <c r="Y277" s="879"/>
      <c r="Z277" s="877"/>
      <c r="AA277" s="877"/>
      <c r="AB277" s="877"/>
      <c r="AC277" s="877"/>
      <c r="AD277" s="886"/>
      <c r="AE277" s="877"/>
      <c r="AF277" s="879"/>
      <c r="AG277" s="877"/>
      <c r="AH277" s="877"/>
      <c r="AI277" s="877"/>
      <c r="AJ277" s="877"/>
      <c r="AK277" s="886"/>
      <c r="AL277" s="877"/>
      <c r="AM277" s="879"/>
      <c r="AN277" s="877"/>
      <c r="AO277" s="877"/>
      <c r="AP277" s="877"/>
      <c r="AQ277" s="877"/>
      <c r="AR277" s="886"/>
      <c r="AS277" s="877"/>
      <c r="AT277" s="879"/>
      <c r="AU277" s="877"/>
      <c r="AV277" s="877"/>
      <c r="AW277" s="877"/>
      <c r="AX277" s="877"/>
      <c r="AY277" s="886"/>
      <c r="AZ277" s="877"/>
      <c r="BA277" s="879"/>
      <c r="BB277" s="877"/>
      <c r="BC277" s="877"/>
      <c r="BD277" s="877"/>
      <c r="BE277" s="877"/>
      <c r="BF277" s="886"/>
      <c r="BG277" s="877"/>
      <c r="BH277" s="879"/>
      <c r="BI277" s="877"/>
      <c r="BJ277" s="877"/>
      <c r="BK277" s="877"/>
      <c r="BL277" s="877"/>
      <c r="BM277" s="886"/>
      <c r="BN277" s="877"/>
      <c r="BO277" s="879"/>
      <c r="BP277" s="877"/>
      <c r="BQ277" s="877"/>
      <c r="BR277" s="877"/>
      <c r="BS277" s="877"/>
      <c r="BT277" s="886"/>
      <c r="BU277" s="877"/>
      <c r="BV277" s="879"/>
      <c r="BW277" s="886"/>
      <c r="BX277" s="877"/>
      <c r="BY277" s="877"/>
      <c r="BZ277" s="877"/>
      <c r="CA277" s="877"/>
      <c r="CB277" s="877"/>
      <c r="CC277" s="877"/>
      <c r="CD277" s="877"/>
      <c r="CE277" s="877"/>
    </row>
    <row r="278" spans="1:83">
      <c r="A278" s="108" t="s">
        <v>134</v>
      </c>
      <c r="B278" s="93" t="s">
        <v>121</v>
      </c>
      <c r="C278" s="87">
        <f>'Input data plant-based products'!D205</f>
        <v>0.28000000000000003</v>
      </c>
      <c r="E278" s="513" t="s">
        <v>316</v>
      </c>
      <c r="F278" s="872">
        <f>SUMPRODUCT($CJ$6:$CJ$8,F279:F281)</f>
        <v>1.7164963024076201</v>
      </c>
      <c r="G278" s="872">
        <f>SUMPRODUCT($CJ$6:$CJ$8,G279:G281)</f>
        <v>1.7164963024076201</v>
      </c>
      <c r="H278" s="873">
        <f>SUMPRODUCT($CJ$6:$CJ$8,H279:H281)</f>
        <v>2.7660716210771472</v>
      </c>
      <c r="I278" s="1277"/>
      <c r="J278" s="884"/>
      <c r="K278" s="884"/>
      <c r="L278" s="884"/>
      <c r="M278" s="884"/>
      <c r="N278" s="884"/>
      <c r="O278" s="884"/>
      <c r="P278" s="884"/>
      <c r="Q278" s="884"/>
      <c r="R278" s="884"/>
      <c r="S278" s="884"/>
      <c r="T278" s="884"/>
      <c r="U278" s="884"/>
      <c r="V278" s="884"/>
      <c r="W278" s="1278"/>
      <c r="X278" s="877"/>
      <c r="Y278" s="879"/>
      <c r="Z278" s="877"/>
      <c r="AA278" s="877"/>
      <c r="AB278" s="877"/>
      <c r="AC278" s="877"/>
      <c r="AD278" s="886"/>
      <c r="AE278" s="877"/>
      <c r="AF278" s="879"/>
      <c r="AG278" s="877"/>
      <c r="AH278" s="877"/>
      <c r="AI278" s="877"/>
      <c r="AJ278" s="877"/>
      <c r="AK278" s="886"/>
      <c r="AL278" s="877"/>
      <c r="AM278" s="879"/>
      <c r="AN278" s="877"/>
      <c r="AO278" s="877"/>
      <c r="AP278" s="877"/>
      <c r="AQ278" s="877"/>
      <c r="AR278" s="886"/>
      <c r="AS278" s="877"/>
      <c r="AT278" s="879"/>
      <c r="AU278" s="877"/>
      <c r="AV278" s="877"/>
      <c r="AW278" s="877"/>
      <c r="AX278" s="877"/>
      <c r="AY278" s="886"/>
      <c r="AZ278" s="877"/>
      <c r="BA278" s="879"/>
      <c r="BB278" s="877"/>
      <c r="BC278" s="877"/>
      <c r="BD278" s="877"/>
      <c r="BE278" s="877"/>
      <c r="BF278" s="886"/>
      <c r="BG278" s="877"/>
      <c r="BH278" s="879"/>
      <c r="BI278" s="877"/>
      <c r="BJ278" s="877"/>
      <c r="BK278" s="877"/>
      <c r="BL278" s="877"/>
      <c r="BM278" s="886"/>
      <c r="BN278" s="877"/>
      <c r="BO278" s="879"/>
      <c r="BP278" s="877"/>
      <c r="BQ278" s="877"/>
      <c r="BR278" s="877"/>
      <c r="BS278" s="877"/>
      <c r="BT278" s="886"/>
      <c r="BU278" s="877"/>
      <c r="BV278" s="879">
        <f>('Common input data'!$B$228+'Common input data'!$C$228)*'Input data plant-based products'!AC205</f>
        <v>17.89422016599093</v>
      </c>
      <c r="BW278" s="886">
        <f>('Common input data'!$B$228+'Common input data'!$C$228)*'Input data plant-based products'!AD205</f>
        <v>18.639812672907219</v>
      </c>
      <c r="BX278" s="877"/>
      <c r="BY278" s="877"/>
      <c r="BZ278" s="877"/>
      <c r="CA278" s="877"/>
      <c r="CB278" s="877"/>
      <c r="CC278" s="877"/>
      <c r="CD278" s="877"/>
      <c r="CE278" s="877"/>
    </row>
    <row r="279" spans="1:83">
      <c r="A279" s="359"/>
      <c r="B279" s="360"/>
      <c r="C279" s="83"/>
      <c r="E279" s="511" t="s">
        <v>317</v>
      </c>
      <c r="F279" s="877">
        <f>IF(AND($F$2="No",$F$3="No"),SUM(L279:N279),IF(AND($F$2="Yes", $F$3="No"), (SUM(L279:M279)+S279), IF(AND($F$2="No", $F$3="Yes"),(SUM(L279:M279)+R279), (SUM(L279:M279)+S279+R279))))</f>
        <v>1.3837455518100001</v>
      </c>
      <c r="G279" s="877">
        <f>IF(AND($F$2="No",$F$3="No"),SUM(I279:Q279),IF(AND($F$2="Yes", $F$3="No"), (SUM(I279:Q279)+S279), IF(AND($F$2="No", $F$3="Yes"),(SUM(I279:Q279)+R279), (SUM(I279:Q279)+S279+R279))))</f>
        <v>1.3837455518100001</v>
      </c>
      <c r="H279" s="878">
        <f>SUM(U279:W279)/(1-'Common input data'!$I$143)</f>
        <v>2.3898550671365548</v>
      </c>
      <c r="I279" s="928"/>
      <c r="J279" s="877"/>
      <c r="K279" s="877"/>
      <c r="L279" s="877"/>
      <c r="M279" s="877">
        <v>1.3837455518100001</v>
      </c>
      <c r="N279" s="877"/>
      <c r="O279" s="877"/>
      <c r="P279" s="877"/>
      <c r="Q279" s="877"/>
      <c r="R279" s="877"/>
      <c r="S279" s="877"/>
      <c r="T279" s="877"/>
      <c r="U279" s="877">
        <f t="shared" si="72"/>
        <v>1.3837455518100001</v>
      </c>
      <c r="V279" s="877">
        <f>'Common input data'!$B$104</f>
        <v>0.3</v>
      </c>
      <c r="W279" s="878">
        <f>'Common input data'!$B$128+'Common input data'!$C$128</f>
        <v>0.43000000000000005</v>
      </c>
      <c r="X279" s="877"/>
      <c r="Y279" s="879">
        <f>1/'Input data plant-based products'!E205*10^4</f>
        <v>1.9743336623889436</v>
      </c>
      <c r="Z279" s="877">
        <f>$Y279*'Input data plant-based products'!Z205</f>
        <v>1.9743336623889436</v>
      </c>
      <c r="AA279" s="877">
        <f>$Y279*'Input data plant-based products'!AA205</f>
        <v>5.528134254689042</v>
      </c>
      <c r="AB279" s="877">
        <f>$Y279*'Input data plant-based products'!AB205</f>
        <v>5.528134254689042</v>
      </c>
      <c r="AC279" s="877">
        <f>$Y279*'Input data plant-based products'!AC205</f>
        <v>6.2502507215529395</v>
      </c>
      <c r="AD279" s="886">
        <f>$Y279*'Input data plant-based products'!AD205</f>
        <v>6.5106778349509788</v>
      </c>
      <c r="AE279" s="877"/>
      <c r="AF279" s="879">
        <f>SUM('Input data plant-based products'!F205,'Input data plant-based products'!Q205)/'Input data plant-based products'!E205</f>
        <v>1.03695E-2</v>
      </c>
      <c r="AG279" s="877">
        <f>$AF279*'Input data plant-based products'!Z205</f>
        <v>1.03695E-2</v>
      </c>
      <c r="AH279" s="877">
        <f>$AF279*'Input data plant-based products'!AA205</f>
        <v>2.9034599999999997E-2</v>
      </c>
      <c r="AI279" s="877">
        <f>$AF279*'Input data plant-based products'!AB205</f>
        <v>2.9034599999999997E-2</v>
      </c>
      <c r="AJ279" s="877">
        <f>$AF279*'Input data plant-based products'!AC205</f>
        <v>3.2827265265143034E-2</v>
      </c>
      <c r="AK279" s="886">
        <f>$AF279*'Input data plant-based products'!AD205</f>
        <v>3.4195067984524E-2</v>
      </c>
      <c r="AL279" s="877"/>
      <c r="AM279" s="879">
        <f>'Input data plant-based products'!R205/'Input data plant-based products'!E205</f>
        <v>6.0686999999999998E-3</v>
      </c>
      <c r="AN279" s="877">
        <f>$AM279*'Input data plant-based products'!Z205</f>
        <v>6.0686999999999998E-3</v>
      </c>
      <c r="AO279" s="877">
        <f>$AM279*'Input data plant-based products'!AA205</f>
        <v>1.6992359999999998E-2</v>
      </c>
      <c r="AP279" s="877">
        <f>$AM279*'Input data plant-based products'!AB205</f>
        <v>1.6992359999999998E-2</v>
      </c>
      <c r="AQ279" s="877">
        <f>$AM279*'Input data plant-based products'!AC205</f>
        <v>1.9211999104544436E-2</v>
      </c>
      <c r="AR279" s="886">
        <f>$AM279*'Input data plant-based products'!AD205</f>
        <v>2.0012499067233788E-2</v>
      </c>
      <c r="AS279" s="877"/>
      <c r="AT279" s="879">
        <f>'Input data plant-based products'!S205</f>
        <v>1.6474172711096E-3</v>
      </c>
      <c r="AU279" s="877">
        <f>$AT279*'Input data plant-based products'!Z205</f>
        <v>1.6474172711096E-3</v>
      </c>
      <c r="AV279" s="877">
        <f>$AT279*'Input data plant-based products'!AA205</f>
        <v>4.6127683591068794E-3</v>
      </c>
      <c r="AW279" s="877">
        <f>$AT279*'Input data plant-based products'!AB205</f>
        <v>4.6127683591068794E-3</v>
      </c>
      <c r="AX279" s="877">
        <f>$AT279*'Input data plant-based products'!AC205</f>
        <v>5.2153145051442116E-3</v>
      </c>
      <c r="AY279" s="886">
        <f>$AT279*'Input data plant-based products'!AD205</f>
        <v>5.4326192761918876E-3</v>
      </c>
      <c r="AZ279" s="877"/>
      <c r="BA279" s="879">
        <f>((SUM('Input data plant-based products'!U205:Y205)*Y279)/('Common input data'!$B$192/10^6))/$BB$3</f>
        <v>5.7246801173870715E-9</v>
      </c>
      <c r="BB279" s="877">
        <f>$BA279*'Input data plant-based products'!Z205</f>
        <v>5.7246801173870715E-9</v>
      </c>
      <c r="BC279" s="877">
        <f>$BA279*'Input data plant-based products'!AA205</f>
        <v>1.6029104328683801E-8</v>
      </c>
      <c r="BD279" s="877">
        <f>$BA279*'Input data plant-based products'!AB205</f>
        <v>1.6029104328683801E-8</v>
      </c>
      <c r="BE279" s="877">
        <f>$BA279*'Input data plant-based products'!AC205</f>
        <v>1.8122917476402484E-8</v>
      </c>
      <c r="BF279" s="886">
        <f>$BA279*'Input data plant-based products'!AD205</f>
        <v>1.8878039037919258E-8</v>
      </c>
      <c r="BG279" s="877"/>
      <c r="BH279" s="879">
        <f>'Input data plant-based products'!T205/'Input data plant-based products'!E205</f>
        <v>0</v>
      </c>
      <c r="BI279" s="877">
        <f>$BH279*'Input data plant-based products'!Z205</f>
        <v>0</v>
      </c>
      <c r="BJ279" s="877">
        <f>$BH279*'Input data plant-based products'!AA205</f>
        <v>0</v>
      </c>
      <c r="BK279" s="877">
        <f>$BH279*'Input data plant-based products'!AB205</f>
        <v>0</v>
      </c>
      <c r="BL279" s="877">
        <f>$BH279*'Input data plant-based products'!AC205</f>
        <v>0</v>
      </c>
      <c r="BM279" s="886">
        <f>$BH279*'Input data plant-based products'!AD205</f>
        <v>0</v>
      </c>
      <c r="BN279" s="877"/>
      <c r="BO279" s="879">
        <f>('Input data plant-based products'!F205/'Input data plant-based products'!E205*'Common input data'!$B$195+'Input data plant-based products'!G205/'Input data plant-based products'!E205*'Common input data'!$B$196)/'Common input data'!$B$198</f>
        <v>2.6477204572713641E-4</v>
      </c>
      <c r="BP279" s="877">
        <f>$BO279*'Input data plant-based products'!Z205</f>
        <v>2.6477204572713641E-4</v>
      </c>
      <c r="BQ279" s="877">
        <f>$BO279*'Input data plant-based products'!AA205</f>
        <v>7.4136172803598193E-4</v>
      </c>
      <c r="BR279" s="877">
        <f>$BO279*'Input data plant-based products'!AB205</f>
        <v>7.4136172803598193E-4</v>
      </c>
      <c r="BS279" s="877">
        <f>$BO279*'Input data plant-based products'!AC205</f>
        <v>8.3820263078058621E-4</v>
      </c>
      <c r="BT279" s="886">
        <f>$BO279*'Input data plant-based products'!AD205</f>
        <v>8.7312774039644404E-4</v>
      </c>
      <c r="BU279" s="877"/>
      <c r="BV279" s="879"/>
      <c r="BW279" s="886"/>
      <c r="BX279" s="877"/>
      <c r="BY279" s="877"/>
      <c r="BZ279" s="877"/>
      <c r="CA279" s="877"/>
      <c r="CB279" s="877"/>
      <c r="CC279" s="877"/>
      <c r="CD279" s="877"/>
      <c r="CE279" s="877"/>
    </row>
    <row r="280" spans="1:83">
      <c r="A280" s="359"/>
      <c r="B280" s="360"/>
      <c r="C280" s="83"/>
      <c r="E280" s="511" t="s">
        <v>367</v>
      </c>
      <c r="F280" s="877">
        <f>SUM(K280:M280)</f>
        <v>3.3184858396000006E-3</v>
      </c>
      <c r="G280" s="877">
        <f>SUM(I280:Q280)</f>
        <v>3.3184858396000006E-3</v>
      </c>
      <c r="H280" s="878">
        <f>SUM(U280:W280)/(1-'Common input data'!$I$143)</f>
        <v>3.751965411446003E-3</v>
      </c>
      <c r="I280" s="928"/>
      <c r="J280" s="877"/>
      <c r="K280" s="877"/>
      <c r="L280" s="877"/>
      <c r="M280" s="877">
        <v>3.3184858396000006E-3</v>
      </c>
      <c r="N280" s="877"/>
      <c r="O280" s="877"/>
      <c r="P280" s="877"/>
      <c r="Q280" s="877"/>
      <c r="R280" s="877"/>
      <c r="S280" s="877"/>
      <c r="T280" s="877"/>
      <c r="U280" s="877">
        <f>G280+T280</f>
        <v>3.3184858396000006E-3</v>
      </c>
      <c r="V280" s="877"/>
      <c r="W280" s="878"/>
      <c r="X280" s="877"/>
      <c r="Y280" s="879"/>
      <c r="Z280" s="877"/>
      <c r="AA280" s="877"/>
      <c r="AB280" s="877"/>
      <c r="AC280" s="877"/>
      <c r="AD280" s="886"/>
      <c r="AE280" s="877"/>
      <c r="AF280" s="879"/>
      <c r="AG280" s="877"/>
      <c r="AH280" s="877"/>
      <c r="AI280" s="877"/>
      <c r="AJ280" s="877"/>
      <c r="AK280" s="886"/>
      <c r="AL280" s="877"/>
      <c r="AM280" s="879"/>
      <c r="AN280" s="877"/>
      <c r="AO280" s="877"/>
      <c r="AP280" s="877"/>
      <c r="AQ280" s="877"/>
      <c r="AR280" s="886"/>
      <c r="AS280" s="877"/>
      <c r="AT280" s="879"/>
      <c r="AU280" s="877"/>
      <c r="AV280" s="877"/>
      <c r="AW280" s="877"/>
      <c r="AX280" s="877"/>
      <c r="AY280" s="886"/>
      <c r="AZ280" s="877"/>
      <c r="BA280" s="879"/>
      <c r="BB280" s="877"/>
      <c r="BC280" s="877"/>
      <c r="BD280" s="877"/>
      <c r="BE280" s="877"/>
      <c r="BF280" s="886"/>
      <c r="BG280" s="877"/>
      <c r="BH280" s="879"/>
      <c r="BI280" s="877"/>
      <c r="BJ280" s="877"/>
      <c r="BK280" s="877"/>
      <c r="BL280" s="877"/>
      <c r="BM280" s="886"/>
      <c r="BN280" s="877"/>
      <c r="BO280" s="879"/>
      <c r="BP280" s="877"/>
      <c r="BQ280" s="877"/>
      <c r="BR280" s="877"/>
      <c r="BS280" s="877"/>
      <c r="BT280" s="886"/>
      <c r="BU280" s="877"/>
      <c r="BV280" s="879"/>
      <c r="BW280" s="886"/>
      <c r="BX280" s="877"/>
      <c r="BY280" s="877"/>
      <c r="BZ280" s="877"/>
      <c r="CA280" s="877"/>
      <c r="CB280" s="877"/>
      <c r="CC280" s="877"/>
      <c r="CD280" s="877"/>
      <c r="CE280" s="877"/>
    </row>
    <row r="281" spans="1:83">
      <c r="A281" s="359"/>
      <c r="B281" s="360"/>
      <c r="C281" s="83"/>
      <c r="E281" s="512" t="s">
        <v>320</v>
      </c>
      <c r="F281" s="877">
        <f>SUM(K281:M281)</f>
        <v>1.3611753955E-3</v>
      </c>
      <c r="G281" s="877">
        <f>SUM(I281:Q281)</f>
        <v>1.3611753955E-3</v>
      </c>
      <c r="H281" s="878">
        <f>SUM(U281:W281)/(1-'Common input data'!$I$143)</f>
        <v>1.5389798991707992E-3</v>
      </c>
      <c r="I281" s="928"/>
      <c r="J281" s="877"/>
      <c r="K281" s="877"/>
      <c r="L281" s="877"/>
      <c r="M281" s="877">
        <v>1.3611753955E-3</v>
      </c>
      <c r="N281" s="877"/>
      <c r="O281" s="877"/>
      <c r="P281" s="877"/>
      <c r="Q281" s="877"/>
      <c r="R281" s="877"/>
      <c r="S281" s="877"/>
      <c r="T281" s="877"/>
      <c r="U281" s="877">
        <f t="shared" si="72"/>
        <v>1.3611753955E-3</v>
      </c>
      <c r="V281" s="877"/>
      <c r="W281" s="878"/>
      <c r="X281" s="877"/>
      <c r="Y281" s="879"/>
      <c r="Z281" s="877"/>
      <c r="AA281" s="877"/>
      <c r="AB281" s="877"/>
      <c r="AC281" s="877"/>
      <c r="AD281" s="886"/>
      <c r="AE281" s="877"/>
      <c r="AF281" s="879"/>
      <c r="AG281" s="877"/>
      <c r="AH281" s="877"/>
      <c r="AI281" s="877"/>
      <c r="AJ281" s="877"/>
      <c r="AK281" s="886"/>
      <c r="AL281" s="877"/>
      <c r="AM281" s="879"/>
      <c r="AN281" s="877"/>
      <c r="AO281" s="877"/>
      <c r="AP281" s="877"/>
      <c r="AQ281" s="877"/>
      <c r="AR281" s="886"/>
      <c r="AS281" s="877"/>
      <c r="AT281" s="879"/>
      <c r="AU281" s="877"/>
      <c r="AV281" s="877"/>
      <c r="AW281" s="877"/>
      <c r="AX281" s="877"/>
      <c r="AY281" s="886"/>
      <c r="AZ281" s="877"/>
      <c r="BA281" s="879"/>
      <c r="BB281" s="877"/>
      <c r="BC281" s="877"/>
      <c r="BD281" s="877"/>
      <c r="BE281" s="877"/>
      <c r="BF281" s="886"/>
      <c r="BG281" s="877"/>
      <c r="BH281" s="879"/>
      <c r="BI281" s="877"/>
      <c r="BJ281" s="877"/>
      <c r="BK281" s="877"/>
      <c r="BL281" s="877"/>
      <c r="BM281" s="886"/>
      <c r="BN281" s="877"/>
      <c r="BO281" s="879"/>
      <c r="BP281" s="877"/>
      <c r="BQ281" s="877"/>
      <c r="BR281" s="877"/>
      <c r="BS281" s="877"/>
      <c r="BT281" s="886"/>
      <c r="BU281" s="877"/>
      <c r="BV281" s="879"/>
      <c r="BW281" s="886"/>
      <c r="BX281" s="877"/>
      <c r="BY281" s="877"/>
      <c r="BZ281" s="877"/>
      <c r="CA281" s="877"/>
      <c r="CB281" s="877"/>
      <c r="CC281" s="877"/>
      <c r="CD281" s="877"/>
      <c r="CE281" s="877"/>
    </row>
    <row r="282" spans="1:83">
      <c r="A282" s="362" t="s">
        <v>192</v>
      </c>
      <c r="B282" s="363"/>
      <c r="C282" s="770"/>
      <c r="E282" s="939"/>
      <c r="F282" s="892" t="s">
        <v>470</v>
      </c>
      <c r="G282" s="892" t="s">
        <v>470</v>
      </c>
      <c r="H282" s="970" t="s">
        <v>470</v>
      </c>
      <c r="I282" s="969"/>
      <c r="J282" s="892"/>
      <c r="K282" s="892"/>
      <c r="L282" s="892"/>
      <c r="M282" s="892"/>
      <c r="N282" s="892"/>
      <c r="O282" s="892"/>
      <c r="P282" s="892"/>
      <c r="Q282" s="892"/>
      <c r="R282" s="892"/>
      <c r="S282" s="892"/>
      <c r="T282" s="892"/>
      <c r="U282" s="892"/>
      <c r="V282" s="892"/>
      <c r="W282" s="970"/>
      <c r="X282" s="877"/>
      <c r="Y282" s="879"/>
      <c r="Z282" s="877"/>
      <c r="AA282" s="877"/>
      <c r="AB282" s="877"/>
      <c r="AC282" s="877"/>
      <c r="AD282" s="886"/>
      <c r="AE282" s="877"/>
      <c r="AF282" s="879"/>
      <c r="AG282" s="877"/>
      <c r="AH282" s="877"/>
      <c r="AI282" s="877"/>
      <c r="AJ282" s="877"/>
      <c r="AK282" s="886"/>
      <c r="AL282" s="877"/>
      <c r="AM282" s="879"/>
      <c r="AN282" s="877"/>
      <c r="AO282" s="877"/>
      <c r="AP282" s="877"/>
      <c r="AQ282" s="877"/>
      <c r="AR282" s="886"/>
      <c r="AS282" s="877"/>
      <c r="AT282" s="879"/>
      <c r="AU282" s="877"/>
      <c r="AV282" s="877"/>
      <c r="AW282" s="877"/>
      <c r="AX282" s="877"/>
      <c r="AY282" s="886"/>
      <c r="AZ282" s="877"/>
      <c r="BA282" s="879"/>
      <c r="BB282" s="877"/>
      <c r="BC282" s="877"/>
      <c r="BD282" s="877"/>
      <c r="BE282" s="877"/>
      <c r="BF282" s="886"/>
      <c r="BG282" s="877"/>
      <c r="BH282" s="879"/>
      <c r="BI282" s="877"/>
      <c r="BJ282" s="877"/>
      <c r="BK282" s="877"/>
      <c r="BL282" s="877"/>
      <c r="BM282" s="886"/>
      <c r="BN282" s="877"/>
      <c r="BO282" s="879"/>
      <c r="BP282" s="877"/>
      <c r="BQ282" s="877"/>
      <c r="BR282" s="877"/>
      <c r="BS282" s="877"/>
      <c r="BT282" s="886"/>
      <c r="BU282" s="877"/>
      <c r="BV282" s="879"/>
      <c r="BW282" s="886"/>
      <c r="BX282" s="877"/>
      <c r="BY282" s="877"/>
      <c r="BZ282" s="877"/>
      <c r="CA282" s="877"/>
      <c r="CB282" s="877"/>
      <c r="CC282" s="877"/>
      <c r="CD282" s="877"/>
      <c r="CE282" s="877"/>
    </row>
    <row r="283" spans="1:83">
      <c r="A283" s="108" t="s">
        <v>120</v>
      </c>
      <c r="B283" s="93" t="s">
        <v>121</v>
      </c>
      <c r="C283" s="87">
        <f>SUM(C287:C299)</f>
        <v>1</v>
      </c>
      <c r="E283" s="513" t="s">
        <v>316</v>
      </c>
      <c r="F283" s="872">
        <f>SUMPRODUCT($CJ$6:$CJ$8,F284:F286)</f>
        <v>0.5088237189726601</v>
      </c>
      <c r="G283" s="872">
        <f>SUMPRODUCT($CJ$6:$CJ$8,G284:G286)</f>
        <v>0.5196371072826601</v>
      </c>
      <c r="H283" s="873">
        <f>SUMPRODUCT($CJ$6:$CJ$8,H284:H286)</f>
        <v>1.0310273062967583</v>
      </c>
      <c r="I283" s="1277"/>
      <c r="J283" s="884"/>
      <c r="K283" s="884"/>
      <c r="L283" s="884"/>
      <c r="M283" s="884"/>
      <c r="N283" s="884"/>
      <c r="O283" s="884"/>
      <c r="P283" s="884"/>
      <c r="Q283" s="884"/>
      <c r="R283" s="884"/>
      <c r="S283" s="884"/>
      <c r="T283" s="884"/>
      <c r="U283" s="884"/>
      <c r="V283" s="884"/>
      <c r="W283" s="1278"/>
      <c r="X283" s="877"/>
      <c r="Y283" s="883">
        <f>Y287*$C$287+Y291*$C$291+Y295*$C$295+Y299*$C$299</f>
        <v>1.6460379046488973</v>
      </c>
      <c r="Z283" s="884">
        <f t="shared" ref="Z283:BT283" si="73">Z287*$C$287+Z291*$C$291+Z295*$C$295+Z299*$C$299</f>
        <v>1.6460379046488973</v>
      </c>
      <c r="AA283" s="884">
        <f t="shared" si="73"/>
        <v>1.6460379046488973</v>
      </c>
      <c r="AB283" s="884">
        <f t="shared" si="73"/>
        <v>1.6460379046488973</v>
      </c>
      <c r="AC283" s="884">
        <f t="shared" si="73"/>
        <v>1.9479954819751146</v>
      </c>
      <c r="AD283" s="885">
        <f t="shared" si="73"/>
        <v>2.597327309300153</v>
      </c>
      <c r="AE283" s="877"/>
      <c r="AF283" s="883">
        <f t="shared" si="73"/>
        <v>1.3308416875033088E-2</v>
      </c>
      <c r="AG283" s="884">
        <f t="shared" si="73"/>
        <v>1.3308416875033088E-2</v>
      </c>
      <c r="AH283" s="884">
        <f t="shared" si="73"/>
        <v>1.3308416875033088E-2</v>
      </c>
      <c r="AI283" s="884">
        <f t="shared" si="73"/>
        <v>1.3308416875033088E-2</v>
      </c>
      <c r="AJ283" s="884">
        <f t="shared" si="73"/>
        <v>1.573369905193759E-2</v>
      </c>
      <c r="AK283" s="885">
        <f t="shared" si="73"/>
        <v>2.0978265402583456E-2</v>
      </c>
      <c r="AL283" s="877"/>
      <c r="AM283" s="883">
        <f t="shared" si="73"/>
        <v>4.6177344374261735E-3</v>
      </c>
      <c r="AN283" s="884">
        <f t="shared" si="73"/>
        <v>4.6177344374261735E-3</v>
      </c>
      <c r="AO283" s="884">
        <f t="shared" si="73"/>
        <v>4.6177344374261735E-3</v>
      </c>
      <c r="AP283" s="884">
        <f t="shared" si="73"/>
        <v>4.6177344374261735E-3</v>
      </c>
      <c r="AQ283" s="884">
        <f t="shared" si="73"/>
        <v>5.4592776095923994E-3</v>
      </c>
      <c r="AR283" s="885">
        <f t="shared" si="73"/>
        <v>7.2790368127898658E-3</v>
      </c>
      <c r="AS283" s="877"/>
      <c r="AT283" s="883">
        <f t="shared" si="73"/>
        <v>0.13364024865608551</v>
      </c>
      <c r="AU283" s="884">
        <f t="shared" si="73"/>
        <v>0.13364024865608551</v>
      </c>
      <c r="AV283" s="884">
        <f t="shared" si="73"/>
        <v>0.13364024865608551</v>
      </c>
      <c r="AW283" s="884">
        <f t="shared" si="73"/>
        <v>0.13364024865608551</v>
      </c>
      <c r="AX283" s="884">
        <f t="shared" si="73"/>
        <v>0.15832318977964685</v>
      </c>
      <c r="AY283" s="885">
        <f t="shared" si="73"/>
        <v>0.21109758637286247</v>
      </c>
      <c r="AZ283" s="877"/>
      <c r="BA283" s="883">
        <f t="shared" si="73"/>
        <v>3.7656667910353233E-11</v>
      </c>
      <c r="BB283" s="884">
        <f t="shared" si="73"/>
        <v>3.7656667910353233E-11</v>
      </c>
      <c r="BC283" s="884">
        <f t="shared" si="73"/>
        <v>3.7656667910353233E-11</v>
      </c>
      <c r="BD283" s="884">
        <f t="shared" si="73"/>
        <v>3.7656667910353233E-11</v>
      </c>
      <c r="BE283" s="884">
        <f t="shared" si="73"/>
        <v>4.4574269036949909E-11</v>
      </c>
      <c r="BF283" s="885">
        <f t="shared" si="73"/>
        <v>5.9432358715933221E-11</v>
      </c>
      <c r="BG283" s="877"/>
      <c r="BH283" s="883">
        <f t="shared" si="73"/>
        <v>0</v>
      </c>
      <c r="BI283" s="884">
        <f t="shared" si="73"/>
        <v>0</v>
      </c>
      <c r="BJ283" s="884">
        <f t="shared" si="73"/>
        <v>0</v>
      </c>
      <c r="BK283" s="884">
        <f t="shared" si="73"/>
        <v>0</v>
      </c>
      <c r="BL283" s="884">
        <f t="shared" si="73"/>
        <v>0</v>
      </c>
      <c r="BM283" s="885">
        <f t="shared" si="73"/>
        <v>0</v>
      </c>
      <c r="BN283" s="877"/>
      <c r="BO283" s="883">
        <f t="shared" si="73"/>
        <v>3.3981356491557505E-4</v>
      </c>
      <c r="BP283" s="884">
        <f t="shared" si="73"/>
        <v>3.3981356491557505E-4</v>
      </c>
      <c r="BQ283" s="884">
        <f t="shared" si="73"/>
        <v>3.3981356491557505E-4</v>
      </c>
      <c r="BR283" s="884">
        <f t="shared" si="73"/>
        <v>3.3981356491557505E-4</v>
      </c>
      <c r="BS283" s="884">
        <f t="shared" si="73"/>
        <v>4.0174007279392669E-4</v>
      </c>
      <c r="BT283" s="885">
        <f t="shared" si="73"/>
        <v>5.3565343039190221E-4</v>
      </c>
      <c r="BU283" s="877"/>
      <c r="BV283" s="883">
        <f>BV287*$C$287+BV291*$C$291+BV295*$C$295+BV299*$C$299</f>
        <v>4.7228312972123323</v>
      </c>
      <c r="BW283" s="885">
        <f>BW287*$C$287+BW291*$C$291+BW295*$C$295+BW299*$C$299</f>
        <v>6.2971083962831091</v>
      </c>
      <c r="BX283" s="877"/>
      <c r="BY283" s="877"/>
      <c r="BZ283" s="877"/>
      <c r="CA283" s="877"/>
      <c r="CB283" s="877"/>
      <c r="CC283" s="877"/>
      <c r="CD283" s="877"/>
      <c r="CE283" s="877"/>
    </row>
    <row r="284" spans="1:83">
      <c r="A284" s="195"/>
      <c r="B284" s="55"/>
      <c r="C284" s="83"/>
      <c r="E284" s="511" t="s">
        <v>317</v>
      </c>
      <c r="F284" s="877">
        <f>F288*$C$287+F292*$C$291+$C$295*F296+F300*$C$299</f>
        <v>0.38881546513696608</v>
      </c>
      <c r="G284" s="877">
        <f t="shared" ref="G284:W286" si="74">G288*$C$287+G292*$C$291+$C$295*G296+G300*$C$299</f>
        <v>0.39962885344696608</v>
      </c>
      <c r="H284" s="878">
        <f t="shared" si="74"/>
        <v>0.88902936546088385</v>
      </c>
      <c r="I284" s="928">
        <f t="shared" si="74"/>
        <v>0</v>
      </c>
      <c r="J284" s="877">
        <f t="shared" si="74"/>
        <v>0</v>
      </c>
      <c r="K284" s="877">
        <f t="shared" si="74"/>
        <v>0</v>
      </c>
      <c r="L284" s="877">
        <f t="shared" si="74"/>
        <v>0</v>
      </c>
      <c r="M284" s="877">
        <f t="shared" si="74"/>
        <v>0.28054369715250005</v>
      </c>
      <c r="N284" s="877">
        <f t="shared" si="74"/>
        <v>0</v>
      </c>
      <c r="O284" s="877">
        <f t="shared" si="74"/>
        <v>0</v>
      </c>
      <c r="P284" s="877">
        <f t="shared" si="74"/>
        <v>1.0813388309999998E-2</v>
      </c>
      <c r="Q284" s="877">
        <f t="shared" si="74"/>
        <v>0</v>
      </c>
      <c r="R284" s="877">
        <f t="shared" si="74"/>
        <v>0.108271767984466</v>
      </c>
      <c r="S284" s="877">
        <f t="shared" si="74"/>
        <v>0</v>
      </c>
      <c r="T284" s="877">
        <f t="shared" si="74"/>
        <v>0</v>
      </c>
      <c r="U284" s="877">
        <f t="shared" si="74"/>
        <v>0.39962885344696608</v>
      </c>
      <c r="V284" s="877">
        <f t="shared" si="74"/>
        <v>0.05</v>
      </c>
      <c r="W284" s="878">
        <f t="shared" si="74"/>
        <v>0.30215787243500003</v>
      </c>
      <c r="X284" s="877"/>
      <c r="Y284" s="879"/>
      <c r="Z284" s="877"/>
      <c r="AA284" s="877"/>
      <c r="AB284" s="877"/>
      <c r="AC284" s="877"/>
      <c r="AD284" s="886"/>
      <c r="AE284" s="877"/>
      <c r="AF284" s="879"/>
      <c r="AG284" s="877"/>
      <c r="AH284" s="877"/>
      <c r="AI284" s="877"/>
      <c r="AJ284" s="877"/>
      <c r="AK284" s="886"/>
      <c r="AL284" s="877"/>
      <c r="AM284" s="879"/>
      <c r="AN284" s="877"/>
      <c r="AO284" s="877"/>
      <c r="AP284" s="877"/>
      <c r="AQ284" s="877"/>
      <c r="AR284" s="886"/>
      <c r="AS284" s="877"/>
      <c r="AT284" s="879"/>
      <c r="AU284" s="877"/>
      <c r="AV284" s="877"/>
      <c r="AW284" s="877"/>
      <c r="AX284" s="877"/>
      <c r="AY284" s="886"/>
      <c r="AZ284" s="877"/>
      <c r="BA284" s="879"/>
      <c r="BB284" s="877"/>
      <c r="BC284" s="877"/>
      <c r="BD284" s="877"/>
      <c r="BE284" s="877"/>
      <c r="BF284" s="886"/>
      <c r="BG284" s="877"/>
      <c r="BH284" s="879"/>
      <c r="BI284" s="877"/>
      <c r="BJ284" s="877"/>
      <c r="BK284" s="877"/>
      <c r="BL284" s="877"/>
      <c r="BM284" s="886"/>
      <c r="BN284" s="877"/>
      <c r="BO284" s="879"/>
      <c r="BP284" s="877"/>
      <c r="BQ284" s="877"/>
      <c r="BR284" s="877"/>
      <c r="BS284" s="877"/>
      <c r="BT284" s="886"/>
      <c r="BU284" s="877"/>
      <c r="BV284" s="879"/>
      <c r="BW284" s="886"/>
      <c r="BX284" s="877"/>
      <c r="BY284" s="877"/>
      <c r="BZ284" s="877"/>
      <c r="CA284" s="877"/>
      <c r="CB284" s="877"/>
      <c r="CC284" s="877"/>
      <c r="CD284" s="877"/>
      <c r="CE284" s="877"/>
    </row>
    <row r="285" spans="1:83">
      <c r="A285" s="195"/>
      <c r="B285" s="55"/>
      <c r="C285" s="83"/>
      <c r="E285" s="511" t="s">
        <v>367</v>
      </c>
      <c r="F285" s="877">
        <f t="shared" ref="F285:U286" si="75">F289*$C$287+F293*$C$291+$C$295*F297+F301*$C$299</f>
        <v>6.9371678671999995E-4</v>
      </c>
      <c r="G285" s="877">
        <f t="shared" si="75"/>
        <v>6.9371678671999995E-4</v>
      </c>
      <c r="H285" s="878">
        <f t="shared" si="75"/>
        <v>8.2082983535771445E-4</v>
      </c>
      <c r="I285" s="928">
        <f t="shared" si="75"/>
        <v>0</v>
      </c>
      <c r="J285" s="877">
        <f t="shared" si="75"/>
        <v>0</v>
      </c>
      <c r="K285" s="877">
        <f t="shared" si="75"/>
        <v>0</v>
      </c>
      <c r="L285" s="877">
        <f t="shared" si="75"/>
        <v>0</v>
      </c>
      <c r="M285" s="877">
        <f t="shared" si="75"/>
        <v>6.9371678671999995E-4</v>
      </c>
      <c r="N285" s="877">
        <f t="shared" si="75"/>
        <v>0</v>
      </c>
      <c r="O285" s="877">
        <f t="shared" si="75"/>
        <v>0</v>
      </c>
      <c r="P285" s="877">
        <f t="shared" si="75"/>
        <v>0</v>
      </c>
      <c r="Q285" s="877">
        <f t="shared" si="75"/>
        <v>0</v>
      </c>
      <c r="R285" s="877">
        <f t="shared" si="75"/>
        <v>0</v>
      </c>
      <c r="S285" s="877">
        <f t="shared" si="75"/>
        <v>0</v>
      </c>
      <c r="T285" s="877">
        <f t="shared" si="75"/>
        <v>0</v>
      </c>
      <c r="U285" s="877">
        <f t="shared" si="75"/>
        <v>6.9371678671999995E-4</v>
      </c>
      <c r="V285" s="877">
        <f t="shared" si="74"/>
        <v>0</v>
      </c>
      <c r="W285" s="878">
        <f t="shared" si="74"/>
        <v>0</v>
      </c>
      <c r="X285" s="877"/>
      <c r="Y285" s="879"/>
      <c r="Z285" s="877"/>
      <c r="AA285" s="877"/>
      <c r="AB285" s="877"/>
      <c r="AC285" s="877"/>
      <c r="AD285" s="886"/>
      <c r="AE285" s="877"/>
      <c r="AF285" s="879"/>
      <c r="AG285" s="877"/>
      <c r="AH285" s="877"/>
      <c r="AI285" s="877"/>
      <c r="AJ285" s="877"/>
      <c r="AK285" s="886"/>
      <c r="AL285" s="877"/>
      <c r="AM285" s="879"/>
      <c r="AN285" s="877"/>
      <c r="AO285" s="877"/>
      <c r="AP285" s="877"/>
      <c r="AQ285" s="877"/>
      <c r="AR285" s="886"/>
      <c r="AS285" s="877"/>
      <c r="AT285" s="879"/>
      <c r="AU285" s="877"/>
      <c r="AV285" s="877"/>
      <c r="AW285" s="877"/>
      <c r="AX285" s="877"/>
      <c r="AY285" s="886"/>
      <c r="AZ285" s="877"/>
      <c r="BA285" s="879"/>
      <c r="BB285" s="877"/>
      <c r="BC285" s="877"/>
      <c r="BD285" s="877"/>
      <c r="BE285" s="877"/>
      <c r="BF285" s="886"/>
      <c r="BG285" s="877"/>
      <c r="BH285" s="879"/>
      <c r="BI285" s="877"/>
      <c r="BJ285" s="877"/>
      <c r="BK285" s="877"/>
      <c r="BL285" s="877"/>
      <c r="BM285" s="886"/>
      <c r="BN285" s="877"/>
      <c r="BO285" s="879"/>
      <c r="BP285" s="877"/>
      <c r="BQ285" s="877"/>
      <c r="BR285" s="877"/>
      <c r="BS285" s="877"/>
      <c r="BT285" s="886"/>
      <c r="BU285" s="877"/>
      <c r="BV285" s="879"/>
      <c r="BW285" s="886"/>
      <c r="BX285" s="877"/>
      <c r="BY285" s="877"/>
      <c r="BZ285" s="877"/>
      <c r="CA285" s="877"/>
      <c r="CB285" s="877"/>
      <c r="CC285" s="877"/>
      <c r="CD285" s="877"/>
      <c r="CE285" s="877"/>
    </row>
    <row r="286" spans="1:83">
      <c r="A286" s="18"/>
      <c r="B286" s="360"/>
      <c r="C286" s="83"/>
      <c r="E286" s="512" t="s">
        <v>320</v>
      </c>
      <c r="F286" s="877">
        <f t="shared" si="75"/>
        <v>5.0106345467000005E-4</v>
      </c>
      <c r="G286" s="877">
        <f t="shared" si="74"/>
        <v>5.0106345467000005E-4</v>
      </c>
      <c r="H286" s="878">
        <f t="shared" si="74"/>
        <v>5.9287571077121562E-4</v>
      </c>
      <c r="I286" s="928">
        <f t="shared" si="74"/>
        <v>0</v>
      </c>
      <c r="J286" s="877">
        <f t="shared" si="74"/>
        <v>0</v>
      </c>
      <c r="K286" s="877">
        <f t="shared" si="74"/>
        <v>0</v>
      </c>
      <c r="L286" s="877">
        <f t="shared" si="74"/>
        <v>0</v>
      </c>
      <c r="M286" s="877">
        <f t="shared" si="74"/>
        <v>5.0106345467000005E-4</v>
      </c>
      <c r="N286" s="877">
        <f t="shared" si="74"/>
        <v>0</v>
      </c>
      <c r="O286" s="877">
        <f t="shared" si="74"/>
        <v>0</v>
      </c>
      <c r="P286" s="877">
        <f t="shared" si="74"/>
        <v>0</v>
      </c>
      <c r="Q286" s="877">
        <f t="shared" si="74"/>
        <v>0</v>
      </c>
      <c r="R286" s="877">
        <f t="shared" si="74"/>
        <v>0</v>
      </c>
      <c r="S286" s="877">
        <f t="shared" si="74"/>
        <v>0</v>
      </c>
      <c r="T286" s="877">
        <f t="shared" si="74"/>
        <v>0</v>
      </c>
      <c r="U286" s="877">
        <f t="shared" si="74"/>
        <v>5.0106345467000005E-4</v>
      </c>
      <c r="V286" s="877">
        <f t="shared" si="74"/>
        <v>0</v>
      </c>
      <c r="W286" s="878">
        <f t="shared" si="74"/>
        <v>0</v>
      </c>
      <c r="X286" s="877"/>
      <c r="Y286" s="879"/>
      <c r="Z286" s="877"/>
      <c r="AA286" s="877"/>
      <c r="AB286" s="877"/>
      <c r="AC286" s="877"/>
      <c r="AD286" s="886"/>
      <c r="AE286" s="877"/>
      <c r="AF286" s="879"/>
      <c r="AG286" s="877"/>
      <c r="AH286" s="877"/>
      <c r="AI286" s="877"/>
      <c r="AJ286" s="877"/>
      <c r="AK286" s="886"/>
      <c r="AL286" s="877"/>
      <c r="AM286" s="879"/>
      <c r="AN286" s="877"/>
      <c r="AO286" s="877"/>
      <c r="AP286" s="877"/>
      <c r="AQ286" s="877"/>
      <c r="AR286" s="886"/>
      <c r="AS286" s="877"/>
      <c r="AT286" s="879"/>
      <c r="AU286" s="877"/>
      <c r="AV286" s="877"/>
      <c r="AW286" s="877"/>
      <c r="AX286" s="877"/>
      <c r="AY286" s="886"/>
      <c r="AZ286" s="877"/>
      <c r="BA286" s="879"/>
      <c r="BB286" s="877"/>
      <c r="BC286" s="877"/>
      <c r="BD286" s="877"/>
      <c r="BE286" s="877"/>
      <c r="BF286" s="886"/>
      <c r="BG286" s="877"/>
      <c r="BH286" s="879"/>
      <c r="BI286" s="877"/>
      <c r="BJ286" s="877"/>
      <c r="BK286" s="877"/>
      <c r="BL286" s="877"/>
      <c r="BM286" s="886"/>
      <c r="BN286" s="877"/>
      <c r="BO286" s="879"/>
      <c r="BP286" s="877"/>
      <c r="BQ286" s="877"/>
      <c r="BR286" s="877"/>
      <c r="BS286" s="877"/>
      <c r="BT286" s="886"/>
      <c r="BU286" s="877"/>
      <c r="BV286" s="879"/>
      <c r="BW286" s="886"/>
      <c r="BX286" s="877"/>
      <c r="BY286" s="877"/>
      <c r="BZ286" s="877"/>
      <c r="CA286" s="877"/>
      <c r="CB286" s="877"/>
      <c r="CC286" s="877"/>
      <c r="CD286" s="877"/>
      <c r="CE286" s="877"/>
    </row>
    <row r="287" spans="1:83">
      <c r="A287" s="108" t="s">
        <v>124</v>
      </c>
      <c r="B287" s="93" t="s">
        <v>121</v>
      </c>
      <c r="C287" s="87">
        <f>'Input data plant-based products'!D177</f>
        <v>0.29812767680000002</v>
      </c>
      <c r="E287" s="513" t="s">
        <v>316</v>
      </c>
      <c r="F287" s="872">
        <f>SUMPRODUCT($CJ$6:$CJ$8,F288:F290)</f>
        <v>0.5088237189726601</v>
      </c>
      <c r="G287" s="872">
        <f>SUMPRODUCT($CJ$6:$CJ$8,G288:G290)</f>
        <v>0.5088237189726601</v>
      </c>
      <c r="H287" s="873">
        <f>SUMPRODUCT($CJ$6:$CJ$8,H288:H290)</f>
        <v>0.81760811684634926</v>
      </c>
      <c r="I287" s="1277"/>
      <c r="J287" s="884"/>
      <c r="K287" s="884"/>
      <c r="L287" s="884"/>
      <c r="M287" s="884"/>
      <c r="N287" s="884"/>
      <c r="O287" s="884"/>
      <c r="P287" s="884"/>
      <c r="Q287" s="884"/>
      <c r="R287" s="884"/>
      <c r="S287" s="884"/>
      <c r="T287" s="884"/>
      <c r="U287" s="884"/>
      <c r="V287" s="884"/>
      <c r="W287" s="1278"/>
      <c r="X287" s="877"/>
      <c r="Y287" s="879">
        <f>1/'Input data plant-based products'!E177*10^4</f>
        <v>1.5458483151799214</v>
      </c>
      <c r="Z287" s="877">
        <f>$Y287*'Input data plant-based products'!Z177</f>
        <v>1.5458483151799214</v>
      </c>
      <c r="AA287" s="877">
        <f>$Y287*'Input data plant-based products'!AA177</f>
        <v>1.5458483151799214</v>
      </c>
      <c r="AB287" s="877">
        <f>$Y287*'Input data plant-based products'!AB177</f>
        <v>1.5458483151799214</v>
      </c>
      <c r="AC287" s="877">
        <f>$Y287*'Input data plant-based products'!AC177</f>
        <v>1.8348644146420896</v>
      </c>
      <c r="AD287" s="886">
        <f>$Y287*'Input data plant-based products'!AD177</f>
        <v>2.446485886189453</v>
      </c>
      <c r="AE287" s="877"/>
      <c r="AF287" s="879">
        <f>SUM('Input data plant-based products'!F177,'Input data plant-based products'!Q177)/'Input data plant-based products'!E177</f>
        <v>1.2645039218171757E-2</v>
      </c>
      <c r="AG287" s="877">
        <f>$AF287*'Input data plant-based products'!Z177</f>
        <v>1.2645039218171757E-2</v>
      </c>
      <c r="AH287" s="877">
        <f>$AF287*'Input data plant-based products'!AA177</f>
        <v>1.2645039218171757E-2</v>
      </c>
      <c r="AI287" s="877">
        <f>$AF287*'Input data plant-based products'!AB177</f>
        <v>1.2645039218171757E-2</v>
      </c>
      <c r="AJ287" s="877">
        <f>$AF287*'Input data plant-based products'!AC177</f>
        <v>1.5009190911772293E-2</v>
      </c>
      <c r="AK287" s="886">
        <f>$AF287*'Input data plant-based products'!AD177</f>
        <v>2.0012254549029725E-2</v>
      </c>
      <c r="AL287" s="877"/>
      <c r="AM287" s="879">
        <f>'Input data plant-based products'!R177/'Input data plant-based products'!E177</f>
        <v>4.3592922488073782E-3</v>
      </c>
      <c r="AN287" s="877">
        <f>$AM287*'Input data plant-based products'!Z177</f>
        <v>4.3592922488073782E-3</v>
      </c>
      <c r="AO287" s="877">
        <f>$AM287*'Input data plant-based products'!AA177</f>
        <v>4.3592922488073782E-3</v>
      </c>
      <c r="AP287" s="877">
        <f>$AM287*'Input data plant-based products'!AB177</f>
        <v>4.3592922488073782E-3</v>
      </c>
      <c r="AQ287" s="877">
        <f>$AM287*'Input data plant-based products'!AC177</f>
        <v>5.1743176492906927E-3</v>
      </c>
      <c r="AR287" s="886">
        <f>$AM287*'Input data plant-based products'!AD177</f>
        <v>6.8990901990542575E-3</v>
      </c>
      <c r="AS287" s="877"/>
      <c r="AT287" s="879">
        <f>'Input data plant-based products'!S177</f>
        <v>3.7403547823840698E-3</v>
      </c>
      <c r="AU287" s="877">
        <f>$AT287*'Input data plant-based products'!Z177</f>
        <v>3.7403547823840698E-3</v>
      </c>
      <c r="AV287" s="877">
        <f>$AT287*'Input data plant-based products'!AA177</f>
        <v>3.7403547823840698E-3</v>
      </c>
      <c r="AW287" s="877">
        <f>$AT287*'Input data plant-based products'!AB177</f>
        <v>3.7403547823840698E-3</v>
      </c>
      <c r="AX287" s="877">
        <f>$AT287*'Input data plant-based products'!AC177</f>
        <v>4.4396619130992144E-3</v>
      </c>
      <c r="AY287" s="886">
        <f>$AT287*'Input data plant-based products'!AD177</f>
        <v>5.9195492174656198E-3</v>
      </c>
      <c r="AZ287" s="877"/>
      <c r="BA287" s="879">
        <f>((SUM('Input data plant-based products'!U177:Y177)*Y287)/('Common input data'!$B$192/10^6))/$BB$3</f>
        <v>6.0712538273049019E-11</v>
      </c>
      <c r="BB287" s="877">
        <f>$BA287*'Input data plant-based products'!Z177</f>
        <v>6.0712538273049019E-11</v>
      </c>
      <c r="BC287" s="877">
        <f>$BA287*'Input data plant-based products'!AA177</f>
        <v>6.0712538273049019E-11</v>
      </c>
      <c r="BD287" s="877">
        <f>$BA287*'Input data plant-based products'!AB177</f>
        <v>6.0712538273049019E-11</v>
      </c>
      <c r="BE287" s="877">
        <f>$BA287*'Input data plant-based products'!AC177</f>
        <v>7.2063523248623382E-11</v>
      </c>
      <c r="BF287" s="886">
        <f>$BA287*'Input data plant-based products'!AD177</f>
        <v>9.6084697664831189E-11</v>
      </c>
      <c r="BG287" s="877"/>
      <c r="BH287" s="879">
        <f>'Input data plant-based products'!T177/'Input data plant-based products'!E177</f>
        <v>0</v>
      </c>
      <c r="BI287" s="877">
        <f>$BH287*'Input data plant-based products'!Z177</f>
        <v>0</v>
      </c>
      <c r="BJ287" s="877">
        <f>$BH287*'Input data plant-based products'!AA177</f>
        <v>0</v>
      </c>
      <c r="BK287" s="877">
        <f>$BH287*'Input data plant-based products'!AB177</f>
        <v>0</v>
      </c>
      <c r="BL287" s="877">
        <f>$BH287*'Input data plant-based products'!AC177</f>
        <v>0</v>
      </c>
      <c r="BM287" s="886">
        <f>$BH287*'Input data plant-based products'!AD177</f>
        <v>0</v>
      </c>
      <c r="BN287" s="877"/>
      <c r="BO287" s="879">
        <f>('Input data plant-based products'!F177/'Input data plant-based products'!E177*'Common input data'!$B$195+'Input data plant-based products'!G177/'Input data plant-based products'!E177*'Common input data'!$B$196)/'Common input data'!$B$198</f>
        <v>3.2287505685859544E-4</v>
      </c>
      <c r="BP287" s="877">
        <f>$BO287*'Input data plant-based products'!Z177</f>
        <v>3.2287505685859544E-4</v>
      </c>
      <c r="BQ287" s="877">
        <f>$BO287*'Input data plant-based products'!AA177</f>
        <v>3.2287505685859544E-4</v>
      </c>
      <c r="BR287" s="877">
        <f>$BO287*'Input data plant-based products'!AB177</f>
        <v>3.2287505685859544E-4</v>
      </c>
      <c r="BS287" s="877">
        <f>$BO287*'Input data plant-based products'!AC177</f>
        <v>3.8324067528994589E-4</v>
      </c>
      <c r="BT287" s="886">
        <f>$BO287*'Input data plant-based products'!AD177</f>
        <v>5.1098756705326119E-4</v>
      </c>
      <c r="BU287" s="877"/>
      <c r="BV287" s="879">
        <f>('Common input data'!$B$205+'Common input data'!$C$205)*'Input data plant-based products'!AC177</f>
        <v>0.95135066868735207</v>
      </c>
      <c r="BW287" s="886">
        <f>('Common input data'!$B$205+'Common input data'!$C$205)*'Input data plant-based products'!AD177</f>
        <v>1.2684675582498028</v>
      </c>
      <c r="BX287" s="877"/>
      <c r="BY287" s="877"/>
      <c r="BZ287" s="877"/>
      <c r="CA287" s="877"/>
      <c r="CB287" s="877"/>
      <c r="CC287" s="877"/>
      <c r="CD287" s="877"/>
      <c r="CE287" s="877"/>
    </row>
    <row r="288" spans="1:83">
      <c r="A288" s="195"/>
      <c r="B288" s="55"/>
      <c r="C288" s="83"/>
      <c r="E288" s="511" t="s">
        <v>317</v>
      </c>
      <c r="F288" s="877">
        <f>IF(AND($F$2="No",$F$3="No"),SUM(L288:N288),IF(AND($F$2="Yes", $F$3="No"), (SUM(L288:M288)+S288), IF(AND($F$2="No", $F$3="Yes"),(SUM(L288:M288)+R288), (SUM(L288:M288)+S288+R288))))</f>
        <v>0.38881546513696608</v>
      </c>
      <c r="G288" s="877">
        <f>IF(AND($F$2="No",$F$3="No"),SUM(I288:Q288),IF(AND($F$2="Yes", $F$3="No"), (SUM(I288:Q288)+S288), IF(AND($F$2="No", $F$3="Yes"),(SUM(I288:Q288)+R288), (SUM(I288:Q288)+S288+R288))))</f>
        <v>0.38881546513696608</v>
      </c>
      <c r="H288" s="878">
        <f>SUM(U288:W288)/(1-'Common input data'!$B$141)</f>
        <v>0.67516278617312531</v>
      </c>
      <c r="I288" s="928"/>
      <c r="J288" s="877"/>
      <c r="K288" s="877"/>
      <c r="L288" s="877"/>
      <c r="M288" s="877">
        <v>0.28054369715250005</v>
      </c>
      <c r="N288" s="877"/>
      <c r="O288" s="877"/>
      <c r="P288" s="877"/>
      <c r="Q288" s="877"/>
      <c r="R288" s="877">
        <f>'Common input data'!$B$19</f>
        <v>0.108271767984466</v>
      </c>
      <c r="S288" s="877"/>
      <c r="T288" s="877"/>
      <c r="U288" s="877">
        <f>G288+T288</f>
        <v>0.38881546513696608</v>
      </c>
      <c r="V288" s="877">
        <f>'Common input data'!$B$105</f>
        <v>0.05</v>
      </c>
      <c r="W288" s="878">
        <f>'Common input data'!$B$116+'Common input data'!$C$116</f>
        <v>0.13</v>
      </c>
      <c r="X288" s="877"/>
      <c r="Y288" s="879"/>
      <c r="Z288" s="877"/>
      <c r="AA288" s="877"/>
      <c r="AB288" s="877"/>
      <c r="AC288" s="877"/>
      <c r="AD288" s="886"/>
      <c r="AE288" s="877"/>
      <c r="AF288" s="879"/>
      <c r="AG288" s="877"/>
      <c r="AH288" s="877"/>
      <c r="AI288" s="877"/>
      <c r="AJ288" s="877"/>
      <c r="AK288" s="886"/>
      <c r="AL288" s="877"/>
      <c r="AM288" s="879"/>
      <c r="AN288" s="877"/>
      <c r="AO288" s="877"/>
      <c r="AP288" s="877"/>
      <c r="AQ288" s="877"/>
      <c r="AR288" s="886"/>
      <c r="AS288" s="877"/>
      <c r="AT288" s="879"/>
      <c r="AU288" s="877"/>
      <c r="AV288" s="877"/>
      <c r="AW288" s="877"/>
      <c r="AX288" s="877"/>
      <c r="AY288" s="886"/>
      <c r="AZ288" s="877"/>
      <c r="BA288" s="879"/>
      <c r="BB288" s="877"/>
      <c r="BC288" s="877"/>
      <c r="BD288" s="877"/>
      <c r="BE288" s="877"/>
      <c r="BF288" s="886"/>
      <c r="BG288" s="877"/>
      <c r="BH288" s="879"/>
      <c r="BI288" s="877"/>
      <c r="BJ288" s="877"/>
      <c r="BK288" s="877"/>
      <c r="BL288" s="877"/>
      <c r="BM288" s="886"/>
      <c r="BN288" s="877"/>
      <c r="BO288" s="879"/>
      <c r="BP288" s="877"/>
      <c r="BQ288" s="877"/>
      <c r="BR288" s="877"/>
      <c r="BS288" s="877"/>
      <c r="BT288" s="886"/>
      <c r="BU288" s="877"/>
      <c r="BV288" s="879"/>
      <c r="BW288" s="886"/>
      <c r="BX288" s="877"/>
      <c r="BY288" s="877"/>
      <c r="BZ288" s="877"/>
      <c r="CA288" s="877"/>
      <c r="CB288" s="877"/>
      <c r="CC288" s="877"/>
      <c r="CD288" s="877"/>
      <c r="CE288" s="877"/>
    </row>
    <row r="289" spans="1:83">
      <c r="A289" s="195"/>
      <c r="B289" s="55"/>
      <c r="C289" s="83"/>
      <c r="E289" s="511" t="s">
        <v>367</v>
      </c>
      <c r="F289" s="877">
        <f>SUM(K289:M289)</f>
        <v>6.9371678671999995E-4</v>
      </c>
      <c r="G289" s="877">
        <f>SUM(I289:Q289)</f>
        <v>6.9371678671999995E-4</v>
      </c>
      <c r="H289" s="878">
        <f>SUM(U289:W289)/(1-'Common input data'!$B$141)</f>
        <v>8.2341600614561851E-4</v>
      </c>
      <c r="I289" s="928"/>
      <c r="J289" s="877"/>
      <c r="K289" s="877"/>
      <c r="L289" s="877"/>
      <c r="M289" s="877">
        <v>6.9371678671999995E-4</v>
      </c>
      <c r="N289" s="877"/>
      <c r="O289" s="877"/>
      <c r="P289" s="877"/>
      <c r="Q289" s="877"/>
      <c r="R289" s="877"/>
      <c r="S289" s="877"/>
      <c r="T289" s="877"/>
      <c r="U289" s="877">
        <f t="shared" ref="U289:U302" si="76">G289+T289</f>
        <v>6.9371678671999995E-4</v>
      </c>
      <c r="V289" s="877"/>
      <c r="W289" s="878"/>
      <c r="X289" s="877"/>
      <c r="Y289" s="879"/>
      <c r="Z289" s="877"/>
      <c r="AA289" s="877"/>
      <c r="AB289" s="877"/>
      <c r="AC289" s="877"/>
      <c r="AD289" s="886"/>
      <c r="AE289" s="877"/>
      <c r="AF289" s="879"/>
      <c r="AG289" s="877"/>
      <c r="AH289" s="877"/>
      <c r="AI289" s="877"/>
      <c r="AJ289" s="877"/>
      <c r="AK289" s="886"/>
      <c r="AL289" s="877"/>
      <c r="AM289" s="879"/>
      <c r="AN289" s="877"/>
      <c r="AO289" s="877"/>
      <c r="AP289" s="877"/>
      <c r="AQ289" s="877"/>
      <c r="AR289" s="886"/>
      <c r="AS289" s="877"/>
      <c r="AT289" s="879"/>
      <c r="AU289" s="877"/>
      <c r="AV289" s="877"/>
      <c r="AW289" s="877"/>
      <c r="AX289" s="877"/>
      <c r="AY289" s="886"/>
      <c r="AZ289" s="877"/>
      <c r="BA289" s="879"/>
      <c r="BB289" s="877"/>
      <c r="BC289" s="877"/>
      <c r="BD289" s="877"/>
      <c r="BE289" s="877"/>
      <c r="BF289" s="886"/>
      <c r="BG289" s="877"/>
      <c r="BH289" s="879"/>
      <c r="BI289" s="877"/>
      <c r="BJ289" s="877"/>
      <c r="BK289" s="877"/>
      <c r="BL289" s="877"/>
      <c r="BM289" s="886"/>
      <c r="BN289" s="877"/>
      <c r="BO289" s="879"/>
      <c r="BP289" s="877"/>
      <c r="BQ289" s="877"/>
      <c r="BR289" s="877"/>
      <c r="BS289" s="877"/>
      <c r="BT289" s="886"/>
      <c r="BU289" s="877"/>
      <c r="BV289" s="879"/>
      <c r="BW289" s="886"/>
      <c r="BX289" s="877"/>
      <c r="BY289" s="877"/>
      <c r="BZ289" s="877"/>
      <c r="CA289" s="877"/>
      <c r="CB289" s="877"/>
      <c r="CC289" s="877"/>
      <c r="CD289" s="877"/>
      <c r="CE289" s="877"/>
    </row>
    <row r="290" spans="1:83">
      <c r="A290" s="18"/>
      <c r="B290" s="360"/>
      <c r="C290" s="83"/>
      <c r="E290" s="512" t="s">
        <v>320</v>
      </c>
      <c r="F290" s="877">
        <f>SUM(K290:M290)</f>
        <v>5.0106345467000005E-4</v>
      </c>
      <c r="G290" s="877">
        <f>SUM(I290:Q290)</f>
        <v>5.0106345467000005E-4</v>
      </c>
      <c r="H290" s="878">
        <f>SUM(U290:W290)/(1-'Common input data'!$B$141)</f>
        <v>5.9474367143493359E-4</v>
      </c>
      <c r="I290" s="928"/>
      <c r="J290" s="877"/>
      <c r="K290" s="877"/>
      <c r="L290" s="877"/>
      <c r="M290" s="877">
        <v>5.0106345467000005E-4</v>
      </c>
      <c r="N290" s="877"/>
      <c r="O290" s="877"/>
      <c r="P290" s="877"/>
      <c r="Q290" s="877"/>
      <c r="R290" s="877"/>
      <c r="S290" s="877"/>
      <c r="T290" s="877"/>
      <c r="U290" s="877">
        <f t="shared" si="76"/>
        <v>5.0106345467000005E-4</v>
      </c>
      <c r="V290" s="877"/>
      <c r="W290" s="878"/>
      <c r="X290" s="877"/>
      <c r="Y290" s="879"/>
      <c r="Z290" s="877"/>
      <c r="AA290" s="877"/>
      <c r="AB290" s="877"/>
      <c r="AC290" s="877"/>
      <c r="AD290" s="886"/>
      <c r="AE290" s="877"/>
      <c r="AF290" s="879"/>
      <c r="AG290" s="877"/>
      <c r="AH290" s="877"/>
      <c r="AI290" s="877"/>
      <c r="AJ290" s="877"/>
      <c r="AK290" s="886"/>
      <c r="AL290" s="877"/>
      <c r="AM290" s="879"/>
      <c r="AN290" s="877"/>
      <c r="AO290" s="877"/>
      <c r="AP290" s="877"/>
      <c r="AQ290" s="877"/>
      <c r="AR290" s="886"/>
      <c r="AS290" s="877"/>
      <c r="AT290" s="879"/>
      <c r="AU290" s="877"/>
      <c r="AV290" s="877"/>
      <c r="AW290" s="877"/>
      <c r="AX290" s="877"/>
      <c r="AY290" s="886"/>
      <c r="AZ290" s="877"/>
      <c r="BA290" s="879"/>
      <c r="BB290" s="877"/>
      <c r="BC290" s="877"/>
      <c r="BD290" s="877"/>
      <c r="BE290" s="877"/>
      <c r="BF290" s="886"/>
      <c r="BG290" s="877"/>
      <c r="BH290" s="879"/>
      <c r="BI290" s="877"/>
      <c r="BJ290" s="877"/>
      <c r="BK290" s="877"/>
      <c r="BL290" s="877"/>
      <c r="BM290" s="886"/>
      <c r="BN290" s="877"/>
      <c r="BO290" s="879"/>
      <c r="BP290" s="877"/>
      <c r="BQ290" s="877"/>
      <c r="BR290" s="877"/>
      <c r="BS290" s="877"/>
      <c r="BT290" s="886"/>
      <c r="BU290" s="877"/>
      <c r="BV290" s="879"/>
      <c r="BW290" s="886"/>
      <c r="BX290" s="877"/>
      <c r="BY290" s="877"/>
      <c r="BZ290" s="877"/>
      <c r="CA290" s="877"/>
      <c r="CB290" s="877"/>
      <c r="CC290" s="877"/>
      <c r="CD290" s="877"/>
      <c r="CE290" s="877"/>
    </row>
    <row r="291" spans="1:83">
      <c r="A291" s="108" t="s">
        <v>193</v>
      </c>
      <c r="B291" s="93" t="s">
        <v>121</v>
      </c>
      <c r="C291" s="87">
        <f>'Input data plant-based products'!D178</f>
        <v>0.18017193170000001</v>
      </c>
      <c r="E291" s="513" t="s">
        <v>316</v>
      </c>
      <c r="F291" s="872">
        <f>SUMPRODUCT($CJ$6:$CJ$8,F292:F294)</f>
        <v>0.5088237189726601</v>
      </c>
      <c r="G291" s="872">
        <f>SUMPRODUCT($CJ$6:$CJ$8,G292:G294)</f>
        <v>0.52882371897266012</v>
      </c>
      <c r="H291" s="873">
        <f>SUMPRODUCT($CJ$6:$CJ$8,H292:H294)</f>
        <v>1.3161324847174507</v>
      </c>
      <c r="I291" s="1277"/>
      <c r="J291" s="884"/>
      <c r="K291" s="884"/>
      <c r="L291" s="884"/>
      <c r="M291" s="884"/>
      <c r="N291" s="884"/>
      <c r="O291" s="884"/>
      <c r="P291" s="884"/>
      <c r="Q291" s="884"/>
      <c r="R291" s="884"/>
      <c r="S291" s="884"/>
      <c r="T291" s="884"/>
      <c r="U291" s="884"/>
      <c r="V291" s="884"/>
      <c r="W291" s="1278"/>
      <c r="X291" s="877"/>
      <c r="Y291" s="879">
        <f>1/'Input data plant-based products'!E178*10^4</f>
        <v>2.0247505507321497</v>
      </c>
      <c r="Z291" s="877">
        <f>$Y291*'Input data plant-based products'!Z178</f>
        <v>2.0247505507321497</v>
      </c>
      <c r="AA291" s="877">
        <f>$Y291*'Input data plant-based products'!AA178</f>
        <v>2.0247505507321497</v>
      </c>
      <c r="AB291" s="877">
        <f>$Y291*'Input data plant-based products'!AB178</f>
        <v>2.0247505507321497</v>
      </c>
      <c r="AC291" s="877">
        <f>$Y291*'Input data plant-based products'!AC178</f>
        <v>2.403303543810499</v>
      </c>
      <c r="AD291" s="886">
        <f>$Y291*'Input data plant-based products'!AD178</f>
        <v>3.204404725080666</v>
      </c>
      <c r="AE291" s="877"/>
      <c r="AF291" s="879">
        <f>SUM('Input data plant-based products'!F178,'Input data plant-based products'!Q178)/'Input data plant-based products'!E178</f>
        <v>1.6871400000000002E-2</v>
      </c>
      <c r="AG291" s="877">
        <f>$AF291*'Input data plant-based products'!Z178</f>
        <v>1.6871400000000002E-2</v>
      </c>
      <c r="AH291" s="877">
        <f>$AF291*'Input data plant-based products'!AA178</f>
        <v>1.6871400000000002E-2</v>
      </c>
      <c r="AI291" s="877">
        <f>$AF291*'Input data plant-based products'!AB178</f>
        <v>1.6871400000000002E-2</v>
      </c>
      <c r="AJ291" s="877">
        <f>$AF291*'Input data plant-based products'!AC178</f>
        <v>2.002572385738215E-2</v>
      </c>
      <c r="AK291" s="886">
        <f>$AF291*'Input data plant-based products'!AD178</f>
        <v>2.6700965143176204E-2</v>
      </c>
      <c r="AL291" s="877"/>
      <c r="AM291" s="879">
        <f>'Input data plant-based products'!R178/'Input data plant-based products'!E178</f>
        <v>5.8479999999999999E-3</v>
      </c>
      <c r="AN291" s="877">
        <f>$AM291*'Input data plant-based products'!Z178</f>
        <v>5.8479999999999999E-3</v>
      </c>
      <c r="AO291" s="877">
        <f>$AM291*'Input data plant-based products'!AA178</f>
        <v>5.8479999999999999E-3</v>
      </c>
      <c r="AP291" s="877">
        <f>$AM291*'Input data plant-based products'!AB178</f>
        <v>5.8479999999999999E-3</v>
      </c>
      <c r="AQ291" s="877">
        <f>$AM291*'Input data plant-based products'!AC178</f>
        <v>6.9413583412147664E-3</v>
      </c>
      <c r="AR291" s="886">
        <f>$AM291*'Input data plant-based products'!AD178</f>
        <v>9.2551444549530213E-3</v>
      </c>
      <c r="AS291" s="877"/>
      <c r="AT291" s="879">
        <f>'Input data plant-based products'!S178</f>
        <v>0.57176565564897597</v>
      </c>
      <c r="AU291" s="877">
        <f>$AT291*'Input data plant-based products'!Z178</f>
        <v>0.57176565564897597</v>
      </c>
      <c r="AV291" s="877">
        <f>$AT291*'Input data plant-based products'!AA178</f>
        <v>0.57176565564897597</v>
      </c>
      <c r="AW291" s="877">
        <f>$AT291*'Input data plant-based products'!AB178</f>
        <v>0.57176565564897597</v>
      </c>
      <c r="AX291" s="877">
        <f>$AT291*'Input data plant-based products'!AC178</f>
        <v>0.67866455250669444</v>
      </c>
      <c r="AY291" s="886">
        <f>$AT291*'Input data plant-based products'!AD178</f>
        <v>0.90488607000892596</v>
      </c>
      <c r="AZ291" s="877"/>
      <c r="BA291" s="879">
        <f>((SUM('Input data plant-based products'!U178:Y178)*Y291)/('Common input data'!$B$192/10^6))/$BB$3</f>
        <v>2.6022977421351326E-11</v>
      </c>
      <c r="BB291" s="877">
        <f>$BA291*'Input data plant-based products'!Z178</f>
        <v>2.6022977421351326E-11</v>
      </c>
      <c r="BC291" s="877">
        <f>$BA291*'Input data plant-based products'!AA178</f>
        <v>2.6022977421351326E-11</v>
      </c>
      <c r="BD291" s="877">
        <f>$BA291*'Input data plant-based products'!AB178</f>
        <v>2.6022977421351326E-11</v>
      </c>
      <c r="BE291" s="877">
        <f>$BA291*'Input data plant-based products'!AC178</f>
        <v>3.0888305640721708E-11</v>
      </c>
      <c r="BF291" s="886">
        <f>$BA291*'Input data plant-based products'!AD178</f>
        <v>4.1184407520962283E-11</v>
      </c>
      <c r="BG291" s="877"/>
      <c r="BH291" s="879">
        <f>'Input data plant-based products'!T178/'Input data plant-based products'!E178</f>
        <v>0</v>
      </c>
      <c r="BI291" s="877">
        <f>$BH291*'Input data plant-based products'!Z178</f>
        <v>0</v>
      </c>
      <c r="BJ291" s="877">
        <f>$BH291*'Input data plant-based products'!AA178</f>
        <v>0</v>
      </c>
      <c r="BK291" s="877">
        <f>$BH291*'Input data plant-based products'!AB178</f>
        <v>0</v>
      </c>
      <c r="BL291" s="877">
        <f>$BH291*'Input data plant-based products'!AC178</f>
        <v>0</v>
      </c>
      <c r="BM291" s="886">
        <f>$BH291*'Input data plant-based products'!AD178</f>
        <v>0</v>
      </c>
      <c r="BN291" s="877"/>
      <c r="BO291" s="879">
        <f>('Input data plant-based products'!F178/'Input data plant-based products'!E178*'Common input data'!$B$195+'Input data plant-based products'!G178/'Input data plant-based products'!E178*'Common input data'!$B$196)/'Common input data'!$B$198</f>
        <v>4.3078982518740636E-4</v>
      </c>
      <c r="BP291" s="877">
        <f>$BO291*'Input data plant-based products'!Z178</f>
        <v>4.3078982518740636E-4</v>
      </c>
      <c r="BQ291" s="877">
        <f>$BO291*'Input data plant-based products'!AA178</f>
        <v>4.3078982518740636E-4</v>
      </c>
      <c r="BR291" s="877">
        <f>$BO291*'Input data plant-based products'!AB178</f>
        <v>4.3078982518740636E-4</v>
      </c>
      <c r="BS291" s="877">
        <f>$BO291*'Input data plant-based products'!AC178</f>
        <v>5.1133148877822402E-4</v>
      </c>
      <c r="BT291" s="886">
        <f>$BO291*'Input data plant-based products'!AD178</f>
        <v>6.8177531837096547E-4</v>
      </c>
      <c r="BU291" s="877"/>
      <c r="BV291" s="879">
        <f>('Common input data'!$B$223+'Common input data'!$C$223)*'Input data plant-based products'!AC178</f>
        <v>10.322421821883415</v>
      </c>
      <c r="BW291" s="886">
        <f>('Common input data'!$B$223+'Common input data'!$C$223)*'Input data plant-based products'!AD178</f>
        <v>13.763229095844553</v>
      </c>
      <c r="BX291" s="877"/>
      <c r="BY291" s="877"/>
      <c r="BZ291" s="877"/>
      <c r="CA291" s="877"/>
      <c r="CB291" s="877"/>
      <c r="CC291" s="877"/>
      <c r="CD291" s="877"/>
      <c r="CE291" s="877"/>
    </row>
    <row r="292" spans="1:83">
      <c r="A292" s="195"/>
      <c r="B292" s="55"/>
      <c r="C292" s="83"/>
      <c r="E292" s="511" t="s">
        <v>317</v>
      </c>
      <c r="F292" s="877">
        <f>IF(AND($F$2="No",$F$3="No"),SUM(L292:N292),IF(AND($F$2="Yes", $F$3="No"), (SUM(L292:M292)+S292), IF(AND($F$2="No", $F$3="Yes"),(SUM(L292:M292)+R292), (SUM(L292:M292)+S292+R292))))</f>
        <v>0.38881546513696608</v>
      </c>
      <c r="G292" s="877">
        <f>IF(AND($F$2="No",$F$3="No"),SUM(I292:Q292),IF(AND($F$2="Yes", $F$3="No"), (SUM(I292:Q292)+S292), IF(AND($F$2="No", $F$3="Yes"),(SUM(I292:Q292)+R292), (SUM(I292:Q292)+S292+R292))))</f>
        <v>0.40881546513696609</v>
      </c>
      <c r="H292" s="878">
        <f>SUM(U292:W292)/(1-'Common input data'!$B$141)</f>
        <v>1.1736871540442269</v>
      </c>
      <c r="I292" s="928"/>
      <c r="J292" s="877"/>
      <c r="K292" s="877"/>
      <c r="L292" s="877"/>
      <c r="M292" s="877">
        <v>0.28054369715250005</v>
      </c>
      <c r="N292" s="877"/>
      <c r="O292" s="877"/>
      <c r="P292" s="877">
        <f>'Input data plant-based products'!G309</f>
        <v>0.02</v>
      </c>
      <c r="Q292" s="877"/>
      <c r="R292" s="877">
        <f>'Common input data'!$B$19</f>
        <v>0.108271767984466</v>
      </c>
      <c r="S292" s="877"/>
      <c r="T292" s="877"/>
      <c r="U292" s="877">
        <f t="shared" si="76"/>
        <v>0.40881546513696609</v>
      </c>
      <c r="V292" s="877">
        <f>'Common input data'!$B$105</f>
        <v>0.05</v>
      </c>
      <c r="W292" s="878">
        <f>'Common input data'!$B$126+'Common input data'!$C$126</f>
        <v>0.53</v>
      </c>
      <c r="X292" s="877"/>
      <c r="Y292" s="879"/>
      <c r="Z292" s="877"/>
      <c r="AA292" s="877"/>
      <c r="AB292" s="877"/>
      <c r="AC292" s="877"/>
      <c r="AD292" s="886"/>
      <c r="AE292" s="877"/>
      <c r="AF292" s="879"/>
      <c r="AG292" s="877"/>
      <c r="AH292" s="877"/>
      <c r="AI292" s="877"/>
      <c r="AJ292" s="877"/>
      <c r="AK292" s="886"/>
      <c r="AL292" s="877"/>
      <c r="AM292" s="879"/>
      <c r="AN292" s="877"/>
      <c r="AO292" s="877"/>
      <c r="AP292" s="877"/>
      <c r="AQ292" s="877"/>
      <c r="AR292" s="886"/>
      <c r="AS292" s="877"/>
      <c r="AT292" s="879"/>
      <c r="AU292" s="877"/>
      <c r="AV292" s="877"/>
      <c r="AW292" s="877"/>
      <c r="AX292" s="877"/>
      <c r="AY292" s="886"/>
      <c r="AZ292" s="877"/>
      <c r="BA292" s="879"/>
      <c r="BB292" s="877"/>
      <c r="BC292" s="877"/>
      <c r="BD292" s="877"/>
      <c r="BE292" s="877"/>
      <c r="BF292" s="886"/>
      <c r="BG292" s="877"/>
      <c r="BH292" s="879"/>
      <c r="BI292" s="877"/>
      <c r="BJ292" s="877"/>
      <c r="BK292" s="877"/>
      <c r="BL292" s="877"/>
      <c r="BM292" s="886"/>
      <c r="BN292" s="877"/>
      <c r="BO292" s="879"/>
      <c r="BP292" s="877"/>
      <c r="BQ292" s="877"/>
      <c r="BR292" s="877"/>
      <c r="BS292" s="877"/>
      <c r="BT292" s="886"/>
      <c r="BU292" s="877"/>
      <c r="BV292" s="879"/>
      <c r="BW292" s="886"/>
      <c r="BX292" s="877"/>
      <c r="BY292" s="877"/>
      <c r="BZ292" s="877"/>
      <c r="CA292" s="877"/>
      <c r="CB292" s="877"/>
      <c r="CC292" s="877"/>
      <c r="CD292" s="877"/>
      <c r="CE292" s="877"/>
    </row>
    <row r="293" spans="1:83">
      <c r="A293" s="195"/>
      <c r="B293" s="55"/>
      <c r="C293" s="83"/>
      <c r="E293" s="511" t="s">
        <v>367</v>
      </c>
      <c r="F293" s="877">
        <f>SUM(K293:M293)</f>
        <v>6.9371678671999995E-4</v>
      </c>
      <c r="G293" s="877">
        <f>SUM(I293:Q293)</f>
        <v>6.9371678671999995E-4</v>
      </c>
      <c r="H293" s="878">
        <f>SUM(U293:W293)/(1-'Common input data'!$B$141)</f>
        <v>8.2341600614561851E-4</v>
      </c>
      <c r="I293" s="928"/>
      <c r="J293" s="877"/>
      <c r="K293" s="877"/>
      <c r="L293" s="877"/>
      <c r="M293" s="877">
        <v>6.9371678671999995E-4</v>
      </c>
      <c r="N293" s="877"/>
      <c r="O293" s="877"/>
      <c r="P293" s="877"/>
      <c r="Q293" s="877"/>
      <c r="R293" s="877"/>
      <c r="S293" s="877"/>
      <c r="T293" s="877"/>
      <c r="U293" s="877">
        <f t="shared" si="76"/>
        <v>6.9371678671999995E-4</v>
      </c>
      <c r="V293" s="877"/>
      <c r="W293" s="878"/>
      <c r="X293" s="877"/>
      <c r="Y293" s="879"/>
      <c r="Z293" s="877"/>
      <c r="AA293" s="877"/>
      <c r="AB293" s="877"/>
      <c r="AC293" s="877"/>
      <c r="AD293" s="886"/>
      <c r="AE293" s="877"/>
      <c r="AF293" s="879"/>
      <c r="AG293" s="877"/>
      <c r="AH293" s="877"/>
      <c r="AI293" s="877"/>
      <c r="AJ293" s="877"/>
      <c r="AK293" s="886"/>
      <c r="AL293" s="877"/>
      <c r="AM293" s="879"/>
      <c r="AN293" s="877"/>
      <c r="AO293" s="877"/>
      <c r="AP293" s="877"/>
      <c r="AQ293" s="877"/>
      <c r="AR293" s="886"/>
      <c r="AS293" s="877"/>
      <c r="AT293" s="879"/>
      <c r="AU293" s="877"/>
      <c r="AV293" s="877"/>
      <c r="AW293" s="877"/>
      <c r="AX293" s="877"/>
      <c r="AY293" s="886"/>
      <c r="AZ293" s="877"/>
      <c r="BA293" s="879"/>
      <c r="BB293" s="877"/>
      <c r="BC293" s="877"/>
      <c r="BD293" s="877"/>
      <c r="BE293" s="877"/>
      <c r="BF293" s="886"/>
      <c r="BG293" s="877"/>
      <c r="BH293" s="879"/>
      <c r="BI293" s="877"/>
      <c r="BJ293" s="877"/>
      <c r="BK293" s="877"/>
      <c r="BL293" s="877"/>
      <c r="BM293" s="886"/>
      <c r="BN293" s="877"/>
      <c r="BO293" s="879"/>
      <c r="BP293" s="877"/>
      <c r="BQ293" s="877"/>
      <c r="BR293" s="877"/>
      <c r="BS293" s="877"/>
      <c r="BT293" s="886"/>
      <c r="BU293" s="877"/>
      <c r="BV293" s="879"/>
      <c r="BW293" s="886"/>
      <c r="BX293" s="877"/>
      <c r="BY293" s="877"/>
      <c r="BZ293" s="877"/>
      <c r="CA293" s="877"/>
      <c r="CB293" s="877"/>
      <c r="CC293" s="877"/>
      <c r="CD293" s="877"/>
      <c r="CE293" s="877"/>
    </row>
    <row r="294" spans="1:83">
      <c r="A294" s="18"/>
      <c r="B294" s="360"/>
      <c r="C294" s="83"/>
      <c r="E294" s="512" t="s">
        <v>320</v>
      </c>
      <c r="F294" s="877">
        <f>SUM(K294:M294)</f>
        <v>5.0106345467000005E-4</v>
      </c>
      <c r="G294" s="877">
        <f>SUM(I294:Q294)</f>
        <v>5.0106345467000005E-4</v>
      </c>
      <c r="H294" s="878">
        <f>SUM(U294:W294)/(1-'Common input data'!$B$141)</f>
        <v>5.9474367143493359E-4</v>
      </c>
      <c r="I294" s="928"/>
      <c r="J294" s="877"/>
      <c r="K294" s="877"/>
      <c r="L294" s="877"/>
      <c r="M294" s="877">
        <v>5.0106345467000005E-4</v>
      </c>
      <c r="N294" s="877"/>
      <c r="O294" s="877"/>
      <c r="P294" s="877"/>
      <c r="Q294" s="877"/>
      <c r="R294" s="877"/>
      <c r="S294" s="877"/>
      <c r="T294" s="877"/>
      <c r="U294" s="877">
        <f t="shared" si="76"/>
        <v>5.0106345467000005E-4</v>
      </c>
      <c r="V294" s="877"/>
      <c r="W294" s="878"/>
      <c r="X294" s="877"/>
      <c r="Y294" s="879"/>
      <c r="Z294" s="877"/>
      <c r="AA294" s="877"/>
      <c r="AB294" s="877"/>
      <c r="AC294" s="877"/>
      <c r="AD294" s="886"/>
      <c r="AE294" s="877"/>
      <c r="AF294" s="879"/>
      <c r="AG294" s="877"/>
      <c r="AH294" s="877"/>
      <c r="AI294" s="877"/>
      <c r="AJ294" s="877"/>
      <c r="AK294" s="886"/>
      <c r="AL294" s="877"/>
      <c r="AM294" s="879"/>
      <c r="AN294" s="877"/>
      <c r="AO294" s="877"/>
      <c r="AP294" s="877"/>
      <c r="AQ294" s="877"/>
      <c r="AR294" s="886"/>
      <c r="AS294" s="877"/>
      <c r="AT294" s="879"/>
      <c r="AU294" s="877"/>
      <c r="AV294" s="877"/>
      <c r="AW294" s="877"/>
      <c r="AX294" s="877"/>
      <c r="AY294" s="886"/>
      <c r="AZ294" s="877"/>
      <c r="BA294" s="879"/>
      <c r="BB294" s="877"/>
      <c r="BC294" s="877"/>
      <c r="BD294" s="877"/>
      <c r="BE294" s="877"/>
      <c r="BF294" s="886"/>
      <c r="BG294" s="877"/>
      <c r="BH294" s="879"/>
      <c r="BI294" s="877"/>
      <c r="BJ294" s="877"/>
      <c r="BK294" s="877"/>
      <c r="BL294" s="877"/>
      <c r="BM294" s="886"/>
      <c r="BN294" s="877"/>
      <c r="BO294" s="879"/>
      <c r="BP294" s="877"/>
      <c r="BQ294" s="877"/>
      <c r="BR294" s="877"/>
      <c r="BS294" s="877"/>
      <c r="BT294" s="886"/>
      <c r="BU294" s="877"/>
      <c r="BV294" s="879"/>
      <c r="BW294" s="886"/>
      <c r="BX294" s="877"/>
      <c r="BY294" s="877"/>
      <c r="BZ294" s="877"/>
      <c r="CA294" s="877"/>
      <c r="CB294" s="877"/>
      <c r="CC294" s="877"/>
      <c r="CD294" s="877"/>
      <c r="CE294" s="877"/>
    </row>
    <row r="295" spans="1:83">
      <c r="A295" s="108" t="s">
        <v>194</v>
      </c>
      <c r="B295" s="93" t="s">
        <v>121</v>
      </c>
      <c r="C295" s="87">
        <f>'Input data plant-based products'!D179</f>
        <v>0.16120290770000001</v>
      </c>
      <c r="E295" s="513" t="s">
        <v>316</v>
      </c>
      <c r="F295" s="872">
        <f>SUMPRODUCT($CJ$6:$CJ$8,F296:F298)</f>
        <v>0.5088237189726601</v>
      </c>
      <c r="G295" s="872">
        <f>SUMPRODUCT($CJ$6:$CJ$8,G296:G298)</f>
        <v>0.5088237189726601</v>
      </c>
      <c r="H295" s="873">
        <f>SUMPRODUCT($CJ$6:$CJ$8,H296:H298)</f>
        <v>0.75825997781407528</v>
      </c>
      <c r="I295" s="1277"/>
      <c r="J295" s="884"/>
      <c r="K295" s="884"/>
      <c r="L295" s="884"/>
      <c r="M295" s="884"/>
      <c r="N295" s="884"/>
      <c r="O295" s="884"/>
      <c r="P295" s="884"/>
      <c r="Q295" s="884"/>
      <c r="R295" s="884"/>
      <c r="S295" s="884"/>
      <c r="T295" s="884"/>
      <c r="U295" s="884"/>
      <c r="V295" s="884"/>
      <c r="W295" s="1278"/>
      <c r="X295" s="877"/>
      <c r="Y295" s="879">
        <f>1/'Input data plant-based products'!E179*10^4</f>
        <v>1.6157072596958593</v>
      </c>
      <c r="Z295" s="877">
        <f>$Y295*'Input data plant-based products'!Z179</f>
        <v>1.6157072596958593</v>
      </c>
      <c r="AA295" s="877">
        <f>$Y295*'Input data plant-based products'!AA179</f>
        <v>1.6157072596958593</v>
      </c>
      <c r="AB295" s="877">
        <f>$Y295*'Input data plant-based products'!AB179</f>
        <v>1.6157072596958593</v>
      </c>
      <c r="AC295" s="877">
        <f>$Y295*'Input data plant-based products'!AC179</f>
        <v>1.9177843816776856</v>
      </c>
      <c r="AD295" s="886">
        <f>$Y295*'Input data plant-based products'!AD179</f>
        <v>2.5570458422369144</v>
      </c>
      <c r="AE295" s="877"/>
      <c r="AF295" s="879">
        <f>SUM('Input data plant-based products'!F179,'Input data plant-based products'!Q179)/'Input data plant-based products'!E179</f>
        <v>2.5851316155133747E-3</v>
      </c>
      <c r="AG295" s="877">
        <f>$AF295*'Input data plant-based products'!Z179</f>
        <v>2.5851316155133747E-3</v>
      </c>
      <c r="AH295" s="877">
        <f>$AF295*'Input data plant-based products'!AA179</f>
        <v>2.5851316155133747E-3</v>
      </c>
      <c r="AI295" s="877">
        <f>$AF295*'Input data plant-based products'!AB179</f>
        <v>2.5851316155133747E-3</v>
      </c>
      <c r="AJ295" s="877">
        <f>$AF295*'Input data plant-based products'!AC179</f>
        <v>3.0684550106842966E-3</v>
      </c>
      <c r="AK295" s="886">
        <f>$AF295*'Input data plant-based products'!AD179</f>
        <v>4.0912733475790631E-3</v>
      </c>
      <c r="AL295" s="877"/>
      <c r="AM295" s="879">
        <f>'Input data plant-based products'!R179/'Input data plant-based products'!E179</f>
        <v>9.6942435581751562E-4</v>
      </c>
      <c r="AN295" s="877">
        <f>$AM295*'Input data plant-based products'!Z179</f>
        <v>9.6942435581751562E-4</v>
      </c>
      <c r="AO295" s="877">
        <f>$AM295*'Input data plant-based products'!AA179</f>
        <v>9.6942435581751562E-4</v>
      </c>
      <c r="AP295" s="877">
        <f>$AM295*'Input data plant-based products'!AB179</f>
        <v>9.6942435581751562E-4</v>
      </c>
      <c r="AQ295" s="877">
        <f>$AM295*'Input data plant-based products'!AC179</f>
        <v>1.1506706290066115E-3</v>
      </c>
      <c r="AR295" s="886">
        <f>$AM295*'Input data plant-based products'!AD179</f>
        <v>1.5342275053421488E-3</v>
      </c>
      <c r="AS295" s="877"/>
      <c r="AT295" s="879">
        <f>'Input data plant-based products'!S179</f>
        <v>1.40885476694881E-3</v>
      </c>
      <c r="AU295" s="877">
        <f>$AT295*'Input data plant-based products'!Z179</f>
        <v>1.40885476694881E-3</v>
      </c>
      <c r="AV295" s="877">
        <f>$AT295*'Input data plant-based products'!AA179</f>
        <v>1.40885476694881E-3</v>
      </c>
      <c r="AW295" s="877">
        <f>$AT295*'Input data plant-based products'!AB179</f>
        <v>1.40885476694881E-3</v>
      </c>
      <c r="AX295" s="877">
        <f>$AT295*'Input data plant-based products'!AC179</f>
        <v>1.672258171703199E-3</v>
      </c>
      <c r="AY295" s="886">
        <f>$AT295*'Input data plant-based products'!AD179</f>
        <v>2.2296775622709323E-3</v>
      </c>
      <c r="AZ295" s="877"/>
      <c r="BA295" s="879">
        <f>((SUM('Input data plant-based products'!U179:Y179)*Y295)/('Common input data'!$B$192/10^6))/$BB$3</f>
        <v>1.8571304053112246E-11</v>
      </c>
      <c r="BB295" s="877">
        <f>$BA295*'Input data plant-based products'!Z179</f>
        <v>1.8571304053112246E-11</v>
      </c>
      <c r="BC295" s="877">
        <f>$BA295*'Input data plant-based products'!AA179</f>
        <v>1.8571304053112246E-11</v>
      </c>
      <c r="BD295" s="877">
        <f>$BA295*'Input data plant-based products'!AB179</f>
        <v>1.8571304053112246E-11</v>
      </c>
      <c r="BE295" s="877">
        <f>$BA295*'Input data plant-based products'!AC179</f>
        <v>2.2043446699094782E-11</v>
      </c>
      <c r="BF295" s="886">
        <f>$BA295*'Input data plant-based products'!AD179</f>
        <v>2.9391262265459713E-11</v>
      </c>
      <c r="BG295" s="877"/>
      <c r="BH295" s="879">
        <f>'Input data plant-based products'!T179/'Input data plant-based products'!E179</f>
        <v>0</v>
      </c>
      <c r="BI295" s="877">
        <f>$BH295*'Input data plant-based products'!Z179</f>
        <v>0</v>
      </c>
      <c r="BJ295" s="877">
        <f>$BH295*'Input data plant-based products'!AA179</f>
        <v>0</v>
      </c>
      <c r="BK295" s="877">
        <f>$BH295*'Input data plant-based products'!AB179</f>
        <v>0</v>
      </c>
      <c r="BL295" s="877">
        <f>$BH295*'Input data plant-based products'!AC179</f>
        <v>0</v>
      </c>
      <c r="BM295" s="886">
        <f>$BH295*'Input data plant-based products'!AD179</f>
        <v>0</v>
      </c>
      <c r="BN295" s="877"/>
      <c r="BO295" s="879">
        <f>('Input data plant-based products'!F179/'Input data plant-based products'!E179*'Common input data'!$B$195+'Input data plant-based products'!G179/'Input data plant-based products'!E179*'Common input data'!$B$196)/'Common input data'!$B$198</f>
        <v>6.6008060785319766E-5</v>
      </c>
      <c r="BP295" s="877">
        <f>$BO295*'Input data plant-based products'!Z179</f>
        <v>6.6008060785319766E-5</v>
      </c>
      <c r="BQ295" s="877">
        <f>$BO295*'Input data plant-based products'!AA179</f>
        <v>6.6008060785319766E-5</v>
      </c>
      <c r="BR295" s="877">
        <f>$BO295*'Input data plant-based products'!AB179</f>
        <v>6.6008060785319766E-5</v>
      </c>
      <c r="BS295" s="877">
        <f>$BO295*'Input data plant-based products'!AC179</f>
        <v>7.8349111374759003E-5</v>
      </c>
      <c r="BT295" s="886">
        <f>$BO295*'Input data plant-based products'!AD179</f>
        <v>1.0446548183301202E-4</v>
      </c>
      <c r="BU295" s="877"/>
      <c r="BV295" s="879">
        <f>('Common input data'!$B$214+'Common input data'!$C$214)*'Input data plant-based products'!AC179</f>
        <v>1.1278124687433135</v>
      </c>
      <c r="BW295" s="886">
        <f>('Common input data'!$B$214+'Common input data'!$C$214)*'Input data plant-based products'!AD179</f>
        <v>1.503749958324418</v>
      </c>
      <c r="BX295" s="877"/>
      <c r="BY295" s="877"/>
      <c r="BZ295" s="877"/>
      <c r="CA295" s="877"/>
      <c r="CB295" s="877"/>
      <c r="CC295" s="877"/>
      <c r="CD295" s="877"/>
      <c r="CE295" s="877"/>
    </row>
    <row r="296" spans="1:83">
      <c r="A296" s="359"/>
      <c r="B296" s="360"/>
      <c r="C296" s="83"/>
      <c r="E296" s="511" t="s">
        <v>317</v>
      </c>
      <c r="F296" s="877">
        <f>IF(AND($F$2="No",$F$3="No"),SUM(L296:N296),IF(AND($F$2="Yes", $F$3="No"), (SUM(L296:M296)+S296), IF(AND($F$2="No", $F$3="Yes"),(SUM(L296:M296)+R296), (SUM(L296:M296)+S296+R296))))</f>
        <v>0.38881546513696608</v>
      </c>
      <c r="G296" s="877">
        <f>IF(AND($F$2="No",$F$3="No"),SUM(I296:Q296),IF(AND($F$2="Yes", $F$3="No"), (SUM(I296:Q296)+S296), IF(AND($F$2="No", $F$3="Yes"),(SUM(I296:Q296)+R296), (SUM(I296:Q296)+S296+R296))))</f>
        <v>0.38881546513696608</v>
      </c>
      <c r="H296" s="878">
        <f>SUM(U296:W296)/(1-'Common input data'!$B$141)</f>
        <v>0.61581464714085132</v>
      </c>
      <c r="I296" s="928"/>
      <c r="J296" s="877"/>
      <c r="K296" s="877"/>
      <c r="L296" s="877"/>
      <c r="M296" s="877">
        <v>0.28054369715250005</v>
      </c>
      <c r="N296" s="877"/>
      <c r="O296" s="877"/>
      <c r="P296" s="877"/>
      <c r="Q296" s="877"/>
      <c r="R296" s="877">
        <f>'Common input data'!$B$19</f>
        <v>0.108271767984466</v>
      </c>
      <c r="S296" s="877"/>
      <c r="T296" s="877"/>
      <c r="U296" s="877">
        <f t="shared" si="76"/>
        <v>0.38881546513696608</v>
      </c>
      <c r="V296" s="877">
        <f>'Common input data'!$B$105</f>
        <v>0.05</v>
      </c>
      <c r="W296" s="878">
        <f>'Common input data'!$B$115+'Common input data'!$C$115</f>
        <v>0.08</v>
      </c>
      <c r="X296" s="877"/>
      <c r="Y296" s="879"/>
      <c r="Z296" s="877"/>
      <c r="AA296" s="877"/>
      <c r="AB296" s="877"/>
      <c r="AC296" s="877"/>
      <c r="AD296" s="886"/>
      <c r="AE296" s="877"/>
      <c r="AF296" s="879"/>
      <c r="AG296" s="877"/>
      <c r="AH296" s="877"/>
      <c r="AI296" s="877"/>
      <c r="AJ296" s="877"/>
      <c r="AK296" s="886"/>
      <c r="AL296" s="877"/>
      <c r="AM296" s="879"/>
      <c r="AN296" s="877"/>
      <c r="AO296" s="877"/>
      <c r="AP296" s="877"/>
      <c r="AQ296" s="877"/>
      <c r="AR296" s="886"/>
      <c r="AS296" s="877"/>
      <c r="AT296" s="879"/>
      <c r="AU296" s="877"/>
      <c r="AV296" s="877"/>
      <c r="AW296" s="877"/>
      <c r="AX296" s="877"/>
      <c r="AY296" s="886"/>
      <c r="AZ296" s="877"/>
      <c r="BA296" s="879"/>
      <c r="BB296" s="877"/>
      <c r="BC296" s="877"/>
      <c r="BD296" s="877"/>
      <c r="BE296" s="877"/>
      <c r="BF296" s="886"/>
      <c r="BG296" s="877"/>
      <c r="BH296" s="879"/>
      <c r="BI296" s="877"/>
      <c r="BJ296" s="877"/>
      <c r="BK296" s="877"/>
      <c r="BL296" s="877"/>
      <c r="BM296" s="886"/>
      <c r="BN296" s="877"/>
      <c r="BO296" s="879"/>
      <c r="BP296" s="877"/>
      <c r="BQ296" s="877"/>
      <c r="BR296" s="877"/>
      <c r="BS296" s="877"/>
      <c r="BT296" s="886"/>
      <c r="BU296" s="877"/>
      <c r="BV296" s="879"/>
      <c r="BW296" s="886"/>
      <c r="BX296" s="877"/>
      <c r="BY296" s="877"/>
      <c r="BZ296" s="877"/>
      <c r="CA296" s="877"/>
      <c r="CB296" s="877"/>
      <c r="CC296" s="877"/>
      <c r="CD296" s="877"/>
      <c r="CE296" s="877"/>
    </row>
    <row r="297" spans="1:83">
      <c r="A297" s="359"/>
      <c r="B297" s="360"/>
      <c r="C297" s="83"/>
      <c r="E297" s="511" t="s">
        <v>367</v>
      </c>
      <c r="F297" s="877">
        <f>SUM(K297:M297)</f>
        <v>6.9371678671999995E-4</v>
      </c>
      <c r="G297" s="877">
        <f>SUM(I297:Q297)</f>
        <v>6.9371678671999995E-4</v>
      </c>
      <c r="H297" s="878">
        <f>SUM(U297:W297)/(1-'Common input data'!$B$141)</f>
        <v>8.2341600614561851E-4</v>
      </c>
      <c r="I297" s="928"/>
      <c r="J297" s="877"/>
      <c r="K297" s="877"/>
      <c r="L297" s="877"/>
      <c r="M297" s="877">
        <v>6.9371678671999995E-4</v>
      </c>
      <c r="N297" s="877"/>
      <c r="O297" s="877"/>
      <c r="P297" s="877"/>
      <c r="Q297" s="877"/>
      <c r="R297" s="877"/>
      <c r="S297" s="877"/>
      <c r="T297" s="877"/>
      <c r="U297" s="877">
        <f t="shared" si="76"/>
        <v>6.9371678671999995E-4</v>
      </c>
      <c r="V297" s="877"/>
      <c r="W297" s="878"/>
      <c r="X297" s="877"/>
      <c r="Y297" s="879"/>
      <c r="Z297" s="877"/>
      <c r="AA297" s="877"/>
      <c r="AB297" s="877"/>
      <c r="AC297" s="877"/>
      <c r="AD297" s="886"/>
      <c r="AE297" s="877"/>
      <c r="AF297" s="879"/>
      <c r="AG297" s="877"/>
      <c r="AH297" s="877"/>
      <c r="AI297" s="877"/>
      <c r="AJ297" s="877"/>
      <c r="AK297" s="886"/>
      <c r="AL297" s="877"/>
      <c r="AM297" s="879"/>
      <c r="AN297" s="877"/>
      <c r="AO297" s="877"/>
      <c r="AP297" s="877"/>
      <c r="AQ297" s="877"/>
      <c r="AR297" s="886"/>
      <c r="AS297" s="877"/>
      <c r="AT297" s="879"/>
      <c r="AU297" s="877"/>
      <c r="AV297" s="877"/>
      <c r="AW297" s="877"/>
      <c r="AX297" s="877"/>
      <c r="AY297" s="886"/>
      <c r="AZ297" s="877"/>
      <c r="BA297" s="879"/>
      <c r="BB297" s="877"/>
      <c r="BC297" s="877"/>
      <c r="BD297" s="877"/>
      <c r="BE297" s="877"/>
      <c r="BF297" s="886"/>
      <c r="BG297" s="877"/>
      <c r="BH297" s="879"/>
      <c r="BI297" s="877"/>
      <c r="BJ297" s="877"/>
      <c r="BK297" s="877"/>
      <c r="BL297" s="877"/>
      <c r="BM297" s="886"/>
      <c r="BN297" s="877"/>
      <c r="BO297" s="879"/>
      <c r="BP297" s="877"/>
      <c r="BQ297" s="877"/>
      <c r="BR297" s="877"/>
      <c r="BS297" s="877"/>
      <c r="BT297" s="886"/>
      <c r="BU297" s="877"/>
      <c r="BV297" s="879"/>
      <c r="BW297" s="886"/>
      <c r="BX297" s="877"/>
      <c r="BY297" s="877"/>
      <c r="BZ297" s="877"/>
      <c r="CA297" s="877"/>
      <c r="CB297" s="877"/>
      <c r="CC297" s="877"/>
      <c r="CD297" s="877"/>
      <c r="CE297" s="877"/>
    </row>
    <row r="298" spans="1:83">
      <c r="A298" s="359"/>
      <c r="B298" s="360"/>
      <c r="C298" s="83"/>
      <c r="E298" s="512" t="s">
        <v>320</v>
      </c>
      <c r="F298" s="877">
        <f>SUM(K298:M298)</f>
        <v>5.0106345467000005E-4</v>
      </c>
      <c r="G298" s="877">
        <f>SUM(I298:Q298)</f>
        <v>5.0106345467000005E-4</v>
      </c>
      <c r="H298" s="878">
        <f>SUM(U298:W298)/(1-'Common input data'!$B$141)</f>
        <v>5.9474367143493359E-4</v>
      </c>
      <c r="I298" s="928"/>
      <c r="J298" s="877"/>
      <c r="K298" s="877"/>
      <c r="L298" s="877"/>
      <c r="M298" s="877">
        <v>5.0106345467000005E-4</v>
      </c>
      <c r="N298" s="877"/>
      <c r="O298" s="877"/>
      <c r="P298" s="877"/>
      <c r="Q298" s="877"/>
      <c r="R298" s="877"/>
      <c r="S298" s="877"/>
      <c r="T298" s="877"/>
      <c r="U298" s="877">
        <f t="shared" si="76"/>
        <v>5.0106345467000005E-4</v>
      </c>
      <c r="V298" s="877"/>
      <c r="W298" s="878"/>
      <c r="X298" s="877"/>
      <c r="Y298" s="879"/>
      <c r="Z298" s="877"/>
      <c r="AA298" s="877"/>
      <c r="AB298" s="877"/>
      <c r="AC298" s="877"/>
      <c r="AD298" s="886"/>
      <c r="AE298" s="877"/>
      <c r="AF298" s="879"/>
      <c r="AG298" s="877"/>
      <c r="AH298" s="877"/>
      <c r="AI298" s="877"/>
      <c r="AJ298" s="877"/>
      <c r="AK298" s="886"/>
      <c r="AL298" s="877"/>
      <c r="AM298" s="879"/>
      <c r="AN298" s="877"/>
      <c r="AO298" s="877"/>
      <c r="AP298" s="877"/>
      <c r="AQ298" s="877"/>
      <c r="AR298" s="886"/>
      <c r="AS298" s="877"/>
      <c r="AT298" s="879"/>
      <c r="AU298" s="877"/>
      <c r="AV298" s="877"/>
      <c r="AW298" s="877"/>
      <c r="AX298" s="877"/>
      <c r="AY298" s="886"/>
      <c r="AZ298" s="877"/>
      <c r="BA298" s="879"/>
      <c r="BB298" s="877"/>
      <c r="BC298" s="877"/>
      <c r="BD298" s="877"/>
      <c r="BE298" s="877"/>
      <c r="BF298" s="886"/>
      <c r="BG298" s="877"/>
      <c r="BH298" s="879"/>
      <c r="BI298" s="877"/>
      <c r="BJ298" s="877"/>
      <c r="BK298" s="877"/>
      <c r="BL298" s="877"/>
      <c r="BM298" s="886"/>
      <c r="BN298" s="877"/>
      <c r="BO298" s="879"/>
      <c r="BP298" s="877"/>
      <c r="BQ298" s="877"/>
      <c r="BR298" s="877"/>
      <c r="BS298" s="877"/>
      <c r="BT298" s="886"/>
      <c r="BU298" s="877"/>
      <c r="BV298" s="879"/>
      <c r="BW298" s="886"/>
      <c r="BX298" s="877"/>
      <c r="BY298" s="877"/>
      <c r="BZ298" s="877"/>
      <c r="CA298" s="877"/>
      <c r="CB298" s="877"/>
      <c r="CC298" s="877"/>
      <c r="CD298" s="877"/>
      <c r="CE298" s="877"/>
    </row>
    <row r="299" spans="1:83">
      <c r="A299" s="108" t="s">
        <v>134</v>
      </c>
      <c r="B299" s="93" t="s">
        <v>121</v>
      </c>
      <c r="C299" s="87">
        <f>'Input data plant-based products'!D180</f>
        <v>0.36049748379999991</v>
      </c>
      <c r="E299" s="513" t="s">
        <v>316</v>
      </c>
      <c r="F299" s="872">
        <f>SUMPRODUCT($CJ$6:$CJ$8,F300:F302)</f>
        <v>0.5088237189726601</v>
      </c>
      <c r="G299" s="872">
        <f>SUMPRODUCT($CJ$6:$CJ$8,G300:G302)</f>
        <v>0.52882371897266012</v>
      </c>
      <c r="H299" s="873">
        <f>SUMPRODUCT($CJ$6:$CJ$8,H300:H302)</f>
        <v>1.1870037150248292</v>
      </c>
      <c r="I299" s="1277"/>
      <c r="J299" s="884"/>
      <c r="K299" s="884"/>
      <c r="L299" s="884"/>
      <c r="M299" s="884"/>
      <c r="N299" s="884"/>
      <c r="O299" s="884"/>
      <c r="P299" s="884"/>
      <c r="Q299" s="884"/>
      <c r="R299" s="884"/>
      <c r="S299" s="884"/>
      <c r="T299" s="884"/>
      <c r="U299" s="884"/>
      <c r="V299" s="884"/>
      <c r="W299" s="1278"/>
      <c r="X299" s="877"/>
      <c r="Y299" s="879">
        <f>1/'Input data plant-based products'!E180*10^4</f>
        <v>1.5531809145129225</v>
      </c>
      <c r="Z299" s="877">
        <f>$Y299*'Input data plant-based products'!Z180</f>
        <v>1.5531809145129225</v>
      </c>
      <c r="AA299" s="877">
        <f>$Y299*'Input data plant-based products'!AA180</f>
        <v>1.5531809145129225</v>
      </c>
      <c r="AB299" s="877">
        <f>$Y299*'Input data plant-based products'!AB180</f>
        <v>1.5531809145129225</v>
      </c>
      <c r="AC299" s="877">
        <f>$Y299*'Input data plant-based products'!AC180</f>
        <v>1.8275061152507099</v>
      </c>
      <c r="AD299" s="886">
        <f>$Y299*'Input data plant-based products'!AD180</f>
        <v>2.4366748203342801</v>
      </c>
      <c r="AE299" s="877"/>
      <c r="AF299" s="879">
        <f>SUM('Input data plant-based products'!F180,'Input data plant-based products'!Q180)/'Input data plant-based products'!E180</f>
        <v>1.6871400000000002E-2</v>
      </c>
      <c r="AG299" s="877">
        <f>$AF299*'Input data plant-based products'!Z180</f>
        <v>1.6871400000000002E-2</v>
      </c>
      <c r="AH299" s="877">
        <f>$AF299*'Input data plant-based products'!AA180</f>
        <v>1.6871400000000002E-2</v>
      </c>
      <c r="AI299" s="877">
        <f>$AF299*'Input data plant-based products'!AB180</f>
        <v>1.6871400000000002E-2</v>
      </c>
      <c r="AJ299" s="877">
        <f>$AF299*'Input data plant-based products'!AC180</f>
        <v>1.9851252603441841E-2</v>
      </c>
      <c r="AK299" s="886">
        <f>$AF299*'Input data plant-based products'!AD180</f>
        <v>2.6468336804589123E-2</v>
      </c>
      <c r="AL299" s="877"/>
      <c r="AM299" s="879">
        <f>'Input data plant-based products'!R180/'Input data plant-based products'!E180</f>
        <v>5.8479999999999999E-3</v>
      </c>
      <c r="AN299" s="877">
        <f>$AM299*'Input data plant-based products'!Z180</f>
        <v>5.8479999999999999E-3</v>
      </c>
      <c r="AO299" s="877">
        <f>$AM299*'Input data plant-based products'!AA180</f>
        <v>5.8479999999999999E-3</v>
      </c>
      <c r="AP299" s="877">
        <f>$AM299*'Input data plant-based products'!AB180</f>
        <v>5.8479999999999999E-3</v>
      </c>
      <c r="AQ299" s="877">
        <f>$AM299*'Input data plant-based products'!AC180</f>
        <v>6.8808827497971641E-3</v>
      </c>
      <c r="AR299" s="886">
        <f>$AM299*'Input data plant-based products'!AD180</f>
        <v>9.1745103330628849E-3</v>
      </c>
      <c r="AS299" s="877"/>
      <c r="AT299" s="879">
        <f>'Input data plant-based products'!S180</f>
        <v>8.122639559864081E-2</v>
      </c>
      <c r="AU299" s="877">
        <f>$AT299*'Input data plant-based products'!Z180</f>
        <v>8.122639559864081E-2</v>
      </c>
      <c r="AV299" s="877">
        <f>$AT299*'Input data plant-based products'!AA180</f>
        <v>8.122639559864081E-2</v>
      </c>
      <c r="AW299" s="877">
        <f>$AT299*'Input data plant-based products'!AB180</f>
        <v>8.122639559864081E-2</v>
      </c>
      <c r="AX299" s="877">
        <f>$AT299*'Input data plant-based products'!AC180</f>
        <v>9.5572726453982182E-2</v>
      </c>
      <c r="AY299" s="886">
        <f>$AT299*'Input data plant-based products'!AD180</f>
        <v>0.12743030193864294</v>
      </c>
      <c r="AZ299" s="877"/>
      <c r="BA299" s="879">
        <f>((SUM('Input data plant-based products'!U180:Y180)*Y299)/('Common input data'!$B$192/10^6))/$BB$3</f>
        <v>3.2938431285231628E-11</v>
      </c>
      <c r="BB299" s="877">
        <f>$BA299*'Input data plant-based products'!Z180</f>
        <v>3.2938431285231628E-11</v>
      </c>
      <c r="BC299" s="877">
        <f>$BA299*'Input data plant-based products'!AA180</f>
        <v>3.2938431285231628E-11</v>
      </c>
      <c r="BD299" s="877">
        <f>$BA299*'Input data plant-based products'!AB180</f>
        <v>3.2938431285231628E-11</v>
      </c>
      <c r="BE299" s="877">
        <f>$BA299*'Input data plant-based products'!AC180</f>
        <v>3.8756067653202727E-11</v>
      </c>
      <c r="BF299" s="886">
        <f>$BA299*'Input data plant-based products'!AD180</f>
        <v>5.1674756870936968E-11</v>
      </c>
      <c r="BG299" s="877"/>
      <c r="BH299" s="879">
        <f>'Input data plant-based products'!T180/'Input data plant-based products'!E180</f>
        <v>0</v>
      </c>
      <c r="BI299" s="877">
        <f>$BH299*'Input data plant-based products'!Z180</f>
        <v>0</v>
      </c>
      <c r="BJ299" s="877">
        <f>$BH299*'Input data plant-based products'!AA180</f>
        <v>0</v>
      </c>
      <c r="BK299" s="877">
        <f>$BH299*'Input data plant-based products'!AB180</f>
        <v>0</v>
      </c>
      <c r="BL299" s="877">
        <f>$BH299*'Input data plant-based products'!AC180</f>
        <v>0</v>
      </c>
      <c r="BM299" s="886">
        <f>$BH299*'Input data plant-based products'!AD180</f>
        <v>0</v>
      </c>
      <c r="BN299" s="877"/>
      <c r="BO299" s="879">
        <f>('Input data plant-based products'!F180/'Input data plant-based products'!E180*'Common input data'!$B$195+'Input data plant-based products'!G180/'Input data plant-based products'!E180*'Common input data'!$B$196)/'Common input data'!$B$198</f>
        <v>4.3078982518740636E-4</v>
      </c>
      <c r="BP299" s="877">
        <f>$BO299*'Input data plant-based products'!Z180</f>
        <v>4.3078982518740636E-4</v>
      </c>
      <c r="BQ299" s="877">
        <f>$BO299*'Input data plant-based products'!AA180</f>
        <v>4.3078982518740636E-4</v>
      </c>
      <c r="BR299" s="877">
        <f>$BO299*'Input data plant-based products'!AB180</f>
        <v>4.3078982518740636E-4</v>
      </c>
      <c r="BS299" s="877">
        <f>$BO299*'Input data plant-based products'!AC180</f>
        <v>5.0687658634065665E-4</v>
      </c>
      <c r="BT299" s="886">
        <f>$BO299*'Input data plant-based products'!AD180</f>
        <v>6.7583544845420894E-4</v>
      </c>
      <c r="BU299" s="877"/>
      <c r="BV299" s="879">
        <f>('Common input data'!$B$228+'Common input data'!$C$228)*'Input data plant-based products'!AC180</f>
        <v>6.6507815213819796</v>
      </c>
      <c r="BW299" s="886">
        <f>('Common input data'!$B$228+'Common input data'!$C$228)*'Input data plant-based products'!AD180</f>
        <v>8.8677086951759723</v>
      </c>
      <c r="BX299" s="877"/>
      <c r="BY299" s="877"/>
      <c r="BZ299" s="877"/>
      <c r="CA299" s="877"/>
      <c r="CB299" s="877"/>
      <c r="CC299" s="877"/>
      <c r="CD299" s="877"/>
      <c r="CE299" s="877"/>
    </row>
    <row r="300" spans="1:83">
      <c r="A300" s="359"/>
      <c r="B300" s="360"/>
      <c r="C300" s="83"/>
      <c r="E300" s="511" t="s">
        <v>317</v>
      </c>
      <c r="F300" s="877">
        <f>IF(AND($F$2="No",$F$3="No"),SUM(L300:N300),IF(AND($F$2="Yes", $F$3="No"), (SUM(L300:M300)+S300), IF(AND($F$2="No", $F$3="Yes"),(SUM(L300:M300)+R300), (SUM(L300:M300)+S300+R300))))</f>
        <v>0.38881546513696608</v>
      </c>
      <c r="G300" s="877">
        <f>IF(AND($F$2="No",$F$3="No"),SUM(I300:Q300),IF(AND($F$2="Yes", $F$3="No"), (SUM(I300:Q300)+S300), IF(AND($F$2="No", $F$3="Yes"),(SUM(I300:Q300)+R300), (SUM(I300:Q300)+S300+R300))))</f>
        <v>0.40881546513696609</v>
      </c>
      <c r="H300" s="878">
        <f>SUM(U300:W300)/(1-'Common input data'!$I$141)</f>
        <v>1.0457994189148245</v>
      </c>
      <c r="I300" s="928"/>
      <c r="J300" s="877"/>
      <c r="K300" s="877"/>
      <c r="L300" s="877"/>
      <c r="M300" s="877">
        <v>0.28054369715250005</v>
      </c>
      <c r="N300" s="877"/>
      <c r="O300" s="877"/>
      <c r="P300" s="877">
        <f>'Input data plant-based products'!G309</f>
        <v>0.02</v>
      </c>
      <c r="Q300" s="877"/>
      <c r="R300" s="877">
        <f>'Common input data'!$B$19</f>
        <v>0.108271767984466</v>
      </c>
      <c r="S300" s="877"/>
      <c r="T300" s="877"/>
      <c r="U300" s="877">
        <f t="shared" si="76"/>
        <v>0.40881546513696609</v>
      </c>
      <c r="V300" s="877">
        <f>'Common input data'!$B$105</f>
        <v>0.05</v>
      </c>
      <c r="W300" s="878">
        <f>'Common input data'!$B$128+'Common input data'!$C$128</f>
        <v>0.43000000000000005</v>
      </c>
      <c r="X300" s="877"/>
      <c r="Y300" s="879"/>
      <c r="Z300" s="877"/>
      <c r="AA300" s="877"/>
      <c r="AB300" s="877"/>
      <c r="AC300" s="877"/>
      <c r="AD300" s="886"/>
      <c r="AE300" s="877"/>
      <c r="AF300" s="879"/>
      <c r="AG300" s="877"/>
      <c r="AH300" s="877"/>
      <c r="AI300" s="877"/>
      <c r="AJ300" s="877"/>
      <c r="AK300" s="886"/>
      <c r="AL300" s="877"/>
      <c r="AM300" s="879"/>
      <c r="AN300" s="877"/>
      <c r="AO300" s="877"/>
      <c r="AP300" s="877"/>
      <c r="AQ300" s="877"/>
      <c r="AR300" s="886"/>
      <c r="AS300" s="877"/>
      <c r="AT300" s="879"/>
      <c r="AU300" s="877"/>
      <c r="AV300" s="877"/>
      <c r="AW300" s="877"/>
      <c r="AX300" s="877"/>
      <c r="AY300" s="886"/>
      <c r="AZ300" s="877"/>
      <c r="BA300" s="879"/>
      <c r="BB300" s="877"/>
      <c r="BC300" s="877"/>
      <c r="BD300" s="877"/>
      <c r="BE300" s="877"/>
      <c r="BF300" s="886"/>
      <c r="BG300" s="877"/>
      <c r="BH300" s="879"/>
      <c r="BI300" s="877"/>
      <c r="BJ300" s="877"/>
      <c r="BK300" s="877"/>
      <c r="BL300" s="877"/>
      <c r="BM300" s="886"/>
      <c r="BN300" s="877"/>
      <c r="BO300" s="879"/>
      <c r="BP300" s="877"/>
      <c r="BQ300" s="877"/>
      <c r="BR300" s="877"/>
      <c r="BS300" s="877"/>
      <c r="BT300" s="886"/>
      <c r="BU300" s="877"/>
      <c r="BV300" s="879"/>
      <c r="BW300" s="886"/>
      <c r="BX300" s="877"/>
      <c r="BY300" s="877"/>
      <c r="BZ300" s="877"/>
      <c r="CA300" s="877"/>
      <c r="CB300" s="877"/>
      <c r="CC300" s="877"/>
      <c r="CD300" s="877"/>
      <c r="CE300" s="877"/>
    </row>
    <row r="301" spans="1:83">
      <c r="A301" s="359"/>
      <c r="B301" s="360"/>
      <c r="C301" s="83"/>
      <c r="E301" s="511" t="s">
        <v>367</v>
      </c>
      <c r="F301" s="877">
        <f>SUM(K301:M301)</f>
        <v>6.9371678671999995E-4</v>
      </c>
      <c r="G301" s="877">
        <f>SUM(I301:Q301)</f>
        <v>6.9371678671999995E-4</v>
      </c>
      <c r="H301" s="878">
        <f>SUM(U301:W301)/(1-'Common input data'!$I$141)</f>
        <v>8.1624211200177256E-4</v>
      </c>
      <c r="I301" s="928"/>
      <c r="J301" s="877"/>
      <c r="K301" s="877"/>
      <c r="L301" s="877"/>
      <c r="M301" s="877">
        <v>6.9371678671999995E-4</v>
      </c>
      <c r="N301" s="877"/>
      <c r="O301" s="877"/>
      <c r="P301" s="877"/>
      <c r="Q301" s="877"/>
      <c r="R301" s="877"/>
      <c r="S301" s="877"/>
      <c r="T301" s="877"/>
      <c r="U301" s="877">
        <f>G301+T301</f>
        <v>6.9371678671999995E-4</v>
      </c>
      <c r="V301" s="877"/>
      <c r="W301" s="878"/>
      <c r="X301" s="877"/>
      <c r="Y301" s="879"/>
      <c r="Z301" s="877"/>
      <c r="AA301" s="877"/>
      <c r="AB301" s="877"/>
      <c r="AC301" s="877"/>
      <c r="AD301" s="886"/>
      <c r="AE301" s="877"/>
      <c r="AF301" s="879"/>
      <c r="AG301" s="877"/>
      <c r="AH301" s="877"/>
      <c r="AI301" s="877"/>
      <c r="AJ301" s="877"/>
      <c r="AK301" s="886"/>
      <c r="AL301" s="877"/>
      <c r="AM301" s="879"/>
      <c r="AN301" s="877"/>
      <c r="AO301" s="877"/>
      <c r="AP301" s="877"/>
      <c r="AQ301" s="877"/>
      <c r="AR301" s="886"/>
      <c r="AS301" s="877"/>
      <c r="AT301" s="879"/>
      <c r="AU301" s="877"/>
      <c r="AV301" s="877"/>
      <c r="AW301" s="877"/>
      <c r="AX301" s="877"/>
      <c r="AY301" s="886"/>
      <c r="AZ301" s="877"/>
      <c r="BA301" s="879"/>
      <c r="BB301" s="877"/>
      <c r="BC301" s="877"/>
      <c r="BD301" s="877"/>
      <c r="BE301" s="877"/>
      <c r="BF301" s="886"/>
      <c r="BG301" s="877"/>
      <c r="BH301" s="879"/>
      <c r="BI301" s="877"/>
      <c r="BJ301" s="877"/>
      <c r="BK301" s="877"/>
      <c r="BL301" s="877"/>
      <c r="BM301" s="886"/>
      <c r="BN301" s="877"/>
      <c r="BO301" s="879"/>
      <c r="BP301" s="877"/>
      <c r="BQ301" s="877"/>
      <c r="BR301" s="877"/>
      <c r="BS301" s="877"/>
      <c r="BT301" s="886"/>
      <c r="BU301" s="877"/>
      <c r="BV301" s="879"/>
      <c r="BW301" s="886"/>
      <c r="BX301" s="877"/>
      <c r="BY301" s="877"/>
      <c r="BZ301" s="877"/>
      <c r="CA301" s="877"/>
      <c r="CB301" s="877"/>
      <c r="CC301" s="877"/>
      <c r="CD301" s="877"/>
      <c r="CE301" s="877"/>
    </row>
    <row r="302" spans="1:83">
      <c r="A302" s="359"/>
      <c r="B302" s="360"/>
      <c r="C302" s="83"/>
      <c r="E302" s="512" t="s">
        <v>320</v>
      </c>
      <c r="F302" s="877">
        <f>SUM(K302:M302)</f>
        <v>5.0106345467000005E-4</v>
      </c>
      <c r="G302" s="877">
        <f>SUM(I302:Q302)</f>
        <v>5.0106345467000005E-4</v>
      </c>
      <c r="H302" s="878">
        <f>SUM(U302:W302)/(1-'Common input data'!$I$141)</f>
        <v>5.8956205229011231E-4</v>
      </c>
      <c r="I302" s="928"/>
      <c r="J302" s="877"/>
      <c r="K302" s="877"/>
      <c r="L302" s="877"/>
      <c r="M302" s="877">
        <v>5.0106345467000005E-4</v>
      </c>
      <c r="N302" s="877"/>
      <c r="O302" s="877"/>
      <c r="P302" s="877"/>
      <c r="Q302" s="877"/>
      <c r="R302" s="877"/>
      <c r="S302" s="877"/>
      <c r="T302" s="877"/>
      <c r="U302" s="877">
        <f t="shared" si="76"/>
        <v>5.0106345467000005E-4</v>
      </c>
      <c r="V302" s="877"/>
      <c r="W302" s="878"/>
      <c r="X302" s="877"/>
      <c r="Y302" s="879"/>
      <c r="Z302" s="877"/>
      <c r="AA302" s="877"/>
      <c r="AB302" s="877"/>
      <c r="AC302" s="877"/>
      <c r="AD302" s="886"/>
      <c r="AE302" s="877"/>
      <c r="AF302" s="879"/>
      <c r="AG302" s="877"/>
      <c r="AH302" s="877"/>
      <c r="AI302" s="877"/>
      <c r="AJ302" s="877"/>
      <c r="AK302" s="886"/>
      <c r="AL302" s="877"/>
      <c r="AM302" s="879"/>
      <c r="AN302" s="877"/>
      <c r="AO302" s="877"/>
      <c r="AP302" s="877"/>
      <c r="AQ302" s="877"/>
      <c r="AR302" s="886"/>
      <c r="AS302" s="877"/>
      <c r="AT302" s="879"/>
      <c r="AU302" s="877"/>
      <c r="AV302" s="877"/>
      <c r="AW302" s="877"/>
      <c r="AX302" s="877"/>
      <c r="AY302" s="886"/>
      <c r="AZ302" s="877"/>
      <c r="BA302" s="879"/>
      <c r="BB302" s="877"/>
      <c r="BC302" s="877"/>
      <c r="BD302" s="877"/>
      <c r="BE302" s="877"/>
      <c r="BF302" s="886"/>
      <c r="BG302" s="877"/>
      <c r="BH302" s="879"/>
      <c r="BI302" s="877"/>
      <c r="BJ302" s="877"/>
      <c r="BK302" s="877"/>
      <c r="BL302" s="877"/>
      <c r="BM302" s="886"/>
      <c r="BN302" s="877"/>
      <c r="BO302" s="879"/>
      <c r="BP302" s="877"/>
      <c r="BQ302" s="877"/>
      <c r="BR302" s="877"/>
      <c r="BS302" s="877"/>
      <c r="BT302" s="886"/>
      <c r="BU302" s="877"/>
      <c r="BV302" s="879"/>
      <c r="BW302" s="886"/>
      <c r="BX302" s="877"/>
      <c r="BY302" s="877"/>
      <c r="BZ302" s="877"/>
      <c r="CA302" s="877"/>
      <c r="CB302" s="877"/>
      <c r="CC302" s="877"/>
      <c r="CD302" s="877"/>
      <c r="CE302" s="877"/>
    </row>
    <row r="303" spans="1:83">
      <c r="A303" s="362" t="s">
        <v>195</v>
      </c>
      <c r="B303" s="363"/>
      <c r="C303" s="770"/>
      <c r="E303" s="939"/>
      <c r="F303" s="892" t="s">
        <v>471</v>
      </c>
      <c r="G303" s="892" t="s">
        <v>471</v>
      </c>
      <c r="H303" s="970" t="s">
        <v>471</v>
      </c>
      <c r="I303" s="969"/>
      <c r="J303" s="892"/>
      <c r="K303" s="892"/>
      <c r="L303" s="892"/>
      <c r="M303" s="892"/>
      <c r="N303" s="892"/>
      <c r="O303" s="892"/>
      <c r="P303" s="892"/>
      <c r="Q303" s="892"/>
      <c r="R303" s="892"/>
      <c r="S303" s="892"/>
      <c r="T303" s="892"/>
      <c r="U303" s="892"/>
      <c r="V303" s="892"/>
      <c r="W303" s="970"/>
      <c r="X303" s="877"/>
      <c r="Y303" s="879"/>
      <c r="Z303" s="877"/>
      <c r="AA303" s="877"/>
      <c r="AB303" s="877"/>
      <c r="AC303" s="877"/>
      <c r="AD303" s="886"/>
      <c r="AE303" s="877"/>
      <c r="AF303" s="879"/>
      <c r="AG303" s="877"/>
      <c r="AH303" s="877"/>
      <c r="AI303" s="877"/>
      <c r="AJ303" s="877"/>
      <c r="AK303" s="886"/>
      <c r="AL303" s="877"/>
      <c r="AM303" s="879"/>
      <c r="AN303" s="877"/>
      <c r="AO303" s="877"/>
      <c r="AP303" s="877"/>
      <c r="AQ303" s="877"/>
      <c r="AR303" s="886"/>
      <c r="AS303" s="877"/>
      <c r="AT303" s="879"/>
      <c r="AU303" s="877"/>
      <c r="AV303" s="877"/>
      <c r="AW303" s="877"/>
      <c r="AX303" s="877"/>
      <c r="AY303" s="886"/>
      <c r="AZ303" s="877"/>
      <c r="BA303" s="879"/>
      <c r="BB303" s="877"/>
      <c r="BC303" s="877"/>
      <c r="BD303" s="877"/>
      <c r="BE303" s="877"/>
      <c r="BF303" s="886"/>
      <c r="BG303" s="877"/>
      <c r="BH303" s="879"/>
      <c r="BI303" s="877"/>
      <c r="BJ303" s="877"/>
      <c r="BK303" s="877"/>
      <c r="BL303" s="877"/>
      <c r="BM303" s="886"/>
      <c r="BN303" s="877"/>
      <c r="BO303" s="879"/>
      <c r="BP303" s="877"/>
      <c r="BQ303" s="877"/>
      <c r="BR303" s="877"/>
      <c r="BS303" s="877"/>
      <c r="BT303" s="886"/>
      <c r="BU303" s="877"/>
      <c r="BV303" s="879"/>
      <c r="BW303" s="886"/>
      <c r="BX303" s="877"/>
      <c r="BY303" s="877"/>
      <c r="BZ303" s="877"/>
      <c r="CA303" s="877"/>
      <c r="CB303" s="877"/>
      <c r="CC303" s="877"/>
      <c r="CD303" s="877"/>
      <c r="CE303" s="877"/>
    </row>
    <row r="304" spans="1:83">
      <c r="A304" s="108" t="s">
        <v>120</v>
      </c>
      <c r="B304" s="93" t="s">
        <v>121</v>
      </c>
      <c r="C304" s="87">
        <f>SUM(C308:C316)</f>
        <v>1</v>
      </c>
      <c r="E304" s="513" t="s">
        <v>316</v>
      </c>
      <c r="F304" s="872">
        <f>SUMPRODUCT($CJ$6:$CJ$8,F305:F307)</f>
        <v>8.0110390197638814</v>
      </c>
      <c r="G304" s="872">
        <f>SUMPRODUCT($CJ$6:$CJ$8,G305:G307)</f>
        <v>8.0186307983073064</v>
      </c>
      <c r="H304" s="873">
        <f>SUMPRODUCT($CJ$6:$CJ$8,H305:H307)</f>
        <v>9.2511868159647666</v>
      </c>
      <c r="I304" s="1277"/>
      <c r="J304" s="884"/>
      <c r="K304" s="884"/>
      <c r="L304" s="884"/>
      <c r="M304" s="884"/>
      <c r="N304" s="884"/>
      <c r="O304" s="884"/>
      <c r="P304" s="884"/>
      <c r="Q304" s="884"/>
      <c r="R304" s="884"/>
      <c r="S304" s="884"/>
      <c r="T304" s="884"/>
      <c r="U304" s="884"/>
      <c r="V304" s="884"/>
      <c r="W304" s="1278"/>
      <c r="X304" s="877"/>
      <c r="Y304" s="883">
        <f t="shared" ref="Y304:BT304" si="77">Y308*$C$308+Y312*$C$312+Y316*$C$316</f>
        <v>1.0974133398590098</v>
      </c>
      <c r="Z304" s="884">
        <f t="shared" si="77"/>
        <v>1.0974133398590098</v>
      </c>
      <c r="AA304" s="884">
        <f t="shared" si="77"/>
        <v>21.948266797180196</v>
      </c>
      <c r="AB304" s="884">
        <f t="shared" si="77"/>
        <v>21.948266797180196</v>
      </c>
      <c r="AC304" s="884">
        <f t="shared" si="77"/>
        <v>23.953686149870951</v>
      </c>
      <c r="AD304" s="885">
        <f t="shared" si="77"/>
        <v>24.951756406115571</v>
      </c>
      <c r="AE304" s="877"/>
      <c r="AF304" s="883">
        <f t="shared" si="77"/>
        <v>1.1040349023056742E-2</v>
      </c>
      <c r="AG304" s="884">
        <f t="shared" si="77"/>
        <v>1.1040349023056742E-2</v>
      </c>
      <c r="AH304" s="884">
        <f t="shared" si="77"/>
        <v>0.22080698046113487</v>
      </c>
      <c r="AI304" s="884">
        <f t="shared" si="77"/>
        <v>0.22080698046113487</v>
      </c>
      <c r="AJ304" s="884">
        <f t="shared" si="77"/>
        <v>0.2412879173132324</v>
      </c>
      <c r="AK304" s="885">
        <f t="shared" si="77"/>
        <v>0.25134158053461703</v>
      </c>
      <c r="AL304" s="877"/>
      <c r="AM304" s="883">
        <f t="shared" si="77"/>
        <v>3.9583931950398863E-3</v>
      </c>
      <c r="AN304" s="884">
        <f t="shared" si="77"/>
        <v>3.9583931950398863E-3</v>
      </c>
      <c r="AO304" s="884">
        <f t="shared" si="77"/>
        <v>7.9167863900797719E-2</v>
      </c>
      <c r="AP304" s="884">
        <f t="shared" si="77"/>
        <v>7.9167863900797719E-2</v>
      </c>
      <c r="AQ304" s="884">
        <f t="shared" si="77"/>
        <v>8.6461735500931641E-2</v>
      </c>
      <c r="AR304" s="885">
        <f t="shared" si="77"/>
        <v>9.0064307813470468E-2</v>
      </c>
      <c r="AS304" s="877"/>
      <c r="AT304" s="883">
        <f t="shared" si="77"/>
        <v>3.3235905833965067E-2</v>
      </c>
      <c r="AU304" s="884">
        <f t="shared" si="77"/>
        <v>3.3235905833965067E-2</v>
      </c>
      <c r="AV304" s="884">
        <f t="shared" si="77"/>
        <v>0.66471811667930136</v>
      </c>
      <c r="AW304" s="884">
        <f t="shared" si="77"/>
        <v>0.66471811667930136</v>
      </c>
      <c r="AX304" s="884">
        <f t="shared" si="77"/>
        <v>0.73384322841159066</v>
      </c>
      <c r="AY304" s="885">
        <f t="shared" si="77"/>
        <v>0.76442002959540689</v>
      </c>
      <c r="AZ304" s="877"/>
      <c r="BA304" s="883">
        <f t="shared" si="77"/>
        <v>1.1759177185537558E-10</v>
      </c>
      <c r="BB304" s="884">
        <f t="shared" si="77"/>
        <v>1.1759177185537558E-10</v>
      </c>
      <c r="BC304" s="884">
        <f t="shared" si="77"/>
        <v>2.3518354371075119E-9</v>
      </c>
      <c r="BD304" s="884">
        <f t="shared" si="77"/>
        <v>2.3518354371075119E-9</v>
      </c>
      <c r="BE304" s="884">
        <f t="shared" si="77"/>
        <v>2.5851079085871498E-9</v>
      </c>
      <c r="BF304" s="885">
        <f t="shared" si="77"/>
        <v>2.6928207381116143E-9</v>
      </c>
      <c r="BG304" s="877"/>
      <c r="BH304" s="883">
        <f t="shared" si="77"/>
        <v>0</v>
      </c>
      <c r="BI304" s="884">
        <f t="shared" si="77"/>
        <v>0</v>
      </c>
      <c r="BJ304" s="884">
        <f t="shared" si="77"/>
        <v>0</v>
      </c>
      <c r="BK304" s="884">
        <f t="shared" si="77"/>
        <v>0</v>
      </c>
      <c r="BL304" s="884">
        <f t="shared" si="77"/>
        <v>0</v>
      </c>
      <c r="BM304" s="885">
        <f t="shared" si="77"/>
        <v>0</v>
      </c>
      <c r="BN304" s="877"/>
      <c r="BO304" s="883">
        <f t="shared" si="77"/>
        <v>2.8190132565469173E-4</v>
      </c>
      <c r="BP304" s="884">
        <f t="shared" si="77"/>
        <v>2.8190132565469173E-4</v>
      </c>
      <c r="BQ304" s="884">
        <f t="shared" si="77"/>
        <v>5.6380265130938339E-3</v>
      </c>
      <c r="BR304" s="884">
        <f t="shared" si="77"/>
        <v>5.6380265130938339E-3</v>
      </c>
      <c r="BS304" s="884">
        <f t="shared" si="77"/>
        <v>6.1609812889979916E-3</v>
      </c>
      <c r="BT304" s="885">
        <f t="shared" si="77"/>
        <v>6.4176888427062411E-3</v>
      </c>
      <c r="BU304" s="877"/>
      <c r="BV304" s="883">
        <f>BV308*$C$308+BV312*$C$312+BV316*$C$316</f>
        <v>40.101655168021253</v>
      </c>
      <c r="BW304" s="885">
        <f>BW308*$C$308+BW312*$C$312+BW316*$C$316</f>
        <v>41.772557466688802</v>
      </c>
      <c r="BX304" s="877"/>
      <c r="BY304" s="877"/>
      <c r="BZ304" s="877"/>
      <c r="CA304" s="877"/>
      <c r="CB304" s="877"/>
      <c r="CC304" s="877"/>
      <c r="CD304" s="877"/>
      <c r="CE304" s="877"/>
    </row>
    <row r="305" spans="1:83">
      <c r="A305" s="195"/>
      <c r="B305" s="55"/>
      <c r="C305" s="83"/>
      <c r="E305" s="511" t="s">
        <v>317</v>
      </c>
      <c r="F305" s="877">
        <f>F309*$C$308+F313*$C$312+$C$316*F317</f>
        <v>5.6108739430500005</v>
      </c>
      <c r="G305" s="877">
        <f t="shared" ref="G305:W305" si="78">G309*$C$308+G313*$C$312+$C$316*G317</f>
        <v>5.6184657215934255</v>
      </c>
      <c r="H305" s="878">
        <f t="shared" si="78"/>
        <v>6.6439489992183844</v>
      </c>
      <c r="I305" s="928">
        <f t="shared" si="78"/>
        <v>0</v>
      </c>
      <c r="J305" s="877">
        <f t="shared" si="78"/>
        <v>0</v>
      </c>
      <c r="K305" s="877">
        <f t="shared" si="78"/>
        <v>0</v>
      </c>
      <c r="L305" s="877">
        <f t="shared" si="78"/>
        <v>0</v>
      </c>
      <c r="M305" s="877">
        <f t="shared" si="78"/>
        <v>5.6108739430500005</v>
      </c>
      <c r="N305" s="877">
        <f t="shared" si="78"/>
        <v>0</v>
      </c>
      <c r="O305" s="877">
        <f t="shared" si="78"/>
        <v>0</v>
      </c>
      <c r="P305" s="877">
        <f t="shared" si="78"/>
        <v>7.5917785434240249E-3</v>
      </c>
      <c r="Q305" s="877">
        <f t="shared" si="78"/>
        <v>0</v>
      </c>
      <c r="R305" s="877">
        <f t="shared" si="78"/>
        <v>0</v>
      </c>
      <c r="S305" s="877">
        <f t="shared" si="78"/>
        <v>0</v>
      </c>
      <c r="T305" s="877">
        <f t="shared" si="78"/>
        <v>0</v>
      </c>
      <c r="U305" s="877">
        <f t="shared" si="78"/>
        <v>5.6184657215934255</v>
      </c>
      <c r="V305" s="877">
        <f t="shared" si="78"/>
        <v>0.30000000000000004</v>
      </c>
      <c r="W305" s="878">
        <f t="shared" si="78"/>
        <v>0.19501128668171563</v>
      </c>
      <c r="X305" s="877"/>
      <c r="Y305" s="879"/>
      <c r="Z305" s="877"/>
      <c r="AA305" s="877"/>
      <c r="AB305" s="877"/>
      <c r="AC305" s="877"/>
      <c r="AD305" s="886"/>
      <c r="AE305" s="877"/>
      <c r="AF305" s="879"/>
      <c r="AG305" s="877"/>
      <c r="AH305" s="877"/>
      <c r="AI305" s="877"/>
      <c r="AJ305" s="877"/>
      <c r="AK305" s="886"/>
      <c r="AL305" s="877"/>
      <c r="AM305" s="879"/>
      <c r="AN305" s="877"/>
      <c r="AO305" s="877"/>
      <c r="AP305" s="877"/>
      <c r="AQ305" s="877"/>
      <c r="AR305" s="886"/>
      <c r="AS305" s="877"/>
      <c r="AT305" s="879"/>
      <c r="AU305" s="877"/>
      <c r="AV305" s="877"/>
      <c r="AW305" s="877"/>
      <c r="AX305" s="877"/>
      <c r="AY305" s="886"/>
      <c r="AZ305" s="877"/>
      <c r="BA305" s="879"/>
      <c r="BB305" s="877"/>
      <c r="BC305" s="877"/>
      <c r="BD305" s="877"/>
      <c r="BE305" s="877"/>
      <c r="BF305" s="886"/>
      <c r="BG305" s="877"/>
      <c r="BH305" s="879"/>
      <c r="BI305" s="877"/>
      <c r="BJ305" s="877"/>
      <c r="BK305" s="877"/>
      <c r="BL305" s="877"/>
      <c r="BM305" s="886"/>
      <c r="BN305" s="877"/>
      <c r="BO305" s="879"/>
      <c r="BP305" s="877"/>
      <c r="BQ305" s="877"/>
      <c r="BR305" s="877"/>
      <c r="BS305" s="877"/>
      <c r="BT305" s="886"/>
      <c r="BU305" s="877"/>
      <c r="BV305" s="879"/>
      <c r="BW305" s="886"/>
      <c r="BX305" s="877"/>
      <c r="BY305" s="877"/>
      <c r="BZ305" s="877"/>
      <c r="CA305" s="877"/>
      <c r="CB305" s="877"/>
      <c r="CC305" s="877"/>
      <c r="CD305" s="877"/>
      <c r="CE305" s="877"/>
    </row>
    <row r="306" spans="1:83">
      <c r="A306" s="195"/>
      <c r="B306" s="55"/>
      <c r="C306" s="83"/>
      <c r="E306" s="511" t="s">
        <v>367</v>
      </c>
      <c r="F306" s="877">
        <f t="shared" ref="F306:W306" si="79">F310*$C$308+F314*$C$312+$C$316*F318</f>
        <v>1.3874335734400001E-2</v>
      </c>
      <c r="G306" s="877">
        <f>G310*$C$308+G314*$C$312+$C$316*G318</f>
        <v>1.3874335734400001E-2</v>
      </c>
      <c r="H306" s="878">
        <f t="shared" si="79"/>
        <v>1.5071335367686281E-2</v>
      </c>
      <c r="I306" s="928">
        <f t="shared" si="79"/>
        <v>0</v>
      </c>
      <c r="J306" s="877">
        <f t="shared" si="79"/>
        <v>0</v>
      </c>
      <c r="K306" s="877">
        <f t="shared" si="79"/>
        <v>0</v>
      </c>
      <c r="L306" s="877">
        <f t="shared" si="79"/>
        <v>0</v>
      </c>
      <c r="M306" s="877">
        <f t="shared" si="79"/>
        <v>1.3874335734400001E-2</v>
      </c>
      <c r="N306" s="877">
        <f t="shared" si="79"/>
        <v>0</v>
      </c>
      <c r="O306" s="877">
        <f t="shared" si="79"/>
        <v>0</v>
      </c>
      <c r="P306" s="877">
        <f t="shared" si="79"/>
        <v>0</v>
      </c>
      <c r="Q306" s="877">
        <f t="shared" si="79"/>
        <v>0</v>
      </c>
      <c r="R306" s="877">
        <f t="shared" si="79"/>
        <v>0</v>
      </c>
      <c r="S306" s="877">
        <f t="shared" si="79"/>
        <v>0</v>
      </c>
      <c r="T306" s="877">
        <f t="shared" si="79"/>
        <v>0</v>
      </c>
      <c r="U306" s="877">
        <f t="shared" si="79"/>
        <v>1.3874335734400001E-2</v>
      </c>
      <c r="V306" s="877">
        <f t="shared" si="79"/>
        <v>0</v>
      </c>
      <c r="W306" s="878">
        <f t="shared" si="79"/>
        <v>0</v>
      </c>
      <c r="X306" s="877"/>
      <c r="Y306" s="879"/>
      <c r="Z306" s="877"/>
      <c r="AA306" s="877"/>
      <c r="AB306" s="877"/>
      <c r="AC306" s="877"/>
      <c r="AD306" s="886"/>
      <c r="AE306" s="877"/>
      <c r="AF306" s="879"/>
      <c r="AG306" s="877"/>
      <c r="AH306" s="877"/>
      <c r="AI306" s="877"/>
      <c r="AJ306" s="877"/>
      <c r="AK306" s="886"/>
      <c r="AL306" s="877"/>
      <c r="AM306" s="879"/>
      <c r="AN306" s="877"/>
      <c r="AO306" s="877"/>
      <c r="AP306" s="877"/>
      <c r="AQ306" s="877"/>
      <c r="AR306" s="886"/>
      <c r="AS306" s="877"/>
      <c r="AT306" s="879"/>
      <c r="AU306" s="877"/>
      <c r="AV306" s="877"/>
      <c r="AW306" s="877"/>
      <c r="AX306" s="877"/>
      <c r="AY306" s="886"/>
      <c r="AZ306" s="877"/>
      <c r="BA306" s="879"/>
      <c r="BB306" s="877"/>
      <c r="BC306" s="877"/>
      <c r="BD306" s="877"/>
      <c r="BE306" s="877"/>
      <c r="BF306" s="886"/>
      <c r="BG306" s="877"/>
      <c r="BH306" s="879"/>
      <c r="BI306" s="877"/>
      <c r="BJ306" s="877"/>
      <c r="BK306" s="877"/>
      <c r="BL306" s="877"/>
      <c r="BM306" s="886"/>
      <c r="BN306" s="877"/>
      <c r="BO306" s="879"/>
      <c r="BP306" s="877"/>
      <c r="BQ306" s="877"/>
      <c r="BR306" s="877"/>
      <c r="BS306" s="877"/>
      <c r="BT306" s="886"/>
      <c r="BU306" s="877"/>
      <c r="BV306" s="879"/>
      <c r="BW306" s="886"/>
      <c r="BX306" s="877"/>
      <c r="BY306" s="877"/>
      <c r="BZ306" s="877"/>
      <c r="CA306" s="877"/>
      <c r="CB306" s="877"/>
      <c r="CC306" s="877"/>
      <c r="CD306" s="877"/>
      <c r="CE306" s="877"/>
    </row>
    <row r="307" spans="1:83">
      <c r="A307" s="18"/>
      <c r="B307" s="360"/>
      <c r="C307" s="83"/>
      <c r="E307" s="512" t="s">
        <v>320</v>
      </c>
      <c r="F307" s="877">
        <f t="shared" ref="F307:W307" si="80">F311*$C$308+F315*$C$312+$C$316*F319</f>
        <v>1.0021269093400001E-2</v>
      </c>
      <c r="G307" s="877">
        <f t="shared" si="80"/>
        <v>1.0021269093400001E-2</v>
      </c>
      <c r="H307" s="878">
        <f t="shared" si="80"/>
        <v>1.0885847813383073E-2</v>
      </c>
      <c r="I307" s="928">
        <f t="shared" si="80"/>
        <v>0</v>
      </c>
      <c r="J307" s="877">
        <f t="shared" si="80"/>
        <v>0</v>
      </c>
      <c r="K307" s="877">
        <f t="shared" si="80"/>
        <v>0</v>
      </c>
      <c r="L307" s="877">
        <f t="shared" si="80"/>
        <v>0</v>
      </c>
      <c r="M307" s="877">
        <f t="shared" si="80"/>
        <v>1.0021269093400001E-2</v>
      </c>
      <c r="N307" s="877">
        <f t="shared" si="80"/>
        <v>0</v>
      </c>
      <c r="O307" s="877">
        <f t="shared" si="80"/>
        <v>0</v>
      </c>
      <c r="P307" s="877">
        <f t="shared" si="80"/>
        <v>0</v>
      </c>
      <c r="Q307" s="877">
        <f t="shared" si="80"/>
        <v>0</v>
      </c>
      <c r="R307" s="877">
        <f t="shared" si="80"/>
        <v>0</v>
      </c>
      <c r="S307" s="877">
        <f t="shared" si="80"/>
        <v>0</v>
      </c>
      <c r="T307" s="877">
        <f t="shared" si="80"/>
        <v>0</v>
      </c>
      <c r="U307" s="877">
        <f t="shared" si="80"/>
        <v>1.0021269093400001E-2</v>
      </c>
      <c r="V307" s="877">
        <f t="shared" si="80"/>
        <v>0</v>
      </c>
      <c r="W307" s="878">
        <f t="shared" si="80"/>
        <v>0</v>
      </c>
      <c r="X307" s="877"/>
      <c r="Y307" s="879"/>
      <c r="Z307" s="877"/>
      <c r="AA307" s="877"/>
      <c r="AB307" s="877"/>
      <c r="AC307" s="877"/>
      <c r="AD307" s="886"/>
      <c r="AE307" s="877"/>
      <c r="AF307" s="879"/>
      <c r="AG307" s="877"/>
      <c r="AH307" s="877"/>
      <c r="AI307" s="877"/>
      <c r="AJ307" s="877"/>
      <c r="AK307" s="886"/>
      <c r="AL307" s="877"/>
      <c r="AM307" s="879"/>
      <c r="AN307" s="877"/>
      <c r="AO307" s="877"/>
      <c r="AP307" s="877"/>
      <c r="AQ307" s="877"/>
      <c r="AR307" s="886"/>
      <c r="AS307" s="877"/>
      <c r="AT307" s="879"/>
      <c r="AU307" s="877"/>
      <c r="AV307" s="877"/>
      <c r="AW307" s="877"/>
      <c r="AX307" s="877"/>
      <c r="AY307" s="886"/>
      <c r="AZ307" s="877"/>
      <c r="BA307" s="879"/>
      <c r="BB307" s="877"/>
      <c r="BC307" s="877"/>
      <c r="BD307" s="877"/>
      <c r="BE307" s="877"/>
      <c r="BF307" s="886"/>
      <c r="BG307" s="877"/>
      <c r="BH307" s="879"/>
      <c r="BI307" s="877"/>
      <c r="BJ307" s="877"/>
      <c r="BK307" s="877"/>
      <c r="BL307" s="877"/>
      <c r="BM307" s="886"/>
      <c r="BN307" s="877"/>
      <c r="BO307" s="879"/>
      <c r="BP307" s="877"/>
      <c r="BQ307" s="877"/>
      <c r="BR307" s="877"/>
      <c r="BS307" s="877"/>
      <c r="BT307" s="886"/>
      <c r="BU307" s="877"/>
      <c r="BV307" s="879"/>
      <c r="BW307" s="886"/>
      <c r="BX307" s="877"/>
      <c r="BY307" s="877"/>
      <c r="BZ307" s="877"/>
      <c r="CA307" s="877"/>
      <c r="CB307" s="877"/>
      <c r="CC307" s="877"/>
      <c r="CD307" s="877"/>
      <c r="CE307" s="877"/>
    </row>
    <row r="308" spans="1:83">
      <c r="A308" s="108" t="s">
        <v>126</v>
      </c>
      <c r="B308" s="93" t="s">
        <v>121</v>
      </c>
      <c r="C308" s="87">
        <f>'Input data plant-based products'!D207</f>
        <v>0.62041107282879882</v>
      </c>
      <c r="E308" s="513" t="s">
        <v>316</v>
      </c>
      <c r="F308" s="872">
        <f>SUMPRODUCT($CJ$6:$CJ$8,F309:F311)</f>
        <v>8.0110390197638814</v>
      </c>
      <c r="G308" s="872">
        <f>SUMPRODUCT($CJ$6:$CJ$8,G309:G311)</f>
        <v>8.0110390197638814</v>
      </c>
      <c r="H308" s="873">
        <f>SUMPRODUCT($CJ$6:$CJ$8,H309:H311)</f>
        <v>9.065711898102645</v>
      </c>
      <c r="I308" s="1277"/>
      <c r="J308" s="884"/>
      <c r="K308" s="884"/>
      <c r="L308" s="884"/>
      <c r="M308" s="884"/>
      <c r="N308" s="884"/>
      <c r="O308" s="884"/>
      <c r="P308" s="884"/>
      <c r="Q308" s="884"/>
      <c r="R308" s="884"/>
      <c r="S308" s="884"/>
      <c r="T308" s="884"/>
      <c r="U308" s="884"/>
      <c r="V308" s="884"/>
      <c r="W308" s="1278"/>
      <c r="X308" s="877"/>
      <c r="Y308" s="879">
        <f>1/'Input data plant-based products'!E207*10^4</f>
        <v>0.93408882437448737</v>
      </c>
      <c r="Z308" s="877">
        <f>$Y308*'Input data plant-based products'!Z207</f>
        <v>0.93408882437448737</v>
      </c>
      <c r="AA308" s="877">
        <f>$Y308*'Input data plant-based products'!AA207</f>
        <v>18.681776487489749</v>
      </c>
      <c r="AB308" s="877">
        <f>$Y308*'Input data plant-based products'!AB207</f>
        <v>18.681776487489749</v>
      </c>
      <c r="AC308" s="877">
        <f>$Y308*'Input data plant-based products'!AC207</f>
        <v>20.064307602865174</v>
      </c>
      <c r="AD308" s="886">
        <f>$Y308*'Input data plant-based products'!AD207</f>
        <v>20.900320419651223</v>
      </c>
      <c r="AE308" s="877"/>
      <c r="AF308" s="879">
        <f>SUM('Input data plant-based products'!F207,'Input data plant-based products'!Q207)/'Input data plant-based products'!E207</f>
        <v>7.4727105949958985E-3</v>
      </c>
      <c r="AG308" s="877">
        <f>$AF308*'Input data plant-based products'!Z207</f>
        <v>7.4727105949958985E-3</v>
      </c>
      <c r="AH308" s="877">
        <f>$AF308*'Input data plant-based products'!AA207</f>
        <v>0.14945421189991798</v>
      </c>
      <c r="AI308" s="877">
        <f>$AF308*'Input data plant-based products'!AB207</f>
        <v>0.14945421189991798</v>
      </c>
      <c r="AJ308" s="877">
        <f>$AF308*'Input data plant-based products'!AC207</f>
        <v>0.1605144608229214</v>
      </c>
      <c r="AK308" s="886">
        <f>$AF308*'Input data plant-based products'!AD207</f>
        <v>0.16720256335720979</v>
      </c>
      <c r="AL308" s="877"/>
      <c r="AM308" s="879">
        <f>'Input data plant-based products'!R207/'Input data plant-based products'!E207</f>
        <v>2.8022664731234622E-3</v>
      </c>
      <c r="AN308" s="877">
        <f>$AM308*'Input data plant-based products'!Z207</f>
        <v>2.8022664731234622E-3</v>
      </c>
      <c r="AO308" s="877">
        <f>$AM308*'Input data plant-based products'!AA207</f>
        <v>5.6045329462469241E-2</v>
      </c>
      <c r="AP308" s="877">
        <f>$AM308*'Input data plant-based products'!AB207</f>
        <v>5.6045329462469241E-2</v>
      </c>
      <c r="AQ308" s="877">
        <f>$AM308*'Input data plant-based products'!AC207</f>
        <v>6.0192922808595527E-2</v>
      </c>
      <c r="AR308" s="886">
        <f>$AM308*'Input data plant-based products'!AD207</f>
        <v>6.2700961258953677E-2</v>
      </c>
      <c r="AS308" s="877"/>
      <c r="AT308" s="879">
        <f>'Input data plant-based products'!S207</f>
        <v>9.8981246218269605E-4</v>
      </c>
      <c r="AU308" s="877">
        <f>$AT308*'Input data plant-based products'!Z207</f>
        <v>9.8981246218269605E-4</v>
      </c>
      <c r="AV308" s="877">
        <f>$AT308*'Input data plant-based products'!AA207</f>
        <v>1.9796249243653922E-2</v>
      </c>
      <c r="AW308" s="877">
        <f>$AT308*'Input data plant-based products'!AB207</f>
        <v>1.9796249243653922E-2</v>
      </c>
      <c r="AX308" s="877">
        <f>$AT308*'Input data plant-based products'!AC207</f>
        <v>2.1261256094871013E-2</v>
      </c>
      <c r="AY308" s="886">
        <f>$AT308*'Input data plant-based products'!AD207</f>
        <v>2.2147141765490635E-2</v>
      </c>
      <c r="AZ308" s="877"/>
      <c r="BA308" s="879">
        <f>((SUM('Input data plant-based products'!U207:Y207)*Y308)/('Common input data'!$B$192/10^6))/$BB$3</f>
        <v>2.0979297703904431E-11</v>
      </c>
      <c r="BB308" s="877">
        <f>$BA308*'Input data plant-based products'!Z207</f>
        <v>2.0979297703904431E-11</v>
      </c>
      <c r="BC308" s="877">
        <f>$BA308*'Input data plant-based products'!AA207</f>
        <v>4.1958595407808861E-10</v>
      </c>
      <c r="BD308" s="877">
        <f>$BA308*'Input data plant-based products'!AB207</f>
        <v>4.1958595407808861E-10</v>
      </c>
      <c r="BE308" s="877">
        <f>$BA308*'Input data plant-based products'!AC207</f>
        <v>4.5063710370916897E-10</v>
      </c>
      <c r="BF308" s="886">
        <f>$BA308*'Input data plant-based products'!AD207</f>
        <v>4.6941364969705106E-10</v>
      </c>
      <c r="BG308" s="877"/>
      <c r="BH308" s="879">
        <f>'Input data plant-based products'!T207/'Input data plant-based products'!E207</f>
        <v>0</v>
      </c>
      <c r="BI308" s="877">
        <f>$BH308*'Input data plant-based products'!Z207</f>
        <v>0</v>
      </c>
      <c r="BJ308" s="877">
        <f>$BH308*'Input data plant-based products'!AA207</f>
        <v>0</v>
      </c>
      <c r="BK308" s="877">
        <f>$BH308*'Input data plant-based products'!AB207</f>
        <v>0</v>
      </c>
      <c r="BL308" s="877">
        <f>$BH308*'Input data plant-based products'!AC207</f>
        <v>0</v>
      </c>
      <c r="BM308" s="886">
        <f>$BH308*'Input data plant-based products'!AD207</f>
        <v>0</v>
      </c>
      <c r="BN308" s="877"/>
      <c r="BO308" s="879">
        <f>('Input data plant-based products'!F207/'Input data plant-based products'!E207*'Common input data'!$B$195+'Input data plant-based products'!G207/'Input data plant-based products'!E207*'Common input data'!$B$196)/'Common input data'!$B$198</f>
        <v>1.9080619811600471E-4</v>
      </c>
      <c r="BP308" s="877">
        <f>$BO308*'Input data plant-based products'!Z207</f>
        <v>1.9080619811600471E-4</v>
      </c>
      <c r="BQ308" s="877">
        <f>$BO308*'Input data plant-based products'!AA207</f>
        <v>3.8161239623200941E-3</v>
      </c>
      <c r="BR308" s="877">
        <f>$BO308*'Input data plant-based products'!AB207</f>
        <v>3.8161239623200941E-3</v>
      </c>
      <c r="BS308" s="877">
        <f>$BO308*'Input data plant-based products'!AC207</f>
        <v>4.0985334067094063E-3</v>
      </c>
      <c r="BT308" s="886">
        <f>$BO308*'Input data plant-based products'!AD207</f>
        <v>4.2693056319889648E-3</v>
      </c>
      <c r="BU308" s="877"/>
      <c r="BV308" s="879">
        <f>('Common input data'!$B$208+'Common input data'!$C$208)*'Input data plant-based products'!AC207</f>
        <v>15.379741057572</v>
      </c>
      <c r="BW308" s="886">
        <f>('Common input data'!$B$208+'Common input data'!$C$208)*'Input data plant-based products'!AD207</f>
        <v>16.020563601637502</v>
      </c>
      <c r="BX308" s="877"/>
      <c r="BY308" s="877"/>
      <c r="BZ308" s="877"/>
      <c r="CA308" s="877"/>
      <c r="CB308" s="877"/>
      <c r="CC308" s="877"/>
      <c r="CD308" s="877"/>
      <c r="CE308" s="877"/>
    </row>
    <row r="309" spans="1:83">
      <c r="A309" s="195"/>
      <c r="B309" s="55"/>
      <c r="C309" s="83"/>
      <c r="E309" s="511" t="s">
        <v>317</v>
      </c>
      <c r="F309" s="877">
        <f>IF(AND($F$2="No",$F$3="No"),SUM(L309:N309),IF(AND($F$2="Yes", $F$3="No"), (SUM(L309:M309)+S309), IF(AND($F$2="No", $F$3="Yes"),(SUM(L309:M309)+R309), (SUM(L309:M309)+S309+R309))))</f>
        <v>5.6108739430500005</v>
      </c>
      <c r="G309" s="877">
        <f>IF(AND($F$2="No",$F$3="No"),SUM(I309:Q309),IF(AND($F$2="Yes", $F$3="No"), (SUM(I309:Q309)+S309), IF(AND($F$2="No", $F$3="Yes"),(SUM(I309:Q309)+R309), (SUM(I309:Q309)+S309+R309))))</f>
        <v>5.6108739430500005</v>
      </c>
      <c r="H309" s="878">
        <f>SUM(U309:W309)/(1-'Common input data'!$B$143)</f>
        <v>6.4879243718954571</v>
      </c>
      <c r="I309" s="928"/>
      <c r="J309" s="877"/>
      <c r="K309" s="877"/>
      <c r="L309" s="877"/>
      <c r="M309" s="877">
        <v>5.6108739430500005</v>
      </c>
      <c r="N309" s="877"/>
      <c r="O309" s="877"/>
      <c r="P309" s="877"/>
      <c r="Q309" s="877"/>
      <c r="R309" s="877"/>
      <c r="S309" s="877"/>
      <c r="T309" s="1248"/>
      <c r="U309" s="877">
        <f>G309+T309</f>
        <v>5.6108739430500005</v>
      </c>
      <c r="V309" s="877">
        <f>'Common input data'!$B$104</f>
        <v>0.3</v>
      </c>
      <c r="W309" s="878">
        <f>'Common input data'!$B$116+'Common input data'!$C$116</f>
        <v>0.13</v>
      </c>
      <c r="X309" s="877"/>
      <c r="Y309" s="879"/>
      <c r="Z309" s="877"/>
      <c r="AA309" s="877"/>
      <c r="AB309" s="877"/>
      <c r="AC309" s="877"/>
      <c r="AD309" s="886"/>
      <c r="AE309" s="877"/>
      <c r="AF309" s="879"/>
      <c r="AG309" s="877"/>
      <c r="AH309" s="877"/>
      <c r="AI309" s="877"/>
      <c r="AJ309" s="877"/>
      <c r="AK309" s="886"/>
      <c r="AL309" s="877"/>
      <c r="AM309" s="879"/>
      <c r="AN309" s="877"/>
      <c r="AO309" s="877"/>
      <c r="AP309" s="877"/>
      <c r="AQ309" s="877"/>
      <c r="AR309" s="886"/>
      <c r="AS309" s="877"/>
      <c r="AT309" s="879"/>
      <c r="AU309" s="877"/>
      <c r="AV309" s="877"/>
      <c r="AW309" s="877"/>
      <c r="AX309" s="877"/>
      <c r="AY309" s="886"/>
      <c r="AZ309" s="877"/>
      <c r="BA309" s="879"/>
      <c r="BB309" s="877"/>
      <c r="BC309" s="877"/>
      <c r="BD309" s="877"/>
      <c r="BE309" s="877"/>
      <c r="BF309" s="886"/>
      <c r="BG309" s="877"/>
      <c r="BH309" s="879"/>
      <c r="BI309" s="877"/>
      <c r="BJ309" s="877"/>
      <c r="BK309" s="877"/>
      <c r="BL309" s="877"/>
      <c r="BM309" s="886"/>
      <c r="BN309" s="877"/>
      <c r="BO309" s="879"/>
      <c r="BP309" s="877"/>
      <c r="BQ309" s="877"/>
      <c r="BR309" s="877"/>
      <c r="BS309" s="877"/>
      <c r="BT309" s="886"/>
      <c r="BU309" s="877"/>
      <c r="BV309" s="879"/>
      <c r="BW309" s="886"/>
      <c r="BX309" s="877"/>
      <c r="BY309" s="877"/>
      <c r="BZ309" s="877"/>
      <c r="CA309" s="877"/>
      <c r="CB309" s="877"/>
      <c r="CC309" s="877"/>
      <c r="CD309" s="877"/>
      <c r="CE309" s="877"/>
    </row>
    <row r="310" spans="1:83">
      <c r="A310" s="195"/>
      <c r="B310" s="55"/>
      <c r="C310" s="83"/>
      <c r="E310" s="511" t="s">
        <v>367</v>
      </c>
      <c r="F310" s="877">
        <f>SUM(K310:M310)</f>
        <v>1.3874335734399999E-2</v>
      </c>
      <c r="G310" s="877">
        <f>SUM(I310:Q310)</f>
        <v>1.3874335734399999E-2</v>
      </c>
      <c r="H310" s="878">
        <f>SUM(U310:W310)/(1-'Common input data'!$B$143)</f>
        <v>1.4901095736095674E-2</v>
      </c>
      <c r="I310" s="928"/>
      <c r="J310" s="877"/>
      <c r="K310" s="877"/>
      <c r="L310" s="877"/>
      <c r="M310" s="877">
        <v>1.3874335734399999E-2</v>
      </c>
      <c r="N310" s="877"/>
      <c r="O310" s="877"/>
      <c r="P310" s="877"/>
      <c r="Q310" s="877"/>
      <c r="R310" s="877"/>
      <c r="S310" s="877"/>
      <c r="T310" s="1248"/>
      <c r="U310" s="877">
        <f t="shared" ref="U310:U319" si="81">G310+T310</f>
        <v>1.3874335734399999E-2</v>
      </c>
      <c r="V310" s="877"/>
      <c r="W310" s="878"/>
      <c r="X310" s="877"/>
      <c r="Y310" s="879"/>
      <c r="Z310" s="877"/>
      <c r="AA310" s="877"/>
      <c r="AB310" s="877"/>
      <c r="AC310" s="877"/>
      <c r="AD310" s="886"/>
      <c r="AE310" s="877"/>
      <c r="AF310" s="879"/>
      <c r="AG310" s="877"/>
      <c r="AH310" s="877"/>
      <c r="AI310" s="877"/>
      <c r="AJ310" s="877"/>
      <c r="AK310" s="886"/>
      <c r="AL310" s="877"/>
      <c r="AM310" s="879"/>
      <c r="AN310" s="877"/>
      <c r="AO310" s="877"/>
      <c r="AP310" s="877"/>
      <c r="AQ310" s="877"/>
      <c r="AR310" s="886"/>
      <c r="AS310" s="877"/>
      <c r="AT310" s="879"/>
      <c r="AU310" s="877"/>
      <c r="AV310" s="877"/>
      <c r="AW310" s="877"/>
      <c r="AX310" s="877"/>
      <c r="AY310" s="886"/>
      <c r="AZ310" s="877"/>
      <c r="BA310" s="879"/>
      <c r="BB310" s="877"/>
      <c r="BC310" s="877"/>
      <c r="BD310" s="877"/>
      <c r="BE310" s="877"/>
      <c r="BF310" s="886"/>
      <c r="BG310" s="877"/>
      <c r="BH310" s="879"/>
      <c r="BI310" s="877"/>
      <c r="BJ310" s="877"/>
      <c r="BK310" s="877"/>
      <c r="BL310" s="877"/>
      <c r="BM310" s="886"/>
      <c r="BN310" s="877"/>
      <c r="BO310" s="879"/>
      <c r="BP310" s="877"/>
      <c r="BQ310" s="877"/>
      <c r="BR310" s="877"/>
      <c r="BS310" s="877"/>
      <c r="BT310" s="886"/>
      <c r="BU310" s="877"/>
      <c r="BV310" s="879"/>
      <c r="BW310" s="886"/>
      <c r="BX310" s="877"/>
      <c r="BY310" s="877"/>
      <c r="BZ310" s="877"/>
      <c r="CA310" s="877"/>
      <c r="CB310" s="877"/>
      <c r="CC310" s="877"/>
      <c r="CD310" s="877"/>
      <c r="CE310" s="877"/>
    </row>
    <row r="311" spans="1:83">
      <c r="A311" s="18"/>
      <c r="B311" s="360"/>
      <c r="C311" s="83"/>
      <c r="E311" s="512" t="s">
        <v>320</v>
      </c>
      <c r="F311" s="877">
        <f>SUM(K311:M311)</f>
        <v>1.0021269093400001E-2</v>
      </c>
      <c r="G311" s="877">
        <f>SUM(I311:Q311)</f>
        <v>1.0021269093400001E-2</v>
      </c>
      <c r="H311" s="878">
        <f>SUM(U311:W311)/(1-'Common input data'!$B$143)</f>
        <v>1.076288573496797E-2</v>
      </c>
      <c r="I311" s="928"/>
      <c r="J311" s="877"/>
      <c r="K311" s="877"/>
      <c r="L311" s="877"/>
      <c r="M311" s="877">
        <v>1.0021269093400001E-2</v>
      </c>
      <c r="N311" s="877"/>
      <c r="O311" s="877"/>
      <c r="P311" s="877"/>
      <c r="Q311" s="877"/>
      <c r="R311" s="877"/>
      <c r="S311" s="877"/>
      <c r="T311" s="1248"/>
      <c r="U311" s="877">
        <f t="shared" si="81"/>
        <v>1.0021269093400001E-2</v>
      </c>
      <c r="V311" s="877"/>
      <c r="W311" s="878"/>
      <c r="X311" s="877"/>
      <c r="Y311" s="879"/>
      <c r="Z311" s="877"/>
      <c r="AA311" s="877"/>
      <c r="AB311" s="877"/>
      <c r="AC311" s="877"/>
      <c r="AD311" s="886"/>
      <c r="AE311" s="877"/>
      <c r="AF311" s="879"/>
      <c r="AG311" s="877"/>
      <c r="AH311" s="877"/>
      <c r="AI311" s="877"/>
      <c r="AJ311" s="877"/>
      <c r="AK311" s="886"/>
      <c r="AL311" s="877"/>
      <c r="AM311" s="879"/>
      <c r="AN311" s="877"/>
      <c r="AO311" s="877"/>
      <c r="AP311" s="877"/>
      <c r="AQ311" s="877"/>
      <c r="AR311" s="886"/>
      <c r="AS311" s="877"/>
      <c r="AT311" s="879"/>
      <c r="AU311" s="877"/>
      <c r="AV311" s="877"/>
      <c r="AW311" s="877"/>
      <c r="AX311" s="877"/>
      <c r="AY311" s="886"/>
      <c r="AZ311" s="877"/>
      <c r="BA311" s="879"/>
      <c r="BB311" s="877"/>
      <c r="BC311" s="877"/>
      <c r="BD311" s="877"/>
      <c r="BE311" s="877"/>
      <c r="BF311" s="886"/>
      <c r="BG311" s="877"/>
      <c r="BH311" s="879"/>
      <c r="BI311" s="877"/>
      <c r="BJ311" s="877"/>
      <c r="BK311" s="877"/>
      <c r="BL311" s="877"/>
      <c r="BM311" s="886"/>
      <c r="BN311" s="877"/>
      <c r="BO311" s="879"/>
      <c r="BP311" s="877"/>
      <c r="BQ311" s="877"/>
      <c r="BR311" s="877"/>
      <c r="BS311" s="877"/>
      <c r="BT311" s="886"/>
      <c r="BU311" s="877"/>
      <c r="BV311" s="879"/>
      <c r="BW311" s="886"/>
      <c r="BX311" s="877"/>
      <c r="BY311" s="877"/>
      <c r="BZ311" s="877"/>
      <c r="CA311" s="877"/>
      <c r="CB311" s="877"/>
      <c r="CC311" s="877"/>
      <c r="CD311" s="877"/>
      <c r="CE311" s="877"/>
    </row>
    <row r="312" spans="1:83">
      <c r="A312" s="108" t="s">
        <v>161</v>
      </c>
      <c r="B312" s="93" t="s">
        <v>121</v>
      </c>
      <c r="C312" s="87">
        <f>'Input data plant-based products'!D208</f>
        <v>0.16288463823214921</v>
      </c>
      <c r="E312" s="513" t="s">
        <v>316</v>
      </c>
      <c r="F312" s="872">
        <f>SUMPRODUCT($CJ$6:$CJ$8,F313:F315)</f>
        <v>8.0110390197638814</v>
      </c>
      <c r="G312" s="872">
        <f>SUMPRODUCT($CJ$6:$CJ$8,G313:G315)</f>
        <v>8.031039019763881</v>
      </c>
      <c r="H312" s="873">
        <f>SUMPRODUCT($CJ$6:$CJ$8,H313:H315)</f>
        <v>9.0871919833785828</v>
      </c>
      <c r="I312" s="1277"/>
      <c r="J312" s="884"/>
      <c r="K312" s="884"/>
      <c r="L312" s="884"/>
      <c r="M312" s="884"/>
      <c r="N312" s="884"/>
      <c r="O312" s="884"/>
      <c r="P312" s="884"/>
      <c r="Q312" s="884"/>
      <c r="R312" s="884"/>
      <c r="S312" s="884"/>
      <c r="T312" s="884"/>
      <c r="U312" s="884"/>
      <c r="V312" s="884"/>
      <c r="W312" s="1278"/>
      <c r="X312" s="877"/>
      <c r="Y312" s="879">
        <f>1/'Input data plant-based products'!E208*10^4</f>
        <v>1.1131394986419698</v>
      </c>
      <c r="Z312" s="877">
        <f>$Y312*'Input data plant-based products'!Z208</f>
        <v>1.1131394986419698</v>
      </c>
      <c r="AA312" s="877">
        <f>$Y312*'Input data plant-based products'!AA208</f>
        <v>22.262789972839396</v>
      </c>
      <c r="AB312" s="877">
        <f>$Y312*'Input data plant-based products'!AB208</f>
        <v>22.262789972839396</v>
      </c>
      <c r="AC312" s="877">
        <f>$Y312*'Input data plant-based products'!AC208</f>
        <v>23.910331354844995</v>
      </c>
      <c r="AD312" s="886">
        <f>$Y312*'Input data plant-based products'!AD208</f>
        <v>24.90659516129687</v>
      </c>
      <c r="AE312" s="877"/>
      <c r="AF312" s="879">
        <f>SUM('Input data plant-based products'!F208,'Input data plant-based products'!Q208)/'Input data plant-based products'!E208</f>
        <v>1.6871400000000002E-2</v>
      </c>
      <c r="AG312" s="877">
        <f>$AF312*'Input data plant-based products'!Z208</f>
        <v>1.6871400000000002E-2</v>
      </c>
      <c r="AH312" s="877">
        <f>$AF312*'Input data plant-based products'!AA208</f>
        <v>0.33742800000000006</v>
      </c>
      <c r="AI312" s="877">
        <f>$AF312*'Input data plant-based products'!AB208</f>
        <v>0.33742800000000006</v>
      </c>
      <c r="AJ312" s="877">
        <f>$AF312*'Input data plant-based products'!AC208</f>
        <v>0.36239911072446968</v>
      </c>
      <c r="AK312" s="886">
        <f>$AF312*'Input data plant-based products'!AD208</f>
        <v>0.37749907367132257</v>
      </c>
      <c r="AL312" s="877"/>
      <c r="AM312" s="879">
        <f>'Input data plant-based products'!R208/'Input data plant-based products'!E208</f>
        <v>5.8479999999999999E-3</v>
      </c>
      <c r="AN312" s="877">
        <f>$AM312*'Input data plant-based products'!Z208</f>
        <v>5.8479999999999999E-3</v>
      </c>
      <c r="AO312" s="877">
        <f>$AM312*'Input data plant-based products'!AA208</f>
        <v>0.11695999999999999</v>
      </c>
      <c r="AP312" s="877">
        <f>$AM312*'Input data plant-based products'!AB208</f>
        <v>0.11695999999999999</v>
      </c>
      <c r="AQ312" s="877">
        <f>$AM312*'Input data plant-based products'!AC208</f>
        <v>0.12561553869368863</v>
      </c>
      <c r="AR312" s="886">
        <f>$AM312*'Input data plant-based products'!AD208</f>
        <v>0.13084951947259232</v>
      </c>
      <c r="AS312" s="877"/>
      <c r="AT312" s="879">
        <f>'Input data plant-based products'!S208</f>
        <v>9.2210702520091198E-2</v>
      </c>
      <c r="AU312" s="877">
        <f>$AT312*'Input data plant-based products'!Z208</f>
        <v>9.2210702520091198E-2</v>
      </c>
      <c r="AV312" s="877">
        <f>$AT312*'Input data plant-based products'!AA208</f>
        <v>1.8442140504018241</v>
      </c>
      <c r="AW312" s="877">
        <f>$AT312*'Input data plant-based products'!AB208</f>
        <v>1.8442140504018241</v>
      </c>
      <c r="AX312" s="877">
        <f>$AT312*'Input data plant-based products'!AC208</f>
        <v>1.9806937534857607</v>
      </c>
      <c r="AY312" s="886">
        <f>$AT312*'Input data plant-based products'!AD208</f>
        <v>2.0632226598810006</v>
      </c>
      <c r="AZ312" s="877"/>
      <c r="BA312" s="879">
        <f>((SUM('Input data plant-based products'!U208:Y208)*Y312)/('Common input data'!$B$192/10^6))/$BB$3</f>
        <v>3.2093550885518972E-10</v>
      </c>
      <c r="BB312" s="877">
        <f>$BA312*'Input data plant-based products'!Z208</f>
        <v>3.2093550885518972E-10</v>
      </c>
      <c r="BC312" s="877">
        <f>$BA312*'Input data plant-based products'!AA208</f>
        <v>6.4187101771037942E-9</v>
      </c>
      <c r="BD312" s="877">
        <f>$BA312*'Input data plant-based products'!AB208</f>
        <v>6.4187101771037942E-9</v>
      </c>
      <c r="BE312" s="877">
        <f>$BA312*'Input data plant-based products'!AC208</f>
        <v>6.893722098286207E-9</v>
      </c>
      <c r="BF312" s="886">
        <f>$BA312*'Input data plant-based products'!AD208</f>
        <v>7.1809605190481321E-9</v>
      </c>
      <c r="BG312" s="877"/>
      <c r="BH312" s="879">
        <f>'Input data plant-based products'!T208/'Input data plant-based products'!E208</f>
        <v>0</v>
      </c>
      <c r="BI312" s="877">
        <f>$BH312*'Input data plant-based products'!Z208</f>
        <v>0</v>
      </c>
      <c r="BJ312" s="877">
        <f>$BH312*'Input data plant-based products'!AA208</f>
        <v>0</v>
      </c>
      <c r="BK312" s="877">
        <f>$BH312*'Input data plant-based products'!AB208</f>
        <v>0</v>
      </c>
      <c r="BL312" s="877">
        <f>$BH312*'Input data plant-based products'!AC208</f>
        <v>0</v>
      </c>
      <c r="BM312" s="886">
        <f>$BH312*'Input data plant-based products'!AD208</f>
        <v>0</v>
      </c>
      <c r="BN312" s="877"/>
      <c r="BO312" s="879">
        <f>('Input data plant-based products'!F208/'Input data plant-based products'!E208*'Common input data'!$B$195+'Input data plant-based products'!G208/'Input data plant-based products'!E208*'Common input data'!$B$196)/'Common input data'!$B$198</f>
        <v>4.3078982518740636E-4</v>
      </c>
      <c r="BP312" s="877">
        <f>$BO312*'Input data plant-based products'!Z208</f>
        <v>4.3078982518740636E-4</v>
      </c>
      <c r="BQ312" s="877">
        <f>$BO312*'Input data plant-based products'!AA208</f>
        <v>8.6157965037481268E-3</v>
      </c>
      <c r="BR312" s="877">
        <f>$BO312*'Input data plant-based products'!AB208</f>
        <v>8.6157965037481268E-3</v>
      </c>
      <c r="BS312" s="877">
        <f>$BO312*'Input data plant-based products'!AC208</f>
        <v>9.2534021810321485E-3</v>
      </c>
      <c r="BT312" s="886">
        <f>$BO312*'Input data plant-based products'!AD208</f>
        <v>9.6389606052418222E-3</v>
      </c>
      <c r="BU312" s="877"/>
      <c r="BV312" s="879">
        <f>('Common input data'!$B$211+'Common input data'!$C$211)*'Input data plant-based products'!AC208</f>
        <v>17.568561747190138</v>
      </c>
      <c r="BW312" s="886">
        <f>('Common input data'!$B$211+'Common input data'!$C$211)*'Input data plant-based products'!AD208</f>
        <v>18.300585153323059</v>
      </c>
      <c r="BX312" s="877"/>
      <c r="BY312" s="877"/>
      <c r="BZ312" s="877"/>
      <c r="CA312" s="877"/>
      <c r="CB312" s="877"/>
      <c r="CC312" s="877"/>
      <c r="CD312" s="877"/>
      <c r="CE312" s="877"/>
    </row>
    <row r="313" spans="1:83">
      <c r="A313" s="195"/>
      <c r="B313" s="55"/>
      <c r="C313" s="83"/>
      <c r="E313" s="511" t="s">
        <v>317</v>
      </c>
      <c r="F313" s="877">
        <f>IF(AND($F$2="No",$F$3="No"),SUM(L313:N313),IF(AND($F$2="Yes", $F$3="No"), (SUM(L313:M313)+S313), IF(AND($F$2="No", $F$3="Yes"),(SUM(L313:M313)+R313), (SUM(L313:M313)+S313+R313))))</f>
        <v>5.6108739430500005</v>
      </c>
      <c r="G313" s="877">
        <f>IF(AND($F$2="No",$F$3="No"),SUM(I313:Q313),IF(AND($F$2="Yes", $F$3="No"), (SUM(I313:Q313)+S313), IF(AND($F$2="No", $F$3="Yes"),(SUM(I313:Q313)+R313), (SUM(I313:Q313)+S313+R313))))</f>
        <v>5.6308739430500001</v>
      </c>
      <c r="H313" s="878">
        <f>SUM(U313:W313)/(1-'Common input data'!$B$143)</f>
        <v>6.5094044571713958</v>
      </c>
      <c r="I313" s="928"/>
      <c r="J313" s="877"/>
      <c r="K313" s="877"/>
      <c r="L313" s="877"/>
      <c r="M313" s="877">
        <v>5.6108739430500005</v>
      </c>
      <c r="N313" s="877"/>
      <c r="O313" s="877"/>
      <c r="P313" s="877">
        <f>'Input data plant-based products'!G309</f>
        <v>0.02</v>
      </c>
      <c r="Q313" s="877"/>
      <c r="R313" s="877"/>
      <c r="S313" s="877"/>
      <c r="T313" s="1248"/>
      <c r="U313" s="877">
        <f t="shared" si="81"/>
        <v>5.6308739430500001</v>
      </c>
      <c r="V313" s="877">
        <f>'Common input data'!$B$104</f>
        <v>0.3</v>
      </c>
      <c r="W313" s="878">
        <f>'Common input data'!$B$116+'Common input data'!$C$116</f>
        <v>0.13</v>
      </c>
      <c r="X313" s="877"/>
      <c r="Y313" s="879"/>
      <c r="Z313" s="877"/>
      <c r="AA313" s="877"/>
      <c r="AB313" s="877"/>
      <c r="AC313" s="877"/>
      <c r="AD313" s="886"/>
      <c r="AE313" s="877"/>
      <c r="AF313" s="879"/>
      <c r="AG313" s="877"/>
      <c r="AH313" s="877"/>
      <c r="AI313" s="877"/>
      <c r="AJ313" s="877"/>
      <c r="AK313" s="886"/>
      <c r="AL313" s="877"/>
      <c r="AM313" s="879"/>
      <c r="AN313" s="877"/>
      <c r="AO313" s="877"/>
      <c r="AP313" s="877"/>
      <c r="AQ313" s="877"/>
      <c r="AR313" s="886"/>
      <c r="AS313" s="877"/>
      <c r="AT313" s="879"/>
      <c r="AU313" s="877"/>
      <c r="AV313" s="877"/>
      <c r="AW313" s="877"/>
      <c r="AX313" s="877"/>
      <c r="AY313" s="886"/>
      <c r="AZ313" s="877"/>
      <c r="BA313" s="879"/>
      <c r="BB313" s="877"/>
      <c r="BC313" s="877"/>
      <c r="BD313" s="877"/>
      <c r="BE313" s="877"/>
      <c r="BF313" s="886"/>
      <c r="BG313" s="877"/>
      <c r="BH313" s="879"/>
      <c r="BI313" s="877"/>
      <c r="BJ313" s="877"/>
      <c r="BK313" s="877"/>
      <c r="BL313" s="877"/>
      <c r="BM313" s="886"/>
      <c r="BN313" s="877"/>
      <c r="BO313" s="879"/>
      <c r="BP313" s="877"/>
      <c r="BQ313" s="877"/>
      <c r="BR313" s="877"/>
      <c r="BS313" s="877"/>
      <c r="BT313" s="886"/>
      <c r="BU313" s="877"/>
      <c r="BV313" s="879"/>
      <c r="BW313" s="886"/>
      <c r="BX313" s="877"/>
      <c r="BY313" s="877"/>
      <c r="BZ313" s="877"/>
      <c r="CA313" s="877"/>
      <c r="CB313" s="877"/>
      <c r="CC313" s="877"/>
      <c r="CD313" s="877"/>
      <c r="CE313" s="877"/>
    </row>
    <row r="314" spans="1:83">
      <c r="A314" s="195"/>
      <c r="B314" s="55"/>
      <c r="C314" s="83"/>
      <c r="E314" s="511" t="s">
        <v>367</v>
      </c>
      <c r="F314" s="877">
        <f>SUM(K314:M314)</f>
        <v>1.3874335734399999E-2</v>
      </c>
      <c r="G314" s="877">
        <f>SUM(I314:Q314)</f>
        <v>1.3874335734399999E-2</v>
      </c>
      <c r="H314" s="878">
        <f>SUM(U314:W314)/(1-'Common input data'!$B$143)</f>
        <v>1.4901095736095674E-2</v>
      </c>
      <c r="I314" s="928"/>
      <c r="J314" s="877"/>
      <c r="K314" s="877"/>
      <c r="L314" s="877"/>
      <c r="M314" s="877">
        <v>1.3874335734399999E-2</v>
      </c>
      <c r="N314" s="877"/>
      <c r="O314" s="877"/>
      <c r="P314" s="877"/>
      <c r="Q314" s="877"/>
      <c r="R314" s="877"/>
      <c r="S314" s="877"/>
      <c r="T314" s="1248"/>
      <c r="U314" s="877">
        <f t="shared" si="81"/>
        <v>1.3874335734399999E-2</v>
      </c>
      <c r="V314" s="877"/>
      <c r="W314" s="878"/>
      <c r="X314" s="877"/>
      <c r="Y314" s="879"/>
      <c r="Z314" s="877"/>
      <c r="AA314" s="877"/>
      <c r="AB314" s="877"/>
      <c r="AC314" s="877"/>
      <c r="AD314" s="886"/>
      <c r="AE314" s="877"/>
      <c r="AF314" s="879"/>
      <c r="AG314" s="877"/>
      <c r="AH314" s="877"/>
      <c r="AI314" s="877"/>
      <c r="AJ314" s="877"/>
      <c r="AK314" s="886"/>
      <c r="AL314" s="877"/>
      <c r="AM314" s="879"/>
      <c r="AN314" s="877"/>
      <c r="AO314" s="877"/>
      <c r="AP314" s="877"/>
      <c r="AQ314" s="877"/>
      <c r="AR314" s="886"/>
      <c r="AS314" s="877"/>
      <c r="AT314" s="879"/>
      <c r="AU314" s="877"/>
      <c r="AV314" s="877"/>
      <c r="AW314" s="877"/>
      <c r="AX314" s="877"/>
      <c r="AY314" s="886"/>
      <c r="AZ314" s="877"/>
      <c r="BA314" s="879"/>
      <c r="BB314" s="877"/>
      <c r="BC314" s="877"/>
      <c r="BD314" s="877"/>
      <c r="BE314" s="877"/>
      <c r="BF314" s="886"/>
      <c r="BG314" s="877"/>
      <c r="BH314" s="879"/>
      <c r="BI314" s="877"/>
      <c r="BJ314" s="877"/>
      <c r="BK314" s="877"/>
      <c r="BL314" s="877"/>
      <c r="BM314" s="886"/>
      <c r="BN314" s="877"/>
      <c r="BO314" s="879"/>
      <c r="BP314" s="877"/>
      <c r="BQ314" s="877"/>
      <c r="BR314" s="877"/>
      <c r="BS314" s="877"/>
      <c r="BT314" s="886"/>
      <c r="BU314" s="877"/>
      <c r="BV314" s="879"/>
      <c r="BW314" s="886"/>
      <c r="BX314" s="877"/>
      <c r="BY314" s="877"/>
      <c r="BZ314" s="877"/>
      <c r="CA314" s="877"/>
      <c r="CB314" s="877"/>
      <c r="CC314" s="877"/>
      <c r="CD314" s="877"/>
      <c r="CE314" s="877"/>
    </row>
    <row r="315" spans="1:83">
      <c r="A315" s="18"/>
      <c r="B315" s="360"/>
      <c r="C315" s="83"/>
      <c r="E315" s="512" t="s">
        <v>320</v>
      </c>
      <c r="F315" s="877">
        <f>SUM(K315:M315)</f>
        <v>1.0021269093400001E-2</v>
      </c>
      <c r="G315" s="877">
        <f>SUM(I315:Q315)</f>
        <v>1.0021269093400001E-2</v>
      </c>
      <c r="H315" s="878">
        <f>SUM(U315:W315)/(1-'Common input data'!$B$143)</f>
        <v>1.076288573496797E-2</v>
      </c>
      <c r="I315" s="928"/>
      <c r="J315" s="877"/>
      <c r="K315" s="877"/>
      <c r="L315" s="877"/>
      <c r="M315" s="877">
        <v>1.0021269093400001E-2</v>
      </c>
      <c r="N315" s="877"/>
      <c r="O315" s="877"/>
      <c r="P315" s="877"/>
      <c r="Q315" s="877"/>
      <c r="R315" s="877"/>
      <c r="S315" s="877"/>
      <c r="T315" s="1248"/>
      <c r="U315" s="877">
        <f t="shared" si="81"/>
        <v>1.0021269093400001E-2</v>
      </c>
      <c r="V315" s="877"/>
      <c r="W315" s="878"/>
      <c r="X315" s="877"/>
      <c r="Y315" s="879"/>
      <c r="Z315" s="877"/>
      <c r="AA315" s="877"/>
      <c r="AB315" s="877"/>
      <c r="AC315" s="877"/>
      <c r="AD315" s="886"/>
      <c r="AE315" s="877"/>
      <c r="AF315" s="879"/>
      <c r="AG315" s="877"/>
      <c r="AH315" s="877"/>
      <c r="AI315" s="877"/>
      <c r="AJ315" s="877"/>
      <c r="AK315" s="886"/>
      <c r="AL315" s="877"/>
      <c r="AM315" s="879"/>
      <c r="AN315" s="877"/>
      <c r="AO315" s="877"/>
      <c r="AP315" s="877"/>
      <c r="AQ315" s="877"/>
      <c r="AR315" s="886"/>
      <c r="AS315" s="877"/>
      <c r="AT315" s="879"/>
      <c r="AU315" s="877"/>
      <c r="AV315" s="877"/>
      <c r="AW315" s="877"/>
      <c r="AX315" s="877"/>
      <c r="AY315" s="886"/>
      <c r="AZ315" s="877"/>
      <c r="BA315" s="879"/>
      <c r="BB315" s="877"/>
      <c r="BC315" s="877"/>
      <c r="BD315" s="877"/>
      <c r="BE315" s="877"/>
      <c r="BF315" s="886"/>
      <c r="BG315" s="877"/>
      <c r="BH315" s="879"/>
      <c r="BI315" s="877"/>
      <c r="BJ315" s="877"/>
      <c r="BK315" s="877"/>
      <c r="BL315" s="877"/>
      <c r="BM315" s="886"/>
      <c r="BN315" s="877"/>
      <c r="BO315" s="879"/>
      <c r="BP315" s="877"/>
      <c r="BQ315" s="877"/>
      <c r="BR315" s="877"/>
      <c r="BS315" s="877"/>
      <c r="BT315" s="886"/>
      <c r="BU315" s="877"/>
      <c r="BV315" s="879"/>
      <c r="BW315" s="886"/>
      <c r="BX315" s="877"/>
      <c r="BY315" s="877"/>
      <c r="BZ315" s="877"/>
      <c r="CA315" s="877"/>
      <c r="CB315" s="877"/>
      <c r="CC315" s="877"/>
      <c r="CD315" s="877"/>
      <c r="CE315" s="877"/>
    </row>
    <row r="316" spans="1:83">
      <c r="A316" s="108" t="s">
        <v>134</v>
      </c>
      <c r="B316" s="93" t="s">
        <v>121</v>
      </c>
      <c r="C316" s="87">
        <f>'Input data plant-based products'!D209</f>
        <v>0.21670428893905203</v>
      </c>
      <c r="E316" s="513" t="s">
        <v>316</v>
      </c>
      <c r="F316" s="872">
        <f>SUMPRODUCT($CJ$6:$CJ$8,F317:F319)</f>
        <v>8.0110390197638814</v>
      </c>
      <c r="G316" s="872">
        <f>SUMPRODUCT($CJ$6:$CJ$8,G317:G319)</f>
        <v>8.031039019763881</v>
      </c>
      <c r="H316" s="873">
        <f>SUMPRODUCT($CJ$6:$CJ$8,H317:H319)</f>
        <v>9.9054559697759785</v>
      </c>
      <c r="I316" s="1277"/>
      <c r="J316" s="884"/>
      <c r="K316" s="884"/>
      <c r="L316" s="884"/>
      <c r="M316" s="884"/>
      <c r="N316" s="884"/>
      <c r="O316" s="884"/>
      <c r="P316" s="884"/>
      <c r="Q316" s="884"/>
      <c r="R316" s="884"/>
      <c r="S316" s="884"/>
      <c r="T316" s="884"/>
      <c r="U316" s="884"/>
      <c r="V316" s="884"/>
      <c r="W316" s="1278"/>
      <c r="X316" s="877"/>
      <c r="Y316" s="879">
        <f>1/'Input data plant-based products'!E209*10^4</f>
        <v>1.5531809145129225</v>
      </c>
      <c r="Z316" s="877">
        <f>$Y316*'Input data plant-based products'!Z209</f>
        <v>1.5531809145129225</v>
      </c>
      <c r="AA316" s="877">
        <f>$Y316*'Input data plant-based products'!AA209</f>
        <v>31.06361829025845</v>
      </c>
      <c r="AB316" s="877">
        <f>$Y316*'Input data plant-based products'!AB209</f>
        <v>31.06361829025845</v>
      </c>
      <c r="AC316" s="877">
        <f>$Y316*'Input data plant-based products'!AC209</f>
        <v>35.121325511956876</v>
      </c>
      <c r="AD316" s="886">
        <f>$Y316*'Input data plant-based products'!AD209</f>
        <v>36.58471407495508</v>
      </c>
      <c r="AE316" s="877"/>
      <c r="AF316" s="879">
        <f>SUM('Input data plant-based products'!F209,'Input data plant-based products'!Q209)/'Input data plant-based products'!E209</f>
        <v>1.6871400000000002E-2</v>
      </c>
      <c r="AG316" s="877">
        <f>$AF316*'Input data plant-based products'!Z209</f>
        <v>1.6871400000000002E-2</v>
      </c>
      <c r="AH316" s="877">
        <f>$AF316*'Input data plant-based products'!AA209</f>
        <v>0.33742800000000006</v>
      </c>
      <c r="AI316" s="877">
        <f>$AF316*'Input data plant-based products'!AB209</f>
        <v>0.33742800000000006</v>
      </c>
      <c r="AJ316" s="877">
        <f>$AF316*'Input data plant-based products'!AC209</f>
        <v>0.38150477237112568</v>
      </c>
      <c r="AK316" s="886">
        <f>$AF316*'Input data plant-based products'!AD209</f>
        <v>0.39740080455325588</v>
      </c>
      <c r="AL316" s="877"/>
      <c r="AM316" s="879">
        <f>'Input data plant-based products'!R209/'Input data plant-based products'!E209</f>
        <v>5.8479999999999999E-3</v>
      </c>
      <c r="AN316" s="877">
        <f>$AM316*'Input data plant-based products'!Z209</f>
        <v>5.8479999999999999E-3</v>
      </c>
      <c r="AO316" s="877">
        <f>$AM316*'Input data plant-based products'!AA209</f>
        <v>0.11695999999999999</v>
      </c>
      <c r="AP316" s="877">
        <f>$AM316*'Input data plant-based products'!AB209</f>
        <v>0.11695999999999999</v>
      </c>
      <c r="AQ316" s="877">
        <f>$AM316*'Input data plant-based products'!AC209</f>
        <v>0.13223798314463189</v>
      </c>
      <c r="AR316" s="886">
        <f>$AM316*'Input data plant-based products'!AD209</f>
        <v>0.13774789910899157</v>
      </c>
      <c r="AS316" s="877"/>
      <c r="AT316" s="879">
        <f>'Input data plant-based products'!S209</f>
        <v>8.122639559864081E-2</v>
      </c>
      <c r="AU316" s="877">
        <f>$AT316*'Input data plant-based products'!Z209</f>
        <v>8.122639559864081E-2</v>
      </c>
      <c r="AV316" s="877">
        <f>$AT316*'Input data plant-based products'!AA209</f>
        <v>1.6245279119728162</v>
      </c>
      <c r="AW316" s="877">
        <f>$AT316*'Input data plant-based products'!AB209</f>
        <v>1.6245279119728162</v>
      </c>
      <c r="AX316" s="877">
        <f>$AT316*'Input data plant-based products'!AC209</f>
        <v>1.836733025320155</v>
      </c>
      <c r="AY316" s="886">
        <f>$AT316*'Input data plant-based products'!AD209</f>
        <v>1.9132635680418282</v>
      </c>
      <c r="AZ316" s="877"/>
      <c r="BA316" s="879">
        <f>((SUM('Input data plant-based products'!U209:Y209)*Y316)/('Common input data'!$B$192/10^6))/$BB$3</f>
        <v>2.4134510332041779E-10</v>
      </c>
      <c r="BB316" s="877">
        <f>$BA316*'Input data plant-based products'!Z209</f>
        <v>2.4134510332041779E-10</v>
      </c>
      <c r="BC316" s="877">
        <f>$BA316*'Input data plant-based products'!AA209</f>
        <v>4.826902066408356E-9</v>
      </c>
      <c r="BD316" s="877">
        <f>$BA316*'Input data plant-based products'!AB209</f>
        <v>4.826902066408356E-9</v>
      </c>
      <c r="BE316" s="877">
        <f>$BA316*'Input data plant-based products'!AC209</f>
        <v>5.4574195801855082E-9</v>
      </c>
      <c r="BF316" s="886">
        <f>$BA316*'Input data plant-based products'!AD209</f>
        <v>5.6848120626932376E-9</v>
      </c>
      <c r="BG316" s="877"/>
      <c r="BH316" s="879">
        <f>'Input data plant-based products'!T209/'Input data plant-based products'!E209</f>
        <v>0</v>
      </c>
      <c r="BI316" s="877">
        <f>$BH316*'Input data plant-based products'!Z209</f>
        <v>0</v>
      </c>
      <c r="BJ316" s="877">
        <f>$BH316*'Input data plant-based products'!AA209</f>
        <v>0</v>
      </c>
      <c r="BK316" s="877">
        <f>$BH316*'Input data plant-based products'!AB209</f>
        <v>0</v>
      </c>
      <c r="BL316" s="877">
        <f>$BH316*'Input data plant-based products'!AC209</f>
        <v>0</v>
      </c>
      <c r="BM316" s="886">
        <f>$BH316*'Input data plant-based products'!AD209</f>
        <v>0</v>
      </c>
      <c r="BN316" s="877"/>
      <c r="BO316" s="879">
        <f>('Input data plant-based products'!F209/'Input data plant-based products'!E209*'Common input data'!$B$195+'Input data plant-based products'!G209/'Input data plant-based products'!E209*'Common input data'!$B$196)/'Common input data'!$B$198</f>
        <v>4.3078982518740636E-4</v>
      </c>
      <c r="BP316" s="877">
        <f>$BO316*'Input data plant-based products'!Z209</f>
        <v>4.3078982518740636E-4</v>
      </c>
      <c r="BQ316" s="877">
        <f>$BO316*'Input data plant-based products'!AA209</f>
        <v>8.6157965037481268E-3</v>
      </c>
      <c r="BR316" s="877">
        <f>$BO316*'Input data plant-based products'!AB209</f>
        <v>8.6157965037481268E-3</v>
      </c>
      <c r="BS316" s="877">
        <f>$BO316*'Input data plant-based products'!AC209</f>
        <v>9.7412410468555345E-3</v>
      </c>
      <c r="BT316" s="886">
        <f>$BO316*'Input data plant-based products'!AD209</f>
        <v>1.0147126090474516E-2</v>
      </c>
      <c r="BU316" s="877"/>
      <c r="BV316" s="879">
        <f>('Common input data'!$B$228+'Common input data'!$C$228)*'Input data plant-based products'!AC209</f>
        <v>127.81585832850665</v>
      </c>
      <c r="BW316" s="886">
        <f>('Common input data'!$B$228+'Common input data'!$C$228)*'Input data plant-based products'!AD209</f>
        <v>133.14151909219441</v>
      </c>
      <c r="BX316" s="877"/>
      <c r="BY316" s="877"/>
      <c r="BZ316" s="877"/>
      <c r="CA316" s="877"/>
      <c r="CB316" s="877"/>
      <c r="CC316" s="877"/>
      <c r="CD316" s="877"/>
      <c r="CE316" s="877"/>
    </row>
    <row r="317" spans="1:83">
      <c r="A317" s="359"/>
      <c r="B317" s="360"/>
      <c r="C317" s="83"/>
      <c r="E317" s="511" t="s">
        <v>317</v>
      </c>
      <c r="F317" s="877">
        <f>IF(AND($F$2="No",$F$3="No"),SUM(L317:N317),IF(AND($F$2="Yes", $F$3="No"), (SUM(L317:M317)+S317), IF(AND($F$2="No", $F$3="Yes"),(SUM(L317:M317)+R317), (SUM(L317:M317)+S317+R317))))</f>
        <v>5.6108739430500005</v>
      </c>
      <c r="G317" s="877">
        <f>IF(AND($F$2="No",$F$3="No"),SUM(I317:Q317),IF(AND($F$2="Yes", $F$3="No"), (SUM(I317:Q317)+S317), IF(AND($F$2="No", $F$3="Yes"),(SUM(I317:Q317)+R317), (SUM(I317:Q317)+S317+R317))))</f>
        <v>5.6308739430500001</v>
      </c>
      <c r="H317" s="878">
        <f>SUM(U317:W317)/(1-'Common input data'!$I$143)</f>
        <v>7.1917676236847994</v>
      </c>
      <c r="I317" s="928"/>
      <c r="J317" s="877"/>
      <c r="K317" s="877"/>
      <c r="L317" s="877"/>
      <c r="M317" s="877">
        <v>5.6108739430500005</v>
      </c>
      <c r="N317" s="877"/>
      <c r="O317" s="877"/>
      <c r="P317" s="877">
        <f>'Input data plant-based products'!G309</f>
        <v>0.02</v>
      </c>
      <c r="Q317" s="877"/>
      <c r="R317" s="877"/>
      <c r="S317" s="877"/>
      <c r="T317" s="1248"/>
      <c r="U317" s="877">
        <f t="shared" si="81"/>
        <v>5.6308739430500001</v>
      </c>
      <c r="V317" s="877">
        <f>'Common input data'!$B$104</f>
        <v>0.3</v>
      </c>
      <c r="W317" s="878">
        <f>'Common input data'!$B$128+'Common input data'!$C$128</f>
        <v>0.43000000000000005</v>
      </c>
      <c r="X317" s="877"/>
      <c r="Y317" s="879"/>
      <c r="Z317" s="877"/>
      <c r="AA317" s="877"/>
      <c r="AB317" s="877"/>
      <c r="AC317" s="877"/>
      <c r="AD317" s="886"/>
      <c r="AE317" s="877"/>
      <c r="AF317" s="879"/>
      <c r="AG317" s="877"/>
      <c r="AH317" s="877"/>
      <c r="AI317" s="877"/>
      <c r="AJ317" s="877"/>
      <c r="AK317" s="886"/>
      <c r="AL317" s="877"/>
      <c r="AM317" s="879"/>
      <c r="AN317" s="877"/>
      <c r="AO317" s="877"/>
      <c r="AP317" s="877"/>
      <c r="AQ317" s="877"/>
      <c r="AR317" s="886"/>
      <c r="AS317" s="877"/>
      <c r="AT317" s="879"/>
      <c r="AU317" s="877"/>
      <c r="AV317" s="877"/>
      <c r="AW317" s="877"/>
      <c r="AX317" s="877"/>
      <c r="AY317" s="886"/>
      <c r="AZ317" s="877"/>
      <c r="BA317" s="879"/>
      <c r="BB317" s="877"/>
      <c r="BC317" s="877"/>
      <c r="BD317" s="877"/>
      <c r="BE317" s="877"/>
      <c r="BF317" s="886"/>
      <c r="BG317" s="877"/>
      <c r="BH317" s="879"/>
      <c r="BI317" s="877"/>
      <c r="BJ317" s="877"/>
      <c r="BK317" s="877"/>
      <c r="BL317" s="877"/>
      <c r="BM317" s="886"/>
      <c r="BN317" s="877"/>
      <c r="BO317" s="879"/>
      <c r="BP317" s="877"/>
      <c r="BQ317" s="877"/>
      <c r="BR317" s="877"/>
      <c r="BS317" s="877"/>
      <c r="BT317" s="886"/>
      <c r="BU317" s="877"/>
      <c r="BV317" s="879"/>
      <c r="BW317" s="886"/>
      <c r="BX317" s="877"/>
      <c r="BY317" s="877"/>
      <c r="BZ317" s="877"/>
      <c r="CA317" s="877"/>
      <c r="CB317" s="877"/>
      <c r="CC317" s="877"/>
      <c r="CD317" s="877"/>
      <c r="CE317" s="877"/>
    </row>
    <row r="318" spans="1:83">
      <c r="A318" s="359"/>
      <c r="B318" s="360"/>
      <c r="C318" s="83"/>
      <c r="E318" s="511" t="s">
        <v>367</v>
      </c>
      <c r="F318" s="877">
        <f>SUM(K318:M318)</f>
        <v>1.3874335734400001E-2</v>
      </c>
      <c r="G318" s="877">
        <f>SUM(I318:Q318)</f>
        <v>1.3874335734400001E-2</v>
      </c>
      <c r="H318" s="878">
        <f>SUM(U318:W318)/(1-'Common input data'!$I$143)</f>
        <v>1.5686680702706492E-2</v>
      </c>
      <c r="I318" s="928"/>
      <c r="J318" s="877"/>
      <c r="K318" s="877"/>
      <c r="L318" s="877"/>
      <c r="M318" s="877">
        <v>1.3874335734400001E-2</v>
      </c>
      <c r="N318" s="877"/>
      <c r="O318" s="877"/>
      <c r="P318" s="877"/>
      <c r="Q318" s="877"/>
      <c r="R318" s="877"/>
      <c r="S318" s="877"/>
      <c r="T318" s="1248"/>
      <c r="U318" s="877">
        <f t="shared" si="81"/>
        <v>1.3874335734400001E-2</v>
      </c>
      <c r="V318" s="877"/>
      <c r="W318" s="878"/>
      <c r="X318" s="877"/>
      <c r="Y318" s="879"/>
      <c r="Z318" s="877"/>
      <c r="AA318" s="877"/>
      <c r="AB318" s="877"/>
      <c r="AC318" s="877"/>
      <c r="AD318" s="886"/>
      <c r="AE318" s="877"/>
      <c r="AF318" s="879"/>
      <c r="AG318" s="877"/>
      <c r="AH318" s="877"/>
      <c r="AI318" s="877"/>
      <c r="AJ318" s="877"/>
      <c r="AK318" s="886"/>
      <c r="AL318" s="877"/>
      <c r="AM318" s="879"/>
      <c r="AN318" s="877"/>
      <c r="AO318" s="877"/>
      <c r="AP318" s="877"/>
      <c r="AQ318" s="877"/>
      <c r="AR318" s="886"/>
      <c r="AS318" s="877"/>
      <c r="AT318" s="879"/>
      <c r="AU318" s="877"/>
      <c r="AV318" s="877"/>
      <c r="AW318" s="877"/>
      <c r="AX318" s="877"/>
      <c r="AY318" s="886"/>
      <c r="AZ318" s="877"/>
      <c r="BA318" s="879"/>
      <c r="BB318" s="877"/>
      <c r="BC318" s="877"/>
      <c r="BD318" s="877"/>
      <c r="BE318" s="877"/>
      <c r="BF318" s="886"/>
      <c r="BG318" s="877"/>
      <c r="BH318" s="879"/>
      <c r="BI318" s="877"/>
      <c r="BJ318" s="877"/>
      <c r="BK318" s="877"/>
      <c r="BL318" s="877"/>
      <c r="BM318" s="886"/>
      <c r="BN318" s="877"/>
      <c r="BO318" s="879"/>
      <c r="BP318" s="877"/>
      <c r="BQ318" s="877"/>
      <c r="BR318" s="877"/>
      <c r="BS318" s="877"/>
      <c r="BT318" s="886"/>
      <c r="BU318" s="877"/>
      <c r="BV318" s="879"/>
      <c r="BW318" s="886"/>
      <c r="BX318" s="877"/>
      <c r="BY318" s="877"/>
      <c r="BZ318" s="877"/>
      <c r="CA318" s="877"/>
      <c r="CB318" s="877"/>
      <c r="CC318" s="877"/>
      <c r="CD318" s="877"/>
      <c r="CE318" s="877"/>
    </row>
    <row r="319" spans="1:83">
      <c r="A319" s="359"/>
      <c r="B319" s="360"/>
      <c r="C319" s="83"/>
      <c r="E319" s="512" t="s">
        <v>320</v>
      </c>
      <c r="F319" s="877">
        <f>SUM(K319:M319)</f>
        <v>1.0021269093400001E-2</v>
      </c>
      <c r="G319" s="877">
        <f>SUM(I319:Q319)</f>
        <v>1.0021269093400001E-2</v>
      </c>
      <c r="H319" s="878">
        <f>SUM(U319:W319)/(1-'Common input data'!$I$143)</f>
        <v>1.1330304492654326E-2</v>
      </c>
      <c r="I319" s="928"/>
      <c r="J319" s="877"/>
      <c r="K319" s="877"/>
      <c r="L319" s="877"/>
      <c r="M319" s="877">
        <v>1.0021269093400001E-2</v>
      </c>
      <c r="N319" s="877"/>
      <c r="O319" s="877"/>
      <c r="P319" s="877"/>
      <c r="Q319" s="877"/>
      <c r="R319" s="877"/>
      <c r="S319" s="877"/>
      <c r="T319" s="1248"/>
      <c r="U319" s="877">
        <f t="shared" si="81"/>
        <v>1.0021269093400001E-2</v>
      </c>
      <c r="V319" s="877"/>
      <c r="W319" s="878"/>
      <c r="X319" s="877"/>
      <c r="Y319" s="879"/>
      <c r="Z319" s="877"/>
      <c r="AA319" s="877"/>
      <c r="AB319" s="877"/>
      <c r="AC319" s="877"/>
      <c r="AD319" s="886"/>
      <c r="AE319" s="877"/>
      <c r="AF319" s="879"/>
      <c r="AG319" s="877"/>
      <c r="AH319" s="877"/>
      <c r="AI319" s="877"/>
      <c r="AJ319" s="877"/>
      <c r="AK319" s="886"/>
      <c r="AL319" s="877"/>
      <c r="AM319" s="879"/>
      <c r="AN319" s="877"/>
      <c r="AO319" s="877"/>
      <c r="AP319" s="877"/>
      <c r="AQ319" s="877"/>
      <c r="AR319" s="886"/>
      <c r="AS319" s="877"/>
      <c r="AT319" s="879"/>
      <c r="AU319" s="877"/>
      <c r="AV319" s="877"/>
      <c r="AW319" s="877"/>
      <c r="AX319" s="877"/>
      <c r="AY319" s="886"/>
      <c r="AZ319" s="877"/>
      <c r="BA319" s="879"/>
      <c r="BB319" s="877"/>
      <c r="BC319" s="877"/>
      <c r="BD319" s="877"/>
      <c r="BE319" s="877"/>
      <c r="BF319" s="886"/>
      <c r="BG319" s="877"/>
      <c r="BH319" s="879"/>
      <c r="BI319" s="877"/>
      <c r="BJ319" s="877"/>
      <c r="BK319" s="877"/>
      <c r="BL319" s="877"/>
      <c r="BM319" s="886"/>
      <c r="BN319" s="877"/>
      <c r="BO319" s="879"/>
      <c r="BP319" s="877"/>
      <c r="BQ319" s="877"/>
      <c r="BR319" s="877"/>
      <c r="BS319" s="877"/>
      <c r="BT319" s="886"/>
      <c r="BU319" s="877"/>
      <c r="BV319" s="879"/>
      <c r="BW319" s="886"/>
      <c r="BX319" s="877"/>
      <c r="BY319" s="877"/>
      <c r="BZ319" s="877"/>
      <c r="CA319" s="877"/>
      <c r="CB319" s="877"/>
      <c r="CC319" s="877"/>
      <c r="CD319" s="877"/>
      <c r="CE319" s="877"/>
    </row>
    <row r="320" spans="1:83">
      <c r="A320" s="362" t="s">
        <v>196</v>
      </c>
      <c r="B320" s="363"/>
      <c r="C320" s="770"/>
      <c r="E320" s="939"/>
      <c r="F320" s="892" t="s">
        <v>472</v>
      </c>
      <c r="G320" s="892" t="s">
        <v>472</v>
      </c>
      <c r="H320" s="970" t="s">
        <v>472</v>
      </c>
      <c r="I320" s="969"/>
      <c r="J320" s="892"/>
      <c r="K320" s="892"/>
      <c r="L320" s="892"/>
      <c r="M320" s="892"/>
      <c r="N320" s="892"/>
      <c r="O320" s="892"/>
      <c r="P320" s="892"/>
      <c r="Q320" s="892"/>
      <c r="R320" s="892"/>
      <c r="S320" s="892"/>
      <c r="T320" s="892"/>
      <c r="U320" s="892"/>
      <c r="V320" s="892"/>
      <c r="W320" s="970"/>
      <c r="X320" s="877"/>
      <c r="Y320" s="879"/>
      <c r="Z320" s="877"/>
      <c r="AA320" s="877"/>
      <c r="AB320" s="877"/>
      <c r="AC320" s="877"/>
      <c r="AD320" s="886"/>
      <c r="AE320" s="877"/>
      <c r="AF320" s="879"/>
      <c r="AG320" s="877"/>
      <c r="AH320" s="877"/>
      <c r="AI320" s="877"/>
      <c r="AJ320" s="877"/>
      <c r="AK320" s="886"/>
      <c r="AL320" s="877"/>
      <c r="AM320" s="879"/>
      <c r="AN320" s="877"/>
      <c r="AO320" s="877"/>
      <c r="AP320" s="877"/>
      <c r="AQ320" s="877"/>
      <c r="AR320" s="886"/>
      <c r="AS320" s="877"/>
      <c r="AT320" s="879"/>
      <c r="AU320" s="877"/>
      <c r="AV320" s="877"/>
      <c r="AW320" s="877"/>
      <c r="AX320" s="877"/>
      <c r="AY320" s="886"/>
      <c r="AZ320" s="877"/>
      <c r="BA320" s="879"/>
      <c r="BB320" s="877"/>
      <c r="BC320" s="877"/>
      <c r="BD320" s="877"/>
      <c r="BE320" s="877"/>
      <c r="BF320" s="886"/>
      <c r="BG320" s="877"/>
      <c r="BH320" s="879"/>
      <c r="BI320" s="877"/>
      <c r="BJ320" s="877"/>
      <c r="BK320" s="877"/>
      <c r="BL320" s="877"/>
      <c r="BM320" s="886"/>
      <c r="BN320" s="877"/>
      <c r="BO320" s="879"/>
      <c r="BP320" s="877"/>
      <c r="BQ320" s="877"/>
      <c r="BR320" s="877"/>
      <c r="BS320" s="877"/>
      <c r="BT320" s="886"/>
      <c r="BU320" s="877"/>
      <c r="BV320" s="879"/>
      <c r="BW320" s="886"/>
      <c r="BX320" s="877"/>
      <c r="BY320" s="877"/>
      <c r="BZ320" s="877"/>
      <c r="CA320" s="877"/>
      <c r="CB320" s="877"/>
      <c r="CC320" s="877"/>
      <c r="CD320" s="877"/>
      <c r="CE320" s="877"/>
    </row>
    <row r="321" spans="1:83">
      <c r="A321" s="108" t="s">
        <v>120</v>
      </c>
      <c r="B321" s="93" t="s">
        <v>121</v>
      </c>
      <c r="C321" s="87">
        <f>SUM(C325:C329)</f>
        <v>1</v>
      </c>
      <c r="E321" s="513" t="s">
        <v>316</v>
      </c>
      <c r="F321" s="872">
        <f>SUMPRODUCT($CJ$6:$CJ$8,F322:F324)</f>
        <v>2.7260034589712174</v>
      </c>
      <c r="G321" s="872">
        <f>SUMPRODUCT($CJ$6:$CJ$8,G322:G324)</f>
        <v>2.7760034589712168</v>
      </c>
      <c r="H321" s="873">
        <f>SUMPRODUCT($CJ$6:$CJ$8,H322:H324)</f>
        <v>3.5453240837946893</v>
      </c>
      <c r="I321" s="1277"/>
      <c r="J321" s="884"/>
      <c r="K321" s="884"/>
      <c r="L321" s="884"/>
      <c r="M321" s="884"/>
      <c r="N321" s="884"/>
      <c r="O321" s="884"/>
      <c r="P321" s="884"/>
      <c r="Q321" s="884"/>
      <c r="R321" s="884"/>
      <c r="S321" s="884"/>
      <c r="T321" s="884"/>
      <c r="U321" s="884"/>
      <c r="V321" s="884"/>
      <c r="W321" s="1278"/>
      <c r="X321" s="877"/>
      <c r="Y321" s="883">
        <f>Y325*$C$325+Y329*$C$329</f>
        <v>5.0495222468730425</v>
      </c>
      <c r="Z321" s="884">
        <f t="shared" ref="Z321:BW321" si="82">Z325*$C$325+Z329*$C$329</f>
        <v>5.0495222468730425</v>
      </c>
      <c r="AA321" s="884">
        <f t="shared" si="82"/>
        <v>11.221160548606761</v>
      </c>
      <c r="AB321" s="884">
        <f t="shared" si="82"/>
        <v>11.221160548606761</v>
      </c>
      <c r="AC321" s="884">
        <f t="shared" si="82"/>
        <v>12.525904102029912</v>
      </c>
      <c r="AD321" s="885">
        <f t="shared" si="82"/>
        <v>13.047816772947828</v>
      </c>
      <c r="AE321" s="877"/>
      <c r="AF321" s="883">
        <f t="shared" si="82"/>
        <v>8.0004747873202636E-2</v>
      </c>
      <c r="AG321" s="884">
        <f t="shared" si="82"/>
        <v>8.0004747873202636E-2</v>
      </c>
      <c r="AH321" s="884">
        <f t="shared" si="82"/>
        <v>0.17778832860711696</v>
      </c>
      <c r="AI321" s="884">
        <f t="shared" si="82"/>
        <v>0.17778832860711696</v>
      </c>
      <c r="AJ321" s="884">
        <f t="shared" si="82"/>
        <v>0.19582400219436086</v>
      </c>
      <c r="AK321" s="885">
        <f t="shared" si="82"/>
        <v>0.20398333561912588</v>
      </c>
      <c r="AL321" s="877"/>
      <c r="AM321" s="883">
        <f t="shared" si="82"/>
        <v>0</v>
      </c>
      <c r="AN321" s="884">
        <f t="shared" si="82"/>
        <v>0</v>
      </c>
      <c r="AO321" s="884">
        <f t="shared" si="82"/>
        <v>0</v>
      </c>
      <c r="AP321" s="884">
        <f t="shared" si="82"/>
        <v>0</v>
      </c>
      <c r="AQ321" s="884">
        <f t="shared" si="82"/>
        <v>0</v>
      </c>
      <c r="AR321" s="885">
        <f t="shared" si="82"/>
        <v>0</v>
      </c>
      <c r="AS321" s="877"/>
      <c r="AT321" s="883">
        <f t="shared" si="82"/>
        <v>1.9636502476060862</v>
      </c>
      <c r="AU321" s="884">
        <f t="shared" si="82"/>
        <v>1.9636502476060862</v>
      </c>
      <c r="AV321" s="884">
        <f t="shared" si="82"/>
        <v>4.3636672169024138</v>
      </c>
      <c r="AW321" s="884">
        <f t="shared" si="82"/>
        <v>4.3636672169024138</v>
      </c>
      <c r="AX321" s="884">
        <f t="shared" si="82"/>
        <v>4.8025974163991112</v>
      </c>
      <c r="AY321" s="885">
        <f t="shared" si="82"/>
        <v>5.0027056420824074</v>
      </c>
      <c r="AZ321" s="877"/>
      <c r="BA321" s="883">
        <f t="shared" si="82"/>
        <v>3.8914739700635805E-9</v>
      </c>
      <c r="BB321" s="884">
        <f t="shared" si="82"/>
        <v>3.8914739700635805E-9</v>
      </c>
      <c r="BC321" s="884">
        <f t="shared" si="82"/>
        <v>8.6477199334746254E-9</v>
      </c>
      <c r="BD321" s="884">
        <f t="shared" si="82"/>
        <v>8.6477199334746254E-9</v>
      </c>
      <c r="BE321" s="884">
        <f t="shared" si="82"/>
        <v>9.7497179230195802E-9</v>
      </c>
      <c r="BF321" s="885">
        <f t="shared" si="82"/>
        <v>1.0155956169812063E-8</v>
      </c>
      <c r="BG321" s="877"/>
      <c r="BH321" s="883">
        <f t="shared" si="82"/>
        <v>2.4841342192881118E-3</v>
      </c>
      <c r="BI321" s="884">
        <f t="shared" si="82"/>
        <v>2.4841342192881118E-3</v>
      </c>
      <c r="BJ321" s="884">
        <f t="shared" si="82"/>
        <v>5.5202982650846928E-3</v>
      </c>
      <c r="BK321" s="884">
        <f t="shared" si="82"/>
        <v>5.5202982650846928E-3</v>
      </c>
      <c r="BL321" s="884">
        <f t="shared" si="82"/>
        <v>6.1103278560112988E-3</v>
      </c>
      <c r="BM321" s="885">
        <f t="shared" si="82"/>
        <v>6.3649248500117703E-3</v>
      </c>
      <c r="BN321" s="877"/>
      <c r="BO321" s="883">
        <f t="shared" si="82"/>
        <v>2.0428198816019702E-3</v>
      </c>
      <c r="BP321" s="884">
        <f t="shared" si="82"/>
        <v>2.0428198816019702E-3</v>
      </c>
      <c r="BQ321" s="884">
        <f t="shared" si="82"/>
        <v>4.539599736893267E-3</v>
      </c>
      <c r="BR321" s="884">
        <f t="shared" si="82"/>
        <v>4.539599736893267E-3</v>
      </c>
      <c r="BS321" s="884">
        <f t="shared" si="82"/>
        <v>5.0001178131516642E-3</v>
      </c>
      <c r="BT321" s="885">
        <f t="shared" si="82"/>
        <v>5.2084560553663159E-3</v>
      </c>
      <c r="BU321" s="877"/>
      <c r="BV321" s="883">
        <f>BV325*$C$325+BV329*$C$329</f>
        <v>13.289243432548478</v>
      </c>
      <c r="BW321" s="885">
        <f t="shared" si="82"/>
        <v>13.842961908904666</v>
      </c>
      <c r="BX321" s="877"/>
      <c r="BY321" s="877"/>
      <c r="BZ321" s="877"/>
      <c r="CA321" s="877"/>
      <c r="CB321" s="877"/>
      <c r="CC321" s="877"/>
      <c r="CD321" s="877"/>
      <c r="CE321" s="877"/>
    </row>
    <row r="322" spans="1:83">
      <c r="A322" s="195"/>
      <c r="B322" s="55"/>
      <c r="C322" s="83"/>
      <c r="E322" s="511" t="s">
        <v>317</v>
      </c>
      <c r="F322" s="877">
        <f>F326*$C$325+F330*$C$329</f>
        <v>1.9545044971754342</v>
      </c>
      <c r="G322" s="877">
        <f t="shared" ref="G322:W324" si="83">G326*$C$325+G330*$C$329</f>
        <v>2.004504497175434</v>
      </c>
      <c r="H322" s="878">
        <f t="shared" si="83"/>
        <v>2.6953422401655196</v>
      </c>
      <c r="I322" s="928">
        <f t="shared" si="83"/>
        <v>0</v>
      </c>
      <c r="J322" s="877">
        <f t="shared" si="83"/>
        <v>0</v>
      </c>
      <c r="K322" s="877">
        <f t="shared" si="83"/>
        <v>0</v>
      </c>
      <c r="L322" s="877">
        <f t="shared" si="83"/>
        <v>0</v>
      </c>
      <c r="M322" s="877">
        <f t="shared" si="83"/>
        <v>2.0456435453168154</v>
      </c>
      <c r="N322" s="877">
        <f t="shared" si="83"/>
        <v>0</v>
      </c>
      <c r="O322" s="877">
        <f t="shared" si="83"/>
        <v>0</v>
      </c>
      <c r="P322" s="877">
        <f t="shared" si="83"/>
        <v>0.05</v>
      </c>
      <c r="Q322" s="877">
        <f t="shared" si="83"/>
        <v>0</v>
      </c>
      <c r="R322" s="877">
        <f t="shared" si="83"/>
        <v>-9.1139048141381296E-2</v>
      </c>
      <c r="S322" s="877">
        <f t="shared" si="83"/>
        <v>0</v>
      </c>
      <c r="T322" s="877">
        <f t="shared" si="83"/>
        <v>0</v>
      </c>
      <c r="U322" s="877">
        <f t="shared" si="83"/>
        <v>2.004504497175434</v>
      </c>
      <c r="V322" s="877">
        <f t="shared" si="83"/>
        <v>0.05</v>
      </c>
      <c r="W322" s="878">
        <f t="shared" si="83"/>
        <v>0.38702390623186722</v>
      </c>
      <c r="X322" s="877"/>
      <c r="Y322" s="879"/>
      <c r="Z322" s="877"/>
      <c r="AA322" s="877"/>
      <c r="AB322" s="877"/>
      <c r="AC322" s="877"/>
      <c r="AD322" s="886"/>
      <c r="AE322" s="877"/>
      <c r="AF322" s="879"/>
      <c r="AG322" s="877"/>
      <c r="AH322" s="877"/>
      <c r="AI322" s="877"/>
      <c r="AJ322" s="877"/>
      <c r="AK322" s="886"/>
      <c r="AL322" s="877"/>
      <c r="AM322" s="879"/>
      <c r="AN322" s="877"/>
      <c r="AO322" s="877"/>
      <c r="AP322" s="877"/>
      <c r="AQ322" s="877"/>
      <c r="AR322" s="886"/>
      <c r="AS322" s="877"/>
      <c r="AT322" s="879"/>
      <c r="AU322" s="877"/>
      <c r="AV322" s="877"/>
      <c r="AW322" s="877"/>
      <c r="AX322" s="877"/>
      <c r="AY322" s="886"/>
      <c r="AZ322" s="877"/>
      <c r="BA322" s="879"/>
      <c r="BB322" s="877"/>
      <c r="BC322" s="877"/>
      <c r="BD322" s="877"/>
      <c r="BE322" s="877"/>
      <c r="BF322" s="886"/>
      <c r="BG322" s="877"/>
      <c r="BH322" s="879"/>
      <c r="BI322" s="877"/>
      <c r="BJ322" s="877"/>
      <c r="BK322" s="877"/>
      <c r="BL322" s="877"/>
      <c r="BM322" s="886"/>
      <c r="BN322" s="877"/>
      <c r="BO322" s="879"/>
      <c r="BP322" s="877"/>
      <c r="BQ322" s="877"/>
      <c r="BR322" s="877"/>
      <c r="BS322" s="877"/>
      <c r="BT322" s="886"/>
      <c r="BU322" s="877"/>
      <c r="BV322" s="879"/>
      <c r="BW322" s="886"/>
      <c r="BX322" s="877"/>
      <c r="BY322" s="877"/>
      <c r="BZ322" s="877"/>
      <c r="CA322" s="877"/>
      <c r="CB322" s="877"/>
      <c r="CC322" s="877"/>
      <c r="CD322" s="877"/>
      <c r="CE322" s="877"/>
    </row>
    <row r="323" spans="1:83">
      <c r="A323" s="195"/>
      <c r="B323" s="55"/>
      <c r="C323" s="83"/>
      <c r="E323" s="511" t="s">
        <v>367</v>
      </c>
      <c r="F323" s="877">
        <f>F327*$C$325+F331*$C$329</f>
        <v>7.8340355588397831E-3</v>
      </c>
      <c r="G323" s="877">
        <f t="shared" ref="F323:U324" si="84">G327*$C$325+G331*$C$329</f>
        <v>7.8340355588397831E-3</v>
      </c>
      <c r="H323" s="878">
        <f t="shared" si="84"/>
        <v>8.6757703307786121E-3</v>
      </c>
      <c r="I323" s="928">
        <f t="shared" si="84"/>
        <v>0</v>
      </c>
      <c r="J323" s="877">
        <f t="shared" si="84"/>
        <v>0</v>
      </c>
      <c r="K323" s="877">
        <f t="shared" si="84"/>
        <v>0</v>
      </c>
      <c r="L323" s="877">
        <f t="shared" si="84"/>
        <v>0</v>
      </c>
      <c r="M323" s="877">
        <f t="shared" si="84"/>
        <v>7.8340355588397831E-3</v>
      </c>
      <c r="N323" s="877">
        <f t="shared" si="84"/>
        <v>0</v>
      </c>
      <c r="O323" s="877">
        <f t="shared" si="84"/>
        <v>0</v>
      </c>
      <c r="P323" s="877">
        <f t="shared" si="84"/>
        <v>0</v>
      </c>
      <c r="Q323" s="877">
        <f t="shared" si="84"/>
        <v>0</v>
      </c>
      <c r="R323" s="877">
        <f t="shared" si="84"/>
        <v>0</v>
      </c>
      <c r="S323" s="877">
        <f t="shared" si="84"/>
        <v>0</v>
      </c>
      <c r="T323" s="877">
        <f t="shared" si="84"/>
        <v>0</v>
      </c>
      <c r="U323" s="877">
        <f t="shared" si="84"/>
        <v>7.8340355588397831E-3</v>
      </c>
      <c r="V323" s="877">
        <f t="shared" si="83"/>
        <v>0</v>
      </c>
      <c r="W323" s="878">
        <f t="shared" si="83"/>
        <v>0</v>
      </c>
      <c r="X323" s="877"/>
      <c r="Y323" s="879"/>
      <c r="Z323" s="877"/>
      <c r="AA323" s="877"/>
      <c r="AB323" s="877"/>
      <c r="AC323" s="877"/>
      <c r="AD323" s="886"/>
      <c r="AE323" s="877"/>
      <c r="AF323" s="879"/>
      <c r="AG323" s="877"/>
      <c r="AH323" s="877"/>
      <c r="AI323" s="877"/>
      <c r="AJ323" s="877"/>
      <c r="AK323" s="886"/>
      <c r="AL323" s="877"/>
      <c r="AM323" s="879"/>
      <c r="AN323" s="877"/>
      <c r="AO323" s="877"/>
      <c r="AP323" s="877"/>
      <c r="AQ323" s="877"/>
      <c r="AR323" s="886"/>
      <c r="AS323" s="877"/>
      <c r="AT323" s="879"/>
      <c r="AU323" s="877"/>
      <c r="AV323" s="877"/>
      <c r="AW323" s="877"/>
      <c r="AX323" s="877"/>
      <c r="AY323" s="886"/>
      <c r="AZ323" s="877"/>
      <c r="BA323" s="879"/>
      <c r="BB323" s="877"/>
      <c r="BC323" s="877"/>
      <c r="BD323" s="877"/>
      <c r="BE323" s="877"/>
      <c r="BF323" s="886"/>
      <c r="BG323" s="877"/>
      <c r="BH323" s="879"/>
      <c r="BI323" s="877"/>
      <c r="BJ323" s="877"/>
      <c r="BK323" s="877"/>
      <c r="BL323" s="877"/>
      <c r="BM323" s="886"/>
      <c r="BN323" s="877"/>
      <c r="BO323" s="879"/>
      <c r="BP323" s="877"/>
      <c r="BQ323" s="877"/>
      <c r="BR323" s="877"/>
      <c r="BS323" s="877"/>
      <c r="BT323" s="886"/>
      <c r="BU323" s="877"/>
      <c r="BV323" s="879"/>
      <c r="BW323" s="886"/>
      <c r="BX323" s="877"/>
      <c r="BY323" s="877"/>
      <c r="BZ323" s="877"/>
      <c r="CA323" s="877"/>
      <c r="CB323" s="877"/>
      <c r="CC323" s="877"/>
      <c r="CD323" s="877"/>
      <c r="CE323" s="877"/>
    </row>
    <row r="324" spans="1:83">
      <c r="A324" s="18"/>
      <c r="B324" s="360"/>
      <c r="C324" s="83"/>
      <c r="E324" s="512" t="s">
        <v>320</v>
      </c>
      <c r="F324" s="877">
        <f t="shared" si="84"/>
        <v>3.1531287324859918E-3</v>
      </c>
      <c r="G324" s="877">
        <f t="shared" si="83"/>
        <v>3.1531287324859918E-3</v>
      </c>
      <c r="H324" s="878">
        <f t="shared" si="83"/>
        <v>3.4729859359421038E-3</v>
      </c>
      <c r="I324" s="928">
        <f t="shared" si="83"/>
        <v>0</v>
      </c>
      <c r="J324" s="877">
        <f t="shared" si="83"/>
        <v>0</v>
      </c>
      <c r="K324" s="877">
        <f t="shared" si="83"/>
        <v>0</v>
      </c>
      <c r="L324" s="877">
        <f t="shared" si="83"/>
        <v>0</v>
      </c>
      <c r="M324" s="877">
        <f t="shared" si="83"/>
        <v>3.1531287324859918E-3</v>
      </c>
      <c r="N324" s="877">
        <f t="shared" si="83"/>
        <v>0</v>
      </c>
      <c r="O324" s="877">
        <f t="shared" si="83"/>
        <v>0</v>
      </c>
      <c r="P324" s="877">
        <f t="shared" si="83"/>
        <v>0</v>
      </c>
      <c r="Q324" s="877">
        <f t="shared" si="83"/>
        <v>0</v>
      </c>
      <c r="R324" s="877">
        <f t="shared" si="83"/>
        <v>0</v>
      </c>
      <c r="S324" s="877">
        <f t="shared" si="83"/>
        <v>0</v>
      </c>
      <c r="T324" s="877">
        <f t="shared" si="83"/>
        <v>0</v>
      </c>
      <c r="U324" s="877">
        <f t="shared" si="83"/>
        <v>3.1531287324859918E-3</v>
      </c>
      <c r="V324" s="877">
        <f t="shared" si="83"/>
        <v>0</v>
      </c>
      <c r="W324" s="878">
        <f t="shared" si="83"/>
        <v>0</v>
      </c>
      <c r="X324" s="877"/>
      <c r="Y324" s="879"/>
      <c r="Z324" s="877"/>
      <c r="AA324" s="877"/>
      <c r="AB324" s="877"/>
      <c r="AC324" s="877"/>
      <c r="AD324" s="886"/>
      <c r="AE324" s="877"/>
      <c r="AF324" s="879"/>
      <c r="AG324" s="877"/>
      <c r="AH324" s="877"/>
      <c r="AI324" s="877"/>
      <c r="AJ324" s="877"/>
      <c r="AK324" s="886"/>
      <c r="AL324" s="877"/>
      <c r="AM324" s="879"/>
      <c r="AN324" s="877"/>
      <c r="AO324" s="877"/>
      <c r="AP324" s="877"/>
      <c r="AQ324" s="877"/>
      <c r="AR324" s="886"/>
      <c r="AS324" s="877"/>
      <c r="AT324" s="879"/>
      <c r="AU324" s="877"/>
      <c r="AV324" s="877"/>
      <c r="AW324" s="877"/>
      <c r="AX324" s="877"/>
      <c r="AY324" s="886"/>
      <c r="AZ324" s="877"/>
      <c r="BA324" s="879"/>
      <c r="BB324" s="877"/>
      <c r="BC324" s="877"/>
      <c r="BD324" s="877"/>
      <c r="BE324" s="877"/>
      <c r="BF324" s="886"/>
      <c r="BG324" s="877"/>
      <c r="BH324" s="879"/>
      <c r="BI324" s="877"/>
      <c r="BJ324" s="877"/>
      <c r="BK324" s="877"/>
      <c r="BL324" s="877"/>
      <c r="BM324" s="886"/>
      <c r="BN324" s="877"/>
      <c r="BO324" s="879"/>
      <c r="BP324" s="877"/>
      <c r="BQ324" s="877"/>
      <c r="BR324" s="877"/>
      <c r="BS324" s="877"/>
      <c r="BT324" s="886"/>
      <c r="BU324" s="877"/>
      <c r="BV324" s="879"/>
      <c r="BW324" s="886"/>
      <c r="BX324" s="877"/>
      <c r="BY324" s="877"/>
      <c r="BZ324" s="877"/>
      <c r="CA324" s="877"/>
      <c r="CB324" s="877"/>
      <c r="CC324" s="877"/>
      <c r="CD324" s="877"/>
      <c r="CE324" s="877"/>
    </row>
    <row r="325" spans="1:83">
      <c r="A325" s="108" t="s">
        <v>149</v>
      </c>
      <c r="B325" s="93" t="s">
        <v>121</v>
      </c>
      <c r="C325" s="87">
        <f>'Input data plant-based products'!D166</f>
        <v>0.42976093768132761</v>
      </c>
      <c r="E325" s="513" t="s">
        <v>316</v>
      </c>
      <c r="F325" s="872">
        <f>SUMPRODUCT($CJ$6:$CJ$8,F326:F328)</f>
        <v>2.5893183736327017</v>
      </c>
      <c r="G325" s="872">
        <f>SUMPRODUCT($CJ$6:$CJ$8,G326:G328)</f>
        <v>2.6393183736327019</v>
      </c>
      <c r="H325" s="873">
        <f>SUMPRODUCT($CJ$6:$CJ$8,H326:H328)</f>
        <v>3.2103331989715058</v>
      </c>
      <c r="I325" s="1277"/>
      <c r="J325" s="884"/>
      <c r="K325" s="884"/>
      <c r="L325" s="884"/>
      <c r="M325" s="884"/>
      <c r="N325" s="884"/>
      <c r="O325" s="884"/>
      <c r="P325" s="884"/>
      <c r="Q325" s="884"/>
      <c r="R325" s="884"/>
      <c r="S325" s="884"/>
      <c r="T325" s="884"/>
      <c r="U325" s="884"/>
      <c r="V325" s="884"/>
      <c r="W325" s="1278"/>
      <c r="X325" s="877"/>
      <c r="Y325" s="879">
        <f>1/'Input data plant-based products'!E166*10^4</f>
        <v>2.503091317777455</v>
      </c>
      <c r="Z325" s="877">
        <f>$Y325*'Input data plant-based products'!Z166</f>
        <v>2.503091317777455</v>
      </c>
      <c r="AA325" s="877">
        <f>$Y325*'Input data plant-based products'!AA166</f>
        <v>5.5624251506165665</v>
      </c>
      <c r="AB325" s="877">
        <f>$Y325*'Input data plant-based products'!AB166</f>
        <v>5.5624251506165665</v>
      </c>
      <c r="AC325" s="877">
        <f>$Y325*'Input data plant-based products'!AC166</f>
        <v>5.9143276455253231</v>
      </c>
      <c r="AD325" s="886">
        <f>$Y325*'Input data plant-based products'!AD166</f>
        <v>6.1607579640888792</v>
      </c>
      <c r="AE325" s="877"/>
      <c r="AF325" s="879">
        <f>SUM('Input data plant-based products'!F166,'Input data plant-based products'!Q166)/'Input data plant-based products'!E166</f>
        <v>8.0645161290322578E-2</v>
      </c>
      <c r="AG325" s="877">
        <f>$AF325*'Input data plant-based products'!Z166</f>
        <v>8.0645161290322578E-2</v>
      </c>
      <c r="AH325" s="877">
        <f>$AF325*'Input data plant-based products'!AA166</f>
        <v>0.17921146953405018</v>
      </c>
      <c r="AI325" s="877">
        <f>$AF325*'Input data plant-based products'!AB166</f>
        <v>0.17921146953405018</v>
      </c>
      <c r="AJ325" s="877">
        <f>$AF325*'Input data plant-based products'!AC166</f>
        <v>0.19054914357687419</v>
      </c>
      <c r="AK325" s="886">
        <f>$AF325*'Input data plant-based products'!AD166</f>
        <v>0.19848869122591062</v>
      </c>
      <c r="AL325" s="877"/>
      <c r="AM325" s="879">
        <f>'Input data plant-based products'!R166/'Input data plant-based products'!E166</f>
        <v>0</v>
      </c>
      <c r="AN325" s="877">
        <f>$AM325*'Input data plant-based products'!Z166</f>
        <v>0</v>
      </c>
      <c r="AO325" s="877">
        <f>$AM325*'Input data plant-based products'!AA166</f>
        <v>0</v>
      </c>
      <c r="AP325" s="877">
        <f>$AM325*'Input data plant-based products'!AB166</f>
        <v>0</v>
      </c>
      <c r="AQ325" s="877">
        <f>$AM325*'Input data plant-based products'!AC166</f>
        <v>0</v>
      </c>
      <c r="AR325" s="886">
        <f>$AM325*'Input data plant-based products'!AD166</f>
        <v>0</v>
      </c>
      <c r="AS325" s="877"/>
      <c r="AT325" s="879">
        <f>'Input data plant-based products'!S166</f>
        <v>2.03751193918478</v>
      </c>
      <c r="AU325" s="877">
        <f>$AT325*'Input data plant-based products'!Z166</f>
        <v>2.03751193918478</v>
      </c>
      <c r="AV325" s="877">
        <f>$AT325*'Input data plant-based products'!AA166</f>
        <v>4.5278043092995111</v>
      </c>
      <c r="AW325" s="877">
        <f>$AT325*'Input data plant-based products'!AB166</f>
        <v>4.5278043092995111</v>
      </c>
      <c r="AX325" s="877">
        <f>$AT325*'Input data plant-based products'!AC166</f>
        <v>4.8142523224875182</v>
      </c>
      <c r="AY325" s="886">
        <f>$AT325*'Input data plant-based products'!AD166</f>
        <v>5.0148461692578321</v>
      </c>
      <c r="AZ325" s="877"/>
      <c r="BA325" s="879">
        <f>((SUM('Input data plant-based products'!U166:Y166)*Y325)/('Common input data'!$B$192/10^6))/$BB$3</f>
        <v>4.292830065397267E-10</v>
      </c>
      <c r="BB325" s="877">
        <f>$BA325*'Input data plant-based products'!Z166</f>
        <v>4.292830065397267E-10</v>
      </c>
      <c r="BC325" s="877">
        <f>$BA325*'Input data plant-based products'!AA166</f>
        <v>9.5396223675494826E-10</v>
      </c>
      <c r="BD325" s="877">
        <f>$BA325*'Input data plant-based products'!AB166</f>
        <v>9.5396223675494826E-10</v>
      </c>
      <c r="BE325" s="877">
        <f>$BA325*'Input data plant-based products'!AC166</f>
        <v>1.0143139146783075E-9</v>
      </c>
      <c r="BF325" s="886">
        <f>$BA325*'Input data plant-based products'!AD166</f>
        <v>1.0565769944565703E-9</v>
      </c>
      <c r="BG325" s="877"/>
      <c r="BH325" s="879">
        <f>'Input data plant-based products'!T166/'Input data plant-based products'!E166</f>
        <v>2.0372999363891826E-3</v>
      </c>
      <c r="BI325" s="877">
        <f>$BH325*'Input data plant-based products'!Z166</f>
        <v>2.0372999363891826E-3</v>
      </c>
      <c r="BJ325" s="877">
        <f>$BH325*'Input data plant-based products'!AA166</f>
        <v>4.5273331919759617E-3</v>
      </c>
      <c r="BK325" s="877">
        <f>$BH325*'Input data plant-based products'!AB166</f>
        <v>4.5273331919759617E-3</v>
      </c>
      <c r="BL325" s="877">
        <f>$BH325*'Input data plant-based products'!AC166</f>
        <v>4.8137514002934197E-3</v>
      </c>
      <c r="BM325" s="886">
        <f>$BH325*'Input data plant-based products'!AD166</f>
        <v>5.0143243753056456E-3</v>
      </c>
      <c r="BN325" s="877"/>
      <c r="BO325" s="879">
        <f>('Input data plant-based products'!F166/'Input data plant-based products'!E166*'Common input data'!$B$195+'Input data plant-based products'!G166/'Input data plant-based products'!E166*'Common input data'!$B$196)/'Common input data'!$B$198</f>
        <v>2.0591720268897809E-3</v>
      </c>
      <c r="BP325" s="877">
        <f>$BO325*'Input data plant-based products'!Z166</f>
        <v>2.0591720268897809E-3</v>
      </c>
      <c r="BQ325" s="877">
        <f>$BO325*'Input data plant-based products'!AA166</f>
        <v>4.5759378375328464E-3</v>
      </c>
      <c r="BR325" s="877">
        <f>$BO325*'Input data plant-based products'!AB166</f>
        <v>4.5759378375328464E-3</v>
      </c>
      <c r="BS325" s="877">
        <f>$BO325*'Input data plant-based products'!AC166</f>
        <v>4.8654309808961686E-3</v>
      </c>
      <c r="BT325" s="886">
        <f>$BO325*'Input data plant-based products'!AD166</f>
        <v>5.0681572717668428E-3</v>
      </c>
      <c r="BU325" s="877"/>
      <c r="BV325" s="879">
        <f>('Common input data'!$B$215+'Common input data'!$C$215)*'Input data plant-based products'!AC166</f>
        <v>12.078445271427729</v>
      </c>
      <c r="BW325" s="886">
        <f>('Common input data'!$B$215+'Common input data'!$C$215)*'Input data plant-based products'!AD166</f>
        <v>12.581713824403884</v>
      </c>
      <c r="BX325" s="877"/>
      <c r="BY325" s="877"/>
      <c r="BZ325" s="877"/>
      <c r="CA325" s="877"/>
      <c r="CB325" s="877"/>
      <c r="CC325" s="877"/>
      <c r="CD325" s="877"/>
      <c r="CE325" s="877"/>
    </row>
    <row r="326" spans="1:83">
      <c r="A326" s="195"/>
      <c r="B326" s="55"/>
      <c r="C326" s="83"/>
      <c r="E326" s="511" t="s">
        <v>317</v>
      </c>
      <c r="F326" s="877">
        <f>IF(AND($F$2="No",$F$3="No"),SUM(L326:N326),IF(AND($F$2="Yes", $F$3="No"), (SUM(L326:M326)+S326), IF(AND($F$2="No", $F$3="Yes"),(SUM(L326:M326)+R326), (SUM(L326:M326)+S326+R326))))</f>
        <v>1.8191895618586185</v>
      </c>
      <c r="G326" s="877">
        <f>IF(AND($F$2="No",$F$3="No"),SUM(I326:Q326),IF(AND($F$2="Yes", $F$3="No"), (SUM(I326:Q326)+S326), IF(AND($F$2="No", $F$3="Yes"),(SUM(I326:Q326)+R326), (SUM(I326:Q326)+S326+R326))))</f>
        <v>1.8691895618586187</v>
      </c>
      <c r="H326" s="878">
        <f>SUM(U326:W326)/(1-'Common input data'!$C$143)</f>
        <v>2.3914827877284619</v>
      </c>
      <c r="I326" s="928"/>
      <c r="J326" s="877"/>
      <c r="K326" s="877"/>
      <c r="L326" s="877"/>
      <c r="M326" s="877">
        <v>1.9103286099999999</v>
      </c>
      <c r="N326" s="877"/>
      <c r="O326" s="877"/>
      <c r="P326" s="877">
        <f>'Input data plant-based products'!F309</f>
        <v>0.05</v>
      </c>
      <c r="Q326" s="877"/>
      <c r="R326" s="877">
        <f>'Common input data'!$F$19</f>
        <v>-9.1139048141381296E-2</v>
      </c>
      <c r="S326" s="877"/>
      <c r="T326" s="877"/>
      <c r="U326" s="877">
        <f t="shared" ref="U326:U332" si="85">G326+T326</f>
        <v>1.8691895618586187</v>
      </c>
      <c r="V326" s="877">
        <f>'Common input data'!$B$105</f>
        <v>0.05</v>
      </c>
      <c r="W326" s="878">
        <f>'Common input data'!$B$123+'Common input data'!$C$123</f>
        <v>0.32999999999999996</v>
      </c>
      <c r="X326" s="877"/>
      <c r="Y326" s="879"/>
      <c r="Z326" s="877"/>
      <c r="AA326" s="877"/>
      <c r="AB326" s="877"/>
      <c r="AC326" s="877"/>
      <c r="AD326" s="886"/>
      <c r="AE326" s="877"/>
      <c r="AF326" s="879"/>
      <c r="AG326" s="877"/>
      <c r="AH326" s="877"/>
      <c r="AI326" s="877"/>
      <c r="AJ326" s="877"/>
      <c r="AK326" s="886"/>
      <c r="AL326" s="877"/>
      <c r="AM326" s="879"/>
      <c r="AN326" s="877"/>
      <c r="AO326" s="877"/>
      <c r="AP326" s="877"/>
      <c r="AQ326" s="877"/>
      <c r="AR326" s="886"/>
      <c r="AS326" s="877"/>
      <c r="AT326" s="879"/>
      <c r="AU326" s="877"/>
      <c r="AV326" s="877"/>
      <c r="AW326" s="877"/>
      <c r="AX326" s="877"/>
      <c r="AY326" s="886"/>
      <c r="AZ326" s="877"/>
      <c r="BA326" s="879"/>
      <c r="BB326" s="877"/>
      <c r="BC326" s="877"/>
      <c r="BD326" s="877"/>
      <c r="BE326" s="877"/>
      <c r="BF326" s="886"/>
      <c r="BG326" s="877"/>
      <c r="BH326" s="879"/>
      <c r="BI326" s="877"/>
      <c r="BJ326" s="877"/>
      <c r="BK326" s="877"/>
      <c r="BL326" s="877"/>
      <c r="BM326" s="886"/>
      <c r="BN326" s="877"/>
      <c r="BO326" s="879"/>
      <c r="BP326" s="877"/>
      <c r="BQ326" s="877"/>
      <c r="BR326" s="877"/>
      <c r="BS326" s="877"/>
      <c r="BT326" s="886"/>
      <c r="BU326" s="877"/>
      <c r="BV326" s="879"/>
      <c r="BW326" s="886"/>
      <c r="BX326" s="877"/>
      <c r="BY326" s="877"/>
      <c r="BZ326" s="877"/>
      <c r="CA326" s="877"/>
      <c r="CB326" s="877"/>
      <c r="CC326" s="877"/>
      <c r="CD326" s="877"/>
      <c r="CE326" s="877"/>
    </row>
    <row r="327" spans="1:83">
      <c r="A327" s="195"/>
      <c r="B327" s="55"/>
      <c r="C327" s="83"/>
      <c r="E327" s="511" t="s">
        <v>367</v>
      </c>
      <c r="F327" s="877">
        <f>SUM(K327:M327)</f>
        <v>6.2727409641729999E-3</v>
      </c>
      <c r="G327" s="877">
        <f>SUM(I327:Q327)</f>
        <v>6.2727409641729999E-3</v>
      </c>
      <c r="H327" s="878">
        <f>SUM(U327:W327)/(1-'Common input data'!$C$143)</f>
        <v>6.669581035803296E-3</v>
      </c>
      <c r="I327" s="928"/>
      <c r="J327" s="877"/>
      <c r="K327" s="877"/>
      <c r="L327" s="877"/>
      <c r="M327" s="877">
        <v>6.2727409641729999E-3</v>
      </c>
      <c r="N327" s="877"/>
      <c r="O327" s="877"/>
      <c r="P327" s="877"/>
      <c r="Q327" s="877"/>
      <c r="R327" s="877"/>
      <c r="S327" s="877"/>
      <c r="T327" s="877"/>
      <c r="U327" s="877">
        <f t="shared" si="85"/>
        <v>6.2727409641729999E-3</v>
      </c>
      <c r="V327" s="877"/>
      <c r="W327" s="878"/>
      <c r="X327" s="877"/>
      <c r="Y327" s="879"/>
      <c r="Z327" s="877"/>
      <c r="AA327" s="877"/>
      <c r="AB327" s="877"/>
      <c r="AC327" s="877"/>
      <c r="AD327" s="886"/>
      <c r="AE327" s="877"/>
      <c r="AF327" s="879"/>
      <c r="AG327" s="877"/>
      <c r="AH327" s="877"/>
      <c r="AI327" s="877"/>
      <c r="AJ327" s="877"/>
      <c r="AK327" s="886"/>
      <c r="AL327" s="877"/>
      <c r="AM327" s="879"/>
      <c r="AN327" s="877"/>
      <c r="AO327" s="877"/>
      <c r="AP327" s="877"/>
      <c r="AQ327" s="877"/>
      <c r="AR327" s="886"/>
      <c r="AS327" s="877"/>
      <c r="AT327" s="879"/>
      <c r="AU327" s="877"/>
      <c r="AV327" s="877"/>
      <c r="AW327" s="877"/>
      <c r="AX327" s="877"/>
      <c r="AY327" s="886"/>
      <c r="AZ327" s="877"/>
      <c r="BA327" s="879"/>
      <c r="BB327" s="877"/>
      <c r="BC327" s="877"/>
      <c r="BD327" s="877"/>
      <c r="BE327" s="877"/>
      <c r="BF327" s="886"/>
      <c r="BG327" s="877"/>
      <c r="BH327" s="879"/>
      <c r="BI327" s="877"/>
      <c r="BJ327" s="877"/>
      <c r="BK327" s="877"/>
      <c r="BL327" s="877"/>
      <c r="BM327" s="886"/>
      <c r="BN327" s="877"/>
      <c r="BO327" s="879"/>
      <c r="BP327" s="877"/>
      <c r="BQ327" s="877"/>
      <c r="BR327" s="877"/>
      <c r="BS327" s="877"/>
      <c r="BT327" s="886"/>
      <c r="BU327" s="877"/>
      <c r="BV327" s="879"/>
      <c r="BW327" s="886"/>
      <c r="BX327" s="877"/>
      <c r="BY327" s="877"/>
      <c r="BZ327" s="877"/>
      <c r="CA327" s="877"/>
      <c r="CB327" s="877"/>
      <c r="CC327" s="877"/>
      <c r="CD327" s="877"/>
      <c r="CE327" s="877"/>
    </row>
    <row r="328" spans="1:83">
      <c r="A328" s="18"/>
      <c r="B328" s="360"/>
      <c r="C328" s="83"/>
      <c r="E328" s="512" t="s">
        <v>320</v>
      </c>
      <c r="F328" s="877">
        <f>SUM(K328:M328)</f>
        <v>3.1787421855899996E-3</v>
      </c>
      <c r="G328" s="877">
        <f>SUM(I328:Q328)</f>
        <v>3.1787421855899996E-3</v>
      </c>
      <c r="H328" s="878">
        <f>SUM(U328:W328)/(1-'Common input data'!$C$143)</f>
        <v>3.3798428342264749E-3</v>
      </c>
      <c r="I328" s="928"/>
      <c r="J328" s="877"/>
      <c r="K328" s="877"/>
      <c r="L328" s="877"/>
      <c r="M328" s="877">
        <v>3.1787421855899996E-3</v>
      </c>
      <c r="N328" s="877"/>
      <c r="O328" s="877"/>
      <c r="P328" s="877"/>
      <c r="Q328" s="877"/>
      <c r="R328" s="877"/>
      <c r="S328" s="877"/>
      <c r="T328" s="877"/>
      <c r="U328" s="877">
        <f t="shared" si="85"/>
        <v>3.1787421855899996E-3</v>
      </c>
      <c r="V328" s="877"/>
      <c r="W328" s="878"/>
      <c r="X328" s="877"/>
      <c r="Y328" s="879"/>
      <c r="Z328" s="877"/>
      <c r="AA328" s="877"/>
      <c r="AB328" s="877"/>
      <c r="AC328" s="877"/>
      <c r="AD328" s="886"/>
      <c r="AE328" s="877"/>
      <c r="AF328" s="879"/>
      <c r="AG328" s="877"/>
      <c r="AH328" s="877"/>
      <c r="AI328" s="877"/>
      <c r="AJ328" s="877"/>
      <c r="AK328" s="886"/>
      <c r="AL328" s="877"/>
      <c r="AM328" s="879"/>
      <c r="AN328" s="877"/>
      <c r="AO328" s="877"/>
      <c r="AP328" s="877"/>
      <c r="AQ328" s="877"/>
      <c r="AR328" s="886"/>
      <c r="AS328" s="877"/>
      <c r="AT328" s="879"/>
      <c r="AU328" s="877"/>
      <c r="AV328" s="877"/>
      <c r="AW328" s="877"/>
      <c r="AX328" s="877"/>
      <c r="AY328" s="886"/>
      <c r="AZ328" s="877"/>
      <c r="BA328" s="879"/>
      <c r="BB328" s="877"/>
      <c r="BC328" s="877"/>
      <c r="BD328" s="877"/>
      <c r="BE328" s="877"/>
      <c r="BF328" s="886"/>
      <c r="BG328" s="877"/>
      <c r="BH328" s="879"/>
      <c r="BI328" s="877"/>
      <c r="BJ328" s="877"/>
      <c r="BK328" s="877"/>
      <c r="BL328" s="877"/>
      <c r="BM328" s="886"/>
      <c r="BN328" s="877"/>
      <c r="BO328" s="879"/>
      <c r="BP328" s="877"/>
      <c r="BQ328" s="877"/>
      <c r="BR328" s="877"/>
      <c r="BS328" s="877"/>
      <c r="BT328" s="886"/>
      <c r="BU328" s="877"/>
      <c r="BV328" s="879"/>
      <c r="BW328" s="886"/>
      <c r="BX328" s="877"/>
      <c r="BY328" s="877"/>
      <c r="BZ328" s="877"/>
      <c r="CA328" s="877"/>
      <c r="CB328" s="877"/>
      <c r="CC328" s="877"/>
      <c r="CD328" s="877"/>
      <c r="CE328" s="877"/>
    </row>
    <row r="329" spans="1:83">
      <c r="A329" s="108" t="s">
        <v>134</v>
      </c>
      <c r="B329" s="93" t="s">
        <v>121</v>
      </c>
      <c r="C329" s="87">
        <f>'Input data plant-based products'!D167</f>
        <v>0.57023906231867239</v>
      </c>
      <c r="E329" s="513" t="s">
        <v>316</v>
      </c>
      <c r="F329" s="872">
        <f>SUMPRODUCT($CJ$6:$CJ$8,F330:F332)</f>
        <v>2.8290162378630734</v>
      </c>
      <c r="G329" s="872">
        <f>SUMPRODUCT($CJ$6:$CJ$8,G330:G332)</f>
        <v>2.8790162378630733</v>
      </c>
      <c r="H329" s="873">
        <f>SUMPRODUCT($CJ$6:$CJ$8,H330:H332)</f>
        <v>3.7977901217944767</v>
      </c>
      <c r="I329" s="1277"/>
      <c r="J329" s="884"/>
      <c r="K329" s="884"/>
      <c r="L329" s="884"/>
      <c r="M329" s="884"/>
      <c r="N329" s="884"/>
      <c r="O329" s="884"/>
      <c r="P329" s="884"/>
      <c r="Q329" s="884"/>
      <c r="R329" s="884"/>
      <c r="S329" s="884"/>
      <c r="T329" s="884"/>
      <c r="U329" s="884"/>
      <c r="V329" s="884"/>
      <c r="W329" s="1278"/>
      <c r="X329" s="877"/>
      <c r="Y329" s="879">
        <f>1/'Input data plant-based products'!E167*10^4</f>
        <v>6.968641114982578</v>
      </c>
      <c r="Z329" s="877">
        <f>$Y329*'Input data plant-based products'!Z167</f>
        <v>6.968641114982578</v>
      </c>
      <c r="AA329" s="877">
        <f>$Y329*'Input data plant-based products'!AA167</f>
        <v>15.485869144405729</v>
      </c>
      <c r="AB329" s="877">
        <f>$Y329*'Input data plant-based products'!AB167</f>
        <v>15.485869144405729</v>
      </c>
      <c r="AC329" s="877">
        <f>$Y329*'Input data plant-based products'!AC167</f>
        <v>17.508721810002566</v>
      </c>
      <c r="AD329" s="886">
        <f>$Y329*'Input data plant-based products'!AD167</f>
        <v>18.238251885419341</v>
      </c>
      <c r="AE329" s="877"/>
      <c r="AF329" s="879">
        <f>SUM('Input data plant-based products'!F167,'Input data plant-based products'!Q167)/'Input data plant-based products'!E167</f>
        <v>7.9522099999999998E-2</v>
      </c>
      <c r="AG329" s="877">
        <f>$AF329*'Input data plant-based products'!Z167</f>
        <v>7.9522099999999998E-2</v>
      </c>
      <c r="AH329" s="877">
        <f>$AF329*'Input data plant-based products'!AA167</f>
        <v>0.17671577777777778</v>
      </c>
      <c r="AI329" s="877">
        <f>$AF329*'Input data plant-based products'!AB167</f>
        <v>0.17671577777777778</v>
      </c>
      <c r="AJ329" s="877">
        <f>$AF329*'Input data plant-based products'!AC167</f>
        <v>0.19979940187387393</v>
      </c>
      <c r="AK329" s="886">
        <f>$AF329*'Input data plant-based products'!AD167</f>
        <v>0.20812437695195202</v>
      </c>
      <c r="AL329" s="877"/>
      <c r="AM329" s="879">
        <f>'Input data plant-based products'!R167/'Input data plant-based products'!E167</f>
        <v>0</v>
      </c>
      <c r="AN329" s="877">
        <f>$AM329*'Input data plant-based products'!Z167</f>
        <v>0</v>
      </c>
      <c r="AO329" s="877">
        <f>$AM329*'Input data plant-based products'!AA167</f>
        <v>0</v>
      </c>
      <c r="AP329" s="877">
        <f>$AM329*'Input data plant-based products'!AB167</f>
        <v>0</v>
      </c>
      <c r="AQ329" s="877">
        <f>$AM329*'Input data plant-based products'!AC167</f>
        <v>0</v>
      </c>
      <c r="AR329" s="886">
        <f>$AM329*'Input data plant-based products'!AD167</f>
        <v>0</v>
      </c>
      <c r="AS329" s="877"/>
      <c r="AT329" s="879">
        <f>'Input data plant-based products'!S167</f>
        <v>1.90798434898715</v>
      </c>
      <c r="AU329" s="877">
        <f>$AT329*'Input data plant-based products'!Z167</f>
        <v>1.90798434898715</v>
      </c>
      <c r="AV329" s="877">
        <f>$AT329*'Input data plant-based products'!AA167</f>
        <v>4.2399652199714444</v>
      </c>
      <c r="AW329" s="877">
        <f>$AT329*'Input data plant-based products'!AB167</f>
        <v>4.2399652199714444</v>
      </c>
      <c r="AX329" s="877">
        <f>$AT329*'Input data plant-based products'!AC167</f>
        <v>4.7938136909405733</v>
      </c>
      <c r="AY329" s="886">
        <f>$AT329*'Input data plant-based products'!AD167</f>
        <v>4.9935559280630963</v>
      </c>
      <c r="AZ329" s="877"/>
      <c r="BA329" s="879">
        <f>((SUM('Input data plant-based products'!U167:Y167)*Y329)/('Common input data'!$B$192/10^6))/$BB$3</f>
        <v>6.5007558190932862E-9</v>
      </c>
      <c r="BB329" s="877">
        <f>$BA329*'Input data plant-based products'!Z167</f>
        <v>6.5007558190932862E-9</v>
      </c>
      <c r="BC329" s="877">
        <f>$BA329*'Input data plant-based products'!AA167</f>
        <v>1.4446124042429525E-8</v>
      </c>
      <c r="BD329" s="877">
        <f>$BA329*'Input data plant-based products'!AB167</f>
        <v>1.4446124042429525E-8</v>
      </c>
      <c r="BE329" s="877">
        <f>$BA329*'Input data plant-based products'!AC167</f>
        <v>1.6333159264945771E-8</v>
      </c>
      <c r="BF329" s="886">
        <f>$BA329*'Input data plant-based products'!AD167</f>
        <v>1.7013707567651844E-8</v>
      </c>
      <c r="BG329" s="877"/>
      <c r="BH329" s="879">
        <f>'Input data plant-based products'!T167/'Input data plant-based products'!E167</f>
        <v>2.8208910868832192E-3</v>
      </c>
      <c r="BI329" s="877">
        <f>$BH329*'Input data plant-based products'!Z167</f>
        <v>2.8208910868832192E-3</v>
      </c>
      <c r="BJ329" s="877">
        <f>$BH329*'Input data plant-based products'!AA167</f>
        <v>6.2686468597404872E-3</v>
      </c>
      <c r="BK329" s="877">
        <f>$BH329*'Input data plant-based products'!AB167</f>
        <v>6.2686468597404872E-3</v>
      </c>
      <c r="BL329" s="877">
        <f>$BH329*'Input data plant-based products'!AC167</f>
        <v>7.0874933120555084E-3</v>
      </c>
      <c r="BM329" s="886">
        <f>$BH329*'Input data plant-based products'!AD167</f>
        <v>7.3828055333911551E-3</v>
      </c>
      <c r="BN329" s="877"/>
      <c r="BO329" s="879">
        <f>('Input data plant-based products'!F167/'Input data plant-based products'!E167*'Common input data'!$B$195+'Input data plant-based products'!G167/'Input data plant-based products'!E167*'Common input data'!$B$196)/'Common input data'!$B$198</f>
        <v>2.0304960796101949E-3</v>
      </c>
      <c r="BP329" s="877">
        <f>$BO329*'Input data plant-based products'!Z167</f>
        <v>2.0304960796101949E-3</v>
      </c>
      <c r="BQ329" s="877">
        <f>$BO329*'Input data plant-based products'!AA167</f>
        <v>4.5122135102448778E-3</v>
      </c>
      <c r="BR329" s="877">
        <f>$BO329*'Input data plant-based products'!AB167</f>
        <v>4.5122135102448778E-3</v>
      </c>
      <c r="BS329" s="877">
        <f>$BO329*'Input data plant-based products'!AC167</f>
        <v>5.1016246076670867E-3</v>
      </c>
      <c r="BT329" s="886">
        <f>$BO329*'Input data plant-based products'!AD167</f>
        <v>5.314192299653216E-3</v>
      </c>
      <c r="BU329" s="877"/>
      <c r="BV329" s="879">
        <f>('Common input data'!$B$228+'Common input data'!$C$228)*'Input data plant-based products'!AC167</f>
        <v>14.201762036500739</v>
      </c>
      <c r="BW329" s="886">
        <f>('Common input data'!$B$228+'Common input data'!$C$228)*'Input data plant-based products'!AD167</f>
        <v>14.793502121354935</v>
      </c>
      <c r="BX329" s="877"/>
      <c r="BY329" s="877"/>
      <c r="BZ329" s="877"/>
      <c r="CA329" s="877"/>
      <c r="CB329" s="877"/>
      <c r="CC329" s="877"/>
      <c r="CD329" s="877"/>
      <c r="CE329" s="877"/>
    </row>
    <row r="330" spans="1:83">
      <c r="A330" s="195"/>
      <c r="B330" s="55"/>
      <c r="C330" s="83"/>
      <c r="E330" s="511" t="s">
        <v>317</v>
      </c>
      <c r="F330" s="877">
        <f>IF(AND($F$2="No",$F$3="No"),SUM(L330:N330),IF(AND($F$2="Yes", $F$3="No"), (SUM(L330:M330)+S330), IF(AND($F$2="No", $F$3="Yes"),(SUM(L330:M330)+R330), (SUM(L330:M330)+S330+R330))))</f>
        <v>2.0564846618586188</v>
      </c>
      <c r="G330" s="877">
        <f>IF(AND($F$2="No",$F$3="No"),SUM(I330:Q330),IF(AND($F$2="Yes", $F$3="No"), (SUM(I330:Q330)+S330), IF(AND($F$2="No", $F$3="Yes"),(SUM(I330:Q330)+R330), (SUM(I330:Q330)+S330+R330))))</f>
        <v>2.1064846618586186</v>
      </c>
      <c r="H330" s="878">
        <f>SUM(U330:W330)/(1-'Common input data'!$I$143)</f>
        <v>2.9243460594964859</v>
      </c>
      <c r="I330" s="928"/>
      <c r="J330" s="877"/>
      <c r="K330" s="877"/>
      <c r="L330" s="877"/>
      <c r="M330" s="877">
        <v>2.14762371</v>
      </c>
      <c r="N330" s="877"/>
      <c r="O330" s="877"/>
      <c r="P330" s="877">
        <f>'Input data plant-based products'!$F$309</f>
        <v>0.05</v>
      </c>
      <c r="Q330" s="877"/>
      <c r="R330" s="877">
        <f>'Common input data'!$F$19</f>
        <v>-9.1139048141381296E-2</v>
      </c>
      <c r="S330" s="877"/>
      <c r="T330" s="877"/>
      <c r="U330" s="877">
        <f t="shared" si="85"/>
        <v>2.1064846618586186</v>
      </c>
      <c r="V330" s="877">
        <f>'Common input data'!$B$105</f>
        <v>0.05</v>
      </c>
      <c r="W330" s="878">
        <f>'Common input data'!$B$128+'Common input data'!$C$128</f>
        <v>0.43000000000000005</v>
      </c>
      <c r="X330" s="877"/>
      <c r="Y330" s="879"/>
      <c r="Z330" s="877"/>
      <c r="AA330" s="877"/>
      <c r="AB330" s="877"/>
      <c r="AC330" s="877"/>
      <c r="AD330" s="886"/>
      <c r="AE330" s="877"/>
      <c r="AF330" s="879"/>
      <c r="AG330" s="877"/>
      <c r="AH330" s="877"/>
      <c r="AI330" s="877"/>
      <c r="AJ330" s="877"/>
      <c r="AK330" s="886"/>
      <c r="AL330" s="877"/>
      <c r="AM330" s="879"/>
      <c r="AN330" s="877"/>
      <c r="AO330" s="877"/>
      <c r="AP330" s="877"/>
      <c r="AQ330" s="877"/>
      <c r="AR330" s="886"/>
      <c r="AS330" s="877"/>
      <c r="AT330" s="879"/>
      <c r="AU330" s="877"/>
      <c r="AV330" s="877"/>
      <c r="AW330" s="877"/>
      <c r="AX330" s="877"/>
      <c r="AY330" s="886"/>
      <c r="AZ330" s="877"/>
      <c r="BA330" s="879"/>
      <c r="BB330" s="877"/>
      <c r="BC330" s="877"/>
      <c r="BD330" s="877"/>
      <c r="BE330" s="877"/>
      <c r="BF330" s="886"/>
      <c r="BG330" s="877"/>
      <c r="BH330" s="879"/>
      <c r="BI330" s="877"/>
      <c r="BJ330" s="877"/>
      <c r="BK330" s="877"/>
      <c r="BL330" s="877"/>
      <c r="BM330" s="886"/>
      <c r="BN330" s="877"/>
      <c r="BO330" s="879"/>
      <c r="BP330" s="877"/>
      <c r="BQ330" s="877"/>
      <c r="BR330" s="877"/>
      <c r="BS330" s="877"/>
      <c r="BT330" s="886"/>
      <c r="BU330" s="877"/>
      <c r="BV330" s="879"/>
      <c r="BW330" s="886"/>
      <c r="BX330" s="877"/>
      <c r="BY330" s="877"/>
      <c r="BZ330" s="877"/>
      <c r="CA330" s="877"/>
      <c r="CB330" s="877"/>
      <c r="CC330" s="877"/>
      <c r="CD330" s="877"/>
      <c r="CE330" s="877"/>
    </row>
    <row r="331" spans="1:83">
      <c r="A331" s="195"/>
      <c r="B331" s="55"/>
      <c r="C331" s="83"/>
      <c r="E331" s="511" t="s">
        <v>367</v>
      </c>
      <c r="F331" s="877">
        <f>SUM(K331:M331)</f>
        <v>9.0107059648839999E-3</v>
      </c>
      <c r="G331" s="877">
        <f>SUM(I331:Q331)</f>
        <v>9.0107059648839999E-3</v>
      </c>
      <c r="H331" s="878">
        <f>SUM(U331:W331)/(1-'Common input data'!$I$143)</f>
        <v>1.018773583708588E-2</v>
      </c>
      <c r="I331" s="928"/>
      <c r="J331" s="877"/>
      <c r="K331" s="877"/>
      <c r="L331" s="877"/>
      <c r="M331" s="877">
        <v>9.0107059648839999E-3</v>
      </c>
      <c r="N331" s="877"/>
      <c r="O331" s="877"/>
      <c r="P331" s="877"/>
      <c r="Q331" s="877"/>
      <c r="R331" s="877"/>
      <c r="S331" s="877"/>
      <c r="T331" s="877"/>
      <c r="U331" s="877">
        <f t="shared" si="85"/>
        <v>9.0107059648839999E-3</v>
      </c>
      <c r="V331" s="877"/>
      <c r="W331" s="878"/>
      <c r="X331" s="877"/>
      <c r="Y331" s="879"/>
      <c r="Z331" s="877"/>
      <c r="AA331" s="877"/>
      <c r="AB331" s="877"/>
      <c r="AC331" s="877"/>
      <c r="AD331" s="886"/>
      <c r="AE331" s="877"/>
      <c r="AF331" s="879"/>
      <c r="AG331" s="877"/>
      <c r="AH331" s="877"/>
      <c r="AI331" s="877"/>
      <c r="AJ331" s="877"/>
      <c r="AK331" s="886"/>
      <c r="AL331" s="877"/>
      <c r="AM331" s="879"/>
      <c r="AN331" s="877"/>
      <c r="AO331" s="877"/>
      <c r="AP331" s="877"/>
      <c r="AQ331" s="877"/>
      <c r="AR331" s="886"/>
      <c r="AS331" s="877"/>
      <c r="AT331" s="879"/>
      <c r="AU331" s="877"/>
      <c r="AV331" s="877"/>
      <c r="AW331" s="877"/>
      <c r="AX331" s="877"/>
      <c r="AY331" s="886"/>
      <c r="AZ331" s="877"/>
      <c r="BA331" s="879"/>
      <c r="BB331" s="877"/>
      <c r="BC331" s="877"/>
      <c r="BD331" s="877"/>
      <c r="BE331" s="877"/>
      <c r="BF331" s="886"/>
      <c r="BG331" s="877"/>
      <c r="BH331" s="879"/>
      <c r="BI331" s="877"/>
      <c r="BJ331" s="877"/>
      <c r="BK331" s="877"/>
      <c r="BL331" s="877"/>
      <c r="BM331" s="886"/>
      <c r="BN331" s="877"/>
      <c r="BO331" s="879"/>
      <c r="BP331" s="877"/>
      <c r="BQ331" s="877"/>
      <c r="BR331" s="877"/>
      <c r="BS331" s="877"/>
      <c r="BT331" s="886"/>
      <c r="BU331" s="877"/>
      <c r="BV331" s="879"/>
      <c r="BW331" s="886"/>
      <c r="BX331" s="877"/>
      <c r="BY331" s="877"/>
      <c r="BZ331" s="877"/>
      <c r="CA331" s="877"/>
      <c r="CB331" s="877"/>
      <c r="CC331" s="877"/>
      <c r="CD331" s="877"/>
      <c r="CE331" s="877"/>
    </row>
    <row r="332" spans="1:83">
      <c r="A332" s="18"/>
      <c r="B332" s="360"/>
      <c r="C332" s="83"/>
      <c r="E332" s="512" t="s">
        <v>320</v>
      </c>
      <c r="F332" s="877">
        <f>SUM(K332:M332)</f>
        <v>3.1338251414999999E-3</v>
      </c>
      <c r="G332" s="877">
        <f>SUM(I332:Q332)</f>
        <v>3.1338251414999999E-3</v>
      </c>
      <c r="H332" s="878">
        <f>SUM(U332:W332)/(1-'Common input data'!$I$143)</f>
        <v>3.5431832783849237E-3</v>
      </c>
      <c r="I332" s="928"/>
      <c r="J332" s="877"/>
      <c r="K332" s="877"/>
      <c r="L332" s="877"/>
      <c r="M332" s="877">
        <v>3.1338251414999999E-3</v>
      </c>
      <c r="N332" s="877"/>
      <c r="O332" s="877"/>
      <c r="P332" s="877"/>
      <c r="Q332" s="877"/>
      <c r="R332" s="877"/>
      <c r="S332" s="877"/>
      <c r="T332" s="877"/>
      <c r="U332" s="877">
        <f t="shared" si="85"/>
        <v>3.1338251414999999E-3</v>
      </c>
      <c r="V332" s="877"/>
      <c r="W332" s="878"/>
      <c r="X332" s="877"/>
      <c r="Y332" s="879"/>
      <c r="Z332" s="877"/>
      <c r="AA332" s="877"/>
      <c r="AB332" s="877"/>
      <c r="AC332" s="877"/>
      <c r="AD332" s="886"/>
      <c r="AE332" s="877"/>
      <c r="AF332" s="879"/>
      <c r="AG332" s="877"/>
      <c r="AH332" s="877"/>
      <c r="AI332" s="877"/>
      <c r="AJ332" s="877"/>
      <c r="AK332" s="886"/>
      <c r="AL332" s="877"/>
      <c r="AM332" s="879"/>
      <c r="AN332" s="877"/>
      <c r="AO332" s="877"/>
      <c r="AP332" s="877"/>
      <c r="AQ332" s="877"/>
      <c r="AR332" s="886"/>
      <c r="AS332" s="877"/>
      <c r="AT332" s="879"/>
      <c r="AU332" s="877"/>
      <c r="AV332" s="877"/>
      <c r="AW332" s="877"/>
      <c r="AX332" s="877"/>
      <c r="AY332" s="886"/>
      <c r="AZ332" s="877"/>
      <c r="BA332" s="879"/>
      <c r="BB332" s="877"/>
      <c r="BC332" s="877"/>
      <c r="BD332" s="877"/>
      <c r="BE332" s="877"/>
      <c r="BF332" s="886"/>
      <c r="BG332" s="877"/>
      <c r="BH332" s="879"/>
      <c r="BI332" s="877"/>
      <c r="BJ332" s="877"/>
      <c r="BK332" s="877"/>
      <c r="BL332" s="877"/>
      <c r="BM332" s="886"/>
      <c r="BN332" s="877"/>
      <c r="BO332" s="879"/>
      <c r="BP332" s="877"/>
      <c r="BQ332" s="877"/>
      <c r="BR332" s="877"/>
      <c r="BS332" s="877"/>
      <c r="BT332" s="886"/>
      <c r="BU332" s="877"/>
      <c r="BV332" s="879"/>
      <c r="BW332" s="886"/>
      <c r="BX332" s="877"/>
      <c r="BY332" s="877"/>
      <c r="BZ332" s="877"/>
      <c r="CA332" s="877"/>
      <c r="CB332" s="877"/>
      <c r="CC332" s="877"/>
      <c r="CD332" s="877"/>
      <c r="CE332" s="877"/>
    </row>
    <row r="333" spans="1:83">
      <c r="A333" s="362" t="s">
        <v>197</v>
      </c>
      <c r="B333" s="363"/>
      <c r="C333" s="770"/>
      <c r="E333" s="939"/>
      <c r="F333" s="892" t="s">
        <v>473</v>
      </c>
      <c r="G333" s="892" t="s">
        <v>473</v>
      </c>
      <c r="H333" s="970" t="s">
        <v>473</v>
      </c>
      <c r="I333" s="969"/>
      <c r="J333" s="892"/>
      <c r="K333" s="892"/>
      <c r="L333" s="892"/>
      <c r="M333" s="892"/>
      <c r="N333" s="892"/>
      <c r="O333" s="892"/>
      <c r="P333" s="892"/>
      <c r="Q333" s="892"/>
      <c r="R333" s="892"/>
      <c r="S333" s="892"/>
      <c r="T333" s="892"/>
      <c r="U333" s="892"/>
      <c r="V333" s="892"/>
      <c r="W333" s="970"/>
      <c r="X333" s="877"/>
      <c r="Y333" s="879"/>
      <c r="Z333" s="877"/>
      <c r="AA333" s="877"/>
      <c r="AB333" s="877"/>
      <c r="AC333" s="877"/>
      <c r="AD333" s="886"/>
      <c r="AE333" s="877"/>
      <c r="AF333" s="879"/>
      <c r="AG333" s="877"/>
      <c r="AH333" s="877"/>
      <c r="AI333" s="877"/>
      <c r="AJ333" s="877"/>
      <c r="AK333" s="886"/>
      <c r="AL333" s="877"/>
      <c r="AM333" s="879"/>
      <c r="AN333" s="877"/>
      <c r="AO333" s="877"/>
      <c r="AP333" s="877"/>
      <c r="AQ333" s="877"/>
      <c r="AR333" s="886"/>
      <c r="AS333" s="877"/>
      <c r="AT333" s="879"/>
      <c r="AU333" s="877"/>
      <c r="AV333" s="877"/>
      <c r="AW333" s="877"/>
      <c r="AX333" s="877"/>
      <c r="AY333" s="886"/>
      <c r="AZ333" s="877"/>
      <c r="BA333" s="879"/>
      <c r="BB333" s="877"/>
      <c r="BC333" s="877"/>
      <c r="BD333" s="877"/>
      <c r="BE333" s="877"/>
      <c r="BF333" s="886"/>
      <c r="BG333" s="877"/>
      <c r="BH333" s="879"/>
      <c r="BI333" s="877"/>
      <c r="BJ333" s="877"/>
      <c r="BK333" s="877"/>
      <c r="BL333" s="877"/>
      <c r="BM333" s="886"/>
      <c r="BN333" s="877"/>
      <c r="BO333" s="879"/>
      <c r="BP333" s="877"/>
      <c r="BQ333" s="877"/>
      <c r="BR333" s="877"/>
      <c r="BS333" s="877"/>
      <c r="BT333" s="886"/>
      <c r="BU333" s="877"/>
      <c r="BV333" s="879"/>
      <c r="BW333" s="886"/>
      <c r="BX333" s="877"/>
      <c r="BY333" s="877"/>
      <c r="BZ333" s="877"/>
      <c r="CA333" s="877"/>
      <c r="CB333" s="877"/>
      <c r="CC333" s="877"/>
      <c r="CD333" s="877"/>
      <c r="CE333" s="877"/>
    </row>
    <row r="334" spans="1:83">
      <c r="A334" s="108" t="s">
        <v>120</v>
      </c>
      <c r="B334" s="93" t="s">
        <v>121</v>
      </c>
      <c r="C334" s="87">
        <f>SUM(C338:C342)</f>
        <v>1</v>
      </c>
      <c r="E334" s="513" t="s">
        <v>316</v>
      </c>
      <c r="F334" s="872">
        <f>SUMPRODUCT($CJ$6:$CJ$8,F335:F337)</f>
        <v>0.98716212336829212</v>
      </c>
      <c r="G334" s="872">
        <f>SUMPRODUCT($CJ$6:$CJ$8,G335:G337)</f>
        <v>1.0371621233682919</v>
      </c>
      <c r="H334" s="873">
        <f>SUMPRODUCT($CJ$6:$CJ$8,H335:H337)</f>
        <v>1.6923564550945223</v>
      </c>
      <c r="I334" s="1277"/>
      <c r="J334" s="884"/>
      <c r="K334" s="884"/>
      <c r="L334" s="884"/>
      <c r="M334" s="884"/>
      <c r="N334" s="884"/>
      <c r="O334" s="884"/>
      <c r="P334" s="884"/>
      <c r="Q334" s="884"/>
      <c r="R334" s="884"/>
      <c r="S334" s="884"/>
      <c r="T334" s="884"/>
      <c r="U334" s="884"/>
      <c r="V334" s="884"/>
      <c r="W334" s="1278"/>
      <c r="X334" s="877"/>
      <c r="Y334" s="883">
        <f>Y338*$C$338+Y342*$C$342</f>
        <v>6.0886507660856024</v>
      </c>
      <c r="Z334" s="884">
        <f t="shared" ref="Z334:BT334" si="86">Z338*$C$338+Z342*$C$342</f>
        <v>6.0886507660856024</v>
      </c>
      <c r="AA334" s="884">
        <f t="shared" si="86"/>
        <v>8.3981389877042805</v>
      </c>
      <c r="AB334" s="884">
        <f t="shared" si="86"/>
        <v>8.3981389877042805</v>
      </c>
      <c r="AC334" s="884">
        <f t="shared" si="86"/>
        <v>9.4237100507917742</v>
      </c>
      <c r="AD334" s="885">
        <f t="shared" si="86"/>
        <v>9.8163646362414294</v>
      </c>
      <c r="AE334" s="877"/>
      <c r="AF334" s="883">
        <f t="shared" si="86"/>
        <v>7.0744648015251613E-2</v>
      </c>
      <c r="AG334" s="884">
        <f t="shared" si="86"/>
        <v>7.0744648015251613E-2</v>
      </c>
      <c r="AH334" s="884">
        <f t="shared" si="86"/>
        <v>9.7578824848622916E-2</v>
      </c>
      <c r="AI334" s="884">
        <f t="shared" si="86"/>
        <v>9.7578824848622916E-2</v>
      </c>
      <c r="AJ334" s="884">
        <f t="shared" si="86"/>
        <v>0.10954641245778522</v>
      </c>
      <c r="AK334" s="885">
        <f t="shared" si="86"/>
        <v>0.11411084631019294</v>
      </c>
      <c r="AL334" s="877"/>
      <c r="AM334" s="883">
        <f t="shared" si="86"/>
        <v>1.0708505360171199E-2</v>
      </c>
      <c r="AN334" s="884">
        <f t="shared" si="86"/>
        <v>1.0708505360171199E-2</v>
      </c>
      <c r="AO334" s="884">
        <f t="shared" si="86"/>
        <v>1.4770352220925792E-2</v>
      </c>
      <c r="AP334" s="884">
        <f t="shared" si="86"/>
        <v>1.4770352220925792E-2</v>
      </c>
      <c r="AQ334" s="884">
        <f t="shared" si="86"/>
        <v>1.6342530918455177E-2</v>
      </c>
      <c r="AR334" s="885">
        <f t="shared" si="86"/>
        <v>1.7023469706724144E-2</v>
      </c>
      <c r="AS334" s="877"/>
      <c r="AT334" s="883">
        <f t="shared" si="86"/>
        <v>0.1612026431577363</v>
      </c>
      <c r="AU334" s="884">
        <f t="shared" si="86"/>
        <v>0.1612026431577363</v>
      </c>
      <c r="AV334" s="884">
        <f t="shared" si="86"/>
        <v>0.22234847332101559</v>
      </c>
      <c r="AW334" s="884">
        <f t="shared" si="86"/>
        <v>0.22234847332101559</v>
      </c>
      <c r="AX334" s="884">
        <f t="shared" si="86"/>
        <v>0.24879987256908467</v>
      </c>
      <c r="AY334" s="885">
        <f t="shared" si="86"/>
        <v>0.25916653392612987</v>
      </c>
      <c r="AZ334" s="877"/>
      <c r="BA334" s="883">
        <f t="shared" si="86"/>
        <v>8.1263154895318814E-10</v>
      </c>
      <c r="BB334" s="884">
        <f t="shared" si="86"/>
        <v>8.1263154895318814E-10</v>
      </c>
      <c r="BC334" s="884">
        <f t="shared" si="86"/>
        <v>1.1208711020043976E-9</v>
      </c>
      <c r="BD334" s="884">
        <f t="shared" si="86"/>
        <v>1.1208711020043976E-9</v>
      </c>
      <c r="BE334" s="884">
        <f t="shared" si="86"/>
        <v>1.2550333344915176E-9</v>
      </c>
      <c r="BF334" s="885">
        <f t="shared" si="86"/>
        <v>1.3073263900953308E-9</v>
      </c>
      <c r="BG334" s="877"/>
      <c r="BH334" s="883">
        <f t="shared" si="86"/>
        <v>3.1994436537356526E-3</v>
      </c>
      <c r="BI334" s="884">
        <f t="shared" si="86"/>
        <v>3.1994436537356526E-3</v>
      </c>
      <c r="BJ334" s="884">
        <f t="shared" si="86"/>
        <v>4.413025729290556E-3</v>
      </c>
      <c r="BK334" s="884">
        <f t="shared" si="86"/>
        <v>4.413025729290556E-3</v>
      </c>
      <c r="BL334" s="884">
        <f t="shared" si="86"/>
        <v>4.9565599652263677E-3</v>
      </c>
      <c r="BM334" s="885">
        <f t="shared" si="86"/>
        <v>5.163083297110801E-3</v>
      </c>
      <c r="BN334" s="877"/>
      <c r="BO334" s="883">
        <f t="shared" si="86"/>
        <v>5.7819369098926457E-4</v>
      </c>
      <c r="BP334" s="884">
        <f t="shared" si="86"/>
        <v>5.7819369098926457E-4</v>
      </c>
      <c r="BQ334" s="884">
        <f t="shared" si="86"/>
        <v>7.9750853929553742E-4</v>
      </c>
      <c r="BR334" s="884">
        <f t="shared" si="86"/>
        <v>7.9750853929553742E-4</v>
      </c>
      <c r="BS334" s="884">
        <f t="shared" si="86"/>
        <v>8.962111306683152E-4</v>
      </c>
      <c r="BT334" s="885">
        <f t="shared" si="86"/>
        <v>9.3355326111282835E-4</v>
      </c>
      <c r="BU334" s="877"/>
      <c r="BV334" s="883">
        <f>BV338*$C$338+BV342*$C$342</f>
        <v>8.6696100450449354</v>
      </c>
      <c r="BW334" s="885">
        <f>BW338*$C$338+BW342*$C$342</f>
        <v>9.0308437969218076</v>
      </c>
      <c r="BX334" s="877"/>
      <c r="BY334" s="877"/>
      <c r="BZ334" s="877"/>
      <c r="CA334" s="877"/>
      <c r="CB334" s="877"/>
      <c r="CC334" s="877"/>
      <c r="CD334" s="877"/>
      <c r="CE334" s="877"/>
    </row>
    <row r="335" spans="1:83">
      <c r="A335" s="195"/>
      <c r="B335" s="55"/>
      <c r="C335" s="83"/>
      <c r="E335" s="511" t="s">
        <v>317</v>
      </c>
      <c r="F335" s="877">
        <f t="shared" ref="F335:H337" si="87">F339*$C$338+F343*$C$342</f>
        <v>0.660996715586602</v>
      </c>
      <c r="G335" s="877">
        <f t="shared" si="87"/>
        <v>0.71099671558660194</v>
      </c>
      <c r="H335" s="878">
        <f t="shared" si="87"/>
        <v>1.3260073599124185</v>
      </c>
      <c r="I335" s="928">
        <f t="shared" ref="I335:W337" si="88">I339*$C$338+I343*$C$342</f>
        <v>0</v>
      </c>
      <c r="J335" s="877">
        <f t="shared" si="88"/>
        <v>0</v>
      </c>
      <c r="K335" s="877">
        <f t="shared" si="88"/>
        <v>0</v>
      </c>
      <c r="L335" s="877">
        <f t="shared" si="88"/>
        <v>0</v>
      </c>
      <c r="M335" s="877">
        <f t="shared" si="88"/>
        <v>0.42270550934959999</v>
      </c>
      <c r="N335" s="877">
        <f t="shared" si="88"/>
        <v>0</v>
      </c>
      <c r="O335" s="877">
        <f t="shared" si="88"/>
        <v>0</v>
      </c>
      <c r="P335" s="877">
        <f t="shared" si="88"/>
        <v>0.05</v>
      </c>
      <c r="Q335" s="877">
        <f t="shared" si="88"/>
        <v>0</v>
      </c>
      <c r="R335" s="877">
        <f t="shared" si="88"/>
        <v>0.23829120623700201</v>
      </c>
      <c r="S335" s="877">
        <f t="shared" si="88"/>
        <v>0</v>
      </c>
      <c r="T335" s="877">
        <f t="shared" si="88"/>
        <v>0</v>
      </c>
      <c r="U335" s="877">
        <f t="shared" si="88"/>
        <v>0.71099671558660194</v>
      </c>
      <c r="V335" s="877">
        <f t="shared" si="88"/>
        <v>0.05</v>
      </c>
      <c r="W335" s="878">
        <f t="shared" si="88"/>
        <v>0.41897682306387796</v>
      </c>
      <c r="X335" s="877"/>
      <c r="Y335" s="879"/>
      <c r="Z335" s="877"/>
      <c r="AA335" s="877"/>
      <c r="AB335" s="877"/>
      <c r="AC335" s="877"/>
      <c r="AD335" s="886"/>
      <c r="AE335" s="877"/>
      <c r="AF335" s="879"/>
      <c r="AG335" s="877"/>
      <c r="AH335" s="877"/>
      <c r="AI335" s="877"/>
      <c r="AJ335" s="877"/>
      <c r="AK335" s="886"/>
      <c r="AL335" s="877"/>
      <c r="AM335" s="879"/>
      <c r="AN335" s="877"/>
      <c r="AO335" s="877"/>
      <c r="AP335" s="877"/>
      <c r="AQ335" s="877"/>
      <c r="AR335" s="886"/>
      <c r="AS335" s="877"/>
      <c r="AT335" s="879"/>
      <c r="AU335" s="877"/>
      <c r="AV335" s="877"/>
      <c r="AW335" s="877"/>
      <c r="AX335" s="877"/>
      <c r="AY335" s="886"/>
      <c r="AZ335" s="877"/>
      <c r="BA335" s="879"/>
      <c r="BB335" s="877"/>
      <c r="BC335" s="877"/>
      <c r="BD335" s="877"/>
      <c r="BE335" s="877"/>
      <c r="BF335" s="886"/>
      <c r="BG335" s="877"/>
      <c r="BH335" s="879"/>
      <c r="BI335" s="877"/>
      <c r="BJ335" s="877"/>
      <c r="BK335" s="877"/>
      <c r="BL335" s="877"/>
      <c r="BM335" s="886"/>
      <c r="BN335" s="877"/>
      <c r="BO335" s="879"/>
      <c r="BP335" s="877"/>
      <c r="BQ335" s="877"/>
      <c r="BR335" s="877"/>
      <c r="BS335" s="877"/>
      <c r="BT335" s="886"/>
      <c r="BU335" s="877"/>
      <c r="BV335" s="879"/>
      <c r="BW335" s="886"/>
      <c r="BX335" s="877"/>
      <c r="BY335" s="877"/>
      <c r="BZ335" s="877"/>
      <c r="CA335" s="877"/>
      <c r="CB335" s="877"/>
      <c r="CC335" s="877"/>
      <c r="CD335" s="877"/>
      <c r="CE335" s="877"/>
    </row>
    <row r="336" spans="1:83">
      <c r="A336" s="195"/>
      <c r="B336" s="55"/>
      <c r="C336" s="83"/>
      <c r="E336" s="511" t="s">
        <v>367</v>
      </c>
      <c r="F336" s="877">
        <f t="shared" si="87"/>
        <v>6.9015719410000002E-4</v>
      </c>
      <c r="G336" s="877">
        <f t="shared" si="87"/>
        <v>6.9015719410000002E-4</v>
      </c>
      <c r="H336" s="878">
        <f t="shared" si="87"/>
        <v>7.7518479139634911E-4</v>
      </c>
      <c r="I336" s="928">
        <f t="shared" ref="I336:U336" si="89">I340*$C$338+I344*$C$342</f>
        <v>0</v>
      </c>
      <c r="J336" s="877">
        <f t="shared" si="89"/>
        <v>0</v>
      </c>
      <c r="K336" s="877">
        <f t="shared" si="89"/>
        <v>0</v>
      </c>
      <c r="L336" s="877">
        <f t="shared" si="89"/>
        <v>0</v>
      </c>
      <c r="M336" s="877">
        <f t="shared" si="89"/>
        <v>6.9015719410000002E-4</v>
      </c>
      <c r="N336" s="877">
        <f t="shared" si="89"/>
        <v>0</v>
      </c>
      <c r="O336" s="877">
        <f t="shared" si="89"/>
        <v>0</v>
      </c>
      <c r="P336" s="877">
        <f t="shared" si="89"/>
        <v>0</v>
      </c>
      <c r="Q336" s="877">
        <f t="shared" si="89"/>
        <v>0</v>
      </c>
      <c r="R336" s="877">
        <f t="shared" si="89"/>
        <v>0</v>
      </c>
      <c r="S336" s="877">
        <f t="shared" si="89"/>
        <v>0</v>
      </c>
      <c r="T336" s="877">
        <f t="shared" si="89"/>
        <v>0</v>
      </c>
      <c r="U336" s="877">
        <f t="shared" si="89"/>
        <v>6.9015719410000002E-4</v>
      </c>
      <c r="V336" s="877">
        <f t="shared" si="88"/>
        <v>0</v>
      </c>
      <c r="W336" s="878">
        <f t="shared" si="88"/>
        <v>0</v>
      </c>
      <c r="X336" s="877"/>
      <c r="Y336" s="879"/>
      <c r="Z336" s="877"/>
      <c r="AA336" s="877"/>
      <c r="AB336" s="877"/>
      <c r="AC336" s="877"/>
      <c r="AD336" s="886"/>
      <c r="AE336" s="877"/>
      <c r="AF336" s="879"/>
      <c r="AG336" s="877"/>
      <c r="AH336" s="877"/>
      <c r="AI336" s="877"/>
      <c r="AJ336" s="877"/>
      <c r="AK336" s="886"/>
      <c r="AL336" s="877"/>
      <c r="AM336" s="879"/>
      <c r="AN336" s="877"/>
      <c r="AO336" s="877"/>
      <c r="AP336" s="877"/>
      <c r="AQ336" s="877"/>
      <c r="AR336" s="886"/>
      <c r="AS336" s="877"/>
      <c r="AT336" s="879"/>
      <c r="AU336" s="877"/>
      <c r="AV336" s="877"/>
      <c r="AW336" s="877"/>
      <c r="AX336" s="877"/>
      <c r="AY336" s="886"/>
      <c r="AZ336" s="877"/>
      <c r="BA336" s="879"/>
      <c r="BB336" s="877"/>
      <c r="BC336" s="877"/>
      <c r="BD336" s="877"/>
      <c r="BE336" s="877"/>
      <c r="BF336" s="886"/>
      <c r="BG336" s="877"/>
      <c r="BH336" s="879"/>
      <c r="BI336" s="877"/>
      <c r="BJ336" s="877"/>
      <c r="BK336" s="877"/>
      <c r="BL336" s="877"/>
      <c r="BM336" s="886"/>
      <c r="BN336" s="877"/>
      <c r="BO336" s="879"/>
      <c r="BP336" s="877"/>
      <c r="BQ336" s="877"/>
      <c r="BR336" s="877"/>
      <c r="BS336" s="877"/>
      <c r="BT336" s="886"/>
      <c r="BU336" s="877"/>
      <c r="BV336" s="879"/>
      <c r="BW336" s="886"/>
      <c r="BX336" s="877"/>
      <c r="BY336" s="877"/>
      <c r="BZ336" s="877"/>
      <c r="CA336" s="877"/>
      <c r="CB336" s="877"/>
      <c r="CC336" s="877"/>
      <c r="CD336" s="877"/>
      <c r="CE336" s="877"/>
    </row>
    <row r="337" spans="1:83">
      <c r="A337" s="18"/>
      <c r="B337" s="360"/>
      <c r="C337" s="83"/>
      <c r="E337" s="512" t="s">
        <v>320</v>
      </c>
      <c r="F337" s="877">
        <f t="shared" si="87"/>
        <v>1.3859299097400001E-3</v>
      </c>
      <c r="G337" s="877">
        <f t="shared" si="87"/>
        <v>1.3859299097400001E-3</v>
      </c>
      <c r="H337" s="878">
        <f t="shared" si="87"/>
        <v>1.5566769384658405E-3</v>
      </c>
      <c r="I337" s="928">
        <f t="shared" si="88"/>
        <v>0</v>
      </c>
      <c r="J337" s="877">
        <f t="shared" si="88"/>
        <v>0</v>
      </c>
      <c r="K337" s="877">
        <f t="shared" si="88"/>
        <v>0</v>
      </c>
      <c r="L337" s="877">
        <f t="shared" si="88"/>
        <v>0</v>
      </c>
      <c r="M337" s="877">
        <f t="shared" si="88"/>
        <v>1.3859299097400001E-3</v>
      </c>
      <c r="N337" s="877">
        <f t="shared" si="88"/>
        <v>0</v>
      </c>
      <c r="O337" s="877">
        <f t="shared" si="88"/>
        <v>0</v>
      </c>
      <c r="P337" s="877">
        <f t="shared" si="88"/>
        <v>0</v>
      </c>
      <c r="Q337" s="877">
        <f t="shared" si="88"/>
        <v>0</v>
      </c>
      <c r="R337" s="877">
        <f t="shared" si="88"/>
        <v>0</v>
      </c>
      <c r="S337" s="877">
        <f t="shared" si="88"/>
        <v>0</v>
      </c>
      <c r="T337" s="877">
        <f t="shared" si="88"/>
        <v>0</v>
      </c>
      <c r="U337" s="877">
        <f t="shared" si="88"/>
        <v>1.3859299097400001E-3</v>
      </c>
      <c r="V337" s="877">
        <f t="shared" si="88"/>
        <v>0</v>
      </c>
      <c r="W337" s="878">
        <f t="shared" si="88"/>
        <v>0</v>
      </c>
      <c r="X337" s="877"/>
      <c r="Y337" s="879"/>
      <c r="Z337" s="877"/>
      <c r="AA337" s="877"/>
      <c r="AB337" s="877"/>
      <c r="AC337" s="877"/>
      <c r="AD337" s="886"/>
      <c r="AE337" s="877"/>
      <c r="AF337" s="879"/>
      <c r="AG337" s="877"/>
      <c r="AH337" s="877"/>
      <c r="AI337" s="877"/>
      <c r="AJ337" s="877"/>
      <c r="AK337" s="886"/>
      <c r="AL337" s="877"/>
      <c r="AM337" s="879"/>
      <c r="AN337" s="877"/>
      <c r="AO337" s="877"/>
      <c r="AP337" s="877"/>
      <c r="AQ337" s="877"/>
      <c r="AR337" s="886"/>
      <c r="AS337" s="877"/>
      <c r="AT337" s="879"/>
      <c r="AU337" s="877"/>
      <c r="AV337" s="877"/>
      <c r="AW337" s="877"/>
      <c r="AX337" s="877"/>
      <c r="AY337" s="886"/>
      <c r="AZ337" s="877"/>
      <c r="BA337" s="879"/>
      <c r="BB337" s="877"/>
      <c r="BC337" s="877"/>
      <c r="BD337" s="877"/>
      <c r="BE337" s="877"/>
      <c r="BF337" s="886"/>
      <c r="BG337" s="877"/>
      <c r="BH337" s="879"/>
      <c r="BI337" s="877"/>
      <c r="BJ337" s="877"/>
      <c r="BK337" s="877"/>
      <c r="BL337" s="877"/>
      <c r="BM337" s="886"/>
      <c r="BN337" s="877"/>
      <c r="BO337" s="879"/>
      <c r="BP337" s="877"/>
      <c r="BQ337" s="877"/>
      <c r="BR337" s="877"/>
      <c r="BS337" s="877"/>
      <c r="BT337" s="886"/>
      <c r="BU337" s="877"/>
      <c r="BV337" s="879"/>
      <c r="BW337" s="886"/>
      <c r="BX337" s="877"/>
      <c r="BY337" s="877"/>
      <c r="BZ337" s="877"/>
      <c r="CA337" s="877"/>
      <c r="CB337" s="877"/>
      <c r="CC337" s="877"/>
      <c r="CD337" s="877"/>
      <c r="CE337" s="877"/>
    </row>
    <row r="338" spans="1:83">
      <c r="A338" s="108" t="s">
        <v>149</v>
      </c>
      <c r="B338" s="93" t="s">
        <v>121</v>
      </c>
      <c r="C338" s="87">
        <f>'Input data plant-based products'!D159</f>
        <v>0.11023176936122103</v>
      </c>
      <c r="E338" s="513" t="s">
        <v>316</v>
      </c>
      <c r="F338" s="872">
        <f>SUMPRODUCT($CJ$6:$CJ$8,F339:F341)</f>
        <v>0.98716212336829212</v>
      </c>
      <c r="G338" s="872">
        <f>SUMPRODUCT($CJ$6:$CJ$8,G339:G341)</f>
        <v>1.0371621233682919</v>
      </c>
      <c r="H338" s="873">
        <f>SUMPRODUCT($CJ$6:$CJ$8,H339:H341)</f>
        <v>1.5068177813591623</v>
      </c>
      <c r="I338" s="1277"/>
      <c r="J338" s="884"/>
      <c r="K338" s="884"/>
      <c r="L338" s="884"/>
      <c r="M338" s="884"/>
      <c r="N338" s="884"/>
      <c r="O338" s="884"/>
      <c r="P338" s="884"/>
      <c r="Q338" s="884"/>
      <c r="R338" s="884"/>
      <c r="S338" s="884"/>
      <c r="T338" s="884"/>
      <c r="U338" s="884"/>
      <c r="V338" s="884"/>
      <c r="W338" s="1278"/>
      <c r="X338" s="877"/>
      <c r="Y338" s="879">
        <f>1/'Input data plant-based products'!E159*10^4</f>
        <v>6.9754464285714288</v>
      </c>
      <c r="Z338" s="877">
        <f>$Y338*'Input data plant-based products'!Z159</f>
        <v>6.9754464285714288</v>
      </c>
      <c r="AA338" s="877">
        <f>$Y338*'Input data plant-based products'!AA159</f>
        <v>9.6213054187192135</v>
      </c>
      <c r="AB338" s="877">
        <f>$Y338*'Input data plant-based products'!AB159</f>
        <v>9.6213054187192135</v>
      </c>
      <c r="AC338" s="877">
        <f>$Y338*'Input data plant-based products'!AC159</f>
        <v>10.229989812566947</v>
      </c>
      <c r="AD338" s="886">
        <f>$Y338*'Input data plant-based products'!AD159</f>
        <v>10.656239388090569</v>
      </c>
      <c r="AE338" s="877"/>
      <c r="AF338" s="879">
        <f>SUM('Input data plant-based products'!F159,'Input data plant-based products'!Q159)/'Input data plant-based products'!E159</f>
        <v>7.6032366071428575E-2</v>
      </c>
      <c r="AG338" s="877">
        <f>$AF338*'Input data plant-based products'!Z159</f>
        <v>7.6032366071428575E-2</v>
      </c>
      <c r="AH338" s="877">
        <f>$AF338*'Input data plant-based products'!AA159</f>
        <v>0.10487222906403942</v>
      </c>
      <c r="AI338" s="877">
        <f>$AF338*'Input data plant-based products'!AB159</f>
        <v>0.10487222906403942</v>
      </c>
      <c r="AJ338" s="877">
        <f>$AF338*'Input data plant-based products'!AC159</f>
        <v>0.11150688895697972</v>
      </c>
      <c r="AK338" s="886">
        <f>$AF338*'Input data plant-based products'!AD159</f>
        <v>0.11615300933018721</v>
      </c>
      <c r="AL338" s="877"/>
      <c r="AM338" s="879">
        <f>'Input data plant-based products'!R159/'Input data plant-based products'!E159</f>
        <v>3.4877232142857144E-2</v>
      </c>
      <c r="AN338" s="877">
        <f>$AM338*'Input data plant-based products'!Z159</f>
        <v>3.4877232142857144E-2</v>
      </c>
      <c r="AO338" s="877">
        <f>$AM338*'Input data plant-based products'!AA159</f>
        <v>4.8106527093596065E-2</v>
      </c>
      <c r="AP338" s="877">
        <f>$AM338*'Input data plant-based products'!AB159</f>
        <v>4.8106527093596065E-2</v>
      </c>
      <c r="AQ338" s="877">
        <f>$AM338*'Input data plant-based products'!AC159</f>
        <v>5.1149949062834731E-2</v>
      </c>
      <c r="AR338" s="886">
        <f>$AM338*'Input data plant-based products'!AD159</f>
        <v>5.3281196940452843E-2</v>
      </c>
      <c r="AS338" s="877"/>
      <c r="AT338" s="879">
        <f>'Input data plant-based products'!S159</f>
        <v>0.25317847246589997</v>
      </c>
      <c r="AU338" s="877">
        <f>$AT338*'Input data plant-based products'!Z159</f>
        <v>0.25317847246589997</v>
      </c>
      <c r="AV338" s="877">
        <f>$AT338*'Input data plant-based products'!AA159</f>
        <v>0.34921168615986203</v>
      </c>
      <c r="AW338" s="877">
        <f>$AT338*'Input data plant-based products'!AB159</f>
        <v>0.34921168615986203</v>
      </c>
      <c r="AX338" s="877">
        <f>$AT338*'Input data plant-based products'!AC159</f>
        <v>0.37130429150437222</v>
      </c>
      <c r="AY338" s="886">
        <f>$AT338*'Input data plant-based products'!AD159</f>
        <v>0.3867753036503877</v>
      </c>
      <c r="AZ338" s="877"/>
      <c r="BA338" s="879">
        <f>((SUM('Input data plant-based products'!U159:Y159)*Y338)/('Common input data'!$B$192/10^6))/$BB$3</f>
        <v>1.1962969922618587E-9</v>
      </c>
      <c r="BB338" s="877">
        <f>$BA338*'Input data plant-based products'!Z159</f>
        <v>1.1962969922618587E-9</v>
      </c>
      <c r="BC338" s="877">
        <f>$BA338*'Input data plant-based products'!AA159</f>
        <v>1.6500648169129088E-9</v>
      </c>
      <c r="BD338" s="877">
        <f>$BA338*'Input data plant-based products'!AB159</f>
        <v>1.6500648169129088E-9</v>
      </c>
      <c r="BE338" s="877">
        <f>$BA338*'Input data plant-based products'!AC159</f>
        <v>1.7544548824167026E-9</v>
      </c>
      <c r="BF338" s="886">
        <f>$BA338*'Input data plant-based products'!AD159</f>
        <v>1.8275571691840652E-9</v>
      </c>
      <c r="BG338" s="877"/>
      <c r="BH338" s="879">
        <f>'Input data plant-based products'!T159/'Input data plant-based products'!E159</f>
        <v>3.2142857142857099E-3</v>
      </c>
      <c r="BI338" s="877">
        <f>$BH338*'Input data plant-based products'!Z159</f>
        <v>3.2142857142857099E-3</v>
      </c>
      <c r="BJ338" s="877">
        <f>$BH338*'Input data plant-based products'!AA159</f>
        <v>4.433497536945807E-3</v>
      </c>
      <c r="BK338" s="877">
        <f>$BH338*'Input data plant-based products'!AB159</f>
        <v>4.433497536945807E-3</v>
      </c>
      <c r="BL338" s="877">
        <f>$BH338*'Input data plant-based products'!AC159</f>
        <v>4.7139793056308419E-3</v>
      </c>
      <c r="BM338" s="886">
        <f>$BH338*'Input data plant-based products'!AD159</f>
        <v>4.9103951100321272E-3</v>
      </c>
      <c r="BN338" s="877"/>
      <c r="BO338" s="879">
        <f>('Input data plant-based products'!F159/'Input data plant-based products'!E159*'Common input data'!$B$195+'Input data plant-based products'!G159/'Input data plant-based products'!E159*'Common input data'!$B$196)/'Common input data'!$B$198</f>
        <v>5.343275627811095E-4</v>
      </c>
      <c r="BP338" s="877">
        <f>$BO338*'Input data plant-based products'!Z159</f>
        <v>5.343275627811095E-4</v>
      </c>
      <c r="BQ338" s="877">
        <f>$BO338*'Input data plant-based products'!AA159</f>
        <v>7.3700353487049595E-4</v>
      </c>
      <c r="BR338" s="877">
        <f>$BO338*'Input data plant-based products'!AB159</f>
        <v>7.3700353487049595E-4</v>
      </c>
      <c r="BS338" s="877">
        <f>$BO338*'Input data plant-based products'!AC159</f>
        <v>7.836294894954768E-4</v>
      </c>
      <c r="BT338" s="886">
        <f>$BO338*'Input data plant-based products'!AD159</f>
        <v>8.1628071822445502E-4</v>
      </c>
      <c r="BU338" s="877"/>
      <c r="BV338" s="879">
        <f>('Common input data'!$B$215+'Common input data'!$C$215)*'Input data plant-based products'!AC159</f>
        <v>7.4969660305413495</v>
      </c>
      <c r="BW338" s="886">
        <f>('Common input data'!$B$215+'Common input data'!$C$215)*'Input data plant-based products'!AD159</f>
        <v>7.8093396151472394</v>
      </c>
      <c r="BX338" s="877"/>
      <c r="BY338" s="877"/>
      <c r="BZ338" s="877"/>
      <c r="CA338" s="877"/>
      <c r="CB338" s="877"/>
      <c r="CC338" s="877"/>
      <c r="CD338" s="877"/>
      <c r="CE338" s="877"/>
    </row>
    <row r="339" spans="1:83">
      <c r="A339" s="195"/>
      <c r="B339" s="55"/>
      <c r="C339" s="83"/>
      <c r="E339" s="511" t="s">
        <v>317</v>
      </c>
      <c r="F339" s="877">
        <f>IF(AND($F$2="No",$F$3="No"),SUM(L339:N339),IF(AND($F$2="Yes", $F$3="No"), (SUM(L339:M339)+S339), IF(AND($F$2="No", $F$3="Yes"),(SUM(L339:M339)+R339), (SUM(L339:M339)+S339+R339))))</f>
        <v>0.660996715586602</v>
      </c>
      <c r="G339" s="877">
        <f>IF(AND($F$2="No",$F$3="No"),SUM(I339:Q339),IF(AND($F$2="Yes", $F$3="No"), (SUM(I339:Q339)+S339), IF(AND($F$2="No", $F$3="Yes"),(SUM(I339:Q339)+R339), (SUM(I339:Q339)+S339+R339))))</f>
        <v>0.71099671558660194</v>
      </c>
      <c r="H339" s="878">
        <f>SUM(U339:W339)/(1-'Common input data'!$C$143)</f>
        <v>1.1600177730851697</v>
      </c>
      <c r="I339" s="928"/>
      <c r="J339" s="877"/>
      <c r="K339" s="877"/>
      <c r="L339" s="877"/>
      <c r="M339" s="877">
        <v>0.42270550934959999</v>
      </c>
      <c r="N339" s="877"/>
      <c r="O339" s="877"/>
      <c r="P339" s="877">
        <f>'Input data plant-based products'!$F$309</f>
        <v>0.05</v>
      </c>
      <c r="Q339" s="877"/>
      <c r="R339" s="877">
        <f>'Common input data'!$C$19</f>
        <v>0.23829120623700201</v>
      </c>
      <c r="S339" s="877"/>
      <c r="T339" s="877"/>
      <c r="U339" s="877">
        <f t="shared" ref="U339:U345" si="90">G339+T339</f>
        <v>0.71099671558660194</v>
      </c>
      <c r="V339" s="877">
        <f>'Common input data'!$B$105</f>
        <v>0.05</v>
      </c>
      <c r="W339" s="878">
        <f>'Common input data'!$B$123+'Common input data'!$C$123</f>
        <v>0.32999999999999996</v>
      </c>
      <c r="X339" s="877"/>
      <c r="Y339" s="879"/>
      <c r="Z339" s="877"/>
      <c r="AA339" s="877"/>
      <c r="AB339" s="877"/>
      <c r="AC339" s="877"/>
      <c r="AD339" s="886"/>
      <c r="AE339" s="877"/>
      <c r="AF339" s="879"/>
      <c r="AG339" s="877"/>
      <c r="AH339" s="877"/>
      <c r="AI339" s="877"/>
      <c r="AJ339" s="877"/>
      <c r="AK339" s="886"/>
      <c r="AL339" s="877"/>
      <c r="AM339" s="879"/>
      <c r="AN339" s="877"/>
      <c r="AO339" s="877"/>
      <c r="AP339" s="877"/>
      <c r="AQ339" s="877"/>
      <c r="AR339" s="886"/>
      <c r="AS339" s="877"/>
      <c r="AT339" s="879"/>
      <c r="AU339" s="877"/>
      <c r="AV339" s="877"/>
      <c r="AW339" s="877"/>
      <c r="AX339" s="877"/>
      <c r="AY339" s="886"/>
      <c r="AZ339" s="877"/>
      <c r="BA339" s="879"/>
      <c r="BB339" s="877"/>
      <c r="BC339" s="877"/>
      <c r="BD339" s="877"/>
      <c r="BE339" s="877"/>
      <c r="BF339" s="886"/>
      <c r="BG339" s="877"/>
      <c r="BH339" s="879"/>
      <c r="BI339" s="877"/>
      <c r="BJ339" s="877"/>
      <c r="BK339" s="877"/>
      <c r="BL339" s="877"/>
      <c r="BM339" s="886"/>
      <c r="BN339" s="877"/>
      <c r="BO339" s="879"/>
      <c r="BP339" s="877"/>
      <c r="BQ339" s="877"/>
      <c r="BR339" s="877"/>
      <c r="BS339" s="877"/>
      <c r="BT339" s="886"/>
      <c r="BU339" s="877"/>
      <c r="BV339" s="879"/>
      <c r="BW339" s="886"/>
      <c r="BX339" s="877"/>
      <c r="BY339" s="877"/>
      <c r="BZ339" s="877"/>
      <c r="CA339" s="877"/>
      <c r="CB339" s="877"/>
      <c r="CC339" s="877"/>
      <c r="CD339" s="877"/>
      <c r="CE339" s="877"/>
    </row>
    <row r="340" spans="1:83">
      <c r="A340" s="195"/>
      <c r="B340" s="55"/>
      <c r="C340" s="83"/>
      <c r="E340" s="511" t="s">
        <v>367</v>
      </c>
      <c r="F340" s="877">
        <f>SUM(K340:M340)</f>
        <v>6.9015719410000002E-4</v>
      </c>
      <c r="G340" s="877">
        <f>SUM(I340:Q340)</f>
        <v>6.9015719410000002E-4</v>
      </c>
      <c r="H340" s="878">
        <f>SUM(U340:W340)/(1-'Common input data'!$C$143)</f>
        <v>7.3381945146198827E-4</v>
      </c>
      <c r="I340" s="928"/>
      <c r="J340" s="877"/>
      <c r="K340" s="877"/>
      <c r="L340" s="877"/>
      <c r="M340" s="877">
        <v>6.9015719410000002E-4</v>
      </c>
      <c r="N340" s="877"/>
      <c r="O340" s="877"/>
      <c r="P340" s="877"/>
      <c r="Q340" s="877"/>
      <c r="R340" s="877"/>
      <c r="S340" s="877"/>
      <c r="T340" s="877"/>
      <c r="U340" s="877">
        <f t="shared" si="90"/>
        <v>6.9015719410000002E-4</v>
      </c>
      <c r="V340" s="877"/>
      <c r="W340" s="878"/>
      <c r="X340" s="877"/>
      <c r="Y340" s="879"/>
      <c r="Z340" s="877"/>
      <c r="AA340" s="877"/>
      <c r="AB340" s="877"/>
      <c r="AC340" s="877"/>
      <c r="AD340" s="886"/>
      <c r="AE340" s="877"/>
      <c r="AF340" s="879"/>
      <c r="AG340" s="877"/>
      <c r="AH340" s="877"/>
      <c r="AI340" s="877"/>
      <c r="AJ340" s="877"/>
      <c r="AK340" s="886"/>
      <c r="AL340" s="877"/>
      <c r="AM340" s="879"/>
      <c r="AN340" s="877"/>
      <c r="AO340" s="877"/>
      <c r="AP340" s="877"/>
      <c r="AQ340" s="877"/>
      <c r="AR340" s="886"/>
      <c r="AS340" s="877"/>
      <c r="AT340" s="879"/>
      <c r="AU340" s="877"/>
      <c r="AV340" s="877"/>
      <c r="AW340" s="877"/>
      <c r="AX340" s="877"/>
      <c r="AY340" s="886"/>
      <c r="AZ340" s="877"/>
      <c r="BA340" s="879"/>
      <c r="BB340" s="877"/>
      <c r="BC340" s="877"/>
      <c r="BD340" s="877"/>
      <c r="BE340" s="877"/>
      <c r="BF340" s="886"/>
      <c r="BG340" s="877"/>
      <c r="BH340" s="879"/>
      <c r="BI340" s="877"/>
      <c r="BJ340" s="877"/>
      <c r="BK340" s="877"/>
      <c r="BL340" s="877"/>
      <c r="BM340" s="886"/>
      <c r="BN340" s="877"/>
      <c r="BO340" s="879"/>
      <c r="BP340" s="877"/>
      <c r="BQ340" s="877"/>
      <c r="BR340" s="877"/>
      <c r="BS340" s="877"/>
      <c r="BT340" s="886"/>
      <c r="BU340" s="877"/>
      <c r="BV340" s="879"/>
      <c r="BW340" s="886"/>
      <c r="BX340" s="877"/>
      <c r="BY340" s="877"/>
      <c r="BZ340" s="877"/>
      <c r="CA340" s="877"/>
      <c r="CB340" s="877"/>
      <c r="CC340" s="877"/>
      <c r="CD340" s="877"/>
      <c r="CE340" s="877"/>
    </row>
    <row r="341" spans="1:83">
      <c r="A341" s="18"/>
      <c r="B341" s="360"/>
      <c r="C341" s="83"/>
      <c r="E341" s="512" t="s">
        <v>320</v>
      </c>
      <c r="F341" s="877">
        <f>SUM(K341:M341)</f>
        <v>1.3859299097400001E-3</v>
      </c>
      <c r="G341" s="877">
        <f>SUM(I341:Q341)</f>
        <v>1.3859299097400001E-3</v>
      </c>
      <c r="H341" s="878">
        <f>SUM(U341:W341)/(1-'Common input data'!$C$143)</f>
        <v>1.4736096860606062E-3</v>
      </c>
      <c r="I341" s="928"/>
      <c r="J341" s="877"/>
      <c r="K341" s="877"/>
      <c r="L341" s="877"/>
      <c r="M341" s="877">
        <v>1.3859299097400001E-3</v>
      </c>
      <c r="N341" s="877"/>
      <c r="O341" s="877"/>
      <c r="P341" s="877"/>
      <c r="Q341" s="877"/>
      <c r="R341" s="877"/>
      <c r="S341" s="877"/>
      <c r="T341" s="877"/>
      <c r="U341" s="877">
        <f t="shared" si="90"/>
        <v>1.3859299097400001E-3</v>
      </c>
      <c r="V341" s="877"/>
      <c r="W341" s="878"/>
      <c r="X341" s="877"/>
      <c r="Y341" s="879"/>
      <c r="Z341" s="877"/>
      <c r="AA341" s="877"/>
      <c r="AB341" s="877"/>
      <c r="AC341" s="877"/>
      <c r="AD341" s="886"/>
      <c r="AE341" s="877"/>
      <c r="AF341" s="879"/>
      <c r="AG341" s="877"/>
      <c r="AH341" s="877"/>
      <c r="AI341" s="877"/>
      <c r="AJ341" s="877"/>
      <c r="AK341" s="886"/>
      <c r="AL341" s="877"/>
      <c r="AM341" s="879"/>
      <c r="AN341" s="877"/>
      <c r="AO341" s="877"/>
      <c r="AP341" s="877"/>
      <c r="AQ341" s="877"/>
      <c r="AR341" s="886"/>
      <c r="AS341" s="877"/>
      <c r="AT341" s="879"/>
      <c r="AU341" s="877"/>
      <c r="AV341" s="877"/>
      <c r="AW341" s="877"/>
      <c r="AX341" s="877"/>
      <c r="AY341" s="886"/>
      <c r="AZ341" s="877"/>
      <c r="BA341" s="879"/>
      <c r="BB341" s="877"/>
      <c r="BC341" s="877"/>
      <c r="BD341" s="877"/>
      <c r="BE341" s="877"/>
      <c r="BF341" s="886"/>
      <c r="BG341" s="877"/>
      <c r="BH341" s="879"/>
      <c r="BI341" s="877"/>
      <c r="BJ341" s="877"/>
      <c r="BK341" s="877"/>
      <c r="BL341" s="877"/>
      <c r="BM341" s="886"/>
      <c r="BN341" s="877"/>
      <c r="BO341" s="879"/>
      <c r="BP341" s="877"/>
      <c r="BQ341" s="877"/>
      <c r="BR341" s="877"/>
      <c r="BS341" s="877"/>
      <c r="BT341" s="886"/>
      <c r="BU341" s="877"/>
      <c r="BV341" s="879"/>
      <c r="BW341" s="886"/>
      <c r="BX341" s="877"/>
      <c r="BY341" s="877"/>
      <c r="BZ341" s="877"/>
      <c r="CA341" s="877"/>
      <c r="CB341" s="877"/>
      <c r="CC341" s="877"/>
      <c r="CD341" s="877"/>
      <c r="CE341" s="877"/>
    </row>
    <row r="342" spans="1:83">
      <c r="A342" s="108" t="s">
        <v>134</v>
      </c>
      <c r="B342" s="93" t="s">
        <v>121</v>
      </c>
      <c r="C342" s="87">
        <f>'Input data plant-based products'!D160</f>
        <v>0.88976823063877897</v>
      </c>
      <c r="E342" s="513" t="s">
        <v>316</v>
      </c>
      <c r="F342" s="872">
        <f>SUMPRODUCT($CJ$6:$CJ$8,F343:F345)</f>
        <v>0.98716212336829212</v>
      </c>
      <c r="G342" s="872">
        <f>SUMPRODUCT($CJ$6:$CJ$8,G343:G345)</f>
        <v>1.0371621233682919</v>
      </c>
      <c r="H342" s="873">
        <f>SUMPRODUCT($CJ$6:$CJ$8,H343:H345)</f>
        <v>1.7153425042548749</v>
      </c>
      <c r="I342" s="1277"/>
      <c r="J342" s="884"/>
      <c r="K342" s="884"/>
      <c r="L342" s="884"/>
      <c r="M342" s="884"/>
      <c r="N342" s="884"/>
      <c r="O342" s="884"/>
      <c r="P342" s="884"/>
      <c r="Q342" s="884"/>
      <c r="R342" s="884"/>
      <c r="S342" s="884"/>
      <c r="T342" s="884"/>
      <c r="U342" s="884"/>
      <c r="V342" s="884"/>
      <c r="W342" s="1278"/>
      <c r="X342" s="877"/>
      <c r="Y342" s="879">
        <f>1/'Input data plant-based products'!E160*10^4</f>
        <v>5.9787872627916157</v>
      </c>
      <c r="Z342" s="877">
        <f>$Y342*'Input data plant-based products'!Z160</f>
        <v>5.9787872627916157</v>
      </c>
      <c r="AA342" s="877">
        <f>$Y342*'Input data plant-based products'!AA160</f>
        <v>8.2466031210918835</v>
      </c>
      <c r="AB342" s="877">
        <f>$Y342*'Input data plant-based products'!AB160</f>
        <v>8.2466031210918835</v>
      </c>
      <c r="AC342" s="877">
        <f>$Y342*'Input data plant-based products'!AC160</f>
        <v>9.3238215161372899</v>
      </c>
      <c r="AD342" s="886">
        <f>$Y342*'Input data plant-based products'!AD160</f>
        <v>9.7123140793096763</v>
      </c>
      <c r="AE342" s="877"/>
      <c r="AF342" s="879">
        <f>SUM('Input data plant-based products'!F160,'Input data plant-based products'!Q160)/'Input data plant-based products'!E160</f>
        <v>7.0089562233196651E-2</v>
      </c>
      <c r="AG342" s="877">
        <f>$AF342*'Input data plant-based products'!Z160</f>
        <v>7.0089562233196651E-2</v>
      </c>
      <c r="AH342" s="877">
        <f>$AF342*'Input data plant-based products'!AA160</f>
        <v>9.667525825268504E-2</v>
      </c>
      <c r="AI342" s="877">
        <f>$AF342*'Input data plant-based products'!AB160</f>
        <v>9.667525825268504E-2</v>
      </c>
      <c r="AJ342" s="877">
        <f>$AF342*'Input data plant-based products'!AC160</f>
        <v>0.10930353258653813</v>
      </c>
      <c r="AK342" s="886">
        <f>$AF342*'Input data plant-based products'!AD160</f>
        <v>0.11385784644431056</v>
      </c>
      <c r="AL342" s="877"/>
      <c r="AM342" s="879">
        <f>'Input data plant-based products'!R160/'Input data plant-based products'!E160</f>
        <v>7.71428571428571E-3</v>
      </c>
      <c r="AN342" s="877">
        <f>$AM342*'Input data plant-based products'!Z160</f>
        <v>7.71428571428571E-3</v>
      </c>
      <c r="AO342" s="877">
        <f>$AM342*'Input data plant-based products'!AA160</f>
        <v>1.0640394088669946E-2</v>
      </c>
      <c r="AP342" s="877">
        <f>$AM342*'Input data plant-based products'!AB160</f>
        <v>1.0640394088669946E-2</v>
      </c>
      <c r="AQ342" s="877">
        <f>$AM342*'Input data plant-based products'!AC160</f>
        <v>1.203030313055555E-2</v>
      </c>
      <c r="AR342" s="886">
        <f>$AM342*'Input data plant-based products'!AD160</f>
        <v>1.2531565760995365E-2</v>
      </c>
      <c r="AS342" s="877"/>
      <c r="AT342" s="879">
        <f>'Input data plant-based products'!S160</f>
        <v>0.149807924787284</v>
      </c>
      <c r="AU342" s="877">
        <f>$AT342*'Input data plant-based products'!Z160</f>
        <v>0.149807924787284</v>
      </c>
      <c r="AV342" s="877">
        <f>$AT342*'Input data plant-based products'!AA160</f>
        <v>0.2066316203962538</v>
      </c>
      <c r="AW342" s="877">
        <f>$AT342*'Input data plant-based products'!AB160</f>
        <v>0.2066316203962538</v>
      </c>
      <c r="AX342" s="877">
        <f>$AT342*'Input data plant-based products'!AC160</f>
        <v>0.23362302270098997</v>
      </c>
      <c r="AY342" s="886">
        <f>$AT342*'Input data plant-based products'!AD160</f>
        <v>0.24335731531353125</v>
      </c>
      <c r="AZ342" s="877"/>
      <c r="BA342" s="879">
        <f>((SUM('Input data plant-based products'!U160:Y160)*Y342)/('Common input data'!$B$192/10^6))/$BB$3</f>
        <v>7.6509993431202509E-10</v>
      </c>
      <c r="BB342" s="877">
        <f>$BA342*'Input data plant-based products'!Z160</f>
        <v>7.6509993431202509E-10</v>
      </c>
      <c r="BC342" s="877">
        <f>$BA342*'Input data plant-based products'!AA160</f>
        <v>1.0553102542234829E-9</v>
      </c>
      <c r="BD342" s="877">
        <f>$BA342*'Input data plant-based products'!AB160</f>
        <v>1.0553102542234829E-9</v>
      </c>
      <c r="BE342" s="877">
        <f>$BA342*'Input data plant-based products'!AC160</f>
        <v>1.1931609063813453E-9</v>
      </c>
      <c r="BF342" s="886">
        <f>$BA342*'Input data plant-based products'!AD160</f>
        <v>1.2428759441472347E-9</v>
      </c>
      <c r="BG342" s="877"/>
      <c r="BH342" s="879">
        <f>'Input data plant-based products'!T160/'Input data plant-based products'!E160</f>
        <v>3.1976048978225261E-3</v>
      </c>
      <c r="BI342" s="877">
        <f>$BH342*'Input data plant-based products'!Z160</f>
        <v>3.1976048978225261E-3</v>
      </c>
      <c r="BJ342" s="877">
        <f>$BH342*'Input data plant-based products'!AA160</f>
        <v>4.4104895142379674E-3</v>
      </c>
      <c r="BK342" s="877">
        <f>$BH342*'Input data plant-based products'!AB160</f>
        <v>4.4104895142379674E-3</v>
      </c>
      <c r="BL342" s="877">
        <f>$BH342*'Input data plant-based products'!AC160</f>
        <v>4.9866128423681263E-3</v>
      </c>
      <c r="BM342" s="886">
        <f>$BH342*'Input data plant-based products'!AD160</f>
        <v>5.1943883774667986E-3</v>
      </c>
      <c r="BN342" s="877"/>
      <c r="BO342" s="879">
        <f>('Input data plant-based products'!F160/'Input data plant-based products'!E160*'Common input data'!$B$195+'Input data plant-based products'!G160/'Input data plant-based products'!E160*'Common input data'!$B$196)/'Common input data'!$B$198</f>
        <v>5.8362818590704745E-4</v>
      </c>
      <c r="BP342" s="877">
        <f>$BO342*'Input data plant-based products'!Z160</f>
        <v>5.8362818590704745E-4</v>
      </c>
      <c r="BQ342" s="877">
        <f>$BO342*'Input data plant-based products'!AA160</f>
        <v>8.0500439435454826E-4</v>
      </c>
      <c r="BR342" s="877">
        <f>$BO342*'Input data plant-based products'!AB160</f>
        <v>8.0500439435454826E-4</v>
      </c>
      <c r="BS342" s="877">
        <f>$BO342*'Input data plant-based products'!AC160</f>
        <v>9.1015866562937215E-4</v>
      </c>
      <c r="BT342" s="886">
        <f>$BO342*'Input data plant-based products'!AD160</f>
        <v>9.4808194336392932E-4</v>
      </c>
      <c r="BU342" s="877"/>
      <c r="BV342" s="879">
        <f>('Common input data'!$B$228+'Common input data'!$C$228)*'Input data plant-based products'!AC160</f>
        <v>8.8148867812763196</v>
      </c>
      <c r="BW342" s="886">
        <f>('Common input data'!$B$228+'Common input data'!$C$228)*'Input data plant-based products'!AD160</f>
        <v>9.1821737304961673</v>
      </c>
      <c r="BX342" s="877"/>
      <c r="BY342" s="877"/>
      <c r="BZ342" s="877"/>
      <c r="CA342" s="877"/>
      <c r="CB342" s="877"/>
      <c r="CC342" s="877"/>
      <c r="CD342" s="877"/>
      <c r="CE342" s="877"/>
    </row>
    <row r="343" spans="1:83">
      <c r="A343" s="195"/>
      <c r="B343" s="55"/>
      <c r="C343" s="83"/>
      <c r="E343" s="511" t="s">
        <v>317</v>
      </c>
      <c r="F343" s="877">
        <f>IF(AND($F$2="No",$F$3="No"),SUM(L343:N343),IF(AND($F$2="Yes", $F$3="No"), (SUM(L343:M343)+S343), IF(AND($F$2="No", $F$3="Yes"),(SUM(L343:M343)+R343), (SUM(L343:M343)+S343+R343))))</f>
        <v>0.660996715586602</v>
      </c>
      <c r="G343" s="877">
        <f>IF(AND($F$2="No",$F$3="No"),SUM(I343:Q343),IF(AND($F$2="Yes", $F$3="No"), (SUM(I343:Q343)+S343), IF(AND($F$2="No", $F$3="Yes"),(SUM(I343:Q343)+R343), (SUM(I343:Q343)+S343+R343))))</f>
        <v>0.71099671558660194</v>
      </c>
      <c r="H343" s="878">
        <f>SUM(U343:W343)/(1-'Common input data'!$I$143)</f>
        <v>1.3465715082169378</v>
      </c>
      <c r="I343" s="928"/>
      <c r="J343" s="877"/>
      <c r="K343" s="877"/>
      <c r="L343" s="877"/>
      <c r="M343" s="877">
        <v>0.42270550934959999</v>
      </c>
      <c r="N343" s="877"/>
      <c r="O343" s="877"/>
      <c r="P343" s="877">
        <f>'Input data plant-based products'!$F$309</f>
        <v>0.05</v>
      </c>
      <c r="Q343" s="877"/>
      <c r="R343" s="877">
        <f>'Common input data'!$C$19</f>
        <v>0.23829120623700201</v>
      </c>
      <c r="S343" s="877"/>
      <c r="T343" s="877"/>
      <c r="U343" s="877">
        <f t="shared" si="90"/>
        <v>0.71099671558660194</v>
      </c>
      <c r="V343" s="877">
        <f>'Common input data'!$B$105</f>
        <v>0.05</v>
      </c>
      <c r="W343" s="878">
        <f>'Common input data'!$B$128+'Common input data'!$C$128</f>
        <v>0.43000000000000005</v>
      </c>
      <c r="X343" s="877"/>
      <c r="Y343" s="879"/>
      <c r="Z343" s="877"/>
      <c r="AA343" s="877"/>
      <c r="AB343" s="877"/>
      <c r="AC343" s="877"/>
      <c r="AD343" s="886"/>
      <c r="AE343" s="877"/>
      <c r="AF343" s="879"/>
      <c r="AG343" s="877"/>
      <c r="AH343" s="877"/>
      <c r="AI343" s="877"/>
      <c r="AJ343" s="877"/>
      <c r="AK343" s="886"/>
      <c r="AL343" s="877"/>
      <c r="AM343" s="879"/>
      <c r="AN343" s="877"/>
      <c r="AO343" s="877"/>
      <c r="AP343" s="877"/>
      <c r="AQ343" s="877"/>
      <c r="AR343" s="886"/>
      <c r="AS343" s="877"/>
      <c r="AT343" s="879"/>
      <c r="AU343" s="877"/>
      <c r="AV343" s="877"/>
      <c r="AW343" s="877"/>
      <c r="AX343" s="877"/>
      <c r="AY343" s="886"/>
      <c r="AZ343" s="877"/>
      <c r="BA343" s="879"/>
      <c r="BB343" s="877"/>
      <c r="BC343" s="877"/>
      <c r="BD343" s="877"/>
      <c r="BE343" s="877"/>
      <c r="BF343" s="886"/>
      <c r="BG343" s="877"/>
      <c r="BH343" s="879"/>
      <c r="BI343" s="877"/>
      <c r="BJ343" s="877"/>
      <c r="BK343" s="877"/>
      <c r="BL343" s="877"/>
      <c r="BM343" s="886"/>
      <c r="BN343" s="877"/>
      <c r="BO343" s="879"/>
      <c r="BP343" s="877"/>
      <c r="BQ343" s="877"/>
      <c r="BR343" s="877"/>
      <c r="BS343" s="877"/>
      <c r="BT343" s="886"/>
      <c r="BU343" s="877"/>
      <c r="BV343" s="879"/>
      <c r="BW343" s="886"/>
      <c r="BX343" s="877"/>
      <c r="BY343" s="877"/>
      <c r="BZ343" s="877"/>
      <c r="CA343" s="877"/>
      <c r="CB343" s="877"/>
      <c r="CC343" s="877"/>
      <c r="CD343" s="877"/>
      <c r="CE343" s="877"/>
    </row>
    <row r="344" spans="1:83">
      <c r="A344" s="195"/>
      <c r="B344" s="55"/>
      <c r="C344" s="83"/>
      <c r="E344" s="511" t="s">
        <v>367</v>
      </c>
      <c r="F344" s="877">
        <f>SUM(K344:M344)</f>
        <v>6.9015719410000002E-4</v>
      </c>
      <c r="G344" s="877">
        <f>SUM(I344:Q344)</f>
        <v>6.9015719410000002E-4</v>
      </c>
      <c r="H344" s="878">
        <f>SUM(U344:W344)/(1-'Common input data'!$I$143)</f>
        <v>7.8030946819889065E-4</v>
      </c>
      <c r="I344" s="928"/>
      <c r="J344" s="877"/>
      <c r="K344" s="877"/>
      <c r="L344" s="877"/>
      <c r="M344" s="877">
        <v>6.9015719410000002E-4</v>
      </c>
      <c r="N344" s="877"/>
      <c r="O344" s="877"/>
      <c r="P344" s="877"/>
      <c r="Q344" s="877"/>
      <c r="R344" s="877"/>
      <c r="S344" s="877"/>
      <c r="T344" s="877"/>
      <c r="U344" s="877">
        <f t="shared" si="90"/>
        <v>6.9015719410000002E-4</v>
      </c>
      <c r="V344" s="877"/>
      <c r="W344" s="878"/>
      <c r="X344" s="877"/>
      <c r="Y344" s="879"/>
      <c r="Z344" s="877"/>
      <c r="AA344" s="877"/>
      <c r="AB344" s="877"/>
      <c r="AC344" s="877"/>
      <c r="AD344" s="886"/>
      <c r="AE344" s="877"/>
      <c r="AF344" s="879"/>
      <c r="AG344" s="877"/>
      <c r="AH344" s="877"/>
      <c r="AI344" s="877"/>
      <c r="AJ344" s="877"/>
      <c r="AK344" s="886"/>
      <c r="AL344" s="877"/>
      <c r="AM344" s="879"/>
      <c r="AN344" s="877"/>
      <c r="AO344" s="877"/>
      <c r="AP344" s="877"/>
      <c r="AQ344" s="877"/>
      <c r="AR344" s="886"/>
      <c r="AS344" s="877"/>
      <c r="AT344" s="879"/>
      <c r="AU344" s="877"/>
      <c r="AV344" s="877"/>
      <c r="AW344" s="877"/>
      <c r="AX344" s="877"/>
      <c r="AY344" s="886"/>
      <c r="AZ344" s="877"/>
      <c r="BA344" s="879"/>
      <c r="BB344" s="877"/>
      <c r="BC344" s="877"/>
      <c r="BD344" s="877"/>
      <c r="BE344" s="877"/>
      <c r="BF344" s="886"/>
      <c r="BG344" s="877"/>
      <c r="BH344" s="879"/>
      <c r="BI344" s="877"/>
      <c r="BJ344" s="877"/>
      <c r="BK344" s="877"/>
      <c r="BL344" s="877"/>
      <c r="BM344" s="886"/>
      <c r="BN344" s="877"/>
      <c r="BO344" s="879"/>
      <c r="BP344" s="877"/>
      <c r="BQ344" s="877"/>
      <c r="BR344" s="877"/>
      <c r="BS344" s="877"/>
      <c r="BT344" s="886"/>
      <c r="BU344" s="877"/>
      <c r="BV344" s="879"/>
      <c r="BW344" s="886"/>
      <c r="BX344" s="877"/>
      <c r="BY344" s="877"/>
      <c r="BZ344" s="877"/>
      <c r="CA344" s="877"/>
      <c r="CB344" s="877"/>
      <c r="CC344" s="877"/>
      <c r="CD344" s="877"/>
      <c r="CE344" s="877"/>
    </row>
    <row r="345" spans="1:83" ht="15.75" thickBot="1">
      <c r="A345" s="86"/>
      <c r="B345" s="438"/>
      <c r="C345" s="88"/>
      <c r="E345" s="519" t="s">
        <v>320</v>
      </c>
      <c r="F345" s="894">
        <f>SUM(K345:M345)</f>
        <v>1.3859299097400001E-3</v>
      </c>
      <c r="G345" s="894">
        <f>SUM(I345:Q345)</f>
        <v>1.3859299097400001E-3</v>
      </c>
      <c r="H345" s="895">
        <f>SUM(U345:W345)/(1-'Common input data'!$I$143)</f>
        <v>1.566967989430911E-3</v>
      </c>
      <c r="I345" s="1048"/>
      <c r="J345" s="894"/>
      <c r="K345" s="894"/>
      <c r="L345" s="894"/>
      <c r="M345" s="894">
        <v>1.3859299097400001E-3</v>
      </c>
      <c r="N345" s="894"/>
      <c r="O345" s="894"/>
      <c r="P345" s="894"/>
      <c r="Q345" s="894"/>
      <c r="R345" s="894"/>
      <c r="S345" s="894"/>
      <c r="T345" s="894"/>
      <c r="U345" s="894">
        <f t="shared" si="90"/>
        <v>1.3859299097400001E-3</v>
      </c>
      <c r="V345" s="894"/>
      <c r="W345" s="895"/>
      <c r="X345" s="877"/>
      <c r="Y345" s="935"/>
      <c r="Z345" s="896"/>
      <c r="AA345" s="896"/>
      <c r="AB345" s="896"/>
      <c r="AC345" s="896"/>
      <c r="AD345" s="897"/>
      <c r="AE345" s="877"/>
      <c r="AF345" s="935"/>
      <c r="AG345" s="896"/>
      <c r="AH345" s="896"/>
      <c r="AI345" s="896"/>
      <c r="AJ345" s="896"/>
      <c r="AK345" s="897"/>
      <c r="AL345" s="877"/>
      <c r="AM345" s="935"/>
      <c r="AN345" s="896"/>
      <c r="AO345" s="896"/>
      <c r="AP345" s="896"/>
      <c r="AQ345" s="896"/>
      <c r="AR345" s="897"/>
      <c r="AS345" s="877"/>
      <c r="AT345" s="935"/>
      <c r="AU345" s="896"/>
      <c r="AV345" s="896"/>
      <c r="AW345" s="896"/>
      <c r="AX345" s="896"/>
      <c r="AY345" s="897"/>
      <c r="AZ345" s="877"/>
      <c r="BA345" s="935"/>
      <c r="BB345" s="896"/>
      <c r="BC345" s="896"/>
      <c r="BD345" s="896"/>
      <c r="BE345" s="896"/>
      <c r="BF345" s="897"/>
      <c r="BG345" s="877"/>
      <c r="BH345" s="935"/>
      <c r="BI345" s="896"/>
      <c r="BJ345" s="896"/>
      <c r="BK345" s="896"/>
      <c r="BL345" s="896"/>
      <c r="BM345" s="897"/>
      <c r="BN345" s="877"/>
      <c r="BO345" s="935"/>
      <c r="BP345" s="896"/>
      <c r="BQ345" s="896"/>
      <c r="BR345" s="896"/>
      <c r="BS345" s="896"/>
      <c r="BT345" s="897"/>
      <c r="BU345" s="877"/>
      <c r="BV345" s="935"/>
      <c r="BW345" s="897"/>
      <c r="BX345" s="877"/>
      <c r="BY345" s="877"/>
      <c r="BZ345" s="877"/>
      <c r="CA345" s="877"/>
      <c r="CB345" s="877"/>
      <c r="CC345" s="877"/>
      <c r="CD345" s="877"/>
      <c r="CE345" s="877"/>
    </row>
    <row r="346" spans="1:83">
      <c r="I346" s="877"/>
      <c r="J346" s="877"/>
      <c r="K346" s="877"/>
      <c r="L346" s="877"/>
      <c r="M346" s="877"/>
      <c r="N346" s="877"/>
      <c r="O346" s="877"/>
      <c r="P346" s="877"/>
      <c r="Q346" s="877"/>
      <c r="R346" s="877"/>
      <c r="S346" s="877"/>
      <c r="T346" s="877"/>
      <c r="U346" s="877"/>
      <c r="V346" s="877"/>
      <c r="W346" s="877"/>
      <c r="X346" s="877"/>
      <c r="Y346" s="877"/>
      <c r="Z346" s="877"/>
      <c r="AA346" s="877"/>
      <c r="AB346" s="877"/>
      <c r="AC346" s="877"/>
      <c r="AD346" s="877"/>
      <c r="AE346" s="877"/>
      <c r="AF346" s="877"/>
      <c r="AG346" s="877"/>
      <c r="AH346" s="877"/>
      <c r="AI346" s="877"/>
      <c r="AJ346" s="877"/>
      <c r="AK346" s="877"/>
      <c r="AL346" s="877"/>
      <c r="AM346" s="877"/>
      <c r="AN346" s="877"/>
      <c r="AO346" s="877"/>
      <c r="AP346" s="877"/>
      <c r="AQ346" s="877"/>
      <c r="AR346" s="877"/>
      <c r="AS346" s="877"/>
      <c r="AT346" s="877"/>
      <c r="AU346" s="877"/>
      <c r="AV346" s="877"/>
      <c r="AW346" s="877"/>
      <c r="AX346" s="877"/>
      <c r="AY346" s="877"/>
      <c r="AZ346" s="877"/>
      <c r="BA346" s="877"/>
      <c r="BB346" s="877"/>
      <c r="BC346" s="877"/>
      <c r="BD346" s="877"/>
      <c r="BE346" s="877"/>
      <c r="BF346" s="877"/>
      <c r="BG346" s="877"/>
      <c r="BH346" s="877"/>
      <c r="BI346" s="877"/>
      <c r="BJ346" s="877"/>
      <c r="BK346" s="877"/>
      <c r="BL346" s="877"/>
      <c r="BM346" s="877"/>
      <c r="BN346" s="877"/>
      <c r="BO346" s="877"/>
      <c r="BP346" s="877"/>
      <c r="BQ346" s="877"/>
      <c r="BR346" s="877"/>
      <c r="BS346" s="877"/>
      <c r="BT346" s="877"/>
      <c r="BU346" s="877"/>
      <c r="BV346" s="877"/>
      <c r="BW346" s="877"/>
      <c r="BX346" s="877"/>
      <c r="BY346" s="877"/>
      <c r="BZ346" s="877"/>
      <c r="CA346" s="877"/>
      <c r="CB346" s="877"/>
      <c r="CC346" s="877"/>
      <c r="CD346" s="877"/>
      <c r="CE346" s="877"/>
    </row>
  </sheetData>
  <dataConsolidate/>
  <dataValidations count="2">
    <dataValidation type="list" allowBlank="1" showInputMessage="1" showErrorMessage="1" sqref="G5 F2:F4" xr:uid="{00000000-0002-0000-0700-000000000000}">
      <formula1>"Yes, No"</formula1>
    </dataValidation>
    <dataValidation type="list" allowBlank="1" showInputMessage="1" showErrorMessage="1" sqref="BB3" xr:uid="{00000000-0002-0000-0700-000001000000}">
      <formula1>"1,20,100,500"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2000000}">
          <x14:formula1>
            <xm:f>'Common input data'!$A$5:$A$15</xm:f>
          </x14:formula1>
          <xm:sqref>F1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7558519241921"/>
  </sheetPr>
  <dimension ref="A1:IS262"/>
  <sheetViews>
    <sheetView topLeftCell="J8" workbookViewId="0">
      <selection activeCell="O19" sqref="O19"/>
    </sheetView>
  </sheetViews>
  <sheetFormatPr defaultColWidth="8.7109375" defaultRowHeight="15"/>
  <cols>
    <col min="1" max="1" width="52.7109375" bestFit="1" customWidth="1"/>
    <col min="2" max="2" width="19.7109375" customWidth="1"/>
    <col min="3" max="3" width="17.28515625" style="5" customWidth="1"/>
    <col min="4" max="4" width="19.7109375" style="5" customWidth="1"/>
    <col min="5" max="5" width="17.42578125" customWidth="1"/>
    <col min="6" max="6" width="27.7109375" style="188" customWidth="1"/>
    <col min="7" max="7" width="14" style="188" customWidth="1"/>
    <col min="8" max="8" width="14.28515625" style="188" customWidth="1"/>
    <col min="9" max="9" width="31.7109375" style="188" customWidth="1"/>
    <col min="10" max="10" width="28.7109375" style="188" customWidth="1"/>
    <col min="11" max="11" width="17.28515625" style="188" customWidth="1"/>
    <col min="12" max="13" width="18.7109375" style="188" customWidth="1"/>
    <col min="14" max="14" width="22" style="188" bestFit="1" customWidth="1"/>
    <col min="15" max="15" width="27.7109375" style="188" customWidth="1"/>
    <col min="16" max="16" width="25" style="188" customWidth="1"/>
    <col min="17" max="17" width="22.28515625" style="188" customWidth="1"/>
    <col min="18" max="18" width="22.42578125" style="188" customWidth="1"/>
    <col min="19" max="19" width="15.28515625" style="188" customWidth="1"/>
    <col min="20" max="20" width="23.28515625" style="188" customWidth="1"/>
    <col min="21" max="21" width="22.42578125" style="188" customWidth="1"/>
    <col min="22" max="22" width="11.28515625" style="188" customWidth="1"/>
    <col min="23" max="23" width="23.7109375" style="188" customWidth="1"/>
    <col min="24" max="24" width="8.7109375" style="188"/>
    <col min="25" max="58" width="16.7109375" style="188" customWidth="1"/>
    <col min="59" max="75" width="16.7109375" customWidth="1"/>
    <col min="82" max="83" width="0" hidden="1" customWidth="1"/>
  </cols>
  <sheetData>
    <row r="1" spans="1:253" ht="31.5">
      <c r="A1" s="326" t="s">
        <v>15</v>
      </c>
      <c r="F1" s="833" t="s">
        <v>269</v>
      </c>
      <c r="G1" s="838" t="s">
        <v>251</v>
      </c>
      <c r="BE1"/>
      <c r="BF1"/>
    </row>
    <row r="2" spans="1:253" ht="17.25">
      <c r="C2" s="750"/>
      <c r="D2" s="750"/>
      <c r="F2" s="833" t="s">
        <v>271</v>
      </c>
      <c r="G2" s="838" t="s">
        <v>272</v>
      </c>
      <c r="H2" s="833"/>
      <c r="J2" s="834"/>
      <c r="K2" s="835"/>
      <c r="L2" s="834"/>
      <c r="M2" s="834"/>
      <c r="N2" s="834"/>
      <c r="O2" s="834"/>
      <c r="P2" s="834"/>
      <c r="Q2" s="834"/>
      <c r="R2" s="834"/>
      <c r="S2" s="834"/>
      <c r="T2" s="834"/>
      <c r="U2" s="834"/>
      <c r="V2" s="834"/>
      <c r="W2" s="834"/>
      <c r="X2" s="836"/>
      <c r="BE2"/>
      <c r="BF2"/>
      <c r="BG2" s="776"/>
    </row>
    <row r="3" spans="1:253" ht="87">
      <c r="F3" s="924" t="s">
        <v>273</v>
      </c>
      <c r="G3" s="838" t="s">
        <v>272</v>
      </c>
      <c r="H3" s="833"/>
      <c r="BA3" s="1168" t="s">
        <v>274</v>
      </c>
      <c r="BB3" s="1169">
        <v>1</v>
      </c>
      <c r="BE3"/>
      <c r="BF3" s="150"/>
      <c r="BG3" s="406"/>
    </row>
    <row r="4" spans="1:253" ht="17.25">
      <c r="F4" s="924"/>
      <c r="G4" s="838"/>
      <c r="H4" s="833"/>
      <c r="BE4"/>
      <c r="BF4" s="150"/>
      <c r="BG4" s="406"/>
    </row>
    <row r="5" spans="1:253" ht="21">
      <c r="C5"/>
      <c r="D5"/>
      <c r="E5" s="774" t="s">
        <v>275</v>
      </c>
      <c r="F5" s="839"/>
      <c r="G5" s="840"/>
      <c r="H5" s="841"/>
      <c r="I5" s="842"/>
      <c r="J5" s="842"/>
      <c r="K5" s="842"/>
      <c r="L5" s="842"/>
      <c r="M5" s="842"/>
      <c r="N5" s="842"/>
      <c r="O5" s="842"/>
      <c r="P5" s="842"/>
      <c r="Q5" s="842"/>
      <c r="R5" s="842"/>
      <c r="S5" s="842"/>
      <c r="T5" s="842"/>
      <c r="U5" s="842"/>
      <c r="V5" s="842"/>
      <c r="W5" s="842"/>
      <c r="Y5" s="843" t="s">
        <v>276</v>
      </c>
      <c r="Z5" s="844"/>
      <c r="AA5" s="844"/>
      <c r="AB5" s="844"/>
      <c r="AC5" s="844"/>
      <c r="AD5" s="845"/>
      <c r="AF5" s="843" t="s">
        <v>278</v>
      </c>
      <c r="AG5" s="844"/>
      <c r="AH5" s="844"/>
      <c r="AI5" s="844"/>
      <c r="AJ5" s="844"/>
      <c r="AK5" s="845"/>
      <c r="AM5" s="843" t="s">
        <v>279</v>
      </c>
      <c r="AN5" s="844"/>
      <c r="AO5" s="844"/>
      <c r="AP5" s="844"/>
      <c r="AQ5" s="844"/>
      <c r="AR5" s="845"/>
      <c r="AT5" s="843" t="s">
        <v>280</v>
      </c>
      <c r="AU5" s="844"/>
      <c r="AV5" s="844"/>
      <c r="AW5" s="844"/>
      <c r="AX5" s="844"/>
      <c r="AY5" s="845"/>
      <c r="BA5" s="843" t="s">
        <v>281</v>
      </c>
      <c r="BB5" s="844"/>
      <c r="BC5" s="844"/>
      <c r="BD5" s="844"/>
      <c r="BE5" s="844"/>
      <c r="BF5" s="845"/>
      <c r="BH5" s="843" t="s">
        <v>282</v>
      </c>
      <c r="BI5" s="844"/>
      <c r="BJ5" s="844"/>
      <c r="BK5" s="844"/>
      <c r="BL5" s="844"/>
      <c r="BM5" s="845"/>
      <c r="BN5" s="406"/>
      <c r="BO5" s="843" t="s">
        <v>283</v>
      </c>
      <c r="BP5" s="844"/>
      <c r="BQ5" s="844"/>
      <c r="BR5" s="844"/>
      <c r="BS5" s="844"/>
      <c r="BT5" s="845"/>
      <c r="BV5" s="843" t="s">
        <v>284</v>
      </c>
      <c r="BW5" s="845"/>
    </row>
    <row r="6" spans="1:253" ht="21">
      <c r="A6" s="761"/>
      <c r="C6"/>
      <c r="D6"/>
      <c r="E6" s="921" t="s">
        <v>285</v>
      </c>
      <c r="F6" s="881"/>
      <c r="G6" s="881"/>
      <c r="H6" s="922"/>
      <c r="I6" s="848" t="s">
        <v>286</v>
      </c>
      <c r="J6" s="849"/>
      <c r="K6" s="849"/>
      <c r="L6" s="849"/>
      <c r="M6" s="849"/>
      <c r="N6" s="849"/>
      <c r="O6" s="849"/>
      <c r="P6" s="849"/>
      <c r="Q6" s="849"/>
      <c r="R6" s="849"/>
      <c r="S6" s="849"/>
      <c r="T6" s="849"/>
      <c r="U6" s="849"/>
      <c r="V6" s="849"/>
      <c r="W6" s="849"/>
      <c r="Y6" s="850" t="s">
        <v>286</v>
      </c>
      <c r="Z6" s="849"/>
      <c r="AA6" s="849"/>
      <c r="AB6" s="849"/>
      <c r="AC6" s="849"/>
      <c r="AD6" s="851"/>
      <c r="AF6" s="850" t="s">
        <v>286</v>
      </c>
      <c r="AG6" s="849"/>
      <c r="AH6" s="849"/>
      <c r="AI6" s="849"/>
      <c r="AJ6" s="849"/>
      <c r="AK6" s="851"/>
      <c r="AM6" s="850" t="s">
        <v>286</v>
      </c>
      <c r="AN6" s="849"/>
      <c r="AO6" s="849"/>
      <c r="AP6" s="849"/>
      <c r="AQ6" s="849"/>
      <c r="AR6" s="851"/>
      <c r="AT6" s="850" t="s">
        <v>286</v>
      </c>
      <c r="AU6" s="849"/>
      <c r="AV6" s="849"/>
      <c r="AW6" s="849"/>
      <c r="AX6" s="849"/>
      <c r="AY6" s="851"/>
      <c r="BA6" s="850" t="s">
        <v>286</v>
      </c>
      <c r="BB6" s="849"/>
      <c r="BC6" s="849"/>
      <c r="BD6" s="849"/>
      <c r="BE6" s="849"/>
      <c r="BF6" s="851"/>
      <c r="BH6" s="850" t="s">
        <v>286</v>
      </c>
      <c r="BI6" s="849"/>
      <c r="BJ6" s="849"/>
      <c r="BK6" s="849"/>
      <c r="BL6" s="849"/>
      <c r="BM6" s="851"/>
      <c r="BN6" s="1332"/>
      <c r="BO6" s="850" t="s">
        <v>286</v>
      </c>
      <c r="BP6" s="849"/>
      <c r="BQ6" s="849"/>
      <c r="BR6" s="849"/>
      <c r="BS6" s="849"/>
      <c r="BT6" s="851"/>
      <c r="BV6" s="850" t="s">
        <v>286</v>
      </c>
      <c r="BW6" s="851"/>
    </row>
    <row r="7" spans="1:253" ht="17.25">
      <c r="A7" s="339"/>
      <c r="B7" s="332"/>
      <c r="C7" s="765"/>
      <c r="D7" s="406"/>
      <c r="E7" s="495"/>
      <c r="F7" s="852"/>
      <c r="G7" s="852"/>
      <c r="H7" s="923"/>
      <c r="I7" s="853"/>
      <c r="J7" s="854"/>
      <c r="K7" s="853" t="s">
        <v>298</v>
      </c>
      <c r="L7" s="857"/>
      <c r="M7" s="857"/>
      <c r="N7" s="857"/>
      <c r="O7" s="857"/>
      <c r="P7" s="857"/>
      <c r="Q7" s="857"/>
      <c r="R7" s="857"/>
      <c r="S7" s="857"/>
      <c r="T7" s="857"/>
      <c r="U7" s="857"/>
      <c r="V7" s="857"/>
      <c r="W7" s="857"/>
      <c r="X7" s="858"/>
      <c r="Y7" s="1222"/>
      <c r="Z7" s="1223"/>
      <c r="AA7" s="1223"/>
      <c r="AB7" s="1223"/>
      <c r="AC7" s="1223"/>
      <c r="AD7" s="1224"/>
      <c r="AF7" s="1222"/>
      <c r="AG7" s="1223"/>
      <c r="AH7" s="1223"/>
      <c r="AI7" s="1223"/>
      <c r="AJ7" s="1223"/>
      <c r="AK7" s="1224"/>
      <c r="AM7" s="1222"/>
      <c r="AN7" s="1223"/>
      <c r="AO7" s="1223"/>
      <c r="AP7" s="1223"/>
      <c r="AQ7" s="1223"/>
      <c r="AR7" s="1224"/>
      <c r="AT7" s="1222"/>
      <c r="AU7" s="1223"/>
      <c r="AV7" s="1223"/>
      <c r="AW7" s="1223"/>
      <c r="AX7" s="1223"/>
      <c r="AY7" s="1224"/>
      <c r="BA7" s="858"/>
      <c r="BF7" s="859"/>
      <c r="BH7" s="858"/>
      <c r="BI7" s="188"/>
      <c r="BJ7" s="188"/>
      <c r="BK7" s="188"/>
      <c r="BL7" s="188"/>
      <c r="BM7" s="859"/>
      <c r="BO7" s="858"/>
      <c r="BP7" s="188"/>
      <c r="BQ7" s="188"/>
      <c r="BR7" s="188"/>
      <c r="BS7" s="188"/>
      <c r="BT7" s="859"/>
      <c r="BV7" s="858"/>
      <c r="BW7" s="859"/>
    </row>
    <row r="8" spans="1:253" s="496" customFormat="1" ht="76.5" customHeight="1" thickBot="1">
      <c r="A8" s="404"/>
      <c r="B8" s="342" t="s">
        <v>107</v>
      </c>
      <c r="C8" s="916" t="s">
        <v>108</v>
      </c>
      <c r="D8" s="914"/>
      <c r="E8" s="422" t="s">
        <v>360</v>
      </c>
      <c r="F8" s="860" t="s">
        <v>295</v>
      </c>
      <c r="G8" s="860" t="s">
        <v>290</v>
      </c>
      <c r="H8" s="940" t="s">
        <v>296</v>
      </c>
      <c r="I8" s="862" t="s">
        <v>417</v>
      </c>
      <c r="J8" s="863" t="s">
        <v>418</v>
      </c>
      <c r="K8" s="862" t="s">
        <v>299</v>
      </c>
      <c r="L8" s="862" t="s">
        <v>300</v>
      </c>
      <c r="M8" s="1331" t="s">
        <v>419</v>
      </c>
      <c r="N8" s="862" t="s">
        <v>420</v>
      </c>
      <c r="O8" s="862" t="s">
        <v>421</v>
      </c>
      <c r="P8" s="862" t="s">
        <v>422</v>
      </c>
      <c r="Q8" s="862" t="s">
        <v>423</v>
      </c>
      <c r="R8" s="863" t="s">
        <v>302</v>
      </c>
      <c r="S8" s="863" t="s">
        <v>303</v>
      </c>
      <c r="T8" s="862" t="s">
        <v>424</v>
      </c>
      <c r="U8" s="863" t="s">
        <v>306</v>
      </c>
      <c r="V8" s="863" t="s">
        <v>307</v>
      </c>
      <c r="W8" s="863" t="s">
        <v>308</v>
      </c>
      <c r="X8" s="864"/>
      <c r="Y8" s="957" t="s">
        <v>425</v>
      </c>
      <c r="Z8" s="854" t="s">
        <v>426</v>
      </c>
      <c r="AA8" s="854" t="s">
        <v>427</v>
      </c>
      <c r="AB8" s="958" t="s">
        <v>428</v>
      </c>
      <c r="AC8" s="958" t="s">
        <v>291</v>
      </c>
      <c r="AD8" s="959" t="s">
        <v>292</v>
      </c>
      <c r="AE8" s="869"/>
      <c r="AF8" s="957" t="s">
        <v>429</v>
      </c>
      <c r="AG8" s="854" t="s">
        <v>426</v>
      </c>
      <c r="AH8" s="854" t="s">
        <v>427</v>
      </c>
      <c r="AI8" s="958" t="s">
        <v>428</v>
      </c>
      <c r="AJ8" s="958" t="s">
        <v>291</v>
      </c>
      <c r="AK8" s="959" t="s">
        <v>292</v>
      </c>
      <c r="AL8" s="869"/>
      <c r="AM8" s="865" t="s">
        <v>429</v>
      </c>
      <c r="AN8" s="866" t="s">
        <v>426</v>
      </c>
      <c r="AO8" s="866" t="s">
        <v>427</v>
      </c>
      <c r="AP8" s="867" t="s">
        <v>428</v>
      </c>
      <c r="AQ8" s="867" t="s">
        <v>291</v>
      </c>
      <c r="AR8" s="868" t="s">
        <v>292</v>
      </c>
      <c r="AS8" s="869"/>
      <c r="AT8" s="957" t="s">
        <v>429</v>
      </c>
      <c r="AU8" s="854" t="s">
        <v>426</v>
      </c>
      <c r="AV8" s="854" t="s">
        <v>427</v>
      </c>
      <c r="AW8" s="958" t="s">
        <v>428</v>
      </c>
      <c r="AX8" s="958" t="s">
        <v>291</v>
      </c>
      <c r="AY8" s="959" t="s">
        <v>292</v>
      </c>
      <c r="AZ8" s="869"/>
      <c r="BA8" s="957" t="s">
        <v>429</v>
      </c>
      <c r="BB8" s="854" t="s">
        <v>426</v>
      </c>
      <c r="BC8" s="854" t="s">
        <v>427</v>
      </c>
      <c r="BD8" s="958" t="s">
        <v>428</v>
      </c>
      <c r="BE8" s="958" t="s">
        <v>291</v>
      </c>
      <c r="BF8" s="959" t="s">
        <v>292</v>
      </c>
      <c r="BG8" s="406"/>
      <c r="BH8" s="957" t="s">
        <v>429</v>
      </c>
      <c r="BI8" s="854" t="s">
        <v>426</v>
      </c>
      <c r="BJ8" s="854" t="s">
        <v>427</v>
      </c>
      <c r="BK8" s="958" t="s">
        <v>428</v>
      </c>
      <c r="BL8" s="958" t="s">
        <v>291</v>
      </c>
      <c r="BM8" s="959" t="s">
        <v>292</v>
      </c>
      <c r="BO8" s="957" t="s">
        <v>429</v>
      </c>
      <c r="BP8" s="854" t="s">
        <v>426</v>
      </c>
      <c r="BQ8" s="854" t="s">
        <v>427</v>
      </c>
      <c r="BR8" s="958" t="s">
        <v>428</v>
      </c>
      <c r="BS8" s="958" t="s">
        <v>291</v>
      </c>
      <c r="BT8" s="959" t="s">
        <v>292</v>
      </c>
      <c r="BU8" s="406"/>
      <c r="BV8" s="1323" t="s">
        <v>291</v>
      </c>
      <c r="BW8" s="959" t="s">
        <v>292</v>
      </c>
      <c r="BX8" s="406"/>
      <c r="BY8" s="406"/>
      <c r="BZ8" s="406"/>
      <c r="CA8" s="406"/>
      <c r="CB8" s="406"/>
      <c r="CC8" s="406"/>
      <c r="CD8" s="406"/>
      <c r="CE8" s="406"/>
      <c r="CF8" s="406"/>
      <c r="CG8" s="406"/>
      <c r="CH8" s="406"/>
      <c r="CI8" s="406"/>
      <c r="CJ8" s="406"/>
      <c r="CK8" s="406"/>
      <c r="CL8" s="406"/>
      <c r="CM8" s="406"/>
      <c r="CN8" s="406"/>
      <c r="CO8" s="406"/>
      <c r="CP8" s="406"/>
      <c r="CQ8" s="406"/>
      <c r="CR8" s="406"/>
      <c r="CS8" s="406"/>
      <c r="CT8" s="406"/>
      <c r="CU8" s="406"/>
      <c r="CV8" s="406"/>
      <c r="CW8" s="406"/>
      <c r="CX8" s="406"/>
      <c r="CY8" s="406"/>
      <c r="CZ8" s="406"/>
      <c r="DA8" s="406"/>
      <c r="DB8" s="406"/>
      <c r="DC8" s="406"/>
      <c r="DD8" s="406"/>
      <c r="DE8" s="406"/>
      <c r="DF8" s="406"/>
      <c r="DG8" s="406"/>
      <c r="DH8" s="406"/>
      <c r="DI8" s="406"/>
      <c r="DJ8" s="406"/>
      <c r="DK8" s="406"/>
      <c r="DL8" s="406"/>
      <c r="DM8" s="406"/>
      <c r="DN8" s="406"/>
      <c r="DO8" s="406"/>
      <c r="DP8" s="406"/>
      <c r="DQ8" s="406"/>
      <c r="DR8" s="406"/>
      <c r="DS8" s="406"/>
      <c r="DT8" s="406"/>
      <c r="DU8" s="406"/>
      <c r="DV8" s="406"/>
      <c r="DW8" s="406"/>
      <c r="DX8" s="406"/>
      <c r="DY8" s="406"/>
      <c r="DZ8" s="406"/>
      <c r="EA8" s="406"/>
      <c r="EB8" s="406"/>
      <c r="EC8" s="406"/>
      <c r="ED8" s="406"/>
      <c r="EE8" s="406"/>
      <c r="EF8" s="406"/>
      <c r="EG8" s="406"/>
      <c r="EH8" s="406"/>
      <c r="EI8" s="406"/>
      <c r="EJ8" s="406"/>
      <c r="EK8" s="406"/>
      <c r="EL8" s="406"/>
      <c r="EM8" s="406"/>
      <c r="EN8" s="406"/>
      <c r="EO8" s="406"/>
      <c r="EP8" s="406"/>
      <c r="EQ8" s="406"/>
      <c r="ER8" s="406"/>
      <c r="ES8" s="406"/>
      <c r="ET8" s="406"/>
      <c r="EU8" s="406"/>
      <c r="EV8" s="406"/>
      <c r="EW8" s="406"/>
      <c r="EX8" s="406"/>
      <c r="EY8" s="406"/>
      <c r="EZ8" s="406"/>
      <c r="FA8" s="406"/>
      <c r="FB8" s="406"/>
      <c r="FC8" s="406"/>
      <c r="FD8" s="406"/>
      <c r="FE8" s="406"/>
      <c r="FF8" s="406"/>
      <c r="FG8" s="406"/>
      <c r="FH8" s="406"/>
      <c r="FI8" s="406"/>
      <c r="FJ8" s="406"/>
      <c r="FK8" s="406"/>
      <c r="FL8" s="406"/>
      <c r="FM8" s="406"/>
      <c r="FN8" s="406"/>
      <c r="FO8" s="406"/>
      <c r="FP8" s="406"/>
      <c r="FQ8" s="406"/>
      <c r="FR8" s="406"/>
      <c r="FS8" s="406"/>
      <c r="FT8" s="406"/>
      <c r="FU8" s="406"/>
      <c r="FV8" s="406"/>
      <c r="FW8" s="406"/>
      <c r="FX8" s="406"/>
      <c r="FY8" s="406"/>
      <c r="FZ8" s="406"/>
      <c r="GA8" s="406"/>
      <c r="GB8" s="406"/>
      <c r="GC8" s="406"/>
      <c r="GD8" s="406"/>
      <c r="GE8" s="406"/>
      <c r="GF8" s="406"/>
      <c r="GG8" s="406"/>
      <c r="GH8" s="406"/>
      <c r="GI8" s="406"/>
      <c r="GJ8" s="406"/>
      <c r="GK8" s="406"/>
      <c r="GL8" s="406"/>
      <c r="GM8" s="406"/>
      <c r="GN8" s="406"/>
      <c r="GO8" s="406"/>
      <c r="GP8" s="406"/>
      <c r="GQ8" s="406"/>
      <c r="GR8" s="406"/>
      <c r="GS8" s="406"/>
      <c r="GT8" s="406"/>
      <c r="GU8" s="406"/>
      <c r="GV8" s="406"/>
      <c r="GW8" s="406"/>
      <c r="GX8" s="406"/>
      <c r="GY8" s="406"/>
      <c r="GZ8" s="406"/>
      <c r="HA8" s="406"/>
      <c r="HB8" s="406"/>
      <c r="HC8" s="406"/>
      <c r="HD8" s="406"/>
      <c r="HE8" s="406"/>
      <c r="HF8" s="406"/>
      <c r="HG8" s="406"/>
      <c r="HH8" s="406"/>
      <c r="HI8" s="406"/>
      <c r="HJ8" s="406"/>
      <c r="HK8" s="406"/>
      <c r="HL8" s="406"/>
      <c r="HM8" s="406"/>
      <c r="HN8" s="406"/>
      <c r="HO8" s="406"/>
      <c r="HP8" s="406"/>
      <c r="HQ8" s="406"/>
      <c r="HR8" s="406"/>
      <c r="HS8" s="406"/>
      <c r="HT8" s="406"/>
      <c r="HU8" s="406"/>
      <c r="HV8" s="406"/>
      <c r="HW8" s="406"/>
      <c r="HX8" s="406"/>
      <c r="HY8" s="406"/>
      <c r="HZ8" s="406"/>
      <c r="IA8" s="406"/>
      <c r="IB8" s="406"/>
      <c r="IC8" s="406"/>
      <c r="ID8" s="406"/>
      <c r="IE8" s="406"/>
      <c r="IF8" s="406"/>
      <c r="IG8" s="406"/>
      <c r="IH8" s="406"/>
      <c r="II8" s="406"/>
      <c r="IJ8" s="406"/>
      <c r="IK8" s="406"/>
      <c r="IL8" s="406"/>
      <c r="IM8" s="406"/>
      <c r="IN8" s="406"/>
      <c r="IO8" s="406"/>
      <c r="IP8" s="406"/>
      <c r="IQ8" s="406"/>
      <c r="IR8" s="406"/>
      <c r="IS8" s="406"/>
    </row>
    <row r="9" spans="1:253" s="503" customFormat="1" ht="17.25">
      <c r="A9" s="362" t="s">
        <v>474</v>
      </c>
      <c r="B9" s="363"/>
      <c r="C9" s="770"/>
      <c r="D9" s="54"/>
      <c r="E9" s="1292"/>
      <c r="F9" s="943" t="s">
        <v>475</v>
      </c>
      <c r="G9" s="943" t="s">
        <v>475</v>
      </c>
      <c r="H9" s="944" t="s">
        <v>475</v>
      </c>
      <c r="I9" s="889"/>
      <c r="J9" s="889"/>
      <c r="K9" s="966"/>
      <c r="L9" s="967"/>
      <c r="M9" s="967"/>
      <c r="N9" s="890"/>
      <c r="O9" s="891"/>
      <c r="P9" s="890"/>
      <c r="Q9" s="890"/>
      <c r="R9" s="890"/>
      <c r="S9" s="890"/>
      <c r="T9" s="890"/>
      <c r="U9" s="890"/>
      <c r="V9" s="890"/>
      <c r="W9" s="890"/>
      <c r="X9" s="864"/>
      <c r="Y9" s="937" t="s">
        <v>309</v>
      </c>
      <c r="Z9" s="880" t="s">
        <v>309</v>
      </c>
      <c r="AA9" s="880" t="s">
        <v>309</v>
      </c>
      <c r="AB9" s="880" t="s">
        <v>309</v>
      </c>
      <c r="AC9" s="880" t="s">
        <v>309</v>
      </c>
      <c r="AD9" s="938" t="s">
        <v>309</v>
      </c>
      <c r="AE9" s="1332"/>
      <c r="AF9" s="937" t="s">
        <v>309</v>
      </c>
      <c r="AG9" s="880" t="s">
        <v>309</v>
      </c>
      <c r="AH9" s="880" t="s">
        <v>309</v>
      </c>
      <c r="AI9" s="880" t="s">
        <v>309</v>
      </c>
      <c r="AJ9" s="880" t="s">
        <v>309</v>
      </c>
      <c r="AK9" s="938" t="s">
        <v>309</v>
      </c>
      <c r="AL9" s="1332"/>
      <c r="AM9" s="871" t="s">
        <v>309</v>
      </c>
      <c r="AN9" s="871" t="s">
        <v>309</v>
      </c>
      <c r="AO9" s="871" t="s">
        <v>309</v>
      </c>
      <c r="AP9" s="871" t="s">
        <v>309</v>
      </c>
      <c r="AQ9" s="871" t="s">
        <v>309</v>
      </c>
      <c r="AR9" s="871" t="s">
        <v>309</v>
      </c>
      <c r="AS9" s="869"/>
      <c r="AT9" s="937" t="s">
        <v>309</v>
      </c>
      <c r="AU9" s="880" t="s">
        <v>309</v>
      </c>
      <c r="AV9" s="880" t="s">
        <v>309</v>
      </c>
      <c r="AW9" s="880" t="s">
        <v>309</v>
      </c>
      <c r="AX9" s="880" t="s">
        <v>309</v>
      </c>
      <c r="AY9" s="938" t="s">
        <v>309</v>
      </c>
      <c r="AZ9" s="869"/>
      <c r="BA9" s="937" t="s">
        <v>309</v>
      </c>
      <c r="BB9" s="880" t="s">
        <v>309</v>
      </c>
      <c r="BC9" s="880" t="s">
        <v>309</v>
      </c>
      <c r="BD9" s="880" t="s">
        <v>309</v>
      </c>
      <c r="BE9" s="880" t="s">
        <v>309</v>
      </c>
      <c r="BF9" s="938" t="s">
        <v>309</v>
      </c>
      <c r="BG9" s="406"/>
      <c r="BH9" s="937" t="s">
        <v>309</v>
      </c>
      <c r="BI9" s="880" t="s">
        <v>309</v>
      </c>
      <c r="BJ9" s="880" t="s">
        <v>309</v>
      </c>
      <c r="BK9" s="880" t="s">
        <v>309</v>
      </c>
      <c r="BL9" s="880" t="s">
        <v>309</v>
      </c>
      <c r="BM9" s="938" t="s">
        <v>309</v>
      </c>
      <c r="BN9" s="406"/>
      <c r="BO9" s="937" t="s">
        <v>309</v>
      </c>
      <c r="BP9" s="880" t="s">
        <v>309</v>
      </c>
      <c r="BQ9" s="880" t="s">
        <v>309</v>
      </c>
      <c r="BR9" s="880" t="s">
        <v>309</v>
      </c>
      <c r="BS9" s="880" t="s">
        <v>309</v>
      </c>
      <c r="BT9" s="938" t="s">
        <v>309</v>
      </c>
      <c r="BU9" s="1332"/>
      <c r="BV9" s="937" t="s">
        <v>309</v>
      </c>
      <c r="BW9" s="938" t="s">
        <v>309</v>
      </c>
      <c r="BX9" s="406"/>
      <c r="BY9" s="406"/>
      <c r="BZ9" s="406"/>
      <c r="CA9" s="406"/>
      <c r="CB9" s="406"/>
      <c r="CC9" s="406"/>
      <c r="CD9" s="406"/>
      <c r="CE9" s="406"/>
      <c r="CF9" s="406"/>
      <c r="CG9" s="406"/>
      <c r="CH9" s="406"/>
      <c r="CI9" s="406"/>
      <c r="CJ9" s="406"/>
      <c r="CK9" s="406"/>
      <c r="CL9" s="406"/>
      <c r="CM9" s="406"/>
      <c r="CN9" s="406"/>
      <c r="CO9" s="406"/>
      <c r="CP9" s="406"/>
      <c r="CQ9" s="406"/>
      <c r="CR9" s="406"/>
      <c r="CS9" s="406"/>
      <c r="CT9" s="406"/>
      <c r="CU9" s="406"/>
      <c r="CV9" s="406"/>
      <c r="CW9" s="406"/>
      <c r="CX9" s="406"/>
      <c r="CY9" s="406"/>
      <c r="CZ9" s="406"/>
      <c r="DA9" s="406"/>
      <c r="DB9" s="406"/>
      <c r="DC9" s="406"/>
      <c r="DD9" s="406"/>
      <c r="DE9" s="406"/>
      <c r="DF9" s="406"/>
      <c r="DG9" s="406"/>
      <c r="DH9" s="406"/>
      <c r="DI9" s="406"/>
      <c r="DJ9" s="406"/>
      <c r="DK9" s="406"/>
      <c r="DL9" s="406"/>
      <c r="DM9" s="406"/>
      <c r="DN9" s="406"/>
      <c r="DO9" s="406"/>
      <c r="DP9" s="406"/>
      <c r="DQ9" s="406"/>
      <c r="DR9" s="406"/>
      <c r="DS9" s="406"/>
      <c r="DT9" s="406"/>
      <c r="DU9" s="406"/>
      <c r="DV9" s="406"/>
      <c r="DW9" s="406"/>
      <c r="DX9" s="406"/>
      <c r="DY9" s="406"/>
      <c r="DZ9" s="406"/>
      <c r="EA9" s="406"/>
      <c r="EB9" s="406"/>
      <c r="EC9" s="406"/>
      <c r="ED9" s="406"/>
      <c r="EE9" s="406"/>
      <c r="EF9" s="406"/>
      <c r="EG9" s="406"/>
      <c r="EH9" s="406"/>
      <c r="EI9" s="406"/>
      <c r="EJ9" s="406"/>
      <c r="EK9" s="406"/>
      <c r="EL9" s="406"/>
      <c r="EM9" s="406"/>
      <c r="EN9" s="406"/>
      <c r="EO9" s="406"/>
      <c r="EP9" s="406"/>
      <c r="EQ9" s="406"/>
      <c r="ER9" s="406"/>
      <c r="ES9" s="406"/>
      <c r="ET9" s="406"/>
      <c r="EU9" s="406"/>
      <c r="EV9" s="406"/>
      <c r="EW9" s="406"/>
      <c r="EX9" s="406"/>
      <c r="EY9" s="406"/>
      <c r="EZ9" s="406"/>
      <c r="FA9" s="406"/>
      <c r="FB9" s="406"/>
      <c r="FC9" s="406"/>
      <c r="FD9" s="406"/>
      <c r="FE9" s="406"/>
      <c r="FF9" s="406"/>
      <c r="FG9" s="406"/>
      <c r="FH9" s="406"/>
      <c r="FI9" s="406"/>
      <c r="FJ9" s="406"/>
      <c r="FK9" s="406"/>
      <c r="FL9" s="406"/>
      <c r="FM9" s="406"/>
      <c r="FN9" s="406"/>
      <c r="FO9" s="406"/>
      <c r="FP9" s="406"/>
      <c r="FQ9" s="406"/>
      <c r="FR9" s="406"/>
      <c r="FS9" s="406"/>
      <c r="FT9" s="406"/>
      <c r="FU9" s="406"/>
      <c r="FV9" s="406"/>
      <c r="FW9" s="406"/>
      <c r="FX9" s="406"/>
      <c r="FY9" s="406"/>
      <c r="FZ9" s="406"/>
      <c r="GA9" s="406"/>
      <c r="GB9" s="406"/>
      <c r="GC9" s="406"/>
      <c r="GD9" s="406"/>
      <c r="GE9" s="406"/>
      <c r="GF9" s="406"/>
      <c r="GG9" s="406"/>
      <c r="GH9" s="406"/>
      <c r="GI9" s="406"/>
      <c r="GJ9" s="406"/>
      <c r="GK9" s="406"/>
      <c r="GL9" s="406"/>
      <c r="GM9" s="406"/>
      <c r="GN9" s="406"/>
      <c r="GO9" s="406"/>
      <c r="GP9" s="406"/>
      <c r="GQ9" s="406"/>
      <c r="GR9" s="406"/>
      <c r="GS9" s="406"/>
      <c r="GT9" s="406"/>
      <c r="GU9" s="406"/>
      <c r="GV9" s="406"/>
      <c r="GW9" s="406"/>
      <c r="GX9" s="406"/>
      <c r="GY9" s="406"/>
      <c r="GZ9" s="406"/>
      <c r="HA9" s="406"/>
      <c r="HB9" s="406"/>
      <c r="HC9" s="406"/>
      <c r="HD9" s="406"/>
      <c r="HE9" s="406"/>
      <c r="HF9" s="406"/>
      <c r="HG9" s="406"/>
      <c r="HH9" s="406"/>
      <c r="HI9" s="406"/>
      <c r="HJ9" s="406"/>
      <c r="HK9" s="406"/>
      <c r="HL9" s="406"/>
      <c r="HM9" s="406"/>
      <c r="HN9" s="406"/>
      <c r="HO9" s="406"/>
      <c r="HP9" s="406"/>
      <c r="HQ9" s="406"/>
      <c r="HR9" s="406"/>
      <c r="HS9" s="406"/>
      <c r="HT9" s="406"/>
      <c r="HU9" s="406"/>
      <c r="HV9" s="406"/>
      <c r="HW9" s="406"/>
      <c r="HX9" s="406"/>
      <c r="HY9" s="406"/>
      <c r="HZ9" s="406"/>
      <c r="IA9" s="406"/>
      <c r="IB9" s="406"/>
      <c r="IC9" s="406"/>
      <c r="ID9" s="406"/>
      <c r="IE9" s="406"/>
      <c r="IF9" s="406"/>
      <c r="IG9" s="406"/>
      <c r="IH9" s="406"/>
      <c r="II9" s="406"/>
      <c r="IJ9" s="406"/>
      <c r="IK9" s="406"/>
      <c r="IL9" s="406"/>
      <c r="IM9" s="406"/>
      <c r="IN9" s="406"/>
      <c r="IO9" s="406"/>
      <c r="IP9" s="406"/>
      <c r="IQ9" s="406"/>
      <c r="IR9" s="406"/>
      <c r="IS9" s="406"/>
    </row>
    <row r="10" spans="1:253" s="502" customFormat="1" ht="17.25">
      <c r="A10" s="20" t="s">
        <v>120</v>
      </c>
      <c r="B10" s="93"/>
      <c r="C10" s="771">
        <f>SUM(C14:C37)</f>
        <v>0.9983146089730156</v>
      </c>
      <c r="D10" s="50"/>
      <c r="E10" s="1293" t="s">
        <v>316</v>
      </c>
      <c r="F10" s="874">
        <f>SUMPRODUCT($CE$14:$CE$16,F11:F13)</f>
        <v>2.3131872162322438E-2</v>
      </c>
      <c r="G10" s="874">
        <f>SUMPRODUCT($CE$14:$CE$16,G11:G13)</f>
        <v>0.90597965152577276</v>
      </c>
      <c r="H10" s="927">
        <f>SUMPRODUCT($CE$14:$CE$16,H11:H13)</f>
        <v>1.3291812624737278</v>
      </c>
      <c r="I10" s="872"/>
      <c r="J10" s="884"/>
      <c r="K10" s="884"/>
      <c r="L10" s="888"/>
      <c r="M10" s="888"/>
      <c r="N10" s="888"/>
      <c r="O10" s="888"/>
      <c r="P10" s="888"/>
      <c r="Q10" s="888"/>
      <c r="R10" s="888"/>
      <c r="S10" s="888"/>
      <c r="T10" s="888"/>
      <c r="U10" s="888"/>
      <c r="V10" s="888"/>
      <c r="W10" s="888"/>
      <c r="X10" s="864"/>
      <c r="Y10" s="883">
        <f>Y14*$C$14+Y18*$C$18+Y22*$C$22+Y26*$C$26+Y30*$C$30+Y34*$C$34</f>
        <v>6.0672612325083676E-2</v>
      </c>
      <c r="Z10" s="884">
        <f t="shared" ref="Z10:BT10" si="0">Z14*$C$14+Z18*$C$18+Z22*$C$22+Z26*$C$26+Z30*$C$30+Z34*$C$34</f>
        <v>6.0672612325083676E-2</v>
      </c>
      <c r="AA10" s="884">
        <f t="shared" si="0"/>
        <v>6.0672612325083676E-2</v>
      </c>
      <c r="AB10" s="884">
        <f t="shared" si="0"/>
        <v>6.0672612325083676E-2</v>
      </c>
      <c r="AC10" s="884">
        <f t="shared" si="0"/>
        <v>7.2410326202510644E-2</v>
      </c>
      <c r="AD10" s="884">
        <f t="shared" si="0"/>
        <v>8.939546444754401E-2</v>
      </c>
      <c r="AE10" s="1332"/>
      <c r="AF10" s="884">
        <f t="shared" si="0"/>
        <v>2.5815342247004925E-3</v>
      </c>
      <c r="AG10" s="884">
        <f t="shared" si="0"/>
        <v>2.5815342247004925E-3</v>
      </c>
      <c r="AH10" s="884">
        <f t="shared" si="0"/>
        <v>2.5815342247004925E-3</v>
      </c>
      <c r="AI10" s="884">
        <f t="shared" si="0"/>
        <v>2.5815342247004925E-3</v>
      </c>
      <c r="AJ10" s="884">
        <f t="shared" si="0"/>
        <v>3.0809574229627547E-3</v>
      </c>
      <c r="AK10" s="885">
        <f t="shared" si="0"/>
        <v>3.8036511394601916E-3</v>
      </c>
      <c r="AL10" s="1332"/>
      <c r="AM10" s="1172">
        <f t="shared" si="0"/>
        <v>6.0326430711067636E-4</v>
      </c>
      <c r="AN10" s="875">
        <f t="shared" si="0"/>
        <v>6.0326430711067636E-4</v>
      </c>
      <c r="AO10" s="875">
        <f t="shared" si="0"/>
        <v>6.0326430711067636E-4</v>
      </c>
      <c r="AP10" s="875">
        <f t="shared" si="0"/>
        <v>6.0326430711067636E-4</v>
      </c>
      <c r="AQ10" s="875">
        <f t="shared" si="0"/>
        <v>7.1997172348809682E-4</v>
      </c>
      <c r="AR10" s="981">
        <f t="shared" si="0"/>
        <v>8.8885397961493431E-4</v>
      </c>
      <c r="AS10" s="1332"/>
      <c r="AT10" s="883">
        <f t="shared" si="0"/>
        <v>6.7219224887835813E-3</v>
      </c>
      <c r="AU10" s="884">
        <f t="shared" si="0"/>
        <v>6.7219224887835813E-3</v>
      </c>
      <c r="AV10" s="884">
        <f t="shared" si="0"/>
        <v>6.7219224887835813E-3</v>
      </c>
      <c r="AW10" s="884">
        <f t="shared" si="0"/>
        <v>6.7219224887835813E-3</v>
      </c>
      <c r="AX10" s="884">
        <f t="shared" si="0"/>
        <v>8.022344538469485E-3</v>
      </c>
      <c r="AY10" s="885">
        <f t="shared" si="0"/>
        <v>9.9041290598388711E-3</v>
      </c>
      <c r="AZ10" s="1332"/>
      <c r="BA10" s="883">
        <f t="shared" si="0"/>
        <v>6.0774339006463969E-11</v>
      </c>
      <c r="BB10" s="884">
        <f t="shared" si="0"/>
        <v>6.0774339006463969E-11</v>
      </c>
      <c r="BC10" s="884">
        <f t="shared" si="0"/>
        <v>6.0774339006463969E-11</v>
      </c>
      <c r="BD10" s="884">
        <f t="shared" si="0"/>
        <v>6.0774339006463969E-11</v>
      </c>
      <c r="BE10" s="884">
        <f t="shared" si="0"/>
        <v>7.253173291140228E-11</v>
      </c>
      <c r="BF10" s="885">
        <f t="shared" si="0"/>
        <v>8.9545349273336134E-11</v>
      </c>
      <c r="BG10" s="1332"/>
      <c r="BH10" s="883">
        <f t="shared" si="0"/>
        <v>5.1774407176921719E-5</v>
      </c>
      <c r="BI10" s="884">
        <f t="shared" si="0"/>
        <v>5.1774407176921719E-5</v>
      </c>
      <c r="BJ10" s="884">
        <f t="shared" si="0"/>
        <v>5.1774407176921719E-5</v>
      </c>
      <c r="BK10" s="884">
        <f t="shared" si="0"/>
        <v>5.1774407176921719E-5</v>
      </c>
      <c r="BL10" s="884">
        <f t="shared" si="0"/>
        <v>6.1790675709418448E-5</v>
      </c>
      <c r="BM10" s="885">
        <f t="shared" si="0"/>
        <v>7.6284784826442526E-5</v>
      </c>
      <c r="BN10" s="1332"/>
      <c r="BO10" s="883">
        <f t="shared" si="0"/>
        <v>6.5916205968326986E-5</v>
      </c>
      <c r="BP10" s="884">
        <f t="shared" si="0"/>
        <v>6.5916205968326986E-5</v>
      </c>
      <c r="BQ10" s="884">
        <f t="shared" si="0"/>
        <v>6.5916205968326986E-5</v>
      </c>
      <c r="BR10" s="884">
        <f t="shared" si="0"/>
        <v>6.5916205968326986E-5</v>
      </c>
      <c r="BS10" s="884">
        <f t="shared" si="0"/>
        <v>7.8668344633401325E-5</v>
      </c>
      <c r="BT10" s="885">
        <f t="shared" si="0"/>
        <v>9.712141312765594E-5</v>
      </c>
      <c r="BU10" s="1332"/>
      <c r="BV10" s="883">
        <f>BV14*$C$14+BV18*$C$18+BV22*$C$22+BV25*$C$26+BV30*$C$30+BV34*$C$34</f>
        <v>0.75708086469809777</v>
      </c>
      <c r="BW10" s="885">
        <f>BW14*$C$14+BW18*$C$18+BW22*$C$22+BW25*$C$26+BW30*$C$30+BW34*$C$34</f>
        <v>0.93466773419518256</v>
      </c>
      <c r="BX10" s="406"/>
      <c r="BY10" s="406"/>
      <c r="BZ10" s="406"/>
      <c r="CA10" s="406"/>
      <c r="CB10" s="406"/>
      <c r="CC10" s="406"/>
      <c r="CD10" s="406"/>
      <c r="CE10" s="406"/>
      <c r="CF10" s="406"/>
      <c r="CG10" s="406"/>
      <c r="CH10" s="406"/>
      <c r="CI10" s="406"/>
      <c r="CJ10" s="406"/>
      <c r="CK10" s="406"/>
      <c r="CL10" s="406"/>
      <c r="CM10" s="406"/>
      <c r="CN10" s="406"/>
      <c r="CO10" s="406"/>
      <c r="CP10" s="406"/>
      <c r="CQ10" s="406"/>
      <c r="CR10" s="406"/>
      <c r="CS10" s="406"/>
      <c r="CT10" s="406"/>
      <c r="CU10" s="406"/>
      <c r="CV10" s="406"/>
      <c r="CW10" s="406"/>
      <c r="CX10" s="406"/>
      <c r="CY10" s="406"/>
      <c r="CZ10" s="406"/>
      <c r="DA10" s="406"/>
      <c r="DB10" s="406"/>
      <c r="DC10" s="406"/>
      <c r="DD10" s="406"/>
      <c r="DE10" s="406"/>
      <c r="DF10" s="406"/>
      <c r="DG10" s="406"/>
      <c r="DH10" s="406"/>
      <c r="DI10" s="406"/>
      <c r="DJ10" s="406"/>
      <c r="DK10" s="406"/>
      <c r="DL10" s="406"/>
      <c r="DM10" s="406"/>
      <c r="DN10" s="406"/>
      <c r="DO10" s="406"/>
      <c r="DP10" s="406"/>
      <c r="DQ10" s="406"/>
      <c r="DR10" s="406"/>
      <c r="DS10" s="406"/>
      <c r="DT10" s="406"/>
      <c r="DU10" s="406"/>
      <c r="DV10" s="406"/>
      <c r="DW10" s="406"/>
      <c r="DX10" s="406"/>
      <c r="DY10" s="406"/>
      <c r="DZ10" s="406"/>
      <c r="EA10" s="406"/>
      <c r="EB10" s="406"/>
      <c r="EC10" s="406"/>
      <c r="ED10" s="406"/>
      <c r="EE10" s="406"/>
      <c r="EF10" s="406"/>
      <c r="EG10" s="406"/>
      <c r="EH10" s="406"/>
      <c r="EI10" s="406"/>
      <c r="EJ10" s="406"/>
      <c r="EK10" s="406"/>
      <c r="EL10" s="406"/>
      <c r="EM10" s="406"/>
      <c r="EN10" s="406"/>
      <c r="EO10" s="406"/>
      <c r="EP10" s="406"/>
      <c r="EQ10" s="406"/>
      <c r="ER10" s="406"/>
      <c r="ES10" s="406"/>
      <c r="ET10" s="406"/>
      <c r="EU10" s="406"/>
      <c r="EV10" s="406"/>
      <c r="EW10" s="406"/>
      <c r="EX10" s="406"/>
      <c r="EY10" s="406"/>
      <c r="EZ10" s="406"/>
      <c r="FA10" s="406"/>
      <c r="FB10" s="406"/>
      <c r="FC10" s="406"/>
      <c r="FD10" s="406"/>
      <c r="FE10" s="406"/>
      <c r="FF10" s="406"/>
      <c r="FG10" s="406"/>
      <c r="FH10" s="406"/>
      <c r="FI10" s="406"/>
      <c r="FJ10" s="406"/>
      <c r="FK10" s="406"/>
      <c r="FL10" s="406"/>
      <c r="FM10" s="406"/>
      <c r="FN10" s="406"/>
      <c r="FO10" s="406"/>
      <c r="FP10" s="406"/>
      <c r="FQ10" s="406"/>
      <c r="FR10" s="406"/>
      <c r="FS10" s="406"/>
      <c r="FT10" s="406"/>
      <c r="FU10" s="406"/>
      <c r="FV10" s="406"/>
      <c r="FW10" s="406"/>
      <c r="FX10" s="406"/>
      <c r="FY10" s="406"/>
      <c r="FZ10" s="406"/>
      <c r="GA10" s="406"/>
      <c r="GB10" s="406"/>
      <c r="GC10" s="406"/>
      <c r="GD10" s="406"/>
      <c r="GE10" s="406"/>
      <c r="GF10" s="406"/>
      <c r="GG10" s="406"/>
      <c r="GH10" s="406"/>
      <c r="GI10" s="406"/>
      <c r="GJ10" s="406"/>
      <c r="GK10" s="406"/>
      <c r="GL10" s="406"/>
      <c r="GM10" s="406"/>
      <c r="GN10" s="406"/>
      <c r="GO10" s="406"/>
      <c r="GP10" s="406"/>
      <c r="GQ10" s="406"/>
      <c r="GR10" s="406"/>
      <c r="GS10" s="406"/>
      <c r="GT10" s="406"/>
      <c r="GU10" s="406"/>
      <c r="GV10" s="406"/>
      <c r="GW10" s="406"/>
      <c r="GX10" s="406"/>
      <c r="GY10" s="406"/>
      <c r="GZ10" s="406"/>
      <c r="HA10" s="406"/>
      <c r="HB10" s="406"/>
      <c r="HC10" s="406"/>
      <c r="HD10" s="406"/>
      <c r="HE10" s="406"/>
      <c r="HF10" s="406"/>
      <c r="HG10" s="406"/>
      <c r="HH10" s="406"/>
      <c r="HI10" s="406"/>
      <c r="HJ10" s="406"/>
      <c r="HK10" s="406"/>
      <c r="HL10" s="406"/>
      <c r="HM10" s="406"/>
      <c r="HN10" s="406"/>
      <c r="HO10" s="406"/>
      <c r="HP10" s="406"/>
      <c r="HQ10" s="406"/>
      <c r="HR10" s="406"/>
      <c r="HS10" s="406"/>
      <c r="HT10" s="406"/>
      <c r="HU10" s="406"/>
      <c r="HV10" s="406"/>
      <c r="HW10" s="406"/>
      <c r="HX10" s="406"/>
      <c r="HY10" s="406"/>
      <c r="HZ10" s="406"/>
      <c r="IA10" s="406"/>
      <c r="IB10" s="406"/>
      <c r="IC10" s="406"/>
      <c r="ID10" s="406"/>
      <c r="IE10" s="406"/>
      <c r="IF10" s="406"/>
      <c r="IG10" s="406"/>
      <c r="IH10" s="406"/>
      <c r="II10" s="406"/>
      <c r="IJ10" s="406"/>
      <c r="IK10" s="406"/>
      <c r="IL10" s="406"/>
      <c r="IM10" s="406"/>
      <c r="IN10" s="406"/>
      <c r="IO10" s="406"/>
      <c r="IP10" s="406"/>
      <c r="IQ10" s="406"/>
      <c r="IR10" s="406"/>
      <c r="IS10" s="406"/>
    </row>
    <row r="11" spans="1:253" s="406" customFormat="1" ht="17.25">
      <c r="A11" s="499"/>
      <c r="B11" s="55"/>
      <c r="C11" s="917"/>
      <c r="D11" s="5"/>
      <c r="E11" s="1294" t="s">
        <v>317</v>
      </c>
      <c r="F11" s="877">
        <f>F15*$C$14+F19*$C$18+$C$22*F23+$C$26*F27+$C$30*F31+$C$34*F35</f>
        <v>8.9989420669300373E-3</v>
      </c>
      <c r="G11" s="877">
        <f t="shared" ref="G11:H13" si="1">G15*$C$14+G19*$C$18+$C$22*G23+$C$26*G27+$C$30*G31+$C$34*G35</f>
        <v>0.79198696062300478</v>
      </c>
      <c r="H11" s="878">
        <f>H15*$C$14+H19*$C$18+$C$22*H23+$C$26*H27+$C$30*H31+$C$34*H35</f>
        <v>1.193135563819034</v>
      </c>
      <c r="I11" s="877">
        <f t="shared" ref="I11:W13" si="2">I15*$C$14+I19*$C$18+$C$22*I23+$C$26*I27+$C$30*I31+$C$34*I35</f>
        <v>9.5754788479227408E-3</v>
      </c>
      <c r="J11" s="877">
        <f t="shared" si="2"/>
        <v>2.9949438269190467E-2</v>
      </c>
      <c r="K11" s="877">
        <f t="shared" si="2"/>
        <v>0</v>
      </c>
      <c r="L11" s="877">
        <f t="shared" si="2"/>
        <v>0</v>
      </c>
      <c r="M11" s="877"/>
      <c r="N11" s="877">
        <f t="shared" si="2"/>
        <v>1.3511575360538736E-3</v>
      </c>
      <c r="O11" s="877">
        <f t="shared" si="2"/>
        <v>0.73559556801317294</v>
      </c>
      <c r="P11" s="877">
        <f t="shared" si="2"/>
        <v>6.5163758897346597E-3</v>
      </c>
      <c r="Q11" s="877">
        <f t="shared" si="2"/>
        <v>0</v>
      </c>
      <c r="R11" s="877">
        <f t="shared" si="2"/>
        <v>8.9989420669300373E-3</v>
      </c>
      <c r="S11" s="877">
        <f t="shared" si="2"/>
        <v>0</v>
      </c>
      <c r="T11" s="877">
        <f t="shared" si="2"/>
        <v>0</v>
      </c>
      <c r="U11" s="877">
        <f t="shared" si="2"/>
        <v>0.79198696062300478</v>
      </c>
      <c r="V11" s="877">
        <f t="shared" si="2"/>
        <v>4.9915730448650789E-2</v>
      </c>
      <c r="W11" s="877">
        <f t="shared" si="2"/>
        <v>0.15782559785231293</v>
      </c>
      <c r="X11" s="864"/>
      <c r="Y11" s="879"/>
      <c r="Z11" s="877"/>
      <c r="AA11" s="877"/>
      <c r="AB11" s="877"/>
      <c r="AC11" s="877"/>
      <c r="AD11" s="886"/>
      <c r="AE11" s="877"/>
      <c r="AF11" s="879"/>
      <c r="AG11" s="877"/>
      <c r="AH11" s="877"/>
      <c r="AI11" s="877"/>
      <c r="AJ11" s="877"/>
      <c r="AK11" s="886"/>
      <c r="AL11" s="877"/>
      <c r="AM11" s="879"/>
      <c r="AN11" s="877"/>
      <c r="AO11" s="877"/>
      <c r="AP11" s="877"/>
      <c r="AQ11" s="877"/>
      <c r="AR11" s="886"/>
      <c r="AS11" s="877"/>
      <c r="AT11" s="879"/>
      <c r="AU11" s="877"/>
      <c r="AV11" s="877"/>
      <c r="AW11" s="877"/>
      <c r="AX11" s="877"/>
      <c r="AY11" s="886"/>
      <c r="AZ11" s="877"/>
      <c r="BA11" s="879"/>
      <c r="BB11" s="877"/>
      <c r="BC11" s="877"/>
      <c r="BD11" s="877"/>
      <c r="BE11" s="877"/>
      <c r="BF11" s="886"/>
      <c r="BG11" s="877"/>
      <c r="BH11" s="879"/>
      <c r="BI11" s="877"/>
      <c r="BJ11" s="877"/>
      <c r="BK11" s="877"/>
      <c r="BL11" s="877"/>
      <c r="BM11" s="886"/>
      <c r="BN11" s="877"/>
      <c r="BO11" s="879"/>
      <c r="BP11" s="877"/>
      <c r="BQ11" s="877"/>
      <c r="BR11" s="877"/>
      <c r="BS11" s="877"/>
      <c r="BT11" s="886"/>
      <c r="BU11" s="877"/>
      <c r="BV11" s="879"/>
      <c r="BW11" s="886"/>
    </row>
    <row r="12" spans="1:253" s="406" customFormat="1" ht="17.25">
      <c r="A12" s="499"/>
      <c r="B12" s="55"/>
      <c r="C12" s="595"/>
      <c r="D12" s="50"/>
      <c r="E12" s="1294" t="s">
        <v>367</v>
      </c>
      <c r="F12" s="877">
        <f>F16*$C$14+F20*$C$18+$C$22*F24+$C$26*F28+$C$30*F32+$C$34*F36</f>
        <v>0</v>
      </c>
      <c r="G12" s="877">
        <f t="shared" si="1"/>
        <v>3.2169049564296885E-3</v>
      </c>
      <c r="H12" s="878">
        <f t="shared" si="1"/>
        <v>3.8392468748414941E-3</v>
      </c>
      <c r="I12" s="877">
        <f t="shared" si="2"/>
        <v>1.7151203429782557E-5</v>
      </c>
      <c r="J12" s="877">
        <f t="shared" si="2"/>
        <v>0</v>
      </c>
      <c r="K12" s="877">
        <f t="shared" si="2"/>
        <v>0</v>
      </c>
      <c r="L12" s="877">
        <f t="shared" si="2"/>
        <v>0</v>
      </c>
      <c r="M12" s="877"/>
      <c r="N12" s="877">
        <f t="shared" si="2"/>
        <v>5.985172278384059E-7</v>
      </c>
      <c r="O12" s="877">
        <f t="shared" si="2"/>
        <v>3.1991552357720672E-3</v>
      </c>
      <c r="P12" s="877">
        <f t="shared" si="2"/>
        <v>0</v>
      </c>
      <c r="Q12" s="877">
        <f t="shared" si="2"/>
        <v>0</v>
      </c>
      <c r="R12" s="877">
        <f t="shared" si="2"/>
        <v>0</v>
      </c>
      <c r="S12" s="877">
        <f t="shared" si="2"/>
        <v>0</v>
      </c>
      <c r="T12" s="877">
        <f t="shared" si="2"/>
        <v>0</v>
      </c>
      <c r="U12" s="877">
        <f t="shared" si="2"/>
        <v>3.2169049564296885E-3</v>
      </c>
      <c r="V12" s="877">
        <f t="shared" si="2"/>
        <v>0</v>
      </c>
      <c r="W12" s="877">
        <f t="shared" si="2"/>
        <v>0</v>
      </c>
      <c r="X12" s="864"/>
      <c r="Y12" s="879"/>
      <c r="Z12" s="877"/>
      <c r="AA12" s="877"/>
      <c r="AB12" s="877"/>
      <c r="AC12" s="877"/>
      <c r="AD12" s="886"/>
      <c r="AE12" s="877"/>
      <c r="AF12" s="879"/>
      <c r="AG12" s="877"/>
      <c r="AH12" s="877"/>
      <c r="AI12" s="877"/>
      <c r="AJ12" s="877"/>
      <c r="AK12" s="886"/>
      <c r="AL12" s="877"/>
      <c r="AM12" s="879"/>
      <c r="AN12" s="877"/>
      <c r="AO12" s="877"/>
      <c r="AP12" s="877"/>
      <c r="AQ12" s="877"/>
      <c r="AR12" s="886"/>
      <c r="AS12" s="877"/>
      <c r="AT12" s="879"/>
      <c r="AU12" s="877"/>
      <c r="AV12" s="877"/>
      <c r="AW12" s="877"/>
      <c r="AX12" s="877"/>
      <c r="AY12" s="886"/>
      <c r="AZ12" s="877"/>
      <c r="BA12" s="879"/>
      <c r="BB12" s="877"/>
      <c r="BC12" s="877"/>
      <c r="BD12" s="877"/>
      <c r="BE12" s="877"/>
      <c r="BF12" s="886"/>
      <c r="BG12" s="877"/>
      <c r="BH12" s="879"/>
      <c r="BI12" s="877"/>
      <c r="BJ12" s="877"/>
      <c r="BK12" s="877"/>
      <c r="BL12" s="877"/>
      <c r="BM12" s="886"/>
      <c r="BN12" s="877"/>
      <c r="BO12" s="879"/>
      <c r="BP12" s="877"/>
      <c r="BQ12" s="877"/>
      <c r="BR12" s="877"/>
      <c r="BS12" s="877"/>
      <c r="BT12" s="886"/>
      <c r="BU12" s="877"/>
      <c r="BV12" s="879"/>
      <c r="BW12" s="886"/>
      <c r="CD12" s="834"/>
      <c r="CE12" s="869"/>
    </row>
    <row r="13" spans="1:253" s="406" customFormat="1" ht="17.25">
      <c r="A13" s="18"/>
      <c r="B13" s="360"/>
      <c r="C13" s="83"/>
      <c r="D13" s="54"/>
      <c r="E13" s="1295" t="s">
        <v>320</v>
      </c>
      <c r="F13" s="877">
        <f>F17*$C$14+F21*$C$18+$C$22*F25+$C$26*F29+$C$30*F33+$C$34*F37</f>
        <v>5.1768974708397067E-5</v>
      </c>
      <c r="G13" s="877">
        <f t="shared" si="1"/>
        <v>9.9400209081195611E-5</v>
      </c>
      <c r="H13" s="878">
        <f t="shared" si="1"/>
        <v>1.186301576336026E-4</v>
      </c>
      <c r="I13" s="877">
        <f t="shared" si="2"/>
        <v>2.097119862432883E-5</v>
      </c>
      <c r="J13" s="877">
        <f t="shared" si="2"/>
        <v>0</v>
      </c>
      <c r="K13" s="877">
        <f t="shared" si="2"/>
        <v>5.0327180397323694E-5</v>
      </c>
      <c r="L13" s="877">
        <f t="shared" si="2"/>
        <v>1.4417943110733799E-6</v>
      </c>
      <c r="M13" s="877"/>
      <c r="N13" s="877">
        <f t="shared" si="2"/>
        <v>3.6306129788591974E-8</v>
      </c>
      <c r="O13" s="877">
        <f t="shared" si="2"/>
        <v>2.6623729618681132E-5</v>
      </c>
      <c r="P13" s="877">
        <f t="shared" si="2"/>
        <v>0</v>
      </c>
      <c r="Q13" s="877">
        <f t="shared" si="2"/>
        <v>0</v>
      </c>
      <c r="R13" s="877">
        <f t="shared" si="2"/>
        <v>0</v>
      </c>
      <c r="S13" s="877">
        <f t="shared" si="2"/>
        <v>0</v>
      </c>
      <c r="T13" s="877">
        <f t="shared" si="2"/>
        <v>0</v>
      </c>
      <c r="U13" s="877">
        <f t="shared" si="2"/>
        <v>9.9400209081195611E-5</v>
      </c>
      <c r="V13" s="877">
        <f t="shared" si="2"/>
        <v>0</v>
      </c>
      <c r="W13" s="877">
        <f t="shared" si="2"/>
        <v>0</v>
      </c>
      <c r="X13" s="864"/>
      <c r="Y13" s="879"/>
      <c r="Z13" s="877"/>
      <c r="AA13" s="877"/>
      <c r="AB13" s="877"/>
      <c r="AC13" s="877"/>
      <c r="AD13" s="886"/>
      <c r="AE13" s="877"/>
      <c r="AF13" s="879"/>
      <c r="AG13" s="877"/>
      <c r="AH13" s="877"/>
      <c r="AI13" s="877"/>
      <c r="AJ13" s="877"/>
      <c r="AK13" s="886"/>
      <c r="AL13" s="877"/>
      <c r="AM13" s="879"/>
      <c r="AN13" s="877"/>
      <c r="AO13" s="877"/>
      <c r="AP13" s="877"/>
      <c r="AQ13" s="877"/>
      <c r="AR13" s="886"/>
      <c r="AS13" s="877"/>
      <c r="AT13" s="879"/>
      <c r="AU13" s="877"/>
      <c r="AV13" s="877"/>
      <c r="AW13" s="877"/>
      <c r="AX13" s="877"/>
      <c r="AY13" s="886"/>
      <c r="AZ13" s="877"/>
      <c r="BA13" s="879"/>
      <c r="BB13" s="877"/>
      <c r="BC13" s="877"/>
      <c r="BD13" s="877"/>
      <c r="BE13" s="877"/>
      <c r="BF13" s="886"/>
      <c r="BG13" s="877"/>
      <c r="BH13" s="879"/>
      <c r="BI13" s="877"/>
      <c r="BJ13" s="877"/>
      <c r="BK13" s="877"/>
      <c r="BL13" s="877"/>
      <c r="BM13" s="886"/>
      <c r="BN13" s="877"/>
      <c r="BO13" s="879"/>
      <c r="BP13" s="877"/>
      <c r="BQ13" s="877"/>
      <c r="BR13" s="877"/>
      <c r="BS13" s="877"/>
      <c r="BT13" s="886"/>
      <c r="BU13" s="877"/>
      <c r="BV13" s="879"/>
      <c r="BW13" s="886"/>
      <c r="CD13" s="188" t="s">
        <v>252</v>
      </c>
      <c r="CE13" s="188"/>
    </row>
    <row r="14" spans="1:253" s="502" customFormat="1" ht="17.25">
      <c r="A14" s="20" t="s">
        <v>122</v>
      </c>
      <c r="B14" s="164" t="s">
        <v>129</v>
      </c>
      <c r="C14" s="904">
        <f>'Input data plant-based products'!D31</f>
        <v>7.6865671641791034E-2</v>
      </c>
      <c r="D14" s="17"/>
      <c r="E14" s="1293" t="s">
        <v>316</v>
      </c>
      <c r="F14" s="872">
        <f>SUMPRODUCT($CE$14:$CE$16,F15:F17)</f>
        <v>2.1474686315789495E-2</v>
      </c>
      <c r="G14" s="872">
        <f>SUMPRODUCT($CE$14:$CE$16,G15:G17)</f>
        <v>0.6749043555566796</v>
      </c>
      <c r="H14" s="873">
        <f>SUMPRODUCT($CE$14:$CE$16,H15:H17)</f>
        <v>0.90094803145563873</v>
      </c>
      <c r="I14" s="888"/>
      <c r="J14" s="888"/>
      <c r="K14" s="888"/>
      <c r="L14" s="888"/>
      <c r="M14" s="888"/>
      <c r="N14" s="888"/>
      <c r="O14" s="888"/>
      <c r="P14" s="888"/>
      <c r="Q14" s="888"/>
      <c r="R14" s="888"/>
      <c r="S14" s="888"/>
      <c r="T14" s="888"/>
      <c r="U14" s="888"/>
      <c r="V14" s="888"/>
      <c r="W14" s="888"/>
      <c r="X14" s="864"/>
      <c r="Y14" s="879">
        <f>1/'Input data plant-based products'!E31*10^4</f>
        <v>2.5252138414664331E-2</v>
      </c>
      <c r="Z14" s="877">
        <f>$Y14*'Input data plant-based products'!Z31</f>
        <v>2.5252138414664331E-2</v>
      </c>
      <c r="AA14" s="877">
        <f>$Y14*'Input data plant-based products'!AA31</f>
        <v>2.5252138414664331E-2</v>
      </c>
      <c r="AB14" s="877">
        <f>$Y14*'Input data plant-based products'!AB31</f>
        <v>2.5252138414664331E-2</v>
      </c>
      <c r="AC14" s="877">
        <f>$Y14*'Input data plant-based products'!AC31</f>
        <v>3.013741307395194E-2</v>
      </c>
      <c r="AD14" s="886">
        <f>$Y14*'Input data plant-based products'!AD31</f>
        <v>3.7206682807348068E-2</v>
      </c>
      <c r="AE14" s="877"/>
      <c r="AF14" s="879">
        <f>SUM('Input data plant-based products'!F31,'Input data plant-based products'!Q31)/'Input data plant-based products'!E31</f>
        <v>2.9824561403508799E-3</v>
      </c>
      <c r="AG14" s="877">
        <f>$AF14*'Input data plant-based products'!Z31</f>
        <v>2.9824561403508799E-3</v>
      </c>
      <c r="AH14" s="877">
        <f>$AF14*'Input data plant-based products'!AA31</f>
        <v>2.9824561403508799E-3</v>
      </c>
      <c r="AI14" s="877">
        <f>$AF14*'Input data plant-based products'!AB31</f>
        <v>2.9824561403508799E-3</v>
      </c>
      <c r="AJ14" s="877">
        <f>$AF14*'Input data plant-based products'!AC31</f>
        <v>3.5594416282979826E-3</v>
      </c>
      <c r="AK14" s="886">
        <f>$AF14*'Input data plant-based products'!AD31</f>
        <v>4.3943723806147928E-3</v>
      </c>
      <c r="AL14" s="877"/>
      <c r="AM14" s="879">
        <f>'Input data plant-based products'!R31/'Input data plant-based products'!E31</f>
        <v>8.2456140350877199E-4</v>
      </c>
      <c r="AN14" s="877">
        <f>$AM14*'Input data plant-based products'!Z31</f>
        <v>8.2456140350877199E-4</v>
      </c>
      <c r="AO14" s="877">
        <f>$AM14*'Input data plant-based products'!AA31</f>
        <v>8.2456140350877199E-4</v>
      </c>
      <c r="AP14" s="877">
        <f>$AM14*'Input data plant-based products'!AB31</f>
        <v>8.2456140350877199E-4</v>
      </c>
      <c r="AQ14" s="877">
        <f>$AM14*'Input data plant-based products'!AC31</f>
        <v>9.8408092076473553E-4</v>
      </c>
      <c r="AR14" s="886">
        <f>$AM14*'Input data plant-based products'!AD31</f>
        <v>1.2149147169935007E-3</v>
      </c>
      <c r="AS14" s="877"/>
      <c r="AT14" s="879">
        <f>'Input data plant-based products'!S31</f>
        <v>2E-3</v>
      </c>
      <c r="AU14" s="877">
        <f>$AT14*'Input data plant-based products'!Z31</f>
        <v>2E-3</v>
      </c>
      <c r="AV14" s="877">
        <f>$AT14*'Input data plant-based products'!AA31</f>
        <v>2E-3</v>
      </c>
      <c r="AW14" s="877">
        <f>$AT14*'Input data plant-based products'!AB31</f>
        <v>2E-3</v>
      </c>
      <c r="AX14" s="877">
        <f>$AT14*'Input data plant-based products'!AC31</f>
        <v>2.386919680152763E-3</v>
      </c>
      <c r="AY14" s="886">
        <f>$AT14*'Input data plant-based products'!AD31</f>
        <v>2.9468144199416824E-3</v>
      </c>
      <c r="AZ14" s="877"/>
      <c r="BA14" s="879">
        <f>((SUM('Input data plant-based products'!U31:Y31)*Y14)/('Common input data'!$B$192/10^6))/$BB$3</f>
        <v>1.7863097739979136E-13</v>
      </c>
      <c r="BB14" s="877">
        <f>$BA14*'Input data plant-based products'!Z31</f>
        <v>1.7863097739979136E-13</v>
      </c>
      <c r="BC14" s="877">
        <f>$BA14*'Input data plant-based products'!AA31</f>
        <v>1.7863097739979136E-13</v>
      </c>
      <c r="BD14" s="877">
        <f>$BA14*'Input data plant-based products'!AB31</f>
        <v>1.7863097739979136E-13</v>
      </c>
      <c r="BE14" s="877">
        <f>$BA14*'Input data plant-based products'!AC31</f>
        <v>2.1318889772024269E-13</v>
      </c>
      <c r="BF14" s="886">
        <f>$BA14*'Input data plant-based products'!AD31</f>
        <v>2.6319617002499096E-13</v>
      </c>
      <c r="BG14" s="877"/>
      <c r="BH14" s="879">
        <f>'Input data plant-based products'!T31/'Input data plant-based products'!E31</f>
        <v>7.2599897942159951E-6</v>
      </c>
      <c r="BI14" s="877">
        <f>$BH14*'Input data plant-based products'!Z31</f>
        <v>7.2599897942159951E-6</v>
      </c>
      <c r="BJ14" s="877">
        <f>$BH14*'Input data plant-based products'!AA31</f>
        <v>7.2599897942159951E-6</v>
      </c>
      <c r="BK14" s="877">
        <f>$BH14*'Input data plant-based products'!AB31</f>
        <v>7.2599897942159951E-6</v>
      </c>
      <c r="BL14" s="877">
        <f>$BH14*'Input data plant-based products'!AC31</f>
        <v>8.6645062587611822E-6</v>
      </c>
      <c r="BM14" s="886">
        <f>$BH14*'Input data plant-based products'!AD31</f>
        <v>1.0696921307112569E-5</v>
      </c>
      <c r="BN14" s="877"/>
      <c r="BO14" s="879">
        <f>('Input data plant-based products'!F31/'Input data plant-based products'!E31*'Common input data'!$B$195+'Input data plant-based products'!G31/'Input data plant-based products'!E31*'Common input data'!$B$196)/'Common input data'!$B$198</f>
        <v>7.615323916988881E-5</v>
      </c>
      <c r="BP14" s="877">
        <f>$BO14*'Input data plant-based products'!Z31</f>
        <v>7.615323916988881E-5</v>
      </c>
      <c r="BQ14" s="877">
        <f>$BO14*'Input data plant-based products'!AA31</f>
        <v>7.615323916988881E-5</v>
      </c>
      <c r="BR14" s="877">
        <f>$BO14*'Input data plant-based products'!AB31</f>
        <v>7.615323916988881E-5</v>
      </c>
      <c r="BS14" s="877">
        <f>$BO14*'Input data plant-based products'!AC31</f>
        <v>9.0885832640993922E-5</v>
      </c>
      <c r="BT14" s="886">
        <f>$BO14*'Input data plant-based products'!AD31</f>
        <v>1.1220473165554804E-4</v>
      </c>
      <c r="BU14" s="877"/>
      <c r="BV14" s="879">
        <f>'Common input data'!$C$202*'Input data plant-based products'!AC31</f>
        <v>0.17090344909893782</v>
      </c>
      <c r="BW14" s="886">
        <f>'Common input data'!$C$202*'Input data plant-based products'!AD31</f>
        <v>0.21099191246782442</v>
      </c>
      <c r="BX14" s="406"/>
      <c r="BY14" s="406"/>
      <c r="BZ14" s="406"/>
      <c r="CA14" s="406"/>
      <c r="CB14" s="406"/>
      <c r="CC14" s="406"/>
      <c r="CD14" s="188" t="s">
        <v>253</v>
      </c>
      <c r="CE14" s="188">
        <v>1</v>
      </c>
      <c r="CF14" s="406"/>
      <c r="CG14" s="406"/>
      <c r="CH14" s="406"/>
      <c r="CI14" s="406"/>
      <c r="CJ14" s="406"/>
      <c r="CK14" s="406"/>
      <c r="CL14" s="406"/>
      <c r="CM14" s="406"/>
      <c r="CN14" s="406"/>
      <c r="CO14" s="406"/>
      <c r="CP14" s="406"/>
      <c r="CQ14" s="406"/>
      <c r="CR14" s="406"/>
      <c r="CS14" s="406"/>
      <c r="CT14" s="406"/>
      <c r="CU14" s="406"/>
      <c r="CV14" s="406"/>
      <c r="CW14" s="406"/>
      <c r="CX14" s="406"/>
      <c r="CY14" s="406"/>
      <c r="CZ14" s="406"/>
      <c r="DA14" s="406"/>
      <c r="DB14" s="406"/>
      <c r="DC14" s="406"/>
      <c r="DD14" s="406"/>
      <c r="DE14" s="406"/>
      <c r="DF14" s="406"/>
      <c r="DG14" s="406"/>
      <c r="DH14" s="406"/>
      <c r="DI14" s="406"/>
      <c r="DJ14" s="406"/>
      <c r="DK14" s="406"/>
      <c r="DL14" s="406"/>
      <c r="DM14" s="406"/>
      <c r="DN14" s="406"/>
      <c r="DO14" s="406"/>
      <c r="DP14" s="406"/>
      <c r="DQ14" s="406"/>
      <c r="DR14" s="406"/>
      <c r="DS14" s="406"/>
      <c r="DT14" s="406"/>
      <c r="DU14" s="406"/>
      <c r="DV14" s="406"/>
      <c r="DW14" s="406"/>
      <c r="DX14" s="406"/>
      <c r="DY14" s="406"/>
      <c r="DZ14" s="406"/>
      <c r="EA14" s="406"/>
      <c r="EB14" s="406"/>
      <c r="EC14" s="406"/>
      <c r="ED14" s="406"/>
      <c r="EE14" s="406"/>
      <c r="EF14" s="406"/>
      <c r="EG14" s="406"/>
      <c r="EH14" s="406"/>
      <c r="EI14" s="406"/>
      <c r="EJ14" s="406"/>
      <c r="EK14" s="406"/>
      <c r="EL14" s="406"/>
      <c r="EM14" s="406"/>
      <c r="EN14" s="406"/>
      <c r="EO14" s="406"/>
      <c r="EP14" s="406"/>
      <c r="EQ14" s="406"/>
      <c r="ER14" s="406"/>
      <c r="ES14" s="406"/>
      <c r="ET14" s="406"/>
      <c r="EU14" s="406"/>
      <c r="EV14" s="406"/>
      <c r="EW14" s="406"/>
      <c r="EX14" s="406"/>
      <c r="EY14" s="406"/>
      <c r="EZ14" s="406"/>
      <c r="FA14" s="406"/>
      <c r="FB14" s="406"/>
      <c r="FC14" s="406"/>
      <c r="FD14" s="406"/>
      <c r="FE14" s="406"/>
      <c r="FF14" s="406"/>
      <c r="FG14" s="406"/>
      <c r="FH14" s="406"/>
      <c r="FI14" s="406"/>
      <c r="FJ14" s="406"/>
      <c r="FK14" s="406"/>
      <c r="FL14" s="406"/>
      <c r="FM14" s="406"/>
      <c r="FN14" s="406"/>
      <c r="FO14" s="406"/>
      <c r="FP14" s="406"/>
      <c r="FQ14" s="406"/>
      <c r="FR14" s="406"/>
      <c r="FS14" s="406"/>
      <c r="FT14" s="406"/>
      <c r="FU14" s="406"/>
      <c r="FV14" s="406"/>
      <c r="FW14" s="406"/>
      <c r="FX14" s="406"/>
      <c r="FY14" s="406"/>
      <c r="FZ14" s="406"/>
      <c r="GA14" s="406"/>
      <c r="GB14" s="406"/>
      <c r="GC14" s="406"/>
      <c r="GD14" s="406"/>
      <c r="GE14" s="406"/>
      <c r="GF14" s="406"/>
      <c r="GG14" s="406"/>
      <c r="GH14" s="406"/>
      <c r="GI14" s="406"/>
      <c r="GJ14" s="406"/>
      <c r="GK14" s="406"/>
      <c r="GL14" s="406"/>
      <c r="GM14" s="406"/>
      <c r="GN14" s="406"/>
      <c r="GO14" s="406"/>
      <c r="GP14" s="406"/>
      <c r="GQ14" s="406"/>
      <c r="GR14" s="406"/>
      <c r="GS14" s="406"/>
      <c r="GT14" s="406"/>
      <c r="GU14" s="406"/>
      <c r="GV14" s="406"/>
      <c r="GW14" s="406"/>
      <c r="GX14" s="406"/>
      <c r="GY14" s="406"/>
      <c r="GZ14" s="406"/>
      <c r="HA14" s="406"/>
      <c r="HB14" s="406"/>
      <c r="HC14" s="406"/>
      <c r="HD14" s="406"/>
      <c r="HE14" s="406"/>
      <c r="HF14" s="406"/>
      <c r="HG14" s="406"/>
      <c r="HH14" s="406"/>
      <c r="HI14" s="406"/>
      <c r="HJ14" s="406"/>
      <c r="HK14" s="406"/>
      <c r="HL14" s="406"/>
      <c r="HM14" s="406"/>
      <c r="HN14" s="406"/>
      <c r="HO14" s="406"/>
      <c r="HP14" s="406"/>
      <c r="HQ14" s="406"/>
      <c r="HR14" s="406"/>
      <c r="HS14" s="406"/>
      <c r="HT14" s="406"/>
      <c r="HU14" s="406"/>
      <c r="HV14" s="406"/>
      <c r="HW14" s="406"/>
      <c r="HX14" s="406"/>
      <c r="HY14" s="406"/>
      <c r="HZ14" s="406"/>
      <c r="IA14" s="406"/>
      <c r="IB14" s="406"/>
      <c r="IC14" s="406"/>
      <c r="ID14" s="406"/>
      <c r="IE14" s="406"/>
      <c r="IF14" s="406"/>
      <c r="IG14" s="406"/>
      <c r="IH14" s="406"/>
      <c r="II14" s="406"/>
      <c r="IJ14" s="406"/>
      <c r="IK14" s="406"/>
      <c r="IL14" s="406"/>
      <c r="IM14" s="406"/>
      <c r="IN14" s="406"/>
      <c r="IO14" s="406"/>
      <c r="IP14" s="406"/>
      <c r="IQ14" s="406"/>
      <c r="IR14" s="406"/>
      <c r="IS14" s="406"/>
    </row>
    <row r="15" spans="1:253" s="406" customFormat="1" ht="17.25">
      <c r="A15" s="499"/>
      <c r="B15"/>
      <c r="C15" s="917"/>
      <c r="D15" s="5"/>
      <c r="E15" s="1294" t="s">
        <v>317</v>
      </c>
      <c r="F15" s="877">
        <f>IF(AND($G$2="No",$G$3="No"),SUM(K15:L15),IF(AND($G$2="Yes", $G$3="No"), SUM(K15:L15)+S15, IF(AND($G$2="No", $G$3="Yes"),SUM(K15:L15)+R15, SUM(K15:L15)+S15+R15)))</f>
        <v>0</v>
      </c>
      <c r="G15" s="877">
        <f>IF(AND($G$2="No",$G$3="No"),SUM(I15:Q15),IF(AND($G$2="Yes", $G$3="No"), SUM(I15:Q15)+S15, IF(AND($G$2="No", $G$3="Yes"),SUM(I15:Q15)+R15, SUM(I15:Q15)+S15+R15)))</f>
        <v>0.60613276901815749</v>
      </c>
      <c r="H15" s="878">
        <f>SUM(U15:W15)/(1-'Common input data'!$B$140)</f>
        <v>0.81887190478357508</v>
      </c>
      <c r="I15" s="877">
        <f>('Input data plant-based products'!$F$31*('Common input data'!$B$93*'Common input data'!B86+'Common input data'!$B$94*'Common input data'!C86))/'Input data plant-based products'!$E$31</f>
        <v>9.3563482876983586E-3</v>
      </c>
      <c r="J15" s="877">
        <f>'Common input data'!$B$98</f>
        <v>0.03</v>
      </c>
      <c r="K15" s="877">
        <v>0</v>
      </c>
      <c r="L15" s="877">
        <v>0</v>
      </c>
      <c r="M15" s="877"/>
      <c r="N15" s="877">
        <v>0</v>
      </c>
      <c r="O15" s="877">
        <f>'Input data plant-based products'!N295/'Input data plant-based products'!E$31*'Input data plant-based products'!$L$295</f>
        <v>0.56638308739712573</v>
      </c>
      <c r="P15" s="877">
        <f>'Input data plant-based products'!G309*(1-'Input data plant-based products'!$L$295)</f>
        <v>3.9333333333333446E-4</v>
      </c>
      <c r="Q15" s="877">
        <v>0</v>
      </c>
      <c r="R15" s="877">
        <v>0</v>
      </c>
      <c r="S15" s="877">
        <v>0</v>
      </c>
      <c r="T15" s="877">
        <v>0</v>
      </c>
      <c r="U15" s="877">
        <f>(G15+T15)</f>
        <v>0.60613276901815749</v>
      </c>
      <c r="V15" s="877">
        <f>'Common input data'!$B$105</f>
        <v>0.05</v>
      </c>
      <c r="W15" s="877">
        <f>'Common input data'!C$115</f>
        <v>0.03</v>
      </c>
      <c r="X15" s="864"/>
      <c r="Y15" s="879"/>
      <c r="Z15" s="877"/>
      <c r="AA15" s="877"/>
      <c r="AB15" s="877"/>
      <c r="AC15" s="877"/>
      <c r="AD15" s="886"/>
      <c r="AE15" s="877"/>
      <c r="AF15" s="879"/>
      <c r="AG15" s="877"/>
      <c r="AH15" s="877"/>
      <c r="AI15" s="877"/>
      <c r="AJ15" s="877"/>
      <c r="AK15" s="886"/>
      <c r="AL15" s="877"/>
      <c r="AM15" s="879"/>
      <c r="AN15" s="877"/>
      <c r="AO15" s="877"/>
      <c r="AP15" s="877"/>
      <c r="AQ15" s="877"/>
      <c r="AR15" s="886"/>
      <c r="AS15" s="877"/>
      <c r="AT15" s="879"/>
      <c r="AU15" s="877"/>
      <c r="AV15" s="877"/>
      <c r="AW15" s="877"/>
      <c r="AX15" s="877"/>
      <c r="AY15" s="886"/>
      <c r="AZ15" s="877"/>
      <c r="BA15" s="879"/>
      <c r="BB15" s="877"/>
      <c r="BC15" s="877"/>
      <c r="BD15" s="877"/>
      <c r="BE15" s="877"/>
      <c r="BF15" s="886"/>
      <c r="BG15" s="877"/>
      <c r="BH15" s="879"/>
      <c r="BI15" s="877"/>
      <c r="BJ15" s="877"/>
      <c r="BK15" s="877"/>
      <c r="BL15" s="877"/>
      <c r="BM15" s="886"/>
      <c r="BN15" s="877"/>
      <c r="BO15" s="879"/>
      <c r="BP15" s="877"/>
      <c r="BQ15" s="877"/>
      <c r="BR15" s="877"/>
      <c r="BS15" s="877"/>
      <c r="BT15" s="886"/>
      <c r="BU15" s="877"/>
      <c r="BV15" s="879"/>
      <c r="BW15" s="886"/>
      <c r="CD15" s="188" t="s">
        <v>397</v>
      </c>
      <c r="CE15" s="929">
        <f>INDEX('Common input data'!A5:F15,MATCH(G1,'Common input data'!A5:A15,0),3)</f>
        <v>27</v>
      </c>
    </row>
    <row r="16" spans="1:253" s="406" customFormat="1" ht="17.25">
      <c r="A16" s="499"/>
      <c r="B16"/>
      <c r="C16" s="595"/>
      <c r="D16" s="50"/>
      <c r="E16" s="1294" t="s">
        <v>367</v>
      </c>
      <c r="F16" s="877">
        <f>SUM(K16:L16)</f>
        <v>0</v>
      </c>
      <c r="G16" s="877">
        <f>SUM(I16:Q16)</f>
        <v>1.2652568257898334E-3</v>
      </c>
      <c r="H16" s="878">
        <f>SUM(U16:W16)/(1-'Common input data'!$B$140)</f>
        <v>1.5100332089626846E-3</v>
      </c>
      <c r="I16" s="877">
        <f>('Input data plant-based products'!$F$31*('Common input data'!$B$93*'Common input data'!B87+'Common input data'!$B$94*'Common input data'!C87))/'Input data plant-based products'!$E$31</f>
        <v>1.1770748288661963E-5</v>
      </c>
      <c r="J16" s="877">
        <v>0</v>
      </c>
      <c r="K16" s="877">
        <v>0</v>
      </c>
      <c r="L16" s="877">
        <v>0</v>
      </c>
      <c r="M16" s="877"/>
      <c r="N16" s="877">
        <v>0</v>
      </c>
      <c r="O16" s="877">
        <f>'Input data plant-based products'!O295/'Input data plant-based products'!E$31*'Input data plant-based products'!$L$295</f>
        <v>1.2534860775011715E-3</v>
      </c>
      <c r="P16" s="877">
        <v>0</v>
      </c>
      <c r="Q16" s="877">
        <v>0</v>
      </c>
      <c r="R16" s="877">
        <v>0</v>
      </c>
      <c r="S16" s="877">
        <v>0</v>
      </c>
      <c r="T16" s="877">
        <v>0</v>
      </c>
      <c r="U16" s="877">
        <f>(G16+T16)</f>
        <v>1.2652568257898334E-3</v>
      </c>
      <c r="V16" s="877">
        <v>0</v>
      </c>
      <c r="W16" s="877">
        <v>0</v>
      </c>
      <c r="X16" s="864"/>
      <c r="Y16" s="879"/>
      <c r="Z16" s="877"/>
      <c r="AA16" s="877"/>
      <c r="AB16" s="877"/>
      <c r="AC16" s="877"/>
      <c r="AD16" s="886"/>
      <c r="AE16" s="877"/>
      <c r="AF16" s="879"/>
      <c r="AG16" s="877"/>
      <c r="AH16" s="877"/>
      <c r="AI16" s="877"/>
      <c r="AJ16" s="877"/>
      <c r="AK16" s="886"/>
      <c r="AL16" s="877"/>
      <c r="AM16" s="879"/>
      <c r="AN16" s="877"/>
      <c r="AO16" s="877"/>
      <c r="AP16" s="877"/>
      <c r="AQ16" s="877"/>
      <c r="AR16" s="886"/>
      <c r="AS16" s="877"/>
      <c r="AT16" s="879"/>
      <c r="AU16" s="877"/>
      <c r="AV16" s="877"/>
      <c r="AW16" s="877"/>
      <c r="AX16" s="877"/>
      <c r="AY16" s="886"/>
      <c r="AZ16" s="877"/>
      <c r="BA16" s="879"/>
      <c r="BB16" s="877"/>
      <c r="BC16" s="877"/>
      <c r="BD16" s="877"/>
      <c r="BE16" s="877"/>
      <c r="BF16" s="886"/>
      <c r="BG16" s="877"/>
      <c r="BH16" s="879"/>
      <c r="BI16" s="877"/>
      <c r="BJ16" s="877"/>
      <c r="BK16" s="877"/>
      <c r="BL16" s="877"/>
      <c r="BM16" s="886"/>
      <c r="BN16" s="877"/>
      <c r="BO16" s="879"/>
      <c r="BP16" s="877"/>
      <c r="BQ16" s="877"/>
      <c r="BR16" s="877"/>
      <c r="BS16" s="877"/>
      <c r="BT16" s="886"/>
      <c r="BU16" s="877"/>
      <c r="BV16" s="879"/>
      <c r="BW16" s="886"/>
      <c r="CD16" s="188" t="s">
        <v>256</v>
      </c>
      <c r="CE16" s="929">
        <f>INDEX('Common input data'!A5:F15,MATCH(G1,'Common input data'!A5:A15,0),5)</f>
        <v>273</v>
      </c>
    </row>
    <row r="17" spans="1:253" s="406" customFormat="1" ht="17.25">
      <c r="A17" s="18"/>
      <c r="B17"/>
      <c r="C17" s="83"/>
      <c r="D17" s="54"/>
      <c r="E17" s="1295" t="s">
        <v>320</v>
      </c>
      <c r="F17" s="877">
        <f>SUM(K17:L17)</f>
        <v>7.8661854636591556E-5</v>
      </c>
      <c r="G17" s="877">
        <f>SUM(I17:Q17)</f>
        <v>1.2677528293844923E-4</v>
      </c>
      <c r="H17" s="878">
        <f>SUM(U17:W17)/(1-'Common input data'!$B$140)</f>
        <v>1.5130120890135962E-4</v>
      </c>
      <c r="I17" s="877">
        <f>('Input data plant-based products'!$F$31*('Common input data'!$B$93*'Common input data'!B88+'Common input data'!$B$94*'Common input data'!C88))/'Input data plant-based products'!$E$31</f>
        <v>1.9674256017033889E-5</v>
      </c>
      <c r="J17" s="877">
        <v>0</v>
      </c>
      <c r="K17" s="877">
        <f>(SUM(('Input data plant-based products'!$F$31*'Input data plant-based products'!$B$258),(('Input data plant-based products'!$G$31+'Input data plant-based products'!$H$31)*'Input data plant-based products'!$B$259))*44/28)/'Input data plant-based products'!$E$31</f>
        <v>7.4987468671679271E-5</v>
      </c>
      <c r="L17" s="877">
        <f>K17*'Input data plant-based products'!$B$261*(1-'Input data plant-based products'!M295)</f>
        <v>3.6743859649122844E-6</v>
      </c>
      <c r="M17" s="877"/>
      <c r="N17" s="877">
        <v>0</v>
      </c>
      <c r="O17" s="877">
        <f>'Input data plant-based products'!P295/'Input data plant-based products'!E$31*'Input data plant-based products'!$L$295</f>
        <v>2.8439172284823801E-5</v>
      </c>
      <c r="P17" s="877">
        <v>0</v>
      </c>
      <c r="Q17" s="877">
        <v>0</v>
      </c>
      <c r="R17" s="877">
        <v>0</v>
      </c>
      <c r="S17" s="877">
        <v>0</v>
      </c>
      <c r="T17" s="877">
        <v>0</v>
      </c>
      <c r="U17" s="877">
        <f>(G17+T17)</f>
        <v>1.2677528293844923E-4</v>
      </c>
      <c r="V17" s="877">
        <v>0</v>
      </c>
      <c r="W17" s="877">
        <v>0</v>
      </c>
      <c r="X17" s="864"/>
      <c r="Y17" s="879"/>
      <c r="Z17" s="877"/>
      <c r="AA17" s="877"/>
      <c r="AB17" s="877"/>
      <c r="AC17" s="877"/>
      <c r="AD17" s="886"/>
      <c r="AE17" s="877"/>
      <c r="AF17" s="879"/>
      <c r="AG17" s="877"/>
      <c r="AH17" s="877"/>
      <c r="AI17" s="877"/>
      <c r="AJ17" s="877"/>
      <c r="AK17" s="886"/>
      <c r="AL17" s="877"/>
      <c r="AM17" s="879"/>
      <c r="AN17" s="877"/>
      <c r="AO17" s="877"/>
      <c r="AP17" s="877"/>
      <c r="AQ17" s="877"/>
      <c r="AR17" s="886"/>
      <c r="AS17" s="877"/>
      <c r="AT17" s="879"/>
      <c r="AU17" s="877"/>
      <c r="AV17" s="877"/>
      <c r="AW17" s="877"/>
      <c r="AX17" s="877"/>
      <c r="AY17" s="886"/>
      <c r="AZ17" s="877"/>
      <c r="BA17" s="879"/>
      <c r="BB17" s="877"/>
      <c r="BC17" s="877"/>
      <c r="BD17" s="877"/>
      <c r="BE17" s="877"/>
      <c r="BF17" s="886"/>
      <c r="BG17" s="877"/>
      <c r="BH17" s="879"/>
      <c r="BI17" s="877"/>
      <c r="BJ17" s="877"/>
      <c r="BK17" s="877"/>
      <c r="BL17" s="877"/>
      <c r="BM17" s="886"/>
      <c r="BN17" s="877"/>
      <c r="BO17" s="879"/>
      <c r="BP17" s="877"/>
      <c r="BQ17" s="877"/>
      <c r="BR17" s="877"/>
      <c r="BS17" s="877"/>
      <c r="BT17" s="886"/>
      <c r="BU17" s="877"/>
      <c r="BV17" s="879"/>
      <c r="BW17" s="886"/>
      <c r="CD17" s="188" t="s">
        <v>257</v>
      </c>
      <c r="CE17" s="929">
        <f>INDEX('Common input data'!A5:F15,MATCH(G1,'Common input data'!A5:A15,0),6)</f>
        <v>1960</v>
      </c>
    </row>
    <row r="18" spans="1:253" s="502" customFormat="1" ht="17.25">
      <c r="A18" s="20" t="s">
        <v>148</v>
      </c>
      <c r="B18" s="164" t="s">
        <v>129</v>
      </c>
      <c r="C18" s="904">
        <f>'Input data plant-based products'!D32</f>
        <v>0.56413627883122452</v>
      </c>
      <c r="D18" s="17"/>
      <c r="E18" s="1293" t="s">
        <v>316</v>
      </c>
      <c r="F18" s="872">
        <f>SUMPRODUCT($CE$14:$CE$16,F19:F21)</f>
        <v>1.4566459627329185E-2</v>
      </c>
      <c r="G18" s="872">
        <f>SUMPRODUCT($CE$14:$CE$16,G19:G21)</f>
        <v>1.3875832731473576</v>
      </c>
      <c r="H18" s="873">
        <f>SUMPRODUCT($CE$14:$CE$16,H19:H21)</f>
        <v>1.8708476824768563</v>
      </c>
      <c r="I18" s="888"/>
      <c r="J18" s="888"/>
      <c r="K18" s="888"/>
      <c r="L18" s="888"/>
      <c r="M18" s="888"/>
      <c r="N18" s="888"/>
      <c r="O18" s="888"/>
      <c r="P18" s="888"/>
      <c r="Q18" s="888"/>
      <c r="R18" s="888"/>
      <c r="S18" s="888"/>
      <c r="T18" s="888"/>
      <c r="U18" s="888"/>
      <c r="V18" s="888"/>
      <c r="W18" s="888"/>
      <c r="X18" s="864"/>
      <c r="Y18" s="879">
        <f>1/'Input data plant-based products'!E32*10^4</f>
        <v>1.9906360480300665E-2</v>
      </c>
      <c r="Z18" s="877">
        <f>$Y18*'Input data plant-based products'!Z32</f>
        <v>1.9906360480300665E-2</v>
      </c>
      <c r="AA18" s="877">
        <f>$Y18*'Input data plant-based products'!AA32</f>
        <v>1.9906360480300665E-2</v>
      </c>
      <c r="AB18" s="877">
        <f>$Y18*'Input data plant-based products'!AB32</f>
        <v>1.9906360480300665E-2</v>
      </c>
      <c r="AC18" s="877">
        <f>$Y18*'Input data plant-based products'!AC32</f>
        <v>2.375744179532243E-2</v>
      </c>
      <c r="AD18" s="886">
        <f>$Y18*'Input data plant-based products'!AD32</f>
        <v>2.9330175055953613E-2</v>
      </c>
      <c r="AE18" s="877"/>
      <c r="AF18" s="879">
        <f>SUM('Input data plant-based products'!F32,'Input data plant-based products'!Q32)/'Input data plant-based products'!E32</f>
        <v>2.1221532091097299E-3</v>
      </c>
      <c r="AG18" s="877">
        <f>$AF18*'Input data plant-based products'!Z32</f>
        <v>2.1221532091097299E-3</v>
      </c>
      <c r="AH18" s="877">
        <f>$AF18*'Input data plant-based products'!AA32</f>
        <v>2.1221532091097299E-3</v>
      </c>
      <c r="AI18" s="877">
        <f>$AF18*'Input data plant-based products'!AB32</f>
        <v>2.1221532091097299E-3</v>
      </c>
      <c r="AJ18" s="877">
        <f>$AF18*'Input data plant-based products'!AC32</f>
        <v>2.5327046295616777E-3</v>
      </c>
      <c r="AK18" s="886">
        <f>$AF18*'Input data plant-based products'!AD32</f>
        <v>3.1267958389650341E-3</v>
      </c>
      <c r="AL18" s="877"/>
      <c r="AM18" s="879">
        <f>'Input data plant-based products'!R32/'Input data plant-based products'!E32</f>
        <v>0</v>
      </c>
      <c r="AN18" s="877">
        <f>$AM18*'Input data plant-based products'!Z32</f>
        <v>0</v>
      </c>
      <c r="AO18" s="877">
        <f>$AM18*'Input data plant-based products'!AA32</f>
        <v>0</v>
      </c>
      <c r="AP18" s="877">
        <f>$AM18*'Input data plant-based products'!AB32</f>
        <v>0</v>
      </c>
      <c r="AQ18" s="877">
        <f>$AM18*'Input data plant-based products'!AC32</f>
        <v>0</v>
      </c>
      <c r="AR18" s="886">
        <f>$AM18*'Input data plant-based products'!AD32</f>
        <v>0</v>
      </c>
      <c r="AS18" s="877"/>
      <c r="AT18" s="879">
        <f>'Input data plant-based products'!S32</f>
        <v>0</v>
      </c>
      <c r="AU18" s="877">
        <f>$AT18*'Input data plant-based products'!Z32</f>
        <v>0</v>
      </c>
      <c r="AV18" s="877">
        <f>$AT18*'Input data plant-based products'!AA32</f>
        <v>0</v>
      </c>
      <c r="AW18" s="877">
        <f>$AT18*'Input data plant-based products'!AB32</f>
        <v>0</v>
      </c>
      <c r="AX18" s="877">
        <f>$AT18*'Input data plant-based products'!AC32</f>
        <v>0</v>
      </c>
      <c r="AY18" s="886">
        <f>$AT18*'Input data plant-based products'!AD32</f>
        <v>0</v>
      </c>
      <c r="AZ18" s="877"/>
      <c r="BA18" s="879">
        <f>((SUM('Input data plant-based products'!U32:Y32)*Y18)/('Common input data'!$B$192/10^6))/$BB$3</f>
        <v>4.4048842356397677E-13</v>
      </c>
      <c r="BB18" s="877">
        <f>$BA18*'Input data plant-based products'!Z32</f>
        <v>4.4048842356397677E-13</v>
      </c>
      <c r="BC18" s="877">
        <f>$BA18*'Input data plant-based products'!AA32</f>
        <v>4.4048842356397677E-13</v>
      </c>
      <c r="BD18" s="877">
        <f>$BA18*'Input data plant-based products'!AB32</f>
        <v>4.4048842356397677E-13</v>
      </c>
      <c r="BE18" s="877">
        <f>$BA18*'Input data plant-based products'!AC32</f>
        <v>5.2570524354216105E-13</v>
      </c>
      <c r="BF18" s="886">
        <f>$BA18*'Input data plant-based products'!AD32</f>
        <v>6.4901881918785311E-13</v>
      </c>
      <c r="BG18" s="877"/>
      <c r="BH18" s="879">
        <f>'Input data plant-based products'!T32/'Input data plant-based products'!E32</f>
        <v>5.4543427716023817E-6</v>
      </c>
      <c r="BI18" s="877">
        <f>$BH18*'Input data plant-based products'!Z32</f>
        <v>5.4543427716023817E-6</v>
      </c>
      <c r="BJ18" s="877">
        <f>$BH18*'Input data plant-based products'!AA32</f>
        <v>5.4543427716023817E-6</v>
      </c>
      <c r="BK18" s="877">
        <f>$BH18*'Input data plant-based products'!AB32</f>
        <v>5.4543427716023817E-6</v>
      </c>
      <c r="BL18" s="877">
        <f>$BH18*'Input data plant-based products'!AC32</f>
        <v>6.5095390519183451E-6</v>
      </c>
      <c r="BM18" s="886">
        <f>$BH18*'Input data plant-based products'!AD32</f>
        <v>8.0364679653312896E-6</v>
      </c>
      <c r="BN18" s="877"/>
      <c r="BO18" s="879">
        <f>('Input data plant-based products'!F32/'Input data plant-based products'!E32*'Common input data'!$B$195+'Input data plant-based products'!G32/'Input data plant-based products'!E32*'Common input data'!$B$196)/'Common input data'!$B$198</f>
        <v>5.4186493709666878E-5</v>
      </c>
      <c r="BP18" s="877">
        <f>$BO18*'Input data plant-based products'!Z32</f>
        <v>5.4186493709666878E-5</v>
      </c>
      <c r="BQ18" s="877">
        <f>$BO18*'Input data plant-based products'!AA32</f>
        <v>5.4186493709666878E-5</v>
      </c>
      <c r="BR18" s="877">
        <f>$BO18*'Input data plant-based products'!AB32</f>
        <v>5.4186493709666878E-5</v>
      </c>
      <c r="BS18" s="877">
        <f>$BO18*'Input data plant-based products'!AC32</f>
        <v>6.4669404117038878E-5</v>
      </c>
      <c r="BT18" s="886">
        <f>$BO18*'Input data plant-based products'!AD32</f>
        <v>7.98387705148628E-5</v>
      </c>
      <c r="BU18" s="877"/>
      <c r="BV18" s="879">
        <f>('Common input data'!$C$202+'Common input data'!$B$209)*'Input data plant-based products'!AC32</f>
        <v>0.80081155269125193</v>
      </c>
      <c r="BW18" s="886">
        <f>('Common input data'!$C$202+'Common input data'!$B$209)*'Input data plant-based products'!AD32</f>
        <v>0.98865623789043444</v>
      </c>
      <c r="BX18" s="406"/>
      <c r="BY18" s="406"/>
      <c r="BZ18" s="406"/>
      <c r="CA18" s="406"/>
      <c r="CB18" s="406"/>
      <c r="CC18" s="406"/>
      <c r="CD18" s="834"/>
      <c r="CE18" s="869"/>
      <c r="CF18" s="406"/>
      <c r="CG18" s="406"/>
      <c r="CH18" s="406"/>
      <c r="CI18" s="406"/>
      <c r="CJ18" s="406"/>
      <c r="CK18" s="406"/>
      <c r="CL18" s="406"/>
      <c r="CM18" s="406"/>
      <c r="CN18" s="406"/>
      <c r="CO18" s="406"/>
      <c r="CP18" s="406"/>
      <c r="CQ18" s="406"/>
      <c r="CR18" s="406"/>
      <c r="CS18" s="406"/>
      <c r="CT18" s="406"/>
      <c r="CU18" s="406"/>
      <c r="CV18" s="406"/>
      <c r="CW18" s="406"/>
      <c r="CX18" s="406"/>
      <c r="CY18" s="406"/>
      <c r="CZ18" s="406"/>
      <c r="DA18" s="406"/>
      <c r="DB18" s="406"/>
      <c r="DC18" s="406"/>
      <c r="DD18" s="406"/>
      <c r="DE18" s="406"/>
      <c r="DF18" s="406"/>
      <c r="DG18" s="406"/>
      <c r="DH18" s="406"/>
      <c r="DI18" s="406"/>
      <c r="DJ18" s="406"/>
      <c r="DK18" s="406"/>
      <c r="DL18" s="406"/>
      <c r="DM18" s="406"/>
      <c r="DN18" s="406"/>
      <c r="DO18" s="406"/>
      <c r="DP18" s="406"/>
      <c r="DQ18" s="406"/>
      <c r="DR18" s="406"/>
      <c r="DS18" s="406"/>
      <c r="DT18" s="406"/>
      <c r="DU18" s="406"/>
      <c r="DV18" s="406"/>
      <c r="DW18" s="406"/>
      <c r="DX18" s="406"/>
      <c r="DY18" s="406"/>
      <c r="DZ18" s="406"/>
      <c r="EA18" s="406"/>
      <c r="EB18" s="406"/>
      <c r="EC18" s="406"/>
      <c r="ED18" s="406"/>
      <c r="EE18" s="406"/>
      <c r="EF18" s="406"/>
      <c r="EG18" s="406"/>
      <c r="EH18" s="406"/>
      <c r="EI18" s="406"/>
      <c r="EJ18" s="406"/>
      <c r="EK18" s="406"/>
      <c r="EL18" s="406"/>
      <c r="EM18" s="406"/>
      <c r="EN18" s="406"/>
      <c r="EO18" s="406"/>
      <c r="EP18" s="406"/>
      <c r="EQ18" s="406"/>
      <c r="ER18" s="406"/>
      <c r="ES18" s="406"/>
      <c r="ET18" s="406"/>
      <c r="EU18" s="406"/>
      <c r="EV18" s="406"/>
      <c r="EW18" s="406"/>
      <c r="EX18" s="406"/>
      <c r="EY18" s="406"/>
      <c r="EZ18" s="406"/>
      <c r="FA18" s="406"/>
      <c r="FB18" s="406"/>
      <c r="FC18" s="406"/>
      <c r="FD18" s="406"/>
      <c r="FE18" s="406"/>
      <c r="FF18" s="406"/>
      <c r="FG18" s="406"/>
      <c r="FH18" s="406"/>
      <c r="FI18" s="406"/>
      <c r="FJ18" s="406"/>
      <c r="FK18" s="406"/>
      <c r="FL18" s="406"/>
      <c r="FM18" s="406"/>
      <c r="FN18" s="406"/>
      <c r="FO18" s="406"/>
      <c r="FP18" s="406"/>
      <c r="FQ18" s="406"/>
      <c r="FR18" s="406"/>
      <c r="FS18" s="406"/>
      <c r="FT18" s="406"/>
      <c r="FU18" s="406"/>
      <c r="FV18" s="406"/>
      <c r="FW18" s="406"/>
      <c r="FX18" s="406"/>
      <c r="FY18" s="406"/>
      <c r="FZ18" s="406"/>
      <c r="GA18" s="406"/>
      <c r="GB18" s="406"/>
      <c r="GC18" s="406"/>
      <c r="GD18" s="406"/>
      <c r="GE18" s="406"/>
      <c r="GF18" s="406"/>
      <c r="GG18" s="406"/>
      <c r="GH18" s="406"/>
      <c r="GI18" s="406"/>
      <c r="GJ18" s="406"/>
      <c r="GK18" s="406"/>
      <c r="GL18" s="406"/>
      <c r="GM18" s="406"/>
      <c r="GN18" s="406"/>
      <c r="GO18" s="406"/>
      <c r="GP18" s="406"/>
      <c r="GQ18" s="406"/>
      <c r="GR18" s="406"/>
      <c r="GS18" s="406"/>
      <c r="GT18" s="406"/>
      <c r="GU18" s="406"/>
      <c r="GV18" s="406"/>
      <c r="GW18" s="406"/>
      <c r="GX18" s="406"/>
      <c r="GY18" s="406"/>
      <c r="GZ18" s="406"/>
      <c r="HA18" s="406"/>
      <c r="HB18" s="406"/>
      <c r="HC18" s="406"/>
      <c r="HD18" s="406"/>
      <c r="HE18" s="406"/>
      <c r="HF18" s="406"/>
      <c r="HG18" s="406"/>
      <c r="HH18" s="406"/>
      <c r="HI18" s="406"/>
      <c r="HJ18" s="406"/>
      <c r="HK18" s="406"/>
      <c r="HL18" s="406"/>
      <c r="HM18" s="406"/>
      <c r="HN18" s="406"/>
      <c r="HO18" s="406"/>
      <c r="HP18" s="406"/>
      <c r="HQ18" s="406"/>
      <c r="HR18" s="406"/>
      <c r="HS18" s="406"/>
      <c r="HT18" s="406"/>
      <c r="HU18" s="406"/>
      <c r="HV18" s="406"/>
      <c r="HW18" s="406"/>
      <c r="HX18" s="406"/>
      <c r="HY18" s="406"/>
      <c r="HZ18" s="406"/>
      <c r="IA18" s="406"/>
      <c r="IB18" s="406"/>
      <c r="IC18" s="406"/>
      <c r="ID18" s="406"/>
      <c r="IE18" s="406"/>
      <c r="IF18" s="406"/>
      <c r="IG18" s="406"/>
      <c r="IH18" s="406"/>
      <c r="II18" s="406"/>
      <c r="IJ18" s="406"/>
      <c r="IK18" s="406"/>
      <c r="IL18" s="406"/>
      <c r="IM18" s="406"/>
      <c r="IN18" s="406"/>
      <c r="IO18" s="406"/>
      <c r="IP18" s="406"/>
      <c r="IQ18" s="406"/>
      <c r="IR18" s="406"/>
      <c r="IS18" s="406"/>
    </row>
    <row r="19" spans="1:253" s="406" customFormat="1" ht="17.25">
      <c r="A19" s="499"/>
      <c r="B19"/>
      <c r="C19" s="917"/>
      <c r="D19" s="5"/>
      <c r="E19" s="1294" t="s">
        <v>317</v>
      </c>
      <c r="F19" s="877">
        <f>IF(AND($G$2="No",$G$3="No"),SUM(K19:L19),IF(AND($G$2="Yes", $G$3="No"), SUM(K19:L19)+S19, IF(AND($G$2="No", $G$3="Yes"),SUM(K19:L19)+R19, SUM(K19:L19)+S19+R19)))</f>
        <v>0</v>
      </c>
      <c r="G19" s="877">
        <f>IF(AND($G$2="No",$G$3="No"),SUM(I19:Q19),IF(AND($G$2="Yes", $G$3="No"), SUM(I19:Q19)+S19, IF(AND($G$2="No", $G$3="Yes"),SUM(I19:Q19)+R19, SUM(I19:Q19)+S19+R19)))</f>
        <v>1.213294556865312</v>
      </c>
      <c r="H19" s="878">
        <f>SUM(U19:W19)/(1-'Common input data'!$B$140)</f>
        <v>1.6628410990157683</v>
      </c>
      <c r="I19" s="877">
        <f>('Input data plant-based products'!$F$32*('Common input data'!$C$93*'Common input data'!B86+'Common input data'!$C$94*'Common input data'!C86))/'Input data plant-based products'!$E$32</f>
        <v>7.9898536748308109E-3</v>
      </c>
      <c r="J19" s="877">
        <f>'Common input data'!$B$98</f>
        <v>0.03</v>
      </c>
      <c r="K19" s="877">
        <v>0</v>
      </c>
      <c r="L19" s="877">
        <v>0</v>
      </c>
      <c r="M19" s="877"/>
      <c r="N19" s="877">
        <v>0</v>
      </c>
      <c r="O19" s="877">
        <f>'Input data plant-based products'!N296/'Input data plant-based products'!E$32*'Common input data'!D$48</f>
        <v>1.1753047031904811</v>
      </c>
      <c r="P19" s="877">
        <v>0</v>
      </c>
      <c r="Q19" s="877">
        <v>0</v>
      </c>
      <c r="R19" s="877">
        <v>0</v>
      </c>
      <c r="S19" s="877">
        <v>0</v>
      </c>
      <c r="T19" s="877">
        <v>0</v>
      </c>
      <c r="U19" s="877">
        <f>(G19+T19)</f>
        <v>1.213294556865312</v>
      </c>
      <c r="V19" s="877">
        <f>'Common input data'!$B$105</f>
        <v>0.05</v>
      </c>
      <c r="W19" s="877">
        <f>'Common input data'!B116+'Common input data'!C116</f>
        <v>0.13</v>
      </c>
      <c r="X19" s="864"/>
      <c r="Y19" s="879"/>
      <c r="Z19" s="877"/>
      <c r="AA19" s="877"/>
      <c r="AB19" s="877"/>
      <c r="AC19" s="877"/>
      <c r="AD19" s="886"/>
      <c r="AE19" s="877"/>
      <c r="AF19" s="879"/>
      <c r="AG19" s="877"/>
      <c r="AH19" s="877"/>
      <c r="AI19" s="877"/>
      <c r="AJ19" s="877"/>
      <c r="AK19" s="886"/>
      <c r="AL19" s="877"/>
      <c r="AM19" s="879"/>
      <c r="AN19" s="877"/>
      <c r="AO19" s="877"/>
      <c r="AP19" s="877"/>
      <c r="AQ19" s="877"/>
      <c r="AR19" s="886"/>
      <c r="AS19" s="877"/>
      <c r="AT19" s="879"/>
      <c r="AU19" s="877"/>
      <c r="AV19" s="877"/>
      <c r="AW19" s="877"/>
      <c r="AX19" s="877"/>
      <c r="AY19" s="886"/>
      <c r="AZ19" s="877"/>
      <c r="BA19" s="879"/>
      <c r="BB19" s="877"/>
      <c r="BC19" s="877"/>
      <c r="BD19" s="877"/>
      <c r="BE19" s="877"/>
      <c r="BF19" s="886"/>
      <c r="BG19" s="877"/>
      <c r="BH19" s="879"/>
      <c r="BI19" s="877"/>
      <c r="BJ19" s="877"/>
      <c r="BK19" s="877"/>
      <c r="BL19" s="877"/>
      <c r="BM19" s="886"/>
      <c r="BN19" s="877"/>
      <c r="BO19" s="879"/>
      <c r="BP19" s="877"/>
      <c r="BQ19" s="877"/>
      <c r="BR19" s="877"/>
      <c r="BS19" s="877"/>
      <c r="BT19" s="886"/>
      <c r="BU19" s="877"/>
      <c r="BV19" s="879"/>
      <c r="BW19" s="886"/>
    </row>
    <row r="20" spans="1:253" s="406" customFormat="1" ht="17.25">
      <c r="A20" s="499"/>
      <c r="B20"/>
      <c r="C20" s="595"/>
      <c r="D20" s="50"/>
      <c r="E20" s="1294" t="s">
        <v>367</v>
      </c>
      <c r="F20" s="877">
        <f>SUM(K20:L20)</f>
        <v>0</v>
      </c>
      <c r="G20" s="877">
        <f>SUM(I20:Q20)</f>
        <v>5.320955409749124E-3</v>
      </c>
      <c r="H20" s="878">
        <f>SUM(U20:W20)/(1-'Common input data'!$B$140)</f>
        <v>6.3503465923727461E-3</v>
      </c>
      <c r="I20" s="877">
        <f>('Input data plant-based products'!$F$32*('Common input data'!$C$93*'Common input data'!B87+'Common input data'!$C$94*'Common input data'!C87))/'Input data plant-based products'!$E$32</f>
        <v>1.4656989956629885E-5</v>
      </c>
      <c r="J20" s="877">
        <v>0</v>
      </c>
      <c r="K20" s="877">
        <v>0</v>
      </c>
      <c r="L20" s="877">
        <v>0</v>
      </c>
      <c r="M20" s="877"/>
      <c r="N20" s="877">
        <v>0</v>
      </c>
      <c r="O20" s="877">
        <f>'Input data plant-based products'!O296/'Input data plant-based products'!E$32*'Common input data'!D$48</f>
        <v>5.3062984197924943E-3</v>
      </c>
      <c r="P20" s="877">
        <v>0</v>
      </c>
      <c r="Q20" s="877">
        <v>0</v>
      </c>
      <c r="R20" s="877">
        <v>0</v>
      </c>
      <c r="S20" s="877">
        <v>0</v>
      </c>
      <c r="T20" s="877">
        <v>0</v>
      </c>
      <c r="U20" s="877">
        <f>(G20+T20)</f>
        <v>5.320955409749124E-3</v>
      </c>
      <c r="V20" s="877">
        <v>0</v>
      </c>
      <c r="W20" s="877">
        <v>0</v>
      </c>
      <c r="X20" s="864"/>
      <c r="Y20" s="879"/>
      <c r="Z20" s="877"/>
      <c r="AA20" s="877"/>
      <c r="AB20" s="877"/>
      <c r="AC20" s="877"/>
      <c r="AD20" s="886"/>
      <c r="AE20" s="877"/>
      <c r="AF20" s="879"/>
      <c r="AG20" s="877"/>
      <c r="AH20" s="877"/>
      <c r="AI20" s="877"/>
      <c r="AJ20" s="877"/>
      <c r="AK20" s="886"/>
      <c r="AL20" s="877"/>
      <c r="AM20" s="879"/>
      <c r="AN20" s="877"/>
      <c r="AO20" s="877"/>
      <c r="AP20" s="877"/>
      <c r="AQ20" s="877"/>
      <c r="AR20" s="886"/>
      <c r="AS20" s="877"/>
      <c r="AT20" s="879"/>
      <c r="AU20" s="877"/>
      <c r="AV20" s="877"/>
      <c r="AW20" s="877"/>
      <c r="AX20" s="877"/>
      <c r="AY20" s="886"/>
      <c r="AZ20" s="877"/>
      <c r="BA20" s="879"/>
      <c r="BB20" s="877"/>
      <c r="BC20" s="877"/>
      <c r="BD20" s="877"/>
      <c r="BE20" s="877"/>
      <c r="BF20" s="886"/>
      <c r="BG20" s="877"/>
      <c r="BH20" s="879"/>
      <c r="BI20" s="877"/>
      <c r="BJ20" s="877"/>
      <c r="BK20" s="877"/>
      <c r="BL20" s="877"/>
      <c r="BM20" s="886"/>
      <c r="BN20" s="877"/>
      <c r="BO20" s="879"/>
      <c r="BP20" s="877"/>
      <c r="BQ20" s="877"/>
      <c r="BR20" s="877"/>
      <c r="BS20" s="877"/>
      <c r="BT20" s="886"/>
      <c r="BU20" s="877"/>
      <c r="BV20" s="879"/>
      <c r="BW20" s="886"/>
    </row>
    <row r="21" spans="1:253" s="406" customFormat="1" ht="17.25">
      <c r="A21" s="18"/>
      <c r="B21"/>
      <c r="C21" s="83"/>
      <c r="D21" s="54"/>
      <c r="E21" s="1295" t="s">
        <v>320</v>
      </c>
      <c r="F21" s="877">
        <f>SUM(K21:L21)</f>
        <v>5.335699497190178E-5</v>
      </c>
      <c r="G21" s="877">
        <f>SUM(I21:Q21)</f>
        <v>1.1217186893340363E-4</v>
      </c>
      <c r="H21" s="878">
        <f>SUM(U21:W21)/(1-'Common input data'!$B$140)</f>
        <v>1.3387262075832871E-4</v>
      </c>
      <c r="I21" s="877">
        <f>('Input data plant-based products'!$F$32*('Common input data'!$C$93*'Common input data'!B88+'Common input data'!$C$94*'Common input data'!C88))/'Input data plant-based products'!$E$32</f>
        <v>1.7555187658117755E-5</v>
      </c>
      <c r="J21" s="877">
        <v>0</v>
      </c>
      <c r="K21" s="877">
        <f>(SUM(('Input data plant-based products'!$F$32*'Input data plant-based products'!$B$258),(('Input data plant-based products'!$G$32+'Input data plant-based products'!$H$32)*'Input data plant-based products'!$B$259))*44/28)/'Input data plant-based products'!$E$32</f>
        <v>5.335699497190178E-5</v>
      </c>
      <c r="L21" s="877">
        <f>K21*'Input data plant-based products'!$B$261*(1-'Input data plant-based products'!M296)</f>
        <v>0</v>
      </c>
      <c r="M21" s="877"/>
      <c r="N21" s="877">
        <v>0</v>
      </c>
      <c r="O21" s="877">
        <f>'Input data plant-based products'!P296/'Input data plant-based products'!E$32*'Common input data'!D$48</f>
        <v>4.125968630338409E-5</v>
      </c>
      <c r="P21" s="877">
        <v>0</v>
      </c>
      <c r="Q21" s="877">
        <v>0</v>
      </c>
      <c r="R21" s="877">
        <v>0</v>
      </c>
      <c r="S21" s="877">
        <v>0</v>
      </c>
      <c r="T21" s="877">
        <v>0</v>
      </c>
      <c r="U21" s="877">
        <f>(G21+T21)</f>
        <v>1.1217186893340363E-4</v>
      </c>
      <c r="V21" s="877">
        <v>0</v>
      </c>
      <c r="W21" s="877">
        <v>0</v>
      </c>
      <c r="X21" s="864"/>
      <c r="Y21" s="879"/>
      <c r="Z21" s="877"/>
      <c r="AA21" s="877"/>
      <c r="AB21" s="877"/>
      <c r="AC21" s="877"/>
      <c r="AD21" s="886"/>
      <c r="AE21" s="877"/>
      <c r="AF21" s="879"/>
      <c r="AG21" s="877"/>
      <c r="AH21" s="877"/>
      <c r="AI21" s="877"/>
      <c r="AJ21" s="877"/>
      <c r="AK21" s="886"/>
      <c r="AL21" s="877"/>
      <c r="AM21" s="879"/>
      <c r="AN21" s="877"/>
      <c r="AO21" s="877"/>
      <c r="AP21" s="877"/>
      <c r="AQ21" s="877"/>
      <c r="AR21" s="886"/>
      <c r="AS21" s="877"/>
      <c r="AT21" s="879"/>
      <c r="AU21" s="877"/>
      <c r="AV21" s="877"/>
      <c r="AW21" s="877"/>
      <c r="AX21" s="877"/>
      <c r="AY21" s="886"/>
      <c r="AZ21" s="877"/>
      <c r="BA21" s="879"/>
      <c r="BB21" s="877"/>
      <c r="BC21" s="877"/>
      <c r="BD21" s="877"/>
      <c r="BE21" s="877"/>
      <c r="BF21" s="886"/>
      <c r="BG21" s="877"/>
      <c r="BH21" s="879"/>
      <c r="BI21" s="877"/>
      <c r="BJ21" s="877"/>
      <c r="BK21" s="877"/>
      <c r="BL21" s="877"/>
      <c r="BM21" s="886"/>
      <c r="BN21" s="877"/>
      <c r="BO21" s="879"/>
      <c r="BP21" s="877"/>
      <c r="BQ21" s="877"/>
      <c r="BR21" s="877"/>
      <c r="BS21" s="877"/>
      <c r="BT21" s="886"/>
      <c r="BU21" s="877"/>
      <c r="BV21" s="879"/>
      <c r="BW21" s="886"/>
    </row>
    <row r="22" spans="1:253" s="502" customFormat="1" ht="17.25">
      <c r="A22" s="20" t="s">
        <v>130</v>
      </c>
      <c r="B22" s="164" t="s">
        <v>129</v>
      </c>
      <c r="C22" s="904">
        <f>'Input data plant-based products'!D33</f>
        <v>8.2279962400000003E-2</v>
      </c>
      <c r="D22" s="17"/>
      <c r="E22" s="1293" t="s">
        <v>316</v>
      </c>
      <c r="F22" s="872">
        <f>SUMPRODUCT($CE$14:$CE$16,F23:F25)</f>
        <v>8.4727499999999959E-3</v>
      </c>
      <c r="G22" s="872">
        <f>SUMPRODUCT($CE$14:$CE$16,G23:G25)</f>
        <v>8.0771596962748382E-2</v>
      </c>
      <c r="H22" s="873">
        <f>SUMPRODUCT($CE$14:$CE$16,H23:H25)</f>
        <v>0.43056641241526245</v>
      </c>
      <c r="I22" s="888"/>
      <c r="J22" s="888"/>
      <c r="K22" s="888"/>
      <c r="L22" s="888"/>
      <c r="M22" s="888"/>
      <c r="N22" s="888"/>
      <c r="O22" s="888"/>
      <c r="P22" s="888"/>
      <c r="Q22" s="888"/>
      <c r="R22" s="888"/>
      <c r="S22" s="888"/>
      <c r="T22" s="888"/>
      <c r="U22" s="888"/>
      <c r="V22" s="888"/>
      <c r="W22" s="888"/>
      <c r="X22" s="864"/>
      <c r="Y22" s="879">
        <f>1/'Input data plant-based products'!E33*10^4</f>
        <v>0.10458887787985315</v>
      </c>
      <c r="Z22" s="877">
        <f>$Y22*'Input data plant-based products'!Z33</f>
        <v>0.10458887787985315</v>
      </c>
      <c r="AA22" s="877">
        <f>$Y22*'Input data plant-based products'!AA33</f>
        <v>0.10458887787985315</v>
      </c>
      <c r="AB22" s="877">
        <f>$Y22*'Input data plant-based products'!AB33</f>
        <v>0.10458887787985315</v>
      </c>
      <c r="AC22" s="877">
        <f>$Y22*'Input data plant-based products'!AC33</f>
        <v>0.12482262546825772</v>
      </c>
      <c r="AD22" s="886">
        <f>$Y22*'Input data plant-based products'!AD33</f>
        <v>0.15410200675093544</v>
      </c>
      <c r="AE22" s="877"/>
      <c r="AF22" s="879">
        <f>SUM('Input data plant-based products'!F33,'Input data plant-based products'!Q33)/'Input data plant-based products'!E33</f>
        <v>3.5909090909090895E-3</v>
      </c>
      <c r="AG22" s="877">
        <f>$AF22*'Input data plant-based products'!Z33</f>
        <v>3.5909090909090895E-3</v>
      </c>
      <c r="AH22" s="877">
        <f>$AF22*'Input data plant-based products'!AA33</f>
        <v>3.5909090909090895E-3</v>
      </c>
      <c r="AI22" s="877">
        <f>$AF22*'Input data plant-based products'!AB33</f>
        <v>3.5909090909090895E-3</v>
      </c>
      <c r="AJ22" s="877">
        <f>$AF22*'Input data plant-based products'!AC33</f>
        <v>4.2856057893651857E-3</v>
      </c>
      <c r="AK22" s="886">
        <f>$AF22*'Input data plant-based products'!AD33</f>
        <v>5.2908713448952911E-3</v>
      </c>
      <c r="AL22" s="877"/>
      <c r="AM22" s="879">
        <f>'Input data plant-based products'!R33/'Input data plant-based products'!E33</f>
        <v>1.5454545454545499E-3</v>
      </c>
      <c r="AN22" s="877">
        <f>$AM22*'Input data plant-based products'!Z33</f>
        <v>1.5454545454545499E-3</v>
      </c>
      <c r="AO22" s="877">
        <f>$AM22*'Input data plant-based products'!AA33</f>
        <v>1.5454545454545499E-3</v>
      </c>
      <c r="AP22" s="877">
        <f>$AM22*'Input data plant-based products'!AB33</f>
        <v>1.5454545454545499E-3</v>
      </c>
      <c r="AQ22" s="877">
        <f>$AM22*'Input data plant-based products'!AC33</f>
        <v>1.8444379346635039E-3</v>
      </c>
      <c r="AR22" s="886">
        <f>$AM22*'Input data plant-based products'!AD33</f>
        <v>2.2770838699549428E-3</v>
      </c>
      <c r="AS22" s="877"/>
      <c r="AT22" s="879">
        <f>'Input data plant-based products'!S33</f>
        <v>2.3E-2</v>
      </c>
      <c r="AU22" s="877">
        <f>$AT22*'Input data plant-based products'!Z33</f>
        <v>2.3E-2</v>
      </c>
      <c r="AV22" s="877">
        <f>$AT22*'Input data plant-based products'!AA33</f>
        <v>2.3E-2</v>
      </c>
      <c r="AW22" s="877">
        <f>$AT22*'Input data plant-based products'!AB33</f>
        <v>2.3E-2</v>
      </c>
      <c r="AX22" s="877">
        <f>$AT22*'Input data plant-based products'!AC33</f>
        <v>2.744957632175677E-2</v>
      </c>
      <c r="AY22" s="886">
        <f>$AT22*'Input data plant-based products'!AD33</f>
        <v>3.3888365829329345E-2</v>
      </c>
      <c r="AZ22" s="877"/>
      <c r="BA22" s="879">
        <f>((SUM('Input data plant-based products'!U33:Y33)*Y22)/('Common input data'!$B$192/10^6))/$BB$3</f>
        <v>1.7719612765845302E-10</v>
      </c>
      <c r="BB22" s="877">
        <f>$BA22*'Input data plant-based products'!Z33</f>
        <v>1.7719612765845302E-10</v>
      </c>
      <c r="BC22" s="877">
        <f>$BA22*'Input data plant-based products'!AA33</f>
        <v>1.7719612765845302E-10</v>
      </c>
      <c r="BD22" s="877">
        <f>$BA22*'Input data plant-based products'!AB33</f>
        <v>1.7719612765845302E-10</v>
      </c>
      <c r="BE22" s="877">
        <f>$BA22*'Input data plant-based products'!AC33</f>
        <v>2.1147646217741141E-10</v>
      </c>
      <c r="BF22" s="886">
        <f>$BA22*'Input data plant-based products'!AD33</f>
        <v>2.6108205207087822E-10</v>
      </c>
      <c r="BG22" s="877"/>
      <c r="BH22" s="879">
        <f>'Input data plant-based products'!T33/'Input data plant-based products'!E33</f>
        <v>1.6650549358472621E-4</v>
      </c>
      <c r="BI22" s="877">
        <f>$BH22*'Input data plant-based products'!Z33</f>
        <v>1.6650549358472621E-4</v>
      </c>
      <c r="BJ22" s="877">
        <f>$BH22*'Input data plant-based products'!AA33</f>
        <v>1.6650549358472621E-4</v>
      </c>
      <c r="BK22" s="877">
        <f>$BH22*'Input data plant-based products'!AB33</f>
        <v>1.6650549358472621E-4</v>
      </c>
      <c r="BL22" s="877">
        <f>$BH22*'Input data plant-based products'!AC33</f>
        <v>1.9871761974546629E-4</v>
      </c>
      <c r="BM22" s="886">
        <f>$BH22*'Input data plant-based products'!AD33</f>
        <v>2.4533039474748924E-4</v>
      </c>
      <c r="BN22" s="877"/>
      <c r="BO22" s="879">
        <f>('Input data plant-based products'!F33/'Input data plant-based products'!E33*'Common input data'!$B$195+'Input data plant-based products'!G33/'Input data plant-based products'!E33*'Common input data'!$B$196)/'Common input data'!$B$198</f>
        <v>9.16893144336922E-5</v>
      </c>
      <c r="BP22" s="877">
        <f>$BO22*'Input data plant-based products'!Z33</f>
        <v>9.16893144336922E-5</v>
      </c>
      <c r="BQ22" s="877">
        <f>$BO22*'Input data plant-based products'!AA33</f>
        <v>9.16893144336922E-5</v>
      </c>
      <c r="BR22" s="877">
        <f>$BO22*'Input data plant-based products'!AB33</f>
        <v>9.16893144336922E-5</v>
      </c>
      <c r="BS22" s="877">
        <f>$BO22*'Input data plant-based products'!AC33</f>
        <v>1.0942751454074734E-4</v>
      </c>
      <c r="BT22" s="886">
        <f>$BO22*'Input data plant-based products'!AD33</f>
        <v>1.3509569696388559E-4</v>
      </c>
      <c r="BU22" s="877"/>
      <c r="BV22" s="879">
        <f>('Common input data'!$C$202+'Common input data'!$B$210)*'Input data plant-based products'!AC33</f>
        <v>1.4837092731829575</v>
      </c>
      <c r="BW22" s="886">
        <f>('Common input data'!$C$202+'Common input data'!$B$210)*'Input data plant-based products'!AD33</f>
        <v>1.8317398434357497</v>
      </c>
      <c r="BX22" s="406"/>
      <c r="BY22" s="406"/>
      <c r="BZ22" s="406"/>
      <c r="CA22" s="406"/>
      <c r="CB22" s="406"/>
      <c r="CC22" s="406"/>
      <c r="CD22" s="406"/>
      <c r="CE22" s="406"/>
      <c r="CF22" s="406"/>
      <c r="CG22" s="406"/>
      <c r="CH22" s="406"/>
      <c r="CI22" s="406"/>
      <c r="CJ22" s="406"/>
      <c r="CK22" s="406"/>
      <c r="CL22" s="406"/>
      <c r="CM22" s="406"/>
      <c r="CN22" s="406"/>
      <c r="CO22" s="406"/>
      <c r="CP22" s="406"/>
      <c r="CQ22" s="406"/>
      <c r="CR22" s="406"/>
      <c r="CS22" s="406"/>
      <c r="CT22" s="406"/>
      <c r="CU22" s="406"/>
      <c r="CV22" s="406"/>
      <c r="CW22" s="406"/>
      <c r="CX22" s="406"/>
      <c r="CY22" s="406"/>
      <c r="CZ22" s="406"/>
      <c r="DA22" s="406"/>
      <c r="DB22" s="406"/>
      <c r="DC22" s="406"/>
      <c r="DD22" s="406"/>
      <c r="DE22" s="406"/>
      <c r="DF22" s="406"/>
      <c r="DG22" s="406"/>
      <c r="DH22" s="406"/>
      <c r="DI22" s="406"/>
      <c r="DJ22" s="406"/>
      <c r="DK22" s="406"/>
      <c r="DL22" s="406"/>
      <c r="DM22" s="406"/>
      <c r="DN22" s="406"/>
      <c r="DO22" s="406"/>
      <c r="DP22" s="406"/>
      <c r="DQ22" s="406"/>
      <c r="DR22" s="406"/>
      <c r="DS22" s="406"/>
      <c r="DT22" s="406"/>
      <c r="DU22" s="406"/>
      <c r="DV22" s="406"/>
      <c r="DW22" s="406"/>
      <c r="DX22" s="406"/>
      <c r="DY22" s="406"/>
      <c r="DZ22" s="406"/>
      <c r="EA22" s="406"/>
      <c r="EB22" s="406"/>
      <c r="EC22" s="406"/>
      <c r="ED22" s="406"/>
      <c r="EE22" s="406"/>
      <c r="EF22" s="406"/>
      <c r="EG22" s="406"/>
      <c r="EH22" s="406"/>
      <c r="EI22" s="406"/>
      <c r="EJ22" s="406"/>
      <c r="EK22" s="406"/>
      <c r="EL22" s="406"/>
      <c r="EM22" s="406"/>
      <c r="EN22" s="406"/>
      <c r="EO22" s="406"/>
      <c r="EP22" s="406"/>
      <c r="EQ22" s="406"/>
      <c r="ER22" s="406"/>
      <c r="ES22" s="406"/>
      <c r="ET22" s="406"/>
      <c r="EU22" s="406"/>
      <c r="EV22" s="406"/>
      <c r="EW22" s="406"/>
      <c r="EX22" s="406"/>
      <c r="EY22" s="406"/>
      <c r="EZ22" s="406"/>
      <c r="FA22" s="406"/>
      <c r="FB22" s="406"/>
      <c r="FC22" s="406"/>
      <c r="FD22" s="406"/>
      <c r="FE22" s="406"/>
      <c r="FF22" s="406"/>
      <c r="FG22" s="406"/>
      <c r="FH22" s="406"/>
      <c r="FI22" s="406"/>
      <c r="FJ22" s="406"/>
      <c r="FK22" s="406"/>
      <c r="FL22" s="406"/>
      <c r="FM22" s="406"/>
      <c r="FN22" s="406"/>
      <c r="FO22" s="406"/>
      <c r="FP22" s="406"/>
      <c r="FQ22" s="406"/>
      <c r="FR22" s="406"/>
      <c r="FS22" s="406"/>
      <c r="FT22" s="406"/>
      <c r="FU22" s="406"/>
      <c r="FV22" s="406"/>
      <c r="FW22" s="406"/>
      <c r="FX22" s="406"/>
      <c r="FY22" s="406"/>
      <c r="FZ22" s="406"/>
      <c r="GA22" s="406"/>
      <c r="GB22" s="406"/>
      <c r="GC22" s="406"/>
      <c r="GD22" s="406"/>
      <c r="GE22" s="406"/>
      <c r="GF22" s="406"/>
      <c r="GG22" s="406"/>
      <c r="GH22" s="406"/>
      <c r="GI22" s="406"/>
      <c r="GJ22" s="406"/>
      <c r="GK22" s="406"/>
      <c r="GL22" s="406"/>
      <c r="GM22" s="406"/>
      <c r="GN22" s="406"/>
      <c r="GO22" s="406"/>
      <c r="GP22" s="406"/>
      <c r="GQ22" s="406"/>
      <c r="GR22" s="406"/>
      <c r="GS22" s="406"/>
      <c r="GT22" s="406"/>
      <c r="GU22" s="406"/>
      <c r="GV22" s="406"/>
      <c r="GW22" s="406"/>
      <c r="GX22" s="406"/>
      <c r="GY22" s="406"/>
      <c r="GZ22" s="406"/>
      <c r="HA22" s="406"/>
      <c r="HB22" s="406"/>
      <c r="HC22" s="406"/>
      <c r="HD22" s="406"/>
      <c r="HE22" s="406"/>
      <c r="HF22" s="406"/>
      <c r="HG22" s="406"/>
      <c r="HH22" s="406"/>
      <c r="HI22" s="406"/>
      <c r="HJ22" s="406"/>
      <c r="HK22" s="406"/>
      <c r="HL22" s="406"/>
      <c r="HM22" s="406"/>
      <c r="HN22" s="406"/>
      <c r="HO22" s="406"/>
      <c r="HP22" s="406"/>
      <c r="HQ22" s="406"/>
      <c r="HR22" s="406"/>
      <c r="HS22" s="406"/>
      <c r="HT22" s="406"/>
      <c r="HU22" s="406"/>
      <c r="HV22" s="406"/>
      <c r="HW22" s="406"/>
      <c r="HX22" s="406"/>
      <c r="HY22" s="406"/>
      <c r="HZ22" s="406"/>
      <c r="IA22" s="406"/>
      <c r="IB22" s="406"/>
      <c r="IC22" s="406"/>
      <c r="ID22" s="406"/>
      <c r="IE22" s="406"/>
      <c r="IF22" s="406"/>
      <c r="IG22" s="406"/>
      <c r="IH22" s="406"/>
      <c r="II22" s="406"/>
      <c r="IJ22" s="406"/>
      <c r="IK22" s="406"/>
      <c r="IL22" s="406"/>
      <c r="IM22" s="406"/>
      <c r="IN22" s="406"/>
      <c r="IO22" s="406"/>
      <c r="IP22" s="406"/>
      <c r="IQ22" s="406"/>
      <c r="IR22" s="406"/>
      <c r="IS22" s="406"/>
    </row>
    <row r="23" spans="1:253" s="406" customFormat="1" ht="17.25">
      <c r="A23" s="68"/>
      <c r="B23"/>
      <c r="C23" s="917"/>
      <c r="D23" s="5"/>
      <c r="E23" s="1294" t="s">
        <v>317</v>
      </c>
      <c r="F23" s="877">
        <f>IF(AND($G$2="No",$G$3="No"),SUM(K23:L23),IF(AND($G$2="Yes", $G$3="No"), SUM(K23:L23)+S23, IF(AND($G$2="No", $G$3="Yes"),SUM(K23:L23)+R23, SUM(K23:L23)+S23+R23)))</f>
        <v>0</v>
      </c>
      <c r="G23" s="877">
        <f>IF(AND($G$2="No",$G$3="No"),SUM(I23:Q23),IF(AND($G$2="Yes", $G$3="No"), SUM(I23:Q23)+S23, IF(AND($G$2="No", $G$3="Yes"),SUM(I23:Q23)+R23, SUM(I23:Q23)+S23+R23)))</f>
        <v>6.3519682779180464E-2</v>
      </c>
      <c r="H23" s="878">
        <f>SUM(U23:W23)/(1-'Common input data'!$B$140)</f>
        <v>0.40997694567273002</v>
      </c>
      <c r="I23" s="877">
        <f>('Input data plant-based products'!$F$33*('Common input data'!$C$93*'Common input data'!B86+'Common input data'!$C$94*'Common input data'!C86))/'Input data plant-based products'!$E$33</f>
        <v>1.3519682779180458E-2</v>
      </c>
      <c r="J23" s="877">
        <f>'Common input data'!$B$98</f>
        <v>0.03</v>
      </c>
      <c r="K23" s="877">
        <v>0</v>
      </c>
      <c r="L23" s="877">
        <v>0</v>
      </c>
      <c r="M23" s="877"/>
      <c r="N23" s="877">
        <v>0</v>
      </c>
      <c r="O23" s="877">
        <v>0</v>
      </c>
      <c r="P23" s="877">
        <f>'Input data plant-based products'!G$309</f>
        <v>0.02</v>
      </c>
      <c r="Q23" s="877">
        <v>0</v>
      </c>
      <c r="R23" s="877">
        <v>0</v>
      </c>
      <c r="S23" s="877">
        <v>0</v>
      </c>
      <c r="T23" s="877">
        <v>0</v>
      </c>
      <c r="U23" s="877">
        <f>(G23+T23)</f>
        <v>6.3519682779180464E-2</v>
      </c>
      <c r="V23" s="877">
        <f>'Common input data'!$B$105</f>
        <v>0.05</v>
      </c>
      <c r="W23" s="877">
        <f>'Common input data'!B117+'Common input data'!C117</f>
        <v>0.23</v>
      </c>
      <c r="X23" s="864"/>
      <c r="Y23" s="879"/>
      <c r="Z23" s="877"/>
      <c r="AA23" s="877"/>
      <c r="AB23" s="877"/>
      <c r="AC23" s="877"/>
      <c r="AD23" s="886"/>
      <c r="AE23" s="877"/>
      <c r="AF23" s="879"/>
      <c r="AG23" s="877"/>
      <c r="AH23" s="877"/>
      <c r="AI23" s="877"/>
      <c r="AJ23" s="877"/>
      <c r="AK23" s="886"/>
      <c r="AL23" s="877"/>
      <c r="AM23" s="879"/>
      <c r="AN23" s="877"/>
      <c r="AO23" s="877"/>
      <c r="AP23" s="877"/>
      <c r="AQ23" s="877"/>
      <c r="AR23" s="886"/>
      <c r="AS23" s="877"/>
      <c r="AT23" s="879"/>
      <c r="AU23" s="877"/>
      <c r="AV23" s="877"/>
      <c r="AW23" s="877"/>
      <c r="AX23" s="877"/>
      <c r="AY23" s="886"/>
      <c r="AZ23" s="877"/>
      <c r="BA23" s="879"/>
      <c r="BB23" s="877"/>
      <c r="BC23" s="877"/>
      <c r="BD23" s="877"/>
      <c r="BE23" s="877"/>
      <c r="BF23" s="886"/>
      <c r="BG23" s="877"/>
      <c r="BH23" s="879"/>
      <c r="BI23" s="877"/>
      <c r="BJ23" s="877"/>
      <c r="BK23" s="877"/>
      <c r="BL23" s="877"/>
      <c r="BM23" s="886"/>
      <c r="BN23" s="877"/>
      <c r="BO23" s="879"/>
      <c r="BP23" s="877"/>
      <c r="BQ23" s="877"/>
      <c r="BR23" s="877"/>
      <c r="BS23" s="877"/>
      <c r="BT23" s="886"/>
      <c r="BU23" s="877"/>
      <c r="BV23" s="879"/>
      <c r="BW23" s="886"/>
    </row>
    <row r="24" spans="1:253" s="406" customFormat="1" ht="17.25">
      <c r="A24" s="18"/>
      <c r="B24" s="23"/>
      <c r="C24" s="595"/>
      <c r="D24" s="50"/>
      <c r="E24" s="1294" t="s">
        <v>367</v>
      </c>
      <c r="F24" s="877">
        <f>SUM(K24:L24)</f>
        <v>0</v>
      </c>
      <c r="G24" s="877">
        <f>SUM(I24:Q24)</f>
        <v>2.4801186952333773E-5</v>
      </c>
      <c r="H24" s="878">
        <f>SUM(U24:W24)/(1-'Common input data'!$B$140)</f>
        <v>2.9599220613836704E-5</v>
      </c>
      <c r="I24" s="877">
        <f>('Input data plant-based products'!$F$33*('Common input data'!$C$93*'Common input data'!B87+'Common input data'!$C$94*'Common input data'!C87))/'Input data plant-based products'!$E$33</f>
        <v>2.4801186952333773E-5</v>
      </c>
      <c r="J24" s="877">
        <v>0</v>
      </c>
      <c r="K24" s="931">
        <v>0</v>
      </c>
      <c r="L24" s="877">
        <v>0</v>
      </c>
      <c r="M24" s="877"/>
      <c r="N24" s="877">
        <v>0</v>
      </c>
      <c r="O24" s="877">
        <v>0</v>
      </c>
      <c r="P24" s="877">
        <v>0</v>
      </c>
      <c r="Q24" s="877">
        <v>0</v>
      </c>
      <c r="R24" s="877">
        <v>0</v>
      </c>
      <c r="S24" s="877">
        <v>0</v>
      </c>
      <c r="T24" s="877">
        <v>0</v>
      </c>
      <c r="U24" s="877">
        <f>(G24+T24)</f>
        <v>2.4801186952333773E-5</v>
      </c>
      <c r="V24" s="877">
        <v>0</v>
      </c>
      <c r="W24" s="877">
        <v>0</v>
      </c>
      <c r="X24" s="864"/>
      <c r="Y24" s="879"/>
      <c r="Z24" s="877"/>
      <c r="AA24" s="877"/>
      <c r="AB24" s="877"/>
      <c r="AC24" s="877"/>
      <c r="AD24" s="886"/>
      <c r="AE24" s="877"/>
      <c r="AF24" s="879"/>
      <c r="AG24" s="877"/>
      <c r="AH24" s="877"/>
      <c r="AI24" s="877"/>
      <c r="AJ24" s="877"/>
      <c r="AK24" s="886"/>
      <c r="AL24" s="877"/>
      <c r="AM24" s="879"/>
      <c r="AN24" s="877"/>
      <c r="AO24" s="877"/>
      <c r="AP24" s="877"/>
      <c r="AQ24" s="877"/>
      <c r="AR24" s="886"/>
      <c r="AS24" s="877"/>
      <c r="AT24" s="879"/>
      <c r="AU24" s="877"/>
      <c r="AV24" s="877"/>
      <c r="AW24" s="877"/>
      <c r="AX24" s="877"/>
      <c r="AY24" s="886"/>
      <c r="AZ24" s="877"/>
      <c r="BA24" s="879"/>
      <c r="BB24" s="877"/>
      <c r="BC24" s="877"/>
      <c r="BD24" s="877"/>
      <c r="BE24" s="877"/>
      <c r="BF24" s="886"/>
      <c r="BG24" s="877"/>
      <c r="BH24" s="879"/>
      <c r="BI24" s="877"/>
      <c r="BJ24" s="877"/>
      <c r="BK24" s="877"/>
      <c r="BL24" s="877"/>
      <c r="BM24" s="886"/>
      <c r="BN24" s="877"/>
      <c r="BO24" s="879"/>
      <c r="BP24" s="877"/>
      <c r="BQ24" s="877"/>
      <c r="BR24" s="877"/>
      <c r="BS24" s="877"/>
      <c r="BT24" s="886"/>
      <c r="BU24" s="877"/>
      <c r="BV24" s="879"/>
      <c r="BW24" s="886"/>
    </row>
    <row r="25" spans="1:253" s="406" customFormat="1" ht="17.25">
      <c r="A25" s="359"/>
      <c r="B25"/>
      <c r="C25" s="83"/>
      <c r="D25" s="54"/>
      <c r="E25" s="1295" t="s">
        <v>320</v>
      </c>
      <c r="F25" s="877">
        <f>SUM(K25:L25)</f>
        <v>3.1035714285714272E-5</v>
      </c>
      <c r="G25" s="877">
        <f>SUM(I25:Q25)</f>
        <v>6.074096020459672E-5</v>
      </c>
      <c r="H25" s="878">
        <f>SUM(U25:W25)/(1-'Common input data'!$B$140)</f>
        <v>7.2491896651863849E-5</v>
      </c>
      <c r="I25" s="877">
        <f>('Input data plant-based products'!$F$33*('Common input data'!$C$93*'Common input data'!B88+'Common input data'!$C$94*'Common input data'!C88))/'Input data plant-based products'!$E$33</f>
        <v>2.970524591888245E-5</v>
      </c>
      <c r="J25" s="877">
        <v>0</v>
      </c>
      <c r="K25" s="877">
        <f>(SUM('Input data plant-based products'!F33:H33)*'Input data plant-based products'!$B$260*44/28)/'Input data plant-based products'!E33</f>
        <v>2.8214285714285704E-5</v>
      </c>
      <c r="L25" s="877">
        <f>K25*'Input data plant-based products'!$B$261</f>
        <v>2.8214285714285705E-6</v>
      </c>
      <c r="M25" s="877"/>
      <c r="N25" s="877">
        <v>0</v>
      </c>
      <c r="O25" s="877">
        <v>0</v>
      </c>
      <c r="P25" s="877">
        <v>0</v>
      </c>
      <c r="Q25" s="877">
        <v>0</v>
      </c>
      <c r="R25" s="877">
        <v>0</v>
      </c>
      <c r="S25" s="877">
        <v>0</v>
      </c>
      <c r="T25" s="877">
        <v>0</v>
      </c>
      <c r="U25" s="877">
        <f>(G25+T25)</f>
        <v>6.074096020459672E-5</v>
      </c>
      <c r="V25" s="877">
        <v>0</v>
      </c>
      <c r="W25" s="877">
        <v>0</v>
      </c>
      <c r="X25" s="864"/>
      <c r="Y25" s="879"/>
      <c r="Z25" s="877"/>
      <c r="AA25" s="877"/>
      <c r="AB25" s="877"/>
      <c r="AC25" s="877"/>
      <c r="AD25" s="886"/>
      <c r="AE25" s="877"/>
      <c r="AF25" s="879"/>
      <c r="AG25" s="877"/>
      <c r="AH25" s="877"/>
      <c r="AI25" s="877"/>
      <c r="AJ25" s="877"/>
      <c r="AK25" s="886"/>
      <c r="AL25" s="877"/>
      <c r="AM25" s="879"/>
      <c r="AN25" s="877"/>
      <c r="AO25" s="877"/>
      <c r="AP25" s="877"/>
      <c r="AQ25" s="877"/>
      <c r="AR25" s="886"/>
      <c r="AS25" s="877"/>
      <c r="AT25" s="879"/>
      <c r="AU25" s="877"/>
      <c r="AV25" s="877"/>
      <c r="AW25" s="877"/>
      <c r="AX25" s="877"/>
      <c r="AY25" s="886"/>
      <c r="AZ25" s="877"/>
      <c r="BA25" s="879"/>
      <c r="BB25" s="877"/>
      <c r="BC25" s="877"/>
      <c r="BD25" s="877"/>
      <c r="BE25" s="877"/>
      <c r="BF25" s="886"/>
      <c r="BG25" s="877"/>
      <c r="BH25" s="879"/>
      <c r="BI25" s="877"/>
      <c r="BJ25" s="877"/>
      <c r="BK25" s="877"/>
      <c r="BL25" s="877"/>
      <c r="BM25" s="886"/>
      <c r="BN25" s="877"/>
      <c r="BO25" s="879"/>
      <c r="BP25" s="877"/>
      <c r="BQ25" s="877"/>
      <c r="BR25" s="877"/>
      <c r="BS25" s="877"/>
      <c r="BT25" s="886"/>
      <c r="BU25" s="877"/>
      <c r="BV25" s="879"/>
      <c r="BW25" s="886"/>
    </row>
    <row r="26" spans="1:253" s="502" customFormat="1" ht="17.25">
      <c r="A26" s="20" t="s">
        <v>130</v>
      </c>
      <c r="B26" s="164" t="s">
        <v>121</v>
      </c>
      <c r="C26" s="904">
        <f>'Input data plant-based products'!D34</f>
        <v>0.12503269610000001</v>
      </c>
      <c r="D26" s="17"/>
      <c r="E26" s="1293" t="s">
        <v>316</v>
      </c>
      <c r="F26" s="872">
        <f>SUMPRODUCT($CE$14:$CE$16,F27:F29)</f>
        <v>5.0705549462957106E-2</v>
      </c>
      <c r="G26" s="872">
        <f>SUMPRODUCT($CE$14:$CE$16,G27:G29)</f>
        <v>0.12808697009424475</v>
      </c>
      <c r="H26" s="873">
        <f>SUMPRODUCT($CE$14:$CE$16,H27:H29)</f>
        <v>0.48703541006593237</v>
      </c>
      <c r="I26" s="888"/>
      <c r="J26" s="888"/>
      <c r="K26" s="888"/>
      <c r="L26" s="888"/>
      <c r="M26" s="888"/>
      <c r="N26" s="888"/>
      <c r="O26" s="888"/>
      <c r="P26" s="888"/>
      <c r="Q26" s="888"/>
      <c r="R26" s="888"/>
      <c r="S26" s="888"/>
      <c r="T26" s="888"/>
      <c r="U26" s="888"/>
      <c r="V26" s="888"/>
      <c r="W26" s="888"/>
      <c r="X26" s="864"/>
      <c r="Y26" s="879">
        <f>1/'Input data plant-based products'!E34*10^4</f>
        <v>0.12094134948023355</v>
      </c>
      <c r="Z26" s="877">
        <f>$Y26*'Input data plant-based products'!Z34</f>
        <v>0.12094134948023355</v>
      </c>
      <c r="AA26" s="877">
        <f>$Y26*'Input data plant-based products'!AA34</f>
        <v>0.12094134948023355</v>
      </c>
      <c r="AB26" s="877">
        <f>$Y26*'Input data plant-based products'!AB34</f>
        <v>0.12094134948023355</v>
      </c>
      <c r="AC26" s="877">
        <f>$Y26*'Input data plant-based products'!AC34</f>
        <v>0.14433864360930129</v>
      </c>
      <c r="AD26" s="886">
        <f>$Y26*'Input data plant-based products'!AD34</f>
        <v>0.17819585630777934</v>
      </c>
      <c r="AE26" s="877"/>
      <c r="AF26" s="879">
        <f>SUM('Input data plant-based products'!F34,'Input data plant-based products'!Q34)/'Input data plant-based products'!E34</f>
        <v>3.6666666666666705E-3</v>
      </c>
      <c r="AG26" s="877">
        <f>$AF26*'Input data plant-based products'!Z34</f>
        <v>3.6666666666666705E-3</v>
      </c>
      <c r="AH26" s="877">
        <f>$AF26*'Input data plant-based products'!AA34</f>
        <v>3.6666666666666705E-3</v>
      </c>
      <c r="AI26" s="877">
        <f>$AF26*'Input data plant-based products'!AB34</f>
        <v>3.6666666666666705E-3</v>
      </c>
      <c r="AJ26" s="877">
        <f>$AF26*'Input data plant-based products'!AC34</f>
        <v>4.3760194136134032E-3</v>
      </c>
      <c r="AK26" s="886">
        <f>$AF26*'Input data plant-based products'!AD34</f>
        <v>5.4024931032264226E-3</v>
      </c>
      <c r="AL26" s="877"/>
      <c r="AM26" s="879">
        <f>'Input data plant-based products'!R34/'Input data plant-based products'!E34</f>
        <v>1.2916666666666699E-3</v>
      </c>
      <c r="AN26" s="877">
        <f>$AM26*'Input data plant-based products'!Z34</f>
        <v>1.2916666666666699E-3</v>
      </c>
      <c r="AO26" s="877">
        <f>$AM26*'Input data plant-based products'!AA34</f>
        <v>1.2916666666666699E-3</v>
      </c>
      <c r="AP26" s="877">
        <f>$AM26*'Input data plant-based products'!AB34</f>
        <v>1.2916666666666699E-3</v>
      </c>
      <c r="AQ26" s="877">
        <f>$AM26*'Input data plant-based products'!AC34</f>
        <v>1.5415522934319964E-3</v>
      </c>
      <c r="AR26" s="886">
        <f>$AM26*'Input data plant-based products'!AD34</f>
        <v>1.9031509795456745E-3</v>
      </c>
      <c r="AS26" s="877"/>
      <c r="AT26" s="879">
        <f>'Input data plant-based products'!S34</f>
        <v>2.3E-2</v>
      </c>
      <c r="AU26" s="877">
        <f>$AT26*'Input data plant-based products'!Z34</f>
        <v>2.3E-2</v>
      </c>
      <c r="AV26" s="877">
        <f>$AT26*'Input data plant-based products'!AA34</f>
        <v>2.3E-2</v>
      </c>
      <c r="AW26" s="877">
        <f>$AT26*'Input data plant-based products'!AB34</f>
        <v>2.3E-2</v>
      </c>
      <c r="AX26" s="877">
        <f>$AT26*'Input data plant-based products'!AC34</f>
        <v>2.744957632175677E-2</v>
      </c>
      <c r="AY26" s="886">
        <f>$AT26*'Input data plant-based products'!AD34</f>
        <v>3.3888365829329345E-2</v>
      </c>
      <c r="AZ26" s="877"/>
      <c r="BA26" s="879">
        <f>((SUM('Input data plant-based products'!U34:Y34)*Y26)/('Common input data'!$B$192/10^6))/$BB$3</f>
        <v>2.0490074313927742E-10</v>
      </c>
      <c r="BB26" s="877">
        <f>$BA26*'Input data plant-based products'!Z34</f>
        <v>2.0490074313927742E-10</v>
      </c>
      <c r="BC26" s="877">
        <f>$BA26*'Input data plant-based products'!AA34</f>
        <v>2.0490074313927742E-10</v>
      </c>
      <c r="BD26" s="877">
        <f>$BA26*'Input data plant-based products'!AB34</f>
        <v>2.0490074313927742E-10</v>
      </c>
      <c r="BE26" s="877">
        <f>$BA26*'Input data plant-based products'!AC34</f>
        <v>2.4454080813853374E-10</v>
      </c>
      <c r="BF26" s="886">
        <f>$BA26*'Input data plant-based products'!AD34</f>
        <v>3.0190223226979468E-10</v>
      </c>
      <c r="BG26" s="877"/>
      <c r="BH26" s="879">
        <f>'Input data plant-based products'!T34/'Input data plant-based products'!E34</f>
        <v>1.9253862837253182E-4</v>
      </c>
      <c r="BI26" s="877">
        <f>$BH26*'Input data plant-based products'!Z34</f>
        <v>1.9253862837253182E-4</v>
      </c>
      <c r="BJ26" s="877">
        <f>$BH26*'Input data plant-based products'!AA34</f>
        <v>1.9253862837253182E-4</v>
      </c>
      <c r="BK26" s="877">
        <f>$BH26*'Input data plant-based products'!AB34</f>
        <v>1.9253862837253182E-4</v>
      </c>
      <c r="BL26" s="877">
        <f>$BH26*'Input data plant-based products'!AC34</f>
        <v>2.2978712062600765E-4</v>
      </c>
      <c r="BM26" s="886">
        <f>$BH26*'Input data plant-based products'!AD34</f>
        <v>2.8368780324198472E-4</v>
      </c>
      <c r="BN26" s="877"/>
      <c r="BO26" s="879">
        <f>('Input data plant-based products'!F34/'Input data plant-based products'!E34*'Common input data'!$B$195+'Input data plant-based products'!G34/'Input data plant-based products'!E34*'Common input data'!$B$196)/'Common input data'!$B$198</f>
        <v>9.3623688155922133E-5</v>
      </c>
      <c r="BP26" s="877">
        <f>$BO26*'Input data plant-based products'!Z34</f>
        <v>9.3623688155922133E-5</v>
      </c>
      <c r="BQ26" s="877">
        <f>$BO26*'Input data plant-based products'!AA34</f>
        <v>9.3623688155922133E-5</v>
      </c>
      <c r="BR26" s="877">
        <f>$BO26*'Input data plant-based products'!AB34</f>
        <v>9.3623688155922133E-5</v>
      </c>
      <c r="BS26" s="877">
        <f>$BO26*'Input data plant-based products'!AC34</f>
        <v>1.1173611189392783E-4</v>
      </c>
      <c r="BT26" s="886">
        <f>$BO26*'Input data plant-based products'!AD34</f>
        <v>1.3794581715299731E-4</v>
      </c>
      <c r="BU26" s="877"/>
      <c r="BV26" s="879">
        <f>('Common input data'!$C$202+'Common input data'!$B$210)*'Input data plant-based products'!AC34</f>
        <v>1.4837092731829575</v>
      </c>
      <c r="BW26" s="886">
        <f>('Common input data'!$C$202+'Common input data'!$B$210)*'Input data plant-based products'!AD34</f>
        <v>1.8317398434357497</v>
      </c>
      <c r="BX26" s="406"/>
      <c r="BY26" s="406"/>
      <c r="BZ26" s="406"/>
      <c r="CA26" s="406"/>
      <c r="CB26" s="406"/>
      <c r="CC26" s="406"/>
      <c r="CD26" s="406"/>
      <c r="CE26" s="406"/>
      <c r="CF26" s="406"/>
      <c r="CG26" s="406"/>
      <c r="CH26" s="406"/>
      <c r="CI26" s="406"/>
      <c r="CJ26" s="406"/>
      <c r="CK26" s="406"/>
      <c r="CL26" s="406"/>
      <c r="CM26" s="406"/>
      <c r="CN26" s="406"/>
      <c r="CO26" s="406"/>
      <c r="CP26" s="406"/>
      <c r="CQ26" s="406"/>
      <c r="CR26" s="406"/>
      <c r="CS26" s="406"/>
      <c r="CT26" s="406"/>
      <c r="CU26" s="406"/>
      <c r="CV26" s="406"/>
      <c r="CW26" s="406"/>
      <c r="CX26" s="406"/>
      <c r="CY26" s="406"/>
      <c r="CZ26" s="406"/>
      <c r="DA26" s="406"/>
      <c r="DB26" s="406"/>
      <c r="DC26" s="406"/>
      <c r="DD26" s="406"/>
      <c r="DE26" s="406"/>
      <c r="DF26" s="406"/>
      <c r="DG26" s="406"/>
      <c r="DH26" s="406"/>
      <c r="DI26" s="406"/>
      <c r="DJ26" s="406"/>
      <c r="DK26" s="406"/>
      <c r="DL26" s="406"/>
      <c r="DM26" s="406"/>
      <c r="DN26" s="406"/>
      <c r="DO26" s="406"/>
      <c r="DP26" s="406"/>
      <c r="DQ26" s="406"/>
      <c r="DR26" s="406"/>
      <c r="DS26" s="406"/>
      <c r="DT26" s="406"/>
      <c r="DU26" s="406"/>
      <c r="DV26" s="406"/>
      <c r="DW26" s="406"/>
      <c r="DX26" s="406"/>
      <c r="DY26" s="406"/>
      <c r="DZ26" s="406"/>
      <c r="EA26" s="406"/>
      <c r="EB26" s="406"/>
      <c r="EC26" s="406"/>
      <c r="ED26" s="406"/>
      <c r="EE26" s="406"/>
      <c r="EF26" s="406"/>
      <c r="EG26" s="406"/>
      <c r="EH26" s="406"/>
      <c r="EI26" s="406"/>
      <c r="EJ26" s="406"/>
      <c r="EK26" s="406"/>
      <c r="EL26" s="406"/>
      <c r="EM26" s="406"/>
      <c r="EN26" s="406"/>
      <c r="EO26" s="406"/>
      <c r="EP26" s="406"/>
      <c r="EQ26" s="406"/>
      <c r="ER26" s="406"/>
      <c r="ES26" s="406"/>
      <c r="ET26" s="406"/>
      <c r="EU26" s="406"/>
      <c r="EV26" s="406"/>
      <c r="EW26" s="406"/>
      <c r="EX26" s="406"/>
      <c r="EY26" s="406"/>
      <c r="EZ26" s="406"/>
      <c r="FA26" s="406"/>
      <c r="FB26" s="406"/>
      <c r="FC26" s="406"/>
      <c r="FD26" s="406"/>
      <c r="FE26" s="406"/>
      <c r="FF26" s="406"/>
      <c r="FG26" s="406"/>
      <c r="FH26" s="406"/>
      <c r="FI26" s="406"/>
      <c r="FJ26" s="406"/>
      <c r="FK26" s="406"/>
      <c r="FL26" s="406"/>
      <c r="FM26" s="406"/>
      <c r="FN26" s="406"/>
      <c r="FO26" s="406"/>
      <c r="FP26" s="406"/>
      <c r="FQ26" s="406"/>
      <c r="FR26" s="406"/>
      <c r="FS26" s="406"/>
      <c r="FT26" s="406"/>
      <c r="FU26" s="406"/>
      <c r="FV26" s="406"/>
      <c r="FW26" s="406"/>
      <c r="FX26" s="406"/>
      <c r="FY26" s="406"/>
      <c r="FZ26" s="406"/>
      <c r="GA26" s="406"/>
      <c r="GB26" s="406"/>
      <c r="GC26" s="406"/>
      <c r="GD26" s="406"/>
      <c r="GE26" s="406"/>
      <c r="GF26" s="406"/>
      <c r="GG26" s="406"/>
      <c r="GH26" s="406"/>
      <c r="GI26" s="406"/>
      <c r="GJ26" s="406"/>
      <c r="GK26" s="406"/>
      <c r="GL26" s="406"/>
      <c r="GM26" s="406"/>
      <c r="GN26" s="406"/>
      <c r="GO26" s="406"/>
      <c r="GP26" s="406"/>
      <c r="GQ26" s="406"/>
      <c r="GR26" s="406"/>
      <c r="GS26" s="406"/>
      <c r="GT26" s="406"/>
      <c r="GU26" s="406"/>
      <c r="GV26" s="406"/>
      <c r="GW26" s="406"/>
      <c r="GX26" s="406"/>
      <c r="GY26" s="406"/>
      <c r="GZ26" s="406"/>
      <c r="HA26" s="406"/>
      <c r="HB26" s="406"/>
      <c r="HC26" s="406"/>
      <c r="HD26" s="406"/>
      <c r="HE26" s="406"/>
      <c r="HF26" s="406"/>
      <c r="HG26" s="406"/>
      <c r="HH26" s="406"/>
      <c r="HI26" s="406"/>
      <c r="HJ26" s="406"/>
      <c r="HK26" s="406"/>
      <c r="HL26" s="406"/>
      <c r="HM26" s="406"/>
      <c r="HN26" s="406"/>
      <c r="HO26" s="406"/>
      <c r="HP26" s="406"/>
      <c r="HQ26" s="406"/>
      <c r="HR26" s="406"/>
      <c r="HS26" s="406"/>
      <c r="HT26" s="406"/>
      <c r="HU26" s="406"/>
      <c r="HV26" s="406"/>
      <c r="HW26" s="406"/>
      <c r="HX26" s="406"/>
      <c r="HY26" s="406"/>
      <c r="HZ26" s="406"/>
      <c r="IA26" s="406"/>
      <c r="IB26" s="406"/>
      <c r="IC26" s="406"/>
      <c r="ID26" s="406"/>
      <c r="IE26" s="406"/>
      <c r="IF26" s="406"/>
      <c r="IG26" s="406"/>
      <c r="IH26" s="406"/>
      <c r="II26" s="406"/>
      <c r="IJ26" s="406"/>
      <c r="IK26" s="406"/>
      <c r="IL26" s="406"/>
      <c r="IM26" s="406"/>
      <c r="IN26" s="406"/>
      <c r="IO26" s="406"/>
      <c r="IP26" s="406"/>
      <c r="IQ26" s="406"/>
      <c r="IR26" s="406"/>
      <c r="IS26" s="406"/>
    </row>
    <row r="27" spans="1:253" s="406" customFormat="1" ht="17.25">
      <c r="A27" s="18"/>
      <c r="B27"/>
      <c r="C27" s="917"/>
      <c r="D27" s="5"/>
      <c r="E27" s="1294" t="s">
        <v>317</v>
      </c>
      <c r="F27" s="877">
        <f>IF(AND($G$2="No",$G$3="No"),SUM(K27:L27),IF(AND($G$2="Yes", $G$3="No"), SUM(K27:L27)+S27, IF(AND($G$2="No", $G$3="Yes"),SUM(K27:L27)+R27, SUM(K27:L27)+S27+R27)))</f>
        <v>3.9989486962957101E-2</v>
      </c>
      <c r="G27" s="877">
        <f>IF(AND($G$2="No",$G$3="No"),SUM(I27:Q27),IF(AND($G$2="Yes", $G$3="No"), SUM(I27:Q27)+S27, IF(AND($G$2="No", $G$3="Yes"),SUM(I27:Q27)+R27, SUM(I27:Q27)+S27+R27)))</f>
        <v>0.10831921929927715</v>
      </c>
      <c r="H27" s="878">
        <f>SUM(U27:W27)/(1-'Common input data'!$B$140)</f>
        <v>0.4634433933635006</v>
      </c>
      <c r="I27" s="877">
        <f>('Input data plant-based products'!$F$34*('Common input data'!$C$93*'Common input data'!B86+'Common input data'!$C$94*'Common input data'!C86))/'Input data plant-based products'!$E$34</f>
        <v>1.3804908154268672E-2</v>
      </c>
      <c r="J27" s="877">
        <f>'Common input data'!$B$98</f>
        <v>0.03</v>
      </c>
      <c r="K27" s="877">
        <v>0</v>
      </c>
      <c r="L27" s="877">
        <v>0</v>
      </c>
      <c r="M27" s="877"/>
      <c r="N27" s="877">
        <f>('Input data plant-based products'!$P$34*'Common input data'!$C$76*'Common input data'!H66)/'Input data plant-based products'!$E$34</f>
        <v>4.524824182051382E-3</v>
      </c>
      <c r="O27" s="877">
        <v>0</v>
      </c>
      <c r="P27" s="877">
        <f>'Input data plant-based products'!G$309</f>
        <v>0.02</v>
      </c>
      <c r="Q27" s="877">
        <v>0</v>
      </c>
      <c r="R27" s="877">
        <f>'Common input data'!E$19</f>
        <v>3.9989486962957101E-2</v>
      </c>
      <c r="S27" s="877">
        <v>0</v>
      </c>
      <c r="T27" s="877">
        <v>0</v>
      </c>
      <c r="U27" s="877">
        <f>(G27+T27)</f>
        <v>0.10831921929927715</v>
      </c>
      <c r="V27" s="877">
        <f>'Common input data'!$B$105</f>
        <v>0.05</v>
      </c>
      <c r="W27" s="877">
        <f>'Common input data'!B117+'Common input data'!C117</f>
        <v>0.23</v>
      </c>
      <c r="X27" s="864"/>
      <c r="Y27" s="879"/>
      <c r="Z27" s="877"/>
      <c r="AA27" s="877"/>
      <c r="AB27" s="877"/>
      <c r="AC27" s="877"/>
      <c r="AD27" s="886"/>
      <c r="AE27" s="877"/>
      <c r="AF27" s="879"/>
      <c r="AG27" s="877"/>
      <c r="AH27" s="877"/>
      <c r="AI27" s="877"/>
      <c r="AJ27" s="877"/>
      <c r="AK27" s="886"/>
      <c r="AL27" s="877"/>
      <c r="AM27" s="879"/>
      <c r="AN27" s="877"/>
      <c r="AO27" s="877"/>
      <c r="AP27" s="877"/>
      <c r="AQ27" s="877"/>
      <c r="AR27" s="886"/>
      <c r="AS27" s="877"/>
      <c r="AT27" s="879"/>
      <c r="AU27" s="877"/>
      <c r="AV27" s="877"/>
      <c r="AW27" s="877"/>
      <c r="AX27" s="877"/>
      <c r="AY27" s="886"/>
      <c r="AZ27" s="877"/>
      <c r="BA27" s="879"/>
      <c r="BB27" s="877"/>
      <c r="BC27" s="877"/>
      <c r="BD27" s="877"/>
      <c r="BE27" s="877"/>
      <c r="BF27" s="886"/>
      <c r="BG27" s="877"/>
      <c r="BH27" s="879"/>
      <c r="BI27" s="877"/>
      <c r="BJ27" s="877"/>
      <c r="BK27" s="877"/>
      <c r="BL27" s="877"/>
      <c r="BM27" s="886"/>
      <c r="BN27" s="877"/>
      <c r="BO27" s="879"/>
      <c r="BP27" s="877"/>
      <c r="BQ27" s="877"/>
      <c r="BR27" s="877"/>
      <c r="BS27" s="877"/>
      <c r="BT27" s="886"/>
      <c r="BU27" s="877"/>
      <c r="BV27" s="879"/>
      <c r="BW27" s="886"/>
    </row>
    <row r="28" spans="1:253" s="406" customFormat="1" ht="17.25">
      <c r="A28" s="18"/>
      <c r="B28"/>
      <c r="C28" s="595"/>
      <c r="D28" s="50"/>
      <c r="E28" s="1294" t="s">
        <v>367</v>
      </c>
      <c r="F28" s="877">
        <f>SUM(K28:L28)</f>
        <v>0</v>
      </c>
      <c r="G28" s="877">
        <f>SUM(I28:Q28)</f>
        <v>2.732876328148952E-5</v>
      </c>
      <c r="H28" s="878">
        <f>SUM(U28:W28)/(1-'Common input data'!$B$140)</f>
        <v>3.2615781455411765E-5</v>
      </c>
      <c r="I28" s="877">
        <f>('Input data plant-based products'!$F$34*('Common input data'!$C$93*'Common input data'!B87+'Common input data'!$C$94*'Common input data'!C87))/'Input data plant-based products'!$E$34</f>
        <v>2.532441874457714E-5</v>
      </c>
      <c r="J28" s="877">
        <v>0</v>
      </c>
      <c r="K28" s="877">
        <v>0</v>
      </c>
      <c r="L28" s="877">
        <v>0</v>
      </c>
      <c r="M28" s="877"/>
      <c r="N28" s="877">
        <f>('Input data plant-based products'!$P$34*'Common input data'!$C$76*'Common input data'!H67)/'Input data plant-based products'!$E$34</f>
        <v>2.0043445369123813E-6</v>
      </c>
      <c r="O28" s="877">
        <v>0</v>
      </c>
      <c r="P28" s="877">
        <v>0</v>
      </c>
      <c r="Q28" s="877">
        <v>0</v>
      </c>
      <c r="R28" s="877">
        <v>0</v>
      </c>
      <c r="S28" s="877">
        <v>0</v>
      </c>
      <c r="T28" s="877">
        <v>0</v>
      </c>
      <c r="U28" s="877">
        <f>(G28+T28)</f>
        <v>2.732876328148952E-5</v>
      </c>
      <c r="V28" s="877">
        <v>0</v>
      </c>
      <c r="W28" s="877">
        <v>0</v>
      </c>
      <c r="X28" s="864"/>
      <c r="Y28" s="879"/>
      <c r="Z28" s="877"/>
      <c r="AA28" s="877"/>
      <c r="AB28" s="877"/>
      <c r="AC28" s="877"/>
      <c r="AD28" s="886"/>
      <c r="AE28" s="877"/>
      <c r="AF28" s="879"/>
      <c r="AG28" s="877"/>
      <c r="AH28" s="877"/>
      <c r="AI28" s="877"/>
      <c r="AJ28" s="877"/>
      <c r="AK28" s="886"/>
      <c r="AL28" s="877"/>
      <c r="AM28" s="879"/>
      <c r="AN28" s="877"/>
      <c r="AO28" s="877"/>
      <c r="AP28" s="877"/>
      <c r="AQ28" s="877"/>
      <c r="AR28" s="886"/>
      <c r="AS28" s="877"/>
      <c r="AT28" s="879"/>
      <c r="AU28" s="877"/>
      <c r="AV28" s="877"/>
      <c r="AW28" s="877"/>
      <c r="AX28" s="877"/>
      <c r="AY28" s="886"/>
      <c r="AZ28" s="877"/>
      <c r="BA28" s="879"/>
      <c r="BB28" s="877"/>
      <c r="BC28" s="877"/>
      <c r="BD28" s="877"/>
      <c r="BE28" s="877"/>
      <c r="BF28" s="886"/>
      <c r="BG28" s="877"/>
      <c r="BH28" s="879"/>
      <c r="BI28" s="877"/>
      <c r="BJ28" s="877"/>
      <c r="BK28" s="877"/>
      <c r="BL28" s="877"/>
      <c r="BM28" s="886"/>
      <c r="BN28" s="877"/>
      <c r="BO28" s="879"/>
      <c r="BP28" s="877"/>
      <c r="BQ28" s="877"/>
      <c r="BR28" s="877"/>
      <c r="BS28" s="877"/>
      <c r="BT28" s="886"/>
      <c r="BU28" s="877"/>
      <c r="BV28" s="879"/>
      <c r="BW28" s="886"/>
    </row>
    <row r="29" spans="1:253" s="406" customFormat="1" ht="17.25">
      <c r="A29" s="18"/>
      <c r="B29"/>
      <c r="C29" s="83"/>
      <c r="D29" s="54"/>
      <c r="E29" s="1295" t="s">
        <v>320</v>
      </c>
      <c r="F29" s="877">
        <f>SUM(K29:L29)</f>
        <v>3.9252976190476222E-5</v>
      </c>
      <c r="G29" s="877">
        <f>SUM(I29:Q29)</f>
        <v>6.9706498851162553E-5</v>
      </c>
      <c r="H29" s="878">
        <f>SUM(U29:W29)/(1-'Common input data'!$B$140)</f>
        <v>8.3191906971192929E-5</v>
      </c>
      <c r="I29" s="877">
        <f>('Input data plant-based products'!$F$34*('Common input data'!$C$93*'Common input data'!B88+'Common input data'!$C$94*'Common input data'!C88))/'Input data plant-based products'!$E$34</f>
        <v>3.033193887075765E-5</v>
      </c>
      <c r="J29" s="877">
        <v>0</v>
      </c>
      <c r="K29" s="877">
        <f>(SUM('Input data plant-based products'!F34:H34)*'Input data plant-based products'!$B$260*44/28)/'Input data plant-based products'!E34</f>
        <v>3.5684523809523838E-5</v>
      </c>
      <c r="L29" s="877">
        <f>K29*'Input data plant-based products'!$B$261</f>
        <v>3.5684523809523838E-6</v>
      </c>
      <c r="M29" s="877"/>
      <c r="N29" s="877">
        <f>('Input data plant-based products'!$P$34*'Common input data'!$C$76*'Common input data'!H68)/'Input data plant-based products'!$E$34</f>
        <v>1.2158378992867256E-7</v>
      </c>
      <c r="O29" s="877">
        <v>0</v>
      </c>
      <c r="P29" s="877">
        <v>0</v>
      </c>
      <c r="Q29" s="877">
        <v>0</v>
      </c>
      <c r="R29" s="877">
        <v>0</v>
      </c>
      <c r="S29" s="877">
        <v>0</v>
      </c>
      <c r="T29" s="877">
        <v>0</v>
      </c>
      <c r="U29" s="877">
        <f>(G29+T29)</f>
        <v>6.9706498851162553E-5</v>
      </c>
      <c r="V29" s="877">
        <v>0</v>
      </c>
      <c r="W29" s="877">
        <v>0</v>
      </c>
      <c r="X29" s="864"/>
      <c r="Y29" s="879"/>
      <c r="Z29" s="877"/>
      <c r="AA29" s="877"/>
      <c r="AB29" s="877"/>
      <c r="AC29" s="877"/>
      <c r="AD29" s="886"/>
      <c r="AE29" s="877"/>
      <c r="AF29" s="879"/>
      <c r="AG29" s="877"/>
      <c r="AH29" s="877"/>
      <c r="AI29" s="877"/>
      <c r="AJ29" s="877"/>
      <c r="AK29" s="886"/>
      <c r="AL29" s="877"/>
      <c r="AM29" s="879"/>
      <c r="AN29" s="877"/>
      <c r="AO29" s="877"/>
      <c r="AP29" s="877"/>
      <c r="AQ29" s="877"/>
      <c r="AR29" s="886"/>
      <c r="AS29" s="877"/>
      <c r="AT29" s="879"/>
      <c r="AU29" s="877"/>
      <c r="AV29" s="877"/>
      <c r="AW29" s="877"/>
      <c r="AX29" s="877"/>
      <c r="AY29" s="886"/>
      <c r="AZ29" s="877"/>
      <c r="BA29" s="879"/>
      <c r="BB29" s="877"/>
      <c r="BC29" s="877"/>
      <c r="BD29" s="877"/>
      <c r="BE29" s="877"/>
      <c r="BF29" s="886"/>
      <c r="BG29" s="877"/>
      <c r="BH29" s="879"/>
      <c r="BI29" s="877"/>
      <c r="BJ29" s="877"/>
      <c r="BK29" s="877"/>
      <c r="BL29" s="877"/>
      <c r="BM29" s="886"/>
      <c r="BN29" s="877"/>
      <c r="BO29" s="879"/>
      <c r="BP29" s="877"/>
      <c r="BQ29" s="877"/>
      <c r="BR29" s="877"/>
      <c r="BS29" s="877"/>
      <c r="BT29" s="886"/>
      <c r="BU29" s="877"/>
      <c r="BV29" s="879"/>
      <c r="BW29" s="886"/>
    </row>
    <row r="30" spans="1:253" s="502" customFormat="1" ht="17.25">
      <c r="A30" s="20" t="s">
        <v>125</v>
      </c>
      <c r="B30" s="164" t="s">
        <v>129</v>
      </c>
      <c r="C30" s="904">
        <f>'Input data plant-based products'!D35</f>
        <v>0.05</v>
      </c>
      <c r="D30" s="17"/>
      <c r="E30" s="1293" t="s">
        <v>316</v>
      </c>
      <c r="F30" s="872">
        <f>SUMPRODUCT($CE$14:$CE$16,F31:F33)</f>
        <v>2.1256326000000016E-2</v>
      </c>
      <c r="G30" s="872">
        <f>SUMPRODUCT($CE$14:$CE$16,G31:G33)</f>
        <v>0.73403023467579243</v>
      </c>
      <c r="H30" s="873">
        <f>SUMPRODUCT($CE$14:$CE$16,H31:H33)</f>
        <v>1.2102043617087872</v>
      </c>
      <c r="I30" s="888"/>
      <c r="J30" s="888"/>
      <c r="K30" s="888"/>
      <c r="L30" s="888"/>
      <c r="M30" s="888"/>
      <c r="N30" s="888"/>
      <c r="O30" s="888"/>
      <c r="P30" s="888"/>
      <c r="Q30" s="888"/>
      <c r="R30" s="888"/>
      <c r="S30" s="888"/>
      <c r="T30" s="888"/>
      <c r="U30" s="888"/>
      <c r="V30" s="888"/>
      <c r="W30" s="888"/>
      <c r="X30" s="864"/>
      <c r="Y30" s="879">
        <f>1/'Input data plant-based products'!E35*10^4</f>
        <v>5.5636600061768973E-2</v>
      </c>
      <c r="Z30" s="877">
        <f>$Y30*'Input data plant-based products'!Z35</f>
        <v>5.5636600061768973E-2</v>
      </c>
      <c r="AA30" s="877">
        <f>$Y30*'Input data plant-based products'!AA35</f>
        <v>5.5636600061768973E-2</v>
      </c>
      <c r="AB30" s="877">
        <f>$Y30*'Input data plant-based products'!AB35</f>
        <v>5.5636600061768973E-2</v>
      </c>
      <c r="AC30" s="877">
        <f>$Y30*'Input data plant-based products'!AC35</f>
        <v>6.6400047812112395E-2</v>
      </c>
      <c r="AD30" s="886">
        <f>$Y30*'Input data plant-based products'!AD35</f>
        <v>8.1975367669274546E-2</v>
      </c>
      <c r="AE30" s="877"/>
      <c r="AF30" s="879">
        <f>SUM('Input data plant-based products'!F35,'Input data plant-based products'!Q35)/'Input data plant-based products'!E35</f>
        <v>4.8363636363636404E-3</v>
      </c>
      <c r="AG30" s="877">
        <f>$AF30*'Input data plant-based products'!Z35</f>
        <v>4.8363636363636404E-3</v>
      </c>
      <c r="AH30" s="877">
        <f>$AF30*'Input data plant-based products'!AA35</f>
        <v>4.8363636363636404E-3</v>
      </c>
      <c r="AI30" s="877">
        <f>$AF30*'Input data plant-based products'!AB35</f>
        <v>4.8363636363636404E-3</v>
      </c>
      <c r="AJ30" s="877">
        <f>$AF30*'Input data plant-based products'!AC35</f>
        <v>5.7720057720057763E-3</v>
      </c>
      <c r="AK30" s="886">
        <f>$AF30*'Input data plant-based products'!AD35</f>
        <v>7.1259330518589825E-3</v>
      </c>
      <c r="AL30" s="877"/>
      <c r="AM30" s="879">
        <f>'Input data plant-based products'!R35/'Input data plant-based products'!E35</f>
        <v>3.0666666666666698E-3</v>
      </c>
      <c r="AN30" s="877">
        <f>$AM30*'Input data plant-based products'!Z35</f>
        <v>3.0666666666666698E-3</v>
      </c>
      <c r="AO30" s="877">
        <f>$AM30*'Input data plant-based products'!AA35</f>
        <v>3.0666666666666698E-3</v>
      </c>
      <c r="AP30" s="877">
        <f>$AM30*'Input data plant-based products'!AB35</f>
        <v>3.0666666666666698E-3</v>
      </c>
      <c r="AQ30" s="877">
        <f>$AM30*'Input data plant-based products'!AC35</f>
        <v>3.6599435095675732E-3</v>
      </c>
      <c r="AR30" s="886">
        <f>$AM30*'Input data plant-based products'!AD35</f>
        <v>4.5184487772439172E-3</v>
      </c>
      <c r="AS30" s="877"/>
      <c r="AT30" s="879">
        <f>'Input data plant-based products'!S35</f>
        <v>1.2E-2</v>
      </c>
      <c r="AU30" s="877">
        <f>$AT30*'Input data plant-based products'!Z35</f>
        <v>1.2E-2</v>
      </c>
      <c r="AV30" s="877">
        <f>$AT30*'Input data plant-based products'!AA35</f>
        <v>1.2E-2</v>
      </c>
      <c r="AW30" s="877">
        <f>$AT30*'Input data plant-based products'!AB35</f>
        <v>1.2E-2</v>
      </c>
      <c r="AX30" s="877">
        <f>$AT30*'Input data plant-based products'!AC35</f>
        <v>1.4321518080916577E-2</v>
      </c>
      <c r="AY30" s="886">
        <f>$AT30*'Input data plant-based products'!AD35</f>
        <v>1.7680886519650094E-2</v>
      </c>
      <c r="AZ30" s="877"/>
      <c r="BA30" s="879">
        <f>((SUM('Input data plant-based products'!U35:Y35)*Y30)/('Common input data'!$B$192/10^6))/$BB$3</f>
        <v>4.7536376849873156E-11</v>
      </c>
      <c r="BB30" s="877">
        <f>$BA30*'Input data plant-based products'!Z35</f>
        <v>4.7536376849873156E-11</v>
      </c>
      <c r="BC30" s="877">
        <f>$BA30*'Input data plant-based products'!AA35</f>
        <v>4.7536376849873156E-11</v>
      </c>
      <c r="BD30" s="877">
        <f>$BA30*'Input data plant-based products'!AB35</f>
        <v>4.7536376849873156E-11</v>
      </c>
      <c r="BE30" s="877">
        <f>$BA30*'Input data plant-based products'!AC35</f>
        <v>5.6732756713060218E-11</v>
      </c>
      <c r="BF30" s="886">
        <f>$BA30*'Input data plant-based products'!AD35</f>
        <v>7.0040440386494086E-11</v>
      </c>
      <c r="BG30" s="877"/>
      <c r="BH30" s="879">
        <f>'Input data plant-based products'!T35/'Input data plant-based products'!E35</f>
        <v>2.4257557626931275E-5</v>
      </c>
      <c r="BI30" s="877">
        <f>$BH30*'Input data plant-based products'!Z35</f>
        <v>2.4257557626931275E-5</v>
      </c>
      <c r="BJ30" s="877">
        <f>$BH30*'Input data plant-based products'!AA35</f>
        <v>2.4257557626931275E-5</v>
      </c>
      <c r="BK30" s="877">
        <f>$BH30*'Input data plant-based products'!AB35</f>
        <v>2.4257557626931275E-5</v>
      </c>
      <c r="BL30" s="877">
        <f>$BH30*'Input data plant-based products'!AC35</f>
        <v>2.8950420846081005E-5</v>
      </c>
      <c r="BM30" s="886">
        <f>$BH30*'Input data plant-based products'!AD35</f>
        <v>3.5741260303803708E-5</v>
      </c>
      <c r="BN30" s="877"/>
      <c r="BO30" s="879">
        <f>('Input data plant-based products'!F35/'Input data plant-based products'!E35*'Common input data'!$B$195+'Input data plant-based products'!G35/'Input data plant-based products'!E35*'Common input data'!$B$196)/'Common input data'!$B$198</f>
        <v>1.2349041842715016E-4</v>
      </c>
      <c r="BP30" s="877">
        <f>$BO30*'Input data plant-based products'!Z35</f>
        <v>1.2349041842715016E-4</v>
      </c>
      <c r="BQ30" s="877">
        <f>$BO30*'Input data plant-based products'!AA35</f>
        <v>1.2349041842715016E-4</v>
      </c>
      <c r="BR30" s="877">
        <f>$BO30*'Input data plant-based products'!AB35</f>
        <v>1.2349041842715016E-4</v>
      </c>
      <c r="BS30" s="877">
        <f>$BO30*'Input data plant-based products'!AC35</f>
        <v>1.4738085502703205E-4</v>
      </c>
      <c r="BT30" s="886">
        <f>$BO30*'Input data plant-based products'!AD35</f>
        <v>1.8195167287287904E-4</v>
      </c>
      <c r="BU30" s="877"/>
      <c r="BV30" s="879">
        <f>('Common input data'!$C$202+'Common input data'!$B$214)*'Input data plant-based products'!AC35</f>
        <v>1.1339857580459085</v>
      </c>
      <c r="BW30" s="886">
        <f>('Common input data'!$C$202+'Common input data'!$B$214)*'Input data plant-based products'!AD35</f>
        <v>1.3999824173406277</v>
      </c>
      <c r="BX30" s="406"/>
      <c r="BY30" s="406"/>
      <c r="BZ30" s="406"/>
      <c r="CA30" s="406"/>
      <c r="CB30" s="406"/>
      <c r="CC30" s="406"/>
      <c r="CD30" s="406"/>
      <c r="CE30" s="406"/>
      <c r="CF30" s="406"/>
      <c r="CG30" s="406"/>
      <c r="CH30" s="406"/>
      <c r="CI30" s="406"/>
      <c r="CJ30" s="406"/>
      <c r="CK30" s="406"/>
      <c r="CL30" s="406"/>
      <c r="CM30" s="406"/>
      <c r="CN30" s="406"/>
      <c r="CO30" s="406"/>
      <c r="CP30" s="406"/>
      <c r="CQ30" s="406"/>
      <c r="CR30" s="406"/>
      <c r="CS30" s="406"/>
      <c r="CT30" s="406"/>
      <c r="CU30" s="406"/>
      <c r="CV30" s="406"/>
      <c r="CW30" s="406"/>
      <c r="CX30" s="406"/>
      <c r="CY30" s="406"/>
      <c r="CZ30" s="406"/>
      <c r="DA30" s="406"/>
      <c r="DB30" s="406"/>
      <c r="DC30" s="406"/>
      <c r="DD30" s="406"/>
      <c r="DE30" s="406"/>
      <c r="DF30" s="406"/>
      <c r="DG30" s="406"/>
      <c r="DH30" s="406"/>
      <c r="DI30" s="406"/>
      <c r="DJ30" s="406"/>
      <c r="DK30" s="406"/>
      <c r="DL30" s="406"/>
      <c r="DM30" s="406"/>
      <c r="DN30" s="406"/>
      <c r="DO30" s="406"/>
      <c r="DP30" s="406"/>
      <c r="DQ30" s="406"/>
      <c r="DR30" s="406"/>
      <c r="DS30" s="406"/>
      <c r="DT30" s="406"/>
      <c r="DU30" s="406"/>
      <c r="DV30" s="406"/>
      <c r="DW30" s="406"/>
      <c r="DX30" s="406"/>
      <c r="DY30" s="406"/>
      <c r="DZ30" s="406"/>
      <c r="EA30" s="406"/>
      <c r="EB30" s="406"/>
      <c r="EC30" s="406"/>
      <c r="ED30" s="406"/>
      <c r="EE30" s="406"/>
      <c r="EF30" s="406"/>
      <c r="EG30" s="406"/>
      <c r="EH30" s="406"/>
      <c r="EI30" s="406"/>
      <c r="EJ30" s="406"/>
      <c r="EK30" s="406"/>
      <c r="EL30" s="406"/>
      <c r="EM30" s="406"/>
      <c r="EN30" s="406"/>
      <c r="EO30" s="406"/>
      <c r="EP30" s="406"/>
      <c r="EQ30" s="406"/>
      <c r="ER30" s="406"/>
      <c r="ES30" s="406"/>
      <c r="ET30" s="406"/>
      <c r="EU30" s="406"/>
      <c r="EV30" s="406"/>
      <c r="EW30" s="406"/>
      <c r="EX30" s="406"/>
      <c r="EY30" s="406"/>
      <c r="EZ30" s="406"/>
      <c r="FA30" s="406"/>
      <c r="FB30" s="406"/>
      <c r="FC30" s="406"/>
      <c r="FD30" s="406"/>
      <c r="FE30" s="406"/>
      <c r="FF30" s="406"/>
      <c r="FG30" s="406"/>
      <c r="FH30" s="406"/>
      <c r="FI30" s="406"/>
      <c r="FJ30" s="406"/>
      <c r="FK30" s="406"/>
      <c r="FL30" s="406"/>
      <c r="FM30" s="406"/>
      <c r="FN30" s="406"/>
      <c r="FO30" s="406"/>
      <c r="FP30" s="406"/>
      <c r="FQ30" s="406"/>
      <c r="FR30" s="406"/>
      <c r="FS30" s="406"/>
      <c r="FT30" s="406"/>
      <c r="FU30" s="406"/>
      <c r="FV30" s="406"/>
      <c r="FW30" s="406"/>
      <c r="FX30" s="406"/>
      <c r="FY30" s="406"/>
      <c r="FZ30" s="406"/>
      <c r="GA30" s="406"/>
      <c r="GB30" s="406"/>
      <c r="GC30" s="406"/>
      <c r="GD30" s="406"/>
      <c r="GE30" s="406"/>
      <c r="GF30" s="406"/>
      <c r="GG30" s="406"/>
      <c r="GH30" s="406"/>
      <c r="GI30" s="406"/>
      <c r="GJ30" s="406"/>
      <c r="GK30" s="406"/>
      <c r="GL30" s="406"/>
      <c r="GM30" s="406"/>
      <c r="GN30" s="406"/>
      <c r="GO30" s="406"/>
      <c r="GP30" s="406"/>
      <c r="GQ30" s="406"/>
      <c r="GR30" s="406"/>
      <c r="GS30" s="406"/>
      <c r="GT30" s="406"/>
      <c r="GU30" s="406"/>
      <c r="GV30" s="406"/>
      <c r="GW30" s="406"/>
      <c r="GX30" s="406"/>
      <c r="GY30" s="406"/>
      <c r="GZ30" s="406"/>
      <c r="HA30" s="406"/>
      <c r="HB30" s="406"/>
      <c r="HC30" s="406"/>
      <c r="HD30" s="406"/>
      <c r="HE30" s="406"/>
      <c r="HF30" s="406"/>
      <c r="HG30" s="406"/>
      <c r="HH30" s="406"/>
      <c r="HI30" s="406"/>
      <c r="HJ30" s="406"/>
      <c r="HK30" s="406"/>
      <c r="HL30" s="406"/>
      <c r="HM30" s="406"/>
      <c r="HN30" s="406"/>
      <c r="HO30" s="406"/>
      <c r="HP30" s="406"/>
      <c r="HQ30" s="406"/>
      <c r="HR30" s="406"/>
      <c r="HS30" s="406"/>
      <c r="HT30" s="406"/>
      <c r="HU30" s="406"/>
      <c r="HV30" s="406"/>
      <c r="HW30" s="406"/>
      <c r="HX30" s="406"/>
      <c r="HY30" s="406"/>
      <c r="HZ30" s="406"/>
      <c r="IA30" s="406"/>
      <c r="IB30" s="406"/>
      <c r="IC30" s="406"/>
      <c r="ID30" s="406"/>
      <c r="IE30" s="406"/>
      <c r="IF30" s="406"/>
      <c r="IG30" s="406"/>
      <c r="IH30" s="406"/>
      <c r="II30" s="406"/>
      <c r="IJ30" s="406"/>
      <c r="IK30" s="406"/>
      <c r="IL30" s="406"/>
      <c r="IM30" s="406"/>
      <c r="IN30" s="406"/>
      <c r="IO30" s="406"/>
      <c r="IP30" s="406"/>
      <c r="IQ30" s="406"/>
      <c r="IR30" s="406"/>
      <c r="IS30" s="406"/>
    </row>
    <row r="31" spans="1:253" s="406" customFormat="1" ht="17.25">
      <c r="A31" s="68"/>
      <c r="B31"/>
      <c r="C31" s="917"/>
      <c r="D31" s="5"/>
      <c r="E31" s="1294" t="s">
        <v>317</v>
      </c>
      <c r="F31" s="877">
        <f>IF(AND($G$2="No",$G$3="No"),SUM(K31:L31),IF(AND($G$2="Yes", $G$3="No"), SUM(K31:L31)+S31, IF(AND($G$2="No", $G$3="Yes"),SUM(K31:L31)+R31, SUM(K31:L31)+S31+R31)))</f>
        <v>0</v>
      </c>
      <c r="G31" s="877">
        <f>IF(AND($G$2="No",$G$3="No"),SUM(I31:Q31),IF(AND($G$2="Yes", $G$3="No"), SUM(I31:Q31)+S31, IF(AND($G$2="No", $G$3="Yes"),SUM(I31:Q31)+R31, SUM(I31:Q31)+S31+R31)))</f>
        <v>0.63556916258594376</v>
      </c>
      <c r="H31" s="878">
        <f>SUM(U31:W31)/(1-'Common input data'!$B$140)</f>
        <v>1.0926950263586872</v>
      </c>
      <c r="I31" s="877">
        <f>('Input data plant-based products'!$F$35*('Common input data'!$C$93*'Common input data'!B86+'Common input data'!$C$94*'Common input data'!C86))/'Input data plant-based products'!$E$35</f>
        <v>1.8208787945630408E-2</v>
      </c>
      <c r="J31" s="877">
        <f>'Common input data'!$B$98</f>
        <v>0.03</v>
      </c>
      <c r="K31" s="877">
        <v>0</v>
      </c>
      <c r="L31" s="877">
        <v>0</v>
      </c>
      <c r="M31" s="877"/>
      <c r="N31" s="877">
        <v>0</v>
      </c>
      <c r="O31" s="877">
        <f>AVERAGE(O15,O19,O23)</f>
        <v>0.58056259686253553</v>
      </c>
      <c r="P31" s="877">
        <f>AVERAGE(P15,P19,P23)</f>
        <v>6.7977777777777785E-3</v>
      </c>
      <c r="Q31" s="877">
        <v>0</v>
      </c>
      <c r="R31" s="877">
        <v>0</v>
      </c>
      <c r="S31" s="877">
        <v>0</v>
      </c>
      <c r="T31" s="877">
        <v>0</v>
      </c>
      <c r="U31" s="877">
        <f>(G31+T31)</f>
        <v>0.63556916258594376</v>
      </c>
      <c r="V31" s="877">
        <f>'Common input data'!$B$105</f>
        <v>0.05</v>
      </c>
      <c r="W31" s="877">
        <f>'Common input data'!B119+'Common input data'!C119</f>
        <v>0.23000000000000004</v>
      </c>
      <c r="X31" s="864"/>
      <c r="Y31" s="879"/>
      <c r="Z31" s="877"/>
      <c r="AA31" s="877"/>
      <c r="AB31" s="877"/>
      <c r="AC31" s="877"/>
      <c r="AD31" s="886"/>
      <c r="AE31" s="877"/>
      <c r="AF31" s="879"/>
      <c r="AG31" s="877"/>
      <c r="AH31" s="877"/>
      <c r="AI31" s="877"/>
      <c r="AJ31" s="877"/>
      <c r="AK31" s="886"/>
      <c r="AL31" s="877"/>
      <c r="AM31" s="879"/>
      <c r="AN31" s="877"/>
      <c r="AO31" s="877"/>
      <c r="AP31" s="877"/>
      <c r="AQ31" s="877"/>
      <c r="AR31" s="886"/>
      <c r="AS31" s="877"/>
      <c r="AT31" s="879"/>
      <c r="AU31" s="877"/>
      <c r="AV31" s="877"/>
      <c r="AW31" s="877"/>
      <c r="AX31" s="877"/>
      <c r="AY31" s="886"/>
      <c r="AZ31" s="877"/>
      <c r="BA31" s="879"/>
      <c r="BB31" s="877"/>
      <c r="BC31" s="877"/>
      <c r="BD31" s="877"/>
      <c r="BE31" s="877"/>
      <c r="BF31" s="886"/>
      <c r="BG31" s="877"/>
      <c r="BH31" s="879"/>
      <c r="BI31" s="877"/>
      <c r="BJ31" s="877"/>
      <c r="BK31" s="877"/>
      <c r="BL31" s="877"/>
      <c r="BM31" s="886"/>
      <c r="BN31" s="877"/>
      <c r="BO31" s="879"/>
      <c r="BP31" s="877"/>
      <c r="BQ31" s="877"/>
      <c r="BR31" s="877"/>
      <c r="BS31" s="877"/>
      <c r="BT31" s="886"/>
      <c r="BU31" s="877"/>
      <c r="BV31" s="879"/>
      <c r="BW31" s="886"/>
    </row>
    <row r="32" spans="1:253" s="406" customFormat="1" ht="17.25">
      <c r="A32" s="18"/>
      <c r="B32" s="23"/>
      <c r="C32" s="595"/>
      <c r="D32" s="50"/>
      <c r="E32" s="1294" t="s">
        <v>367</v>
      </c>
      <c r="F32" s="877">
        <f>SUM(K32:L32)</f>
        <v>0</v>
      </c>
      <c r="G32" s="877">
        <f>SUM(I32:Q32)</f>
        <v>2.2199979500480359E-3</v>
      </c>
      <c r="H32" s="878">
        <f>SUM(U32:W32)/(1-'Common input data'!$B$140)</f>
        <v>2.6494783984342238E-3</v>
      </c>
      <c r="I32" s="877">
        <f>('Input data plant-based products'!$F$35*('Common input data'!$C$93*'Common input data'!B87+'Common input data'!$C$94*'Common input data'!C87))/'Input data plant-based products'!$E$35</f>
        <v>3.3403117616814134E-5</v>
      </c>
      <c r="J32" s="877">
        <v>0</v>
      </c>
      <c r="K32" s="877">
        <v>0</v>
      </c>
      <c r="L32" s="877">
        <v>0</v>
      </c>
      <c r="M32" s="877"/>
      <c r="N32" s="877">
        <v>0</v>
      </c>
      <c r="O32" s="877">
        <f>AVERAGE(O16,O20,O24)</f>
        <v>2.1865948324312216E-3</v>
      </c>
      <c r="P32" s="877">
        <v>0</v>
      </c>
      <c r="Q32" s="877">
        <v>0</v>
      </c>
      <c r="R32" s="877">
        <v>0</v>
      </c>
      <c r="S32" s="877">
        <v>0</v>
      </c>
      <c r="T32" s="877">
        <v>0</v>
      </c>
      <c r="U32" s="877">
        <f>(G32+T32)</f>
        <v>2.2199979500480359E-3</v>
      </c>
      <c r="V32" s="877">
        <v>0</v>
      </c>
      <c r="W32" s="877">
        <v>0</v>
      </c>
      <c r="X32" s="864"/>
      <c r="Y32" s="879"/>
      <c r="Z32" s="877"/>
      <c r="AA32" s="877"/>
      <c r="AB32" s="877"/>
      <c r="AC32" s="877"/>
      <c r="AD32" s="886"/>
      <c r="AE32" s="877"/>
      <c r="AF32" s="879"/>
      <c r="AG32" s="877"/>
      <c r="AH32" s="877"/>
      <c r="AI32" s="877"/>
      <c r="AJ32" s="877"/>
      <c r="AK32" s="886"/>
      <c r="AL32" s="877"/>
      <c r="AM32" s="879"/>
      <c r="AN32" s="877"/>
      <c r="AO32" s="877"/>
      <c r="AP32" s="877"/>
      <c r="AQ32" s="877"/>
      <c r="AR32" s="886"/>
      <c r="AS32" s="877"/>
      <c r="AT32" s="879"/>
      <c r="AU32" s="877"/>
      <c r="AV32" s="877"/>
      <c r="AW32" s="877"/>
      <c r="AX32" s="877"/>
      <c r="AY32" s="886"/>
      <c r="AZ32" s="877"/>
      <c r="BA32" s="879"/>
      <c r="BB32" s="877"/>
      <c r="BC32" s="877"/>
      <c r="BD32" s="877"/>
      <c r="BE32" s="877"/>
      <c r="BF32" s="886"/>
      <c r="BG32" s="877"/>
      <c r="BH32" s="879"/>
      <c r="BI32" s="877"/>
      <c r="BJ32" s="877"/>
      <c r="BK32" s="877"/>
      <c r="BL32" s="877"/>
      <c r="BM32" s="886"/>
      <c r="BN32" s="877"/>
      <c r="BO32" s="879"/>
      <c r="BP32" s="877"/>
      <c r="BQ32" s="877"/>
      <c r="BR32" s="877"/>
      <c r="BS32" s="877"/>
      <c r="BT32" s="886"/>
      <c r="BU32" s="877"/>
      <c r="BV32" s="879"/>
      <c r="BW32" s="886"/>
    </row>
    <row r="33" spans="1:253" s="406" customFormat="1" ht="17.25">
      <c r="A33" s="359"/>
      <c r="B33"/>
      <c r="C33" s="83"/>
      <c r="D33" s="54"/>
      <c r="E33" s="1295" t="s">
        <v>320</v>
      </c>
      <c r="F33" s="877">
        <f>SUM(K33:L33)</f>
        <v>7.7862000000000062E-5</v>
      </c>
      <c r="G33" s="877">
        <f>SUM(I33:Q33)</f>
        <v>1.4110303091044611E-4</v>
      </c>
      <c r="H33" s="878">
        <f>SUM(U33:W33)/(1-'Common input data'!$B$140)</f>
        <v>1.6840080070467373E-4</v>
      </c>
      <c r="I33" s="877">
        <f>('Input data plant-based products'!$F$35*('Common input data'!$C$93*'Common input data'!B88+'Common input data'!$C$94*'Common input data'!C88))/'Input data plant-based products'!$E$35</f>
        <v>4.0008078047710087E-5</v>
      </c>
      <c r="J33" s="877">
        <v>0</v>
      </c>
      <c r="K33" s="877">
        <f>(SUM('Input data plant-based products'!F35:H35)*'Input data plant-based products'!$B$257*44/28)/'Input data plant-based products'!E35</f>
        <v>7.6000000000000058E-5</v>
      </c>
      <c r="L33" s="877">
        <f>K33*'Input data plant-based products'!$B$261*(1-AVERAGE('Input data plant-based products'!M295:M300))</f>
        <v>1.8620000000000022E-6</v>
      </c>
      <c r="M33" s="877"/>
      <c r="N33" s="877">
        <v>0</v>
      </c>
      <c r="O33" s="877">
        <f>AVERAGE(O17,O21,O25)</f>
        <v>2.3232952862735964E-5</v>
      </c>
      <c r="P33" s="877">
        <v>0</v>
      </c>
      <c r="Q33" s="877">
        <v>0</v>
      </c>
      <c r="R33" s="877">
        <v>0</v>
      </c>
      <c r="S33" s="877">
        <v>0</v>
      </c>
      <c r="T33" s="877">
        <v>0</v>
      </c>
      <c r="U33" s="877">
        <f>(G33+T33)</f>
        <v>1.4110303091044611E-4</v>
      </c>
      <c r="V33" s="877">
        <v>0</v>
      </c>
      <c r="W33" s="877">
        <v>0</v>
      </c>
      <c r="X33" s="864"/>
      <c r="Y33" s="879"/>
      <c r="Z33" s="877"/>
      <c r="AA33" s="877"/>
      <c r="AB33" s="877"/>
      <c r="AC33" s="877"/>
      <c r="AD33" s="886"/>
      <c r="AE33" s="877"/>
      <c r="AF33" s="879"/>
      <c r="AG33" s="877"/>
      <c r="AH33" s="877"/>
      <c r="AI33" s="877"/>
      <c r="AJ33" s="877"/>
      <c r="AK33" s="886"/>
      <c r="AL33" s="877"/>
      <c r="AM33" s="879"/>
      <c r="AN33" s="877"/>
      <c r="AO33" s="877"/>
      <c r="AP33" s="877"/>
      <c r="AQ33" s="877"/>
      <c r="AR33" s="886"/>
      <c r="AS33" s="877"/>
      <c r="AT33" s="879"/>
      <c r="AU33" s="877"/>
      <c r="AV33" s="877"/>
      <c r="AW33" s="877"/>
      <c r="AX33" s="877"/>
      <c r="AY33" s="886"/>
      <c r="AZ33" s="877"/>
      <c r="BA33" s="879"/>
      <c r="BB33" s="877"/>
      <c r="BC33" s="877"/>
      <c r="BD33" s="877"/>
      <c r="BE33" s="877"/>
      <c r="BF33" s="886"/>
      <c r="BG33" s="877"/>
      <c r="BH33" s="879"/>
      <c r="BI33" s="877"/>
      <c r="BJ33" s="877"/>
      <c r="BK33" s="877"/>
      <c r="BL33" s="877"/>
      <c r="BM33" s="886"/>
      <c r="BN33" s="877"/>
      <c r="BO33" s="879"/>
      <c r="BP33" s="877"/>
      <c r="BQ33" s="877"/>
      <c r="BR33" s="877"/>
      <c r="BS33" s="877"/>
      <c r="BT33" s="886"/>
      <c r="BU33" s="877"/>
      <c r="BV33" s="879"/>
      <c r="BW33" s="886"/>
    </row>
    <row r="34" spans="1:253" s="502" customFormat="1" ht="17.25">
      <c r="A34" s="20" t="s">
        <v>125</v>
      </c>
      <c r="B34" s="164" t="s">
        <v>121</v>
      </c>
      <c r="C34" s="904">
        <f>'Input data plant-based products'!D36</f>
        <v>0.1</v>
      </c>
      <c r="D34" s="17"/>
      <c r="E34" s="1293" t="s">
        <v>316</v>
      </c>
      <c r="F34" s="872">
        <f>SUMPRODUCT($CE$14:$CE$16,F35:F37)</f>
        <v>5.1639322374457106E-2</v>
      </c>
      <c r="G34" s="872">
        <f>SUMPRODUCT($CE$14:$CE$16,G35:G37)</f>
        <v>0.11954155759101522</v>
      </c>
      <c r="H34" s="873">
        <f>SUMPRODUCT($CE$14:$CE$16,H35:H37)</f>
        <v>0.47683680342644136</v>
      </c>
      <c r="I34" s="888"/>
      <c r="J34" s="888"/>
      <c r="K34" s="888"/>
      <c r="L34" s="888"/>
      <c r="M34" s="888"/>
      <c r="N34" s="888"/>
      <c r="O34" s="888"/>
      <c r="P34" s="888"/>
      <c r="Q34" s="888"/>
      <c r="R34" s="888"/>
      <c r="S34" s="888"/>
      <c r="T34" s="888"/>
      <c r="U34" s="888"/>
      <c r="V34" s="888"/>
      <c r="W34" s="888"/>
      <c r="X34" s="864"/>
      <c r="Y34" s="879">
        <f>1/'Input data plant-based products'!E36*10^4</f>
        <v>0.20992667681032368</v>
      </c>
      <c r="Z34" s="877">
        <f>$Y34*'Input data plant-based products'!Z36</f>
        <v>0.20992667681032368</v>
      </c>
      <c r="AA34" s="877">
        <f>$Y34*'Input data plant-based products'!AA36</f>
        <v>0.20992667681032368</v>
      </c>
      <c r="AB34" s="877">
        <f>$Y34*'Input data plant-based products'!AB36</f>
        <v>0.20992667681032368</v>
      </c>
      <c r="AC34" s="877">
        <f>$Y34*'Input data plant-based products'!AC36</f>
        <v>0.25053905813381511</v>
      </c>
      <c r="AD34" s="886">
        <f>$Y34*'Input data plant-based products'!AD36</f>
        <v>0.30930747917754947</v>
      </c>
      <c r="AE34" s="877"/>
      <c r="AF34" s="879">
        <f>SUM('Input data plant-based products'!F36,'Input data plant-based products'!Q36)/'Input data plant-based products'!E36</f>
        <v>1.5937085000000001E-3</v>
      </c>
      <c r="AG34" s="877">
        <f>$AF34*'Input data plant-based products'!Z36</f>
        <v>1.5937085000000001E-3</v>
      </c>
      <c r="AH34" s="877">
        <f>$AF34*'Input data plant-based products'!AA36</f>
        <v>1.5937085000000001E-3</v>
      </c>
      <c r="AI34" s="877">
        <f>$AF34*'Input data plant-based products'!AB36</f>
        <v>1.5937085000000001E-3</v>
      </c>
      <c r="AJ34" s="877">
        <f>$AF34*'Input data plant-based products'!AC36</f>
        <v>1.9020270915383697E-3</v>
      </c>
      <c r="AK34" s="886">
        <f>$AF34*'Input data plant-based products'!AD36</f>
        <v>2.3481815944918142E-3</v>
      </c>
      <c r="AL34" s="877"/>
      <c r="AM34" s="879">
        <f>'Input data plant-based products'!R36/'Input data plant-based products'!E36</f>
        <v>9.789E-4</v>
      </c>
      <c r="AN34" s="877">
        <f>$AM34*'Input data plant-based products'!Z36</f>
        <v>9.789E-4</v>
      </c>
      <c r="AO34" s="877">
        <f>$AM34*'Input data plant-based products'!AA36</f>
        <v>9.789E-4</v>
      </c>
      <c r="AP34" s="877">
        <f>$AM34*'Input data plant-based products'!AB36</f>
        <v>9.789E-4</v>
      </c>
      <c r="AQ34" s="877">
        <f>$AM34*'Input data plant-based products'!AC36</f>
        <v>1.1682778374507697E-3</v>
      </c>
      <c r="AR34" s="886">
        <f>$AM34*'Input data plant-based products'!AD36</f>
        <v>1.4423183178404564E-3</v>
      </c>
      <c r="AS34" s="877"/>
      <c r="AT34" s="879">
        <f>'Input data plant-based products'!S36</f>
        <v>1.2E-2</v>
      </c>
      <c r="AU34" s="877">
        <f>$AT34*'Input data plant-based products'!Z36</f>
        <v>1.2E-2</v>
      </c>
      <c r="AV34" s="877">
        <f>$AT34*'Input data plant-based products'!AA36</f>
        <v>1.2E-2</v>
      </c>
      <c r="AW34" s="877">
        <f>$AT34*'Input data plant-based products'!AB36</f>
        <v>1.2E-2</v>
      </c>
      <c r="AX34" s="877">
        <f>$AT34*'Input data plant-based products'!AC36</f>
        <v>1.4321518080916577E-2</v>
      </c>
      <c r="AY34" s="886">
        <f>$AT34*'Input data plant-based products'!AD36</f>
        <v>1.7680886519650094E-2</v>
      </c>
      <c r="AZ34" s="877"/>
      <c r="BA34" s="879">
        <f>((SUM('Input data plant-based products'!U36:Y36)*Y34)/('Common input data'!$B$192/10^6))/$BB$3</f>
        <v>1.7936311005018279E-10</v>
      </c>
      <c r="BB34" s="877">
        <f>$BA34*'Input data plant-based products'!Z36</f>
        <v>1.7936311005018279E-10</v>
      </c>
      <c r="BC34" s="877">
        <f>$BA34*'Input data plant-based products'!AA36</f>
        <v>1.7936311005018279E-10</v>
      </c>
      <c r="BD34" s="877">
        <f>$BA34*'Input data plant-based products'!AB36</f>
        <v>1.7936311005018279E-10</v>
      </c>
      <c r="BE34" s="877">
        <f>$BA34*'Input data plant-based products'!AC36</f>
        <v>2.1406266863609354E-10</v>
      </c>
      <c r="BF34" s="886">
        <f>$BA34*'Input data plant-based products'!AD36</f>
        <v>2.6427489955073274E-10</v>
      </c>
      <c r="BG34" s="877"/>
      <c r="BH34" s="879">
        <f>'Input data plant-based products'!T36/'Input data plant-based products'!E36</f>
        <v>9.1528031089301132E-5</v>
      </c>
      <c r="BI34" s="877">
        <f>$BH34*'Input data plant-based products'!Z36</f>
        <v>9.1528031089301132E-5</v>
      </c>
      <c r="BJ34" s="877">
        <f>$BH34*'Input data plant-based products'!AA36</f>
        <v>9.1528031089301132E-5</v>
      </c>
      <c r="BK34" s="877">
        <f>$BH34*'Input data plant-based products'!AB36</f>
        <v>9.1528031089301132E-5</v>
      </c>
      <c r="BL34" s="877">
        <f>$BH34*'Input data plant-based products'!AC36</f>
        <v>1.092350293463434E-4</v>
      </c>
      <c r="BM34" s="886">
        <f>$BH34*'Input data plant-based products'!AD36</f>
        <v>1.3485806092141159E-4</v>
      </c>
      <c r="BN34" s="877"/>
      <c r="BO34" s="879">
        <f>('Input data plant-based products'!F36/'Input data plant-based products'!E36*'Common input data'!$B$195+'Input data plant-based products'!G36/'Input data plant-based products'!E36*'Common input data'!$B$196)/'Common input data'!$B$198</f>
        <v>4.0693327531484259E-5</v>
      </c>
      <c r="BP34" s="877">
        <f>$BO34*'Input data plant-based products'!Z36</f>
        <v>4.0693327531484259E-5</v>
      </c>
      <c r="BQ34" s="877">
        <f>$BO34*'Input data plant-based products'!AA36</f>
        <v>4.0693327531484259E-5</v>
      </c>
      <c r="BR34" s="877">
        <f>$BO34*'Input data plant-based products'!AB36</f>
        <v>4.0693327531484259E-5</v>
      </c>
      <c r="BS34" s="877">
        <f>$BO34*'Input data plant-based products'!AC36</f>
        <v>4.8565852167901009E-5</v>
      </c>
      <c r="BT34" s="886">
        <f>$BO34*'Input data plant-based products'!AD36</f>
        <v>5.9957842182593834E-5</v>
      </c>
      <c r="BU34" s="877"/>
      <c r="BV34" s="879">
        <f>('Common input data'!$C$202+'Common input data'!$B$214)*'Input data plant-based products'!AC36</f>
        <v>1.1339857580459085</v>
      </c>
      <c r="BW34" s="886">
        <f>('Common input data'!$C$202+'Common input data'!$B$214)*'Input data plant-based products'!AD36</f>
        <v>1.3999824173406277</v>
      </c>
      <c r="BX34" s="406"/>
      <c r="BY34" s="406"/>
      <c r="BZ34" s="406"/>
      <c r="CA34" s="406"/>
      <c r="CB34" s="406"/>
      <c r="CC34" s="406"/>
      <c r="CD34" s="406"/>
      <c r="CE34" s="406"/>
      <c r="CF34" s="406"/>
      <c r="CG34" s="406"/>
      <c r="CH34" s="406"/>
      <c r="CI34" s="406"/>
      <c r="CJ34" s="406"/>
      <c r="CK34" s="406"/>
      <c r="CL34" s="406"/>
      <c r="CM34" s="406"/>
      <c r="CN34" s="406"/>
      <c r="CO34" s="406"/>
      <c r="CP34" s="406"/>
      <c r="CQ34" s="406"/>
      <c r="CR34" s="406"/>
      <c r="CS34" s="406"/>
      <c r="CT34" s="406"/>
      <c r="CU34" s="406"/>
      <c r="CV34" s="406"/>
      <c r="CW34" s="406"/>
      <c r="CX34" s="406"/>
      <c r="CY34" s="406"/>
      <c r="CZ34" s="406"/>
      <c r="DA34" s="406"/>
      <c r="DB34" s="406"/>
      <c r="DC34" s="406"/>
      <c r="DD34" s="406"/>
      <c r="DE34" s="406"/>
      <c r="DF34" s="406"/>
      <c r="DG34" s="406"/>
      <c r="DH34" s="406"/>
      <c r="DI34" s="406"/>
      <c r="DJ34" s="406"/>
      <c r="DK34" s="406"/>
      <c r="DL34" s="406"/>
      <c r="DM34" s="406"/>
      <c r="DN34" s="406"/>
      <c r="DO34" s="406"/>
      <c r="DP34" s="406"/>
      <c r="DQ34" s="406"/>
      <c r="DR34" s="406"/>
      <c r="DS34" s="406"/>
      <c r="DT34" s="406"/>
      <c r="DU34" s="406"/>
      <c r="DV34" s="406"/>
      <c r="DW34" s="406"/>
      <c r="DX34" s="406"/>
      <c r="DY34" s="406"/>
      <c r="DZ34" s="406"/>
      <c r="EA34" s="406"/>
      <c r="EB34" s="406"/>
      <c r="EC34" s="406"/>
      <c r="ED34" s="406"/>
      <c r="EE34" s="406"/>
      <c r="EF34" s="406"/>
      <c r="EG34" s="406"/>
      <c r="EH34" s="406"/>
      <c r="EI34" s="406"/>
      <c r="EJ34" s="406"/>
      <c r="EK34" s="406"/>
      <c r="EL34" s="406"/>
      <c r="EM34" s="406"/>
      <c r="EN34" s="406"/>
      <c r="EO34" s="406"/>
      <c r="EP34" s="406"/>
      <c r="EQ34" s="406"/>
      <c r="ER34" s="406"/>
      <c r="ES34" s="406"/>
      <c r="ET34" s="406"/>
      <c r="EU34" s="406"/>
      <c r="EV34" s="406"/>
      <c r="EW34" s="406"/>
      <c r="EX34" s="406"/>
      <c r="EY34" s="406"/>
      <c r="EZ34" s="406"/>
      <c r="FA34" s="406"/>
      <c r="FB34" s="406"/>
      <c r="FC34" s="406"/>
      <c r="FD34" s="406"/>
      <c r="FE34" s="406"/>
      <c r="FF34" s="406"/>
      <c r="FG34" s="406"/>
      <c r="FH34" s="406"/>
      <c r="FI34" s="406"/>
      <c r="FJ34" s="406"/>
      <c r="FK34" s="406"/>
      <c r="FL34" s="406"/>
      <c r="FM34" s="406"/>
      <c r="FN34" s="406"/>
      <c r="FO34" s="406"/>
      <c r="FP34" s="406"/>
      <c r="FQ34" s="406"/>
      <c r="FR34" s="406"/>
      <c r="FS34" s="406"/>
      <c r="FT34" s="406"/>
      <c r="FU34" s="406"/>
      <c r="FV34" s="406"/>
      <c r="FW34" s="406"/>
      <c r="FX34" s="406"/>
      <c r="FY34" s="406"/>
      <c r="FZ34" s="406"/>
      <c r="GA34" s="406"/>
      <c r="GB34" s="406"/>
      <c r="GC34" s="406"/>
      <c r="GD34" s="406"/>
      <c r="GE34" s="406"/>
      <c r="GF34" s="406"/>
      <c r="GG34" s="406"/>
      <c r="GH34" s="406"/>
      <c r="GI34" s="406"/>
      <c r="GJ34" s="406"/>
      <c r="GK34" s="406"/>
      <c r="GL34" s="406"/>
      <c r="GM34" s="406"/>
      <c r="GN34" s="406"/>
      <c r="GO34" s="406"/>
      <c r="GP34" s="406"/>
      <c r="GQ34" s="406"/>
      <c r="GR34" s="406"/>
      <c r="GS34" s="406"/>
      <c r="GT34" s="406"/>
      <c r="GU34" s="406"/>
      <c r="GV34" s="406"/>
      <c r="GW34" s="406"/>
      <c r="GX34" s="406"/>
      <c r="GY34" s="406"/>
      <c r="GZ34" s="406"/>
      <c r="HA34" s="406"/>
      <c r="HB34" s="406"/>
      <c r="HC34" s="406"/>
      <c r="HD34" s="406"/>
      <c r="HE34" s="406"/>
      <c r="HF34" s="406"/>
      <c r="HG34" s="406"/>
      <c r="HH34" s="406"/>
      <c r="HI34" s="406"/>
      <c r="HJ34" s="406"/>
      <c r="HK34" s="406"/>
      <c r="HL34" s="406"/>
      <c r="HM34" s="406"/>
      <c r="HN34" s="406"/>
      <c r="HO34" s="406"/>
      <c r="HP34" s="406"/>
      <c r="HQ34" s="406"/>
      <c r="HR34" s="406"/>
      <c r="HS34" s="406"/>
      <c r="HT34" s="406"/>
      <c r="HU34" s="406"/>
      <c r="HV34" s="406"/>
      <c r="HW34" s="406"/>
      <c r="HX34" s="406"/>
      <c r="HY34" s="406"/>
      <c r="HZ34" s="406"/>
      <c r="IA34" s="406"/>
      <c r="IB34" s="406"/>
      <c r="IC34" s="406"/>
      <c r="ID34" s="406"/>
      <c r="IE34" s="406"/>
      <c r="IF34" s="406"/>
      <c r="IG34" s="406"/>
      <c r="IH34" s="406"/>
      <c r="II34" s="406"/>
      <c r="IJ34" s="406"/>
      <c r="IK34" s="406"/>
      <c r="IL34" s="406"/>
      <c r="IM34" s="406"/>
      <c r="IN34" s="406"/>
      <c r="IO34" s="406"/>
      <c r="IP34" s="406"/>
      <c r="IQ34" s="406"/>
      <c r="IR34" s="406"/>
      <c r="IS34" s="406"/>
    </row>
    <row r="35" spans="1:253" s="406" customFormat="1" ht="17.25">
      <c r="A35" s="68"/>
      <c r="B35" s="55"/>
      <c r="C35" s="917"/>
      <c r="D35" s="5"/>
      <c r="E35" s="1294" t="s">
        <v>317</v>
      </c>
      <c r="F35" s="877">
        <f>IF(AND($G$2="No",$G$3="No"),SUM(K35:L35),IF(AND($G$2="Yes", $G$3="No"), SUM(K35:L35)+S35, IF(AND($G$2="No", $G$3="Yes"),SUM(K35:L35)+R35, SUM(K35:L35)+S35+R35)))</f>
        <v>3.9989486962957101E-2</v>
      </c>
      <c r="G35" s="877">
        <f>IF(AND($G$2="No",$G$3="No"),SUM(I35:Q35),IF(AND($G$2="Yes", $G$3="No"), SUM(I35:Q35)+S35, IF(AND($G$2="No", $G$3="Yes"),SUM(I35:Q35)+R35, SUM(I35:Q35)+S35+R35)))</f>
        <v>0.10384382523684965</v>
      </c>
      <c r="H35" s="878">
        <f>SUM(U35:W35)/(1-'Common input data'!$B$140)</f>
        <v>0.45810219028147714</v>
      </c>
      <c r="I35" s="877">
        <f>('Input data plant-based products'!$F$36*('Common input data'!$C$93*'Common input data'!B86+'Common input data'!$C$94*'Common input data'!C86))/'Input data plant-based products'!$E$36</f>
        <v>6.000272581957438E-3</v>
      </c>
      <c r="J35" s="877">
        <f>'Common input data'!$B$98</f>
        <v>0.03</v>
      </c>
      <c r="K35" s="877">
        <v>0</v>
      </c>
      <c r="L35" s="877">
        <v>0</v>
      </c>
      <c r="M35" s="877"/>
      <c r="N35" s="877">
        <f>('Input data plant-based products'!$P$36*'Common input data'!$C$76*'Common input data'!H66)/'Input data plant-based products'!$E$36</f>
        <v>7.8540656919351207E-3</v>
      </c>
      <c r="O35" s="877">
        <v>0</v>
      </c>
      <c r="P35" s="877">
        <f>'Input data plant-based products'!G$309</f>
        <v>0.02</v>
      </c>
      <c r="Q35" s="877">
        <v>0</v>
      </c>
      <c r="R35" s="877">
        <f>'Common input data'!E$19</f>
        <v>3.9989486962957101E-2</v>
      </c>
      <c r="S35" s="877">
        <v>0</v>
      </c>
      <c r="T35" s="877">
        <v>0</v>
      </c>
      <c r="U35" s="877">
        <f>(G35+T35)</f>
        <v>0.10384382523684965</v>
      </c>
      <c r="V35" s="877">
        <f>'Common input data'!$B$105</f>
        <v>0.05</v>
      </c>
      <c r="W35" s="877">
        <f>'Common input data'!B119+'Common input data'!C119</f>
        <v>0.23000000000000004</v>
      </c>
      <c r="X35" s="864"/>
      <c r="Y35" s="879"/>
      <c r="Z35" s="877"/>
      <c r="AA35" s="877"/>
      <c r="AB35" s="877"/>
      <c r="AC35" s="877"/>
      <c r="AD35" s="886"/>
      <c r="AE35" s="877"/>
      <c r="AF35" s="879"/>
      <c r="AG35" s="877"/>
      <c r="AH35" s="877"/>
      <c r="AI35" s="877"/>
      <c r="AJ35" s="877"/>
      <c r="AK35" s="886"/>
      <c r="AL35" s="877"/>
      <c r="AM35" s="879"/>
      <c r="AN35" s="877"/>
      <c r="AO35" s="877"/>
      <c r="AP35" s="877"/>
      <c r="AQ35" s="877"/>
      <c r="AR35" s="886"/>
      <c r="AS35" s="877"/>
      <c r="AT35" s="879"/>
      <c r="AU35" s="877"/>
      <c r="AV35" s="877"/>
      <c r="AW35" s="877"/>
      <c r="AX35" s="877"/>
      <c r="AY35" s="886"/>
      <c r="AZ35" s="877"/>
      <c r="BA35" s="879"/>
      <c r="BB35" s="877"/>
      <c r="BC35" s="877"/>
      <c r="BD35" s="877"/>
      <c r="BE35" s="877"/>
      <c r="BF35" s="886"/>
      <c r="BG35" s="877"/>
      <c r="BH35" s="879"/>
      <c r="BI35" s="877"/>
      <c r="BJ35" s="877"/>
      <c r="BK35" s="877"/>
      <c r="BL35" s="877"/>
      <c r="BM35" s="886"/>
      <c r="BN35" s="877"/>
      <c r="BO35" s="879"/>
      <c r="BP35" s="877"/>
      <c r="BQ35" s="877"/>
      <c r="BR35" s="877"/>
      <c r="BS35" s="877"/>
      <c r="BT35" s="886"/>
      <c r="BU35" s="877"/>
      <c r="BV35" s="879"/>
      <c r="BW35" s="886"/>
    </row>
    <row r="36" spans="1:253" s="406" customFormat="1" ht="17.25">
      <c r="A36" s="18"/>
      <c r="B36" s="55"/>
      <c r="C36" s="595"/>
      <c r="D36" s="50"/>
      <c r="E36" s="1294" t="s">
        <v>367</v>
      </c>
      <c r="F36" s="877">
        <f>SUM(K36:L36)</f>
        <v>0</v>
      </c>
      <c r="G36" s="877">
        <f>SUM(I36:Q36)</f>
        <v>1.4486288467692687E-5</v>
      </c>
      <c r="H36" s="878">
        <f>SUM(U36:W36)/(1-'Common input data'!$B$140)</f>
        <v>1.7288803517952842E-5</v>
      </c>
      <c r="I36" s="877">
        <f>('Input data plant-based products'!$F$36*('Common input data'!$C$93*'Common input data'!B87+'Common input data'!$C$94*'Common input data'!C87))/'Input data plant-based products'!$E$36</f>
        <v>1.1007202202943239E-5</v>
      </c>
      <c r="J36" s="877">
        <v>0</v>
      </c>
      <c r="K36" s="877">
        <v>0</v>
      </c>
      <c r="L36" s="877">
        <v>0</v>
      </c>
      <c r="M36" s="877"/>
      <c r="N36" s="877">
        <f>('Input data plant-based products'!$P$36*'Common input data'!$C$76*'Common input data'!H67)/'Input data plant-based products'!$E$36</f>
        <v>3.4790862647494484E-6</v>
      </c>
      <c r="O36" s="877">
        <v>0</v>
      </c>
      <c r="P36" s="877">
        <v>0</v>
      </c>
      <c r="Q36" s="877">
        <v>0</v>
      </c>
      <c r="R36" s="877">
        <v>0</v>
      </c>
      <c r="S36" s="877">
        <v>0</v>
      </c>
      <c r="T36" s="877">
        <v>0</v>
      </c>
      <c r="U36" s="877">
        <f>(G36+T36)</f>
        <v>1.4486288467692687E-5</v>
      </c>
      <c r="V36" s="877">
        <v>0</v>
      </c>
      <c r="W36" s="877">
        <v>0</v>
      </c>
      <c r="X36" s="864"/>
      <c r="Y36" s="879"/>
      <c r="Z36" s="877"/>
      <c r="AA36" s="877"/>
      <c r="AB36" s="877"/>
      <c r="AC36" s="877"/>
      <c r="AD36" s="886"/>
      <c r="AE36" s="877"/>
      <c r="AF36" s="879"/>
      <c r="AG36" s="877"/>
      <c r="AH36" s="877"/>
      <c r="AI36" s="877"/>
      <c r="AJ36" s="877"/>
      <c r="AK36" s="886"/>
      <c r="AL36" s="877"/>
      <c r="AM36" s="879"/>
      <c r="AN36" s="877"/>
      <c r="AO36" s="877"/>
      <c r="AP36" s="877"/>
      <c r="AQ36" s="877"/>
      <c r="AR36" s="886"/>
      <c r="AS36" s="877"/>
      <c r="AT36" s="879"/>
      <c r="AU36" s="877"/>
      <c r="AV36" s="877"/>
      <c r="AW36" s="877"/>
      <c r="AX36" s="877"/>
      <c r="AY36" s="886"/>
      <c r="AZ36" s="877"/>
      <c r="BA36" s="879"/>
      <c r="BB36" s="877"/>
      <c r="BC36" s="877"/>
      <c r="BD36" s="877"/>
      <c r="BE36" s="877"/>
      <c r="BF36" s="886"/>
      <c r="BG36" s="877"/>
      <c r="BH36" s="879"/>
      <c r="BI36" s="877"/>
      <c r="BJ36" s="877"/>
      <c r="BK36" s="877"/>
      <c r="BL36" s="877"/>
      <c r="BM36" s="886"/>
      <c r="BN36" s="877"/>
      <c r="BO36" s="879"/>
      <c r="BP36" s="877"/>
      <c r="BQ36" s="877"/>
      <c r="BR36" s="877"/>
      <c r="BS36" s="877"/>
      <c r="BT36" s="886"/>
      <c r="BU36" s="877"/>
      <c r="BV36" s="879"/>
      <c r="BW36" s="886"/>
    </row>
    <row r="37" spans="1:253" s="406" customFormat="1" ht="17.25">
      <c r="A37" s="359"/>
      <c r="B37" s="360"/>
      <c r="C37" s="83"/>
      <c r="D37" s="54"/>
      <c r="E37" s="1295" t="s">
        <v>320</v>
      </c>
      <c r="F37" s="896">
        <f>SUM(K37:L37)</f>
        <v>4.2673389785714295E-5</v>
      </c>
      <c r="G37" s="896">
        <f>SUM(I37:Q37)</f>
        <v>5.6068141265706421E-5</v>
      </c>
      <c r="H37" s="933">
        <f>SUM(U37:W37)/(1-'Common input data'!$B$140)</f>
        <v>6.6915074908349955E-5</v>
      </c>
      <c r="I37" s="877">
        <f>('Input data plant-based products'!$F$36*('Common input data'!$C$93*'Common input data'!B88+'Common input data'!$C$94*'Common input data'!C88))/'Input data plant-based products'!$E$36</f>
        <v>1.318370967267459E-5</v>
      </c>
      <c r="J37" s="877">
        <v>0</v>
      </c>
      <c r="K37" s="877">
        <f>(SUM('Input data plant-based products'!F36:H36)*'Input data plant-based products'!$B$257*44/28)/'Input data plant-based products'!E36</f>
        <v>3.8793990714285721E-5</v>
      </c>
      <c r="L37" s="877">
        <f>K37*'Input data plant-based products'!$B$261</f>
        <v>3.8793990714285726E-6</v>
      </c>
      <c r="M37" s="877"/>
      <c r="N37" s="877">
        <f>('Input data plant-based products'!$P$36*'Common input data'!$C$76*'Common input data'!H68)/'Input data plant-based products'!$E$36</f>
        <v>2.1104180731754014E-7</v>
      </c>
      <c r="O37" s="877">
        <v>0</v>
      </c>
      <c r="P37" s="877">
        <v>0</v>
      </c>
      <c r="Q37" s="877">
        <v>0</v>
      </c>
      <c r="R37" s="877">
        <v>0</v>
      </c>
      <c r="S37" s="877">
        <v>0</v>
      </c>
      <c r="T37" s="877">
        <v>0</v>
      </c>
      <c r="U37" s="877">
        <f>(G37+T37)</f>
        <v>5.6068141265706421E-5</v>
      </c>
      <c r="V37" s="877">
        <v>0</v>
      </c>
      <c r="W37" s="877">
        <v>0</v>
      </c>
      <c r="X37" s="864"/>
      <c r="Y37" s="879"/>
      <c r="Z37" s="877"/>
      <c r="AA37" s="877"/>
      <c r="AB37" s="877"/>
      <c r="AC37" s="877"/>
      <c r="AD37" s="886"/>
      <c r="AE37" s="877"/>
      <c r="AF37" s="879"/>
      <c r="AG37" s="877"/>
      <c r="AH37" s="877"/>
      <c r="AI37" s="877"/>
      <c r="AJ37" s="877"/>
      <c r="AK37" s="886"/>
      <c r="AL37" s="877"/>
      <c r="AM37" s="879"/>
      <c r="AN37" s="877"/>
      <c r="AO37" s="877"/>
      <c r="AP37" s="877"/>
      <c r="AQ37" s="877"/>
      <c r="AR37" s="886"/>
      <c r="AS37" s="877"/>
      <c r="AT37" s="879"/>
      <c r="AU37" s="877"/>
      <c r="AV37" s="877"/>
      <c r="AW37" s="877"/>
      <c r="AX37" s="877"/>
      <c r="AY37" s="886"/>
      <c r="AZ37" s="877"/>
      <c r="BA37" s="879"/>
      <c r="BB37" s="877"/>
      <c r="BC37" s="877"/>
      <c r="BD37" s="877"/>
      <c r="BE37" s="877"/>
      <c r="BF37" s="886"/>
      <c r="BG37" s="877"/>
      <c r="BH37" s="879"/>
      <c r="BI37" s="877"/>
      <c r="BJ37" s="877"/>
      <c r="BK37" s="877"/>
      <c r="BL37" s="877"/>
      <c r="BM37" s="886"/>
      <c r="BN37" s="877"/>
      <c r="BO37" s="879"/>
      <c r="BP37" s="877"/>
      <c r="BQ37" s="877"/>
      <c r="BR37" s="877"/>
      <c r="BS37" s="877"/>
      <c r="BT37" s="886"/>
      <c r="BU37" s="877"/>
      <c r="BV37" s="879"/>
      <c r="BW37" s="886"/>
    </row>
    <row r="38" spans="1:253" s="503" customFormat="1" ht="17.25">
      <c r="A38" s="362" t="s">
        <v>476</v>
      </c>
      <c r="B38" s="363"/>
      <c r="C38" s="770"/>
      <c r="D38" s="54"/>
      <c r="E38" s="1296"/>
      <c r="F38" s="1290" t="s">
        <v>477</v>
      </c>
      <c r="G38" s="1290" t="s">
        <v>477</v>
      </c>
      <c r="H38" s="870" t="s">
        <v>477</v>
      </c>
      <c r="I38" s="889"/>
      <c r="J38" s="889"/>
      <c r="K38" s="889"/>
      <c r="L38" s="890"/>
      <c r="M38" s="890"/>
      <c r="N38" s="890"/>
      <c r="O38" s="891"/>
      <c r="P38" s="890"/>
      <c r="Q38" s="890"/>
      <c r="R38" s="890"/>
      <c r="S38" s="890"/>
      <c r="T38" s="890"/>
      <c r="U38" s="890"/>
      <c r="V38" s="890"/>
      <c r="W38" s="890"/>
      <c r="X38" s="864"/>
      <c r="Y38" s="879"/>
      <c r="Z38" s="877"/>
      <c r="AA38" s="877"/>
      <c r="AB38" s="877"/>
      <c r="AC38" s="877"/>
      <c r="AD38" s="886"/>
      <c r="AE38" s="877"/>
      <c r="AF38" s="879"/>
      <c r="AG38" s="877"/>
      <c r="AH38" s="877"/>
      <c r="AI38" s="877"/>
      <c r="AJ38" s="877"/>
      <c r="AK38" s="886"/>
      <c r="AL38" s="877"/>
      <c r="AM38" s="879"/>
      <c r="AN38" s="877"/>
      <c r="AO38" s="877"/>
      <c r="AP38" s="877"/>
      <c r="AQ38" s="877"/>
      <c r="AR38" s="886"/>
      <c r="AS38" s="877"/>
      <c r="AT38" s="879"/>
      <c r="AU38" s="877"/>
      <c r="AV38" s="877"/>
      <c r="AW38" s="877"/>
      <c r="AX38" s="877"/>
      <c r="AY38" s="886"/>
      <c r="AZ38" s="877"/>
      <c r="BA38" s="879"/>
      <c r="BB38" s="877"/>
      <c r="BC38" s="877"/>
      <c r="BD38" s="877"/>
      <c r="BE38" s="877"/>
      <c r="BF38" s="886"/>
      <c r="BG38" s="877"/>
      <c r="BH38" s="879"/>
      <c r="BI38" s="877"/>
      <c r="BJ38" s="877"/>
      <c r="BK38" s="877"/>
      <c r="BL38" s="877"/>
      <c r="BM38" s="886"/>
      <c r="BN38" s="877"/>
      <c r="BO38" s="879"/>
      <c r="BP38" s="877"/>
      <c r="BQ38" s="877"/>
      <c r="BR38" s="877"/>
      <c r="BS38" s="877"/>
      <c r="BT38" s="886"/>
      <c r="BU38" s="877"/>
      <c r="BV38" s="879"/>
      <c r="BW38" s="886"/>
      <c r="BX38" s="406"/>
      <c r="BY38" s="406"/>
      <c r="BZ38" s="406"/>
      <c r="CA38" s="406"/>
      <c r="CB38" s="406"/>
      <c r="CC38" s="406"/>
      <c r="CD38" s="406"/>
      <c r="CE38" s="406"/>
      <c r="CF38" s="406"/>
      <c r="CG38" s="406"/>
      <c r="CH38" s="406"/>
      <c r="CI38" s="406"/>
      <c r="CJ38" s="406"/>
      <c r="CK38" s="406"/>
      <c r="CL38" s="406"/>
      <c r="CM38" s="406"/>
      <c r="CN38" s="406"/>
      <c r="CO38" s="406"/>
      <c r="CP38" s="406"/>
      <c r="CQ38" s="406"/>
      <c r="CR38" s="406"/>
      <c r="CS38" s="406"/>
      <c r="CT38" s="406"/>
      <c r="CU38" s="406"/>
      <c r="CV38" s="406"/>
      <c r="CW38" s="406"/>
      <c r="CX38" s="406"/>
      <c r="CY38" s="406"/>
      <c r="CZ38" s="406"/>
      <c r="DA38" s="406"/>
      <c r="DB38" s="406"/>
      <c r="DC38" s="406"/>
      <c r="DD38" s="406"/>
      <c r="DE38" s="406"/>
      <c r="DF38" s="406"/>
      <c r="DG38" s="406"/>
      <c r="DH38" s="406"/>
      <c r="DI38" s="406"/>
      <c r="DJ38" s="406"/>
      <c r="DK38" s="406"/>
      <c r="DL38" s="406"/>
      <c r="DM38" s="406"/>
      <c r="DN38" s="406"/>
      <c r="DO38" s="406"/>
      <c r="DP38" s="406"/>
      <c r="DQ38" s="406"/>
      <c r="DR38" s="406"/>
      <c r="DS38" s="406"/>
      <c r="DT38" s="406"/>
      <c r="DU38" s="406"/>
      <c r="DV38" s="406"/>
      <c r="DW38" s="406"/>
      <c r="DX38" s="406"/>
      <c r="DY38" s="406"/>
      <c r="DZ38" s="406"/>
      <c r="EA38" s="406"/>
      <c r="EB38" s="406"/>
      <c r="EC38" s="406"/>
      <c r="ED38" s="406"/>
      <c r="EE38" s="406"/>
      <c r="EF38" s="406"/>
      <c r="EG38" s="406"/>
      <c r="EH38" s="406"/>
      <c r="EI38" s="406"/>
      <c r="EJ38" s="406"/>
      <c r="EK38" s="406"/>
      <c r="EL38" s="406"/>
      <c r="EM38" s="406"/>
      <c r="EN38" s="406"/>
      <c r="EO38" s="406"/>
      <c r="EP38" s="406"/>
      <c r="EQ38" s="406"/>
      <c r="ER38" s="406"/>
      <c r="ES38" s="406"/>
      <c r="ET38" s="406"/>
      <c r="EU38" s="406"/>
      <c r="EV38" s="406"/>
      <c r="EW38" s="406"/>
      <c r="EX38" s="406"/>
      <c r="EY38" s="406"/>
      <c r="EZ38" s="406"/>
      <c r="FA38" s="406"/>
      <c r="FB38" s="406"/>
      <c r="FC38" s="406"/>
      <c r="FD38" s="406"/>
      <c r="FE38" s="406"/>
      <c r="FF38" s="406"/>
      <c r="FG38" s="406"/>
      <c r="FH38" s="406"/>
      <c r="FI38" s="406"/>
      <c r="FJ38" s="406"/>
      <c r="FK38" s="406"/>
      <c r="FL38" s="406"/>
      <c r="FM38" s="406"/>
      <c r="FN38" s="406"/>
      <c r="FO38" s="406"/>
      <c r="FP38" s="406"/>
      <c r="FQ38" s="406"/>
      <c r="FR38" s="406"/>
      <c r="FS38" s="406"/>
      <c r="FT38" s="406"/>
      <c r="FU38" s="406"/>
      <c r="FV38" s="406"/>
      <c r="FW38" s="406"/>
      <c r="FX38" s="406"/>
      <c r="FY38" s="406"/>
      <c r="FZ38" s="406"/>
      <c r="GA38" s="406"/>
      <c r="GB38" s="406"/>
      <c r="GC38" s="406"/>
      <c r="GD38" s="406"/>
      <c r="GE38" s="406"/>
      <c r="GF38" s="406"/>
      <c r="GG38" s="406"/>
      <c r="GH38" s="406"/>
      <c r="GI38" s="406"/>
      <c r="GJ38" s="406"/>
      <c r="GK38" s="406"/>
      <c r="GL38" s="406"/>
      <c r="GM38" s="406"/>
      <c r="GN38" s="406"/>
      <c r="GO38" s="406"/>
      <c r="GP38" s="406"/>
      <c r="GQ38" s="406"/>
      <c r="GR38" s="406"/>
      <c r="GS38" s="406"/>
      <c r="GT38" s="406"/>
      <c r="GU38" s="406"/>
      <c r="GV38" s="406"/>
      <c r="GW38" s="406"/>
      <c r="GX38" s="406"/>
      <c r="GY38" s="406"/>
      <c r="GZ38" s="406"/>
      <c r="HA38" s="406"/>
      <c r="HB38" s="406"/>
      <c r="HC38" s="406"/>
      <c r="HD38" s="406"/>
      <c r="HE38" s="406"/>
      <c r="HF38" s="406"/>
      <c r="HG38" s="406"/>
      <c r="HH38" s="406"/>
      <c r="HI38" s="406"/>
      <c r="HJ38" s="406"/>
      <c r="HK38" s="406"/>
      <c r="HL38" s="406"/>
      <c r="HM38" s="406"/>
      <c r="HN38" s="406"/>
      <c r="HO38" s="406"/>
      <c r="HP38" s="406"/>
      <c r="HQ38" s="406"/>
      <c r="HR38" s="406"/>
      <c r="HS38" s="406"/>
      <c r="HT38" s="406"/>
      <c r="HU38" s="406"/>
      <c r="HV38" s="406"/>
      <c r="HW38" s="406"/>
      <c r="HX38" s="406"/>
      <c r="HY38" s="406"/>
      <c r="HZ38" s="406"/>
      <c r="IA38" s="406"/>
      <c r="IB38" s="406"/>
      <c r="IC38" s="406"/>
      <c r="ID38" s="406"/>
      <c r="IE38" s="406"/>
      <c r="IF38" s="406"/>
      <c r="IG38" s="406"/>
      <c r="IH38" s="406"/>
      <c r="II38" s="406"/>
      <c r="IJ38" s="406"/>
      <c r="IK38" s="406"/>
      <c r="IL38" s="406"/>
      <c r="IM38" s="406"/>
      <c r="IN38" s="406"/>
      <c r="IO38" s="406"/>
      <c r="IP38" s="406"/>
      <c r="IQ38" s="406"/>
      <c r="IR38" s="406"/>
      <c r="IS38" s="406"/>
    </row>
    <row r="39" spans="1:253" s="502" customFormat="1" ht="17.25">
      <c r="A39" s="20" t="s">
        <v>120</v>
      </c>
      <c r="B39" s="93"/>
      <c r="C39" s="771">
        <f>SUM(C43:C66)</f>
        <v>1</v>
      </c>
      <c r="D39" s="50"/>
      <c r="E39" s="1293" t="s">
        <v>316</v>
      </c>
      <c r="F39" s="874">
        <f>SUMPRODUCT($CE$14:$CE$16,F40:F42)</f>
        <v>2.4935394166859394E-2</v>
      </c>
      <c r="G39" s="874">
        <f>SUMPRODUCT($CE$14:$CE$16,G40:G42)</f>
        <v>0.39773557878490162</v>
      </c>
      <c r="H39" s="927">
        <f>SUMPRODUCT($CE$14:$CE$16,H40:H42)</f>
        <v>0.67637615322222422</v>
      </c>
      <c r="I39" s="872"/>
      <c r="J39" s="884"/>
      <c r="K39" s="884"/>
      <c r="L39" s="888"/>
      <c r="M39" s="888"/>
      <c r="N39" s="888"/>
      <c r="O39" s="888"/>
      <c r="P39" s="888"/>
      <c r="Q39" s="888"/>
      <c r="R39" s="888"/>
      <c r="S39" s="888"/>
      <c r="T39" s="888"/>
      <c r="U39" s="888"/>
      <c r="V39" s="888"/>
      <c r="W39" s="888"/>
      <c r="X39" s="864"/>
      <c r="Y39" s="883">
        <f>Y43*$C$43+Y47*$C$47+Y51*$C$51+Y55*$C$55+Y59*$C$59+Y63*$C$63</f>
        <v>8.1690413085423658E-2</v>
      </c>
      <c r="Z39" s="884">
        <f t="shared" ref="Z39:BW39" si="3">Z43*$C$43+Z47*$C$47+Z51*$C$51+Z55*$C$55+Z59*$C$59+Z63*$C$63</f>
        <v>8.1690413085423658E-2</v>
      </c>
      <c r="AA39" s="884">
        <f t="shared" si="3"/>
        <v>8.1690413085423658E-2</v>
      </c>
      <c r="AB39" s="884">
        <f t="shared" si="3"/>
        <v>8.1690413085423658E-2</v>
      </c>
      <c r="AC39" s="884">
        <f t="shared" si="3"/>
        <v>9.7494227336703237E-2</v>
      </c>
      <c r="AD39" s="885">
        <f t="shared" si="3"/>
        <v>0.12036324362555956</v>
      </c>
      <c r="AE39" s="877"/>
      <c r="AF39" s="883">
        <f t="shared" si="3"/>
        <v>2.7906223426833647E-3</v>
      </c>
      <c r="AG39" s="884">
        <f t="shared" si="3"/>
        <v>2.7906223426833647E-3</v>
      </c>
      <c r="AH39" s="884">
        <f t="shared" si="3"/>
        <v>2.7906223426833647E-3</v>
      </c>
      <c r="AI39" s="884">
        <f t="shared" si="3"/>
        <v>2.7906223426833647E-3</v>
      </c>
      <c r="AJ39" s="884">
        <f t="shared" si="3"/>
        <v>3.3304956948124651E-3</v>
      </c>
      <c r="AK39" s="885">
        <f t="shared" si="3"/>
        <v>4.1117230800153878E-3</v>
      </c>
      <c r="AL39" s="877"/>
      <c r="AM39" s="883">
        <f t="shared" si="3"/>
        <v>2.9455381567530239E-3</v>
      </c>
      <c r="AN39" s="884">
        <f t="shared" si="3"/>
        <v>2.9455381567530239E-3</v>
      </c>
      <c r="AO39" s="884">
        <f t="shared" si="3"/>
        <v>2.9455381567530239E-3</v>
      </c>
      <c r="AP39" s="884">
        <f t="shared" si="3"/>
        <v>2.9455381567530239E-3</v>
      </c>
      <c r="AQ39" s="884">
        <f t="shared" si="3"/>
        <v>3.5153814974973434E-3</v>
      </c>
      <c r="AR39" s="885">
        <f t="shared" si="3"/>
        <v>4.3399771574041263E-3</v>
      </c>
      <c r="AS39" s="877"/>
      <c r="AT39" s="883">
        <f t="shared" si="3"/>
        <v>1.1540000000000002E-2</v>
      </c>
      <c r="AU39" s="884">
        <f t="shared" si="3"/>
        <v>1.1540000000000002E-2</v>
      </c>
      <c r="AV39" s="884">
        <f t="shared" si="3"/>
        <v>1.1540000000000002E-2</v>
      </c>
      <c r="AW39" s="884">
        <f t="shared" si="3"/>
        <v>1.1540000000000002E-2</v>
      </c>
      <c r="AX39" s="884">
        <f t="shared" si="3"/>
        <v>1.3772526554481444E-2</v>
      </c>
      <c r="AY39" s="885">
        <f t="shared" si="3"/>
        <v>1.7003119203063511E-2</v>
      </c>
      <c r="AZ39" s="877"/>
      <c r="BA39" s="883">
        <f t="shared" si="3"/>
        <v>6.9558487408095102E-11</v>
      </c>
      <c r="BB39" s="884">
        <f t="shared" si="3"/>
        <v>6.9558487408095102E-11</v>
      </c>
      <c r="BC39" s="884">
        <f t="shared" si="3"/>
        <v>6.9558487408095102E-11</v>
      </c>
      <c r="BD39" s="884">
        <f t="shared" si="3"/>
        <v>6.9558487408095102E-11</v>
      </c>
      <c r="BE39" s="884">
        <f t="shared" si="3"/>
        <v>8.301526125802016E-11</v>
      </c>
      <c r="BF39" s="885">
        <f t="shared" si="3"/>
        <v>1.0248797686175328E-10</v>
      </c>
      <c r="BG39" s="877"/>
      <c r="BH39" s="883">
        <f t="shared" si="3"/>
        <v>7.3638551185075394E-5</v>
      </c>
      <c r="BI39" s="884">
        <f t="shared" si="3"/>
        <v>7.3638551185075394E-5</v>
      </c>
      <c r="BJ39" s="884">
        <f t="shared" si="3"/>
        <v>7.3638551185075394E-5</v>
      </c>
      <c r="BK39" s="884">
        <f t="shared" si="3"/>
        <v>7.3638551185075394E-5</v>
      </c>
      <c r="BL39" s="884">
        <f t="shared" si="3"/>
        <v>8.7884653520796521E-5</v>
      </c>
      <c r="BM39" s="885">
        <f t="shared" si="3"/>
        <v>1.084995722478969E-4</v>
      </c>
      <c r="BN39" s="877"/>
      <c r="BO39" s="883">
        <f t="shared" si="3"/>
        <v>7.1255006174273449E-5</v>
      </c>
      <c r="BP39" s="884">
        <f t="shared" si="3"/>
        <v>7.1255006174273449E-5</v>
      </c>
      <c r="BQ39" s="884">
        <f t="shared" si="3"/>
        <v>7.1255006174273449E-5</v>
      </c>
      <c r="BR39" s="884">
        <f t="shared" si="3"/>
        <v>7.1255006174273449E-5</v>
      </c>
      <c r="BS39" s="884">
        <f t="shared" si="3"/>
        <v>8.5039988273389959E-5</v>
      </c>
      <c r="BT39" s="885">
        <f t="shared" si="3"/>
        <v>1.0498763984369127E-4</v>
      </c>
      <c r="BU39" s="877"/>
      <c r="BV39" s="883">
        <f t="shared" si="3"/>
        <v>0.73311174762302589</v>
      </c>
      <c r="BW39" s="885">
        <f t="shared" si="3"/>
        <v>0.90507623163336515</v>
      </c>
      <c r="BX39" s="406"/>
      <c r="BY39" s="406"/>
      <c r="BZ39" s="406"/>
      <c r="CA39" s="406"/>
      <c r="CB39" s="406"/>
      <c r="CC39" s="406"/>
      <c r="CD39" s="406"/>
      <c r="CE39" s="406"/>
      <c r="CF39" s="406"/>
      <c r="CG39" s="406"/>
      <c r="CH39" s="406"/>
      <c r="CI39" s="406"/>
      <c r="CJ39" s="406"/>
      <c r="CK39" s="406"/>
      <c r="CL39" s="406"/>
      <c r="CM39" s="406"/>
      <c r="CN39" s="406"/>
      <c r="CO39" s="406"/>
      <c r="CP39" s="406"/>
      <c r="CQ39" s="406"/>
      <c r="CR39" s="406"/>
      <c r="CS39" s="406"/>
      <c r="CT39" s="406"/>
      <c r="CU39" s="406"/>
      <c r="CV39" s="406"/>
      <c r="CW39" s="406"/>
      <c r="CX39" s="406"/>
      <c r="CY39" s="406"/>
      <c r="CZ39" s="406"/>
      <c r="DA39" s="406"/>
      <c r="DB39" s="406"/>
      <c r="DC39" s="406"/>
      <c r="DD39" s="406"/>
      <c r="DE39" s="406"/>
      <c r="DF39" s="406"/>
      <c r="DG39" s="406"/>
      <c r="DH39" s="406"/>
      <c r="DI39" s="406"/>
      <c r="DJ39" s="406"/>
      <c r="DK39" s="406"/>
      <c r="DL39" s="406"/>
      <c r="DM39" s="406"/>
      <c r="DN39" s="406"/>
      <c r="DO39" s="406"/>
      <c r="DP39" s="406"/>
      <c r="DQ39" s="406"/>
      <c r="DR39" s="406"/>
      <c r="DS39" s="406"/>
      <c r="DT39" s="406"/>
      <c r="DU39" s="406"/>
      <c r="DV39" s="406"/>
      <c r="DW39" s="406"/>
      <c r="DX39" s="406"/>
      <c r="DY39" s="406"/>
      <c r="DZ39" s="406"/>
      <c r="EA39" s="406"/>
      <c r="EB39" s="406"/>
      <c r="EC39" s="406"/>
      <c r="ED39" s="406"/>
      <c r="EE39" s="406"/>
      <c r="EF39" s="406"/>
      <c r="EG39" s="406"/>
      <c r="EH39" s="406"/>
      <c r="EI39" s="406"/>
      <c r="EJ39" s="406"/>
      <c r="EK39" s="406"/>
      <c r="EL39" s="406"/>
      <c r="EM39" s="406"/>
      <c r="EN39" s="406"/>
      <c r="EO39" s="406"/>
      <c r="EP39" s="406"/>
      <c r="EQ39" s="406"/>
      <c r="ER39" s="406"/>
      <c r="ES39" s="406"/>
      <c r="ET39" s="406"/>
      <c r="EU39" s="406"/>
      <c r="EV39" s="406"/>
      <c r="EW39" s="406"/>
      <c r="EX39" s="406"/>
      <c r="EY39" s="406"/>
      <c r="EZ39" s="406"/>
      <c r="FA39" s="406"/>
      <c r="FB39" s="406"/>
      <c r="FC39" s="406"/>
      <c r="FD39" s="406"/>
      <c r="FE39" s="406"/>
      <c r="FF39" s="406"/>
      <c r="FG39" s="406"/>
      <c r="FH39" s="406"/>
      <c r="FI39" s="406"/>
      <c r="FJ39" s="406"/>
      <c r="FK39" s="406"/>
      <c r="FL39" s="406"/>
      <c r="FM39" s="406"/>
      <c r="FN39" s="406"/>
      <c r="FO39" s="406"/>
      <c r="FP39" s="406"/>
      <c r="FQ39" s="406"/>
      <c r="FR39" s="406"/>
      <c r="FS39" s="406"/>
      <c r="FT39" s="406"/>
      <c r="FU39" s="406"/>
      <c r="FV39" s="406"/>
      <c r="FW39" s="406"/>
      <c r="FX39" s="406"/>
      <c r="FY39" s="406"/>
      <c r="FZ39" s="406"/>
      <c r="GA39" s="406"/>
      <c r="GB39" s="406"/>
      <c r="GC39" s="406"/>
      <c r="GD39" s="406"/>
      <c r="GE39" s="406"/>
      <c r="GF39" s="406"/>
      <c r="GG39" s="406"/>
      <c r="GH39" s="406"/>
      <c r="GI39" s="406"/>
      <c r="GJ39" s="406"/>
      <c r="GK39" s="406"/>
      <c r="GL39" s="406"/>
      <c r="GM39" s="406"/>
      <c r="GN39" s="406"/>
      <c r="GO39" s="406"/>
      <c r="GP39" s="406"/>
      <c r="GQ39" s="406"/>
      <c r="GR39" s="406"/>
      <c r="GS39" s="406"/>
      <c r="GT39" s="406"/>
      <c r="GU39" s="406"/>
      <c r="GV39" s="406"/>
      <c r="GW39" s="406"/>
      <c r="GX39" s="406"/>
      <c r="GY39" s="406"/>
      <c r="GZ39" s="406"/>
      <c r="HA39" s="406"/>
      <c r="HB39" s="406"/>
      <c r="HC39" s="406"/>
      <c r="HD39" s="406"/>
      <c r="HE39" s="406"/>
      <c r="HF39" s="406"/>
      <c r="HG39" s="406"/>
      <c r="HH39" s="406"/>
      <c r="HI39" s="406"/>
      <c r="HJ39" s="406"/>
      <c r="HK39" s="406"/>
      <c r="HL39" s="406"/>
      <c r="HM39" s="406"/>
      <c r="HN39" s="406"/>
      <c r="HO39" s="406"/>
      <c r="HP39" s="406"/>
      <c r="HQ39" s="406"/>
      <c r="HR39" s="406"/>
      <c r="HS39" s="406"/>
      <c r="HT39" s="406"/>
      <c r="HU39" s="406"/>
      <c r="HV39" s="406"/>
      <c r="HW39" s="406"/>
      <c r="HX39" s="406"/>
      <c r="HY39" s="406"/>
      <c r="HZ39" s="406"/>
      <c r="IA39" s="406"/>
      <c r="IB39" s="406"/>
      <c r="IC39" s="406"/>
      <c r="ID39" s="406"/>
      <c r="IE39" s="406"/>
      <c r="IF39" s="406"/>
      <c r="IG39" s="406"/>
      <c r="IH39" s="406"/>
      <c r="II39" s="406"/>
      <c r="IJ39" s="406"/>
      <c r="IK39" s="406"/>
      <c r="IL39" s="406"/>
      <c r="IM39" s="406"/>
      <c r="IN39" s="406"/>
      <c r="IO39" s="406"/>
      <c r="IP39" s="406"/>
      <c r="IQ39" s="406"/>
      <c r="IR39" s="406"/>
      <c r="IS39" s="406"/>
    </row>
    <row r="40" spans="1:253" s="406" customFormat="1" ht="17.25">
      <c r="A40" s="499"/>
      <c r="B40" s="55"/>
      <c r="C40" s="917"/>
      <c r="D40" s="5"/>
      <c r="E40" s="1294" t="s">
        <v>317</v>
      </c>
      <c r="F40" s="877">
        <f>F44*$C$43++$C$51*F52+$C$55*F56+$C$59*F60+$C$63*F64+F48*$C$47</f>
        <v>8.7976871318505619E-3</v>
      </c>
      <c r="G40" s="877">
        <f>G44*$C$43++$C$51*G52+$C$55*G56+$C$59*G60+$C$63*G64+G48*$C$47</f>
        <v>0.34239370050993867</v>
      </c>
      <c r="H40" s="878">
        <f>H44*$C$43++$C$51*H52+$C$55*H56+$C$59*H60+$C$63*H64+H48*$C$47</f>
        <v>0.6103278440266604</v>
      </c>
      <c r="I40" s="877">
        <f>I44*$C$43++$C$51*I52+$C$55*I56+$C$59*I60+$C$63*I64+I48*$C$47</f>
        <v>9.6020759296380452E-3</v>
      </c>
      <c r="J40" s="877">
        <f>J44*$C$43++$C$51*J52+$C$55*J56+$C$59*J60+$C$63*J64+J48*$C$47</f>
        <v>0.03</v>
      </c>
      <c r="K40" s="877">
        <f>K44*$C$43 +$C$51*K52+$C$55*K56+$C$59*K60+$C$63*K64+K48*C47</f>
        <v>0</v>
      </c>
      <c r="L40" s="877">
        <f>L44*$C$43 +$C$51*L52+$C$55*L56+$C$59*L60+$C$63*L64+L48*C47</f>
        <v>0</v>
      </c>
      <c r="M40" s="877"/>
      <c r="N40" s="877">
        <f>N44*$C$43 +$C$51*N52+$C$55*N56+$C$59*N60+$C$63*N64+N48*C47</f>
        <v>1.6032137911971642E-3</v>
      </c>
      <c r="O40" s="877">
        <f>O44*$C$43 +$C$51*O52+$C$55*O56+$C$59*O60+$C$63*O64+O48*C47</f>
        <v>0.2826556125461418</v>
      </c>
      <c r="P40" s="877">
        <f>P44*$C$43 +$C$51*P52+$C$55*P56+$C$59*P60+$C$63*P64+P48*C47</f>
        <v>9.735111111111111E-3</v>
      </c>
      <c r="Q40" s="877">
        <f>Q44*$C$43 +$C$51*Q52+$C$55*Q56+$C$59*Q60+$C$63*Q64+Q48*C47</f>
        <v>0</v>
      </c>
      <c r="R40" s="877">
        <f>R44*$C$43 +$C$51*R52+$C$55*R56+$C$59*R60+$C$63*R64+R48*$C$47</f>
        <v>8.7976871318505619E-3</v>
      </c>
      <c r="S40" s="877">
        <f t="shared" ref="S40:W42" si="4">S44*$C$43 +$C$51*S52+$C$55*S56+$C$59*S60+$C$63*S64+S48*$C$47</f>
        <v>0</v>
      </c>
      <c r="T40" s="877">
        <f>T44*$C$43 +$C$51*T52+$C$55*T56+$C$59*T60+$C$63*T64+T48*$C$47</f>
        <v>0</v>
      </c>
      <c r="U40" s="877">
        <f t="shared" si="4"/>
        <v>0.34239370050993867</v>
      </c>
      <c r="V40" s="877">
        <f t="shared" si="4"/>
        <v>0.05</v>
      </c>
      <c r="W40" s="877">
        <f t="shared" si="4"/>
        <v>0.11900000000000001</v>
      </c>
      <c r="X40" s="864"/>
      <c r="Y40" s="879"/>
      <c r="Z40" s="877"/>
      <c r="AA40" s="877"/>
      <c r="AB40" s="877"/>
      <c r="AC40" s="877"/>
      <c r="AD40" s="886"/>
      <c r="AE40" s="877"/>
      <c r="AF40" s="879"/>
      <c r="AG40" s="877"/>
      <c r="AH40" s="877"/>
      <c r="AI40" s="877"/>
      <c r="AJ40" s="877"/>
      <c r="AK40" s="886"/>
      <c r="AL40" s="877"/>
      <c r="AM40" s="879"/>
      <c r="AN40" s="877"/>
      <c r="AO40" s="877"/>
      <c r="AP40" s="877"/>
      <c r="AQ40" s="877"/>
      <c r="AR40" s="886"/>
      <c r="AS40" s="877"/>
      <c r="AT40" s="879"/>
      <c r="AU40" s="877"/>
      <c r="AV40" s="877"/>
      <c r="AW40" s="877"/>
      <c r="AX40" s="877"/>
      <c r="AY40" s="886"/>
      <c r="AZ40" s="877"/>
      <c r="BA40" s="879"/>
      <c r="BB40" s="877"/>
      <c r="BC40" s="877"/>
      <c r="BD40" s="877"/>
      <c r="BE40" s="877"/>
      <c r="BF40" s="886"/>
      <c r="BG40" s="877"/>
      <c r="BH40" s="879"/>
      <c r="BI40" s="877"/>
      <c r="BJ40" s="877"/>
      <c r="BK40" s="877"/>
      <c r="BL40" s="877"/>
      <c r="BM40" s="886"/>
      <c r="BN40" s="877"/>
      <c r="BO40" s="879"/>
      <c r="BP40" s="877"/>
      <c r="BQ40" s="877"/>
      <c r="BR40" s="877"/>
      <c r="BS40" s="877"/>
      <c r="BT40" s="886"/>
      <c r="BU40" s="877"/>
      <c r="BV40" s="879"/>
      <c r="BW40" s="886"/>
    </row>
    <row r="41" spans="1:253" s="406" customFormat="1" ht="17.25">
      <c r="A41" s="499"/>
      <c r="B41" s="55"/>
      <c r="C41" s="595"/>
      <c r="D41" s="50"/>
      <c r="E41" s="1294" t="s">
        <v>367</v>
      </c>
      <c r="F41" s="877">
        <f t="shared" ref="F41:J42" si="5">F45*$C$43++$C$51*F53+$C$55*F57+$C$59*F61+$C$63*F65+F49*$C$47</f>
        <v>0</v>
      </c>
      <c r="G41" s="877">
        <f t="shared" si="5"/>
        <v>1.1089438011013105E-3</v>
      </c>
      <c r="H41" s="878">
        <f t="shared" si="5"/>
        <v>1.323479891516065E-3</v>
      </c>
      <c r="I41" s="877">
        <f t="shared" si="5"/>
        <v>1.500936879586112E-5</v>
      </c>
      <c r="J41" s="877">
        <f t="shared" si="5"/>
        <v>0</v>
      </c>
      <c r="K41" s="877">
        <f>K45*$C$43 +$C$51*K53+$C$55*K57+$C$59*K61+$C$63*K65+K49*C47</f>
        <v>0</v>
      </c>
      <c r="L41" s="877">
        <f>L45*$C$43 +$C$51*L53+$C$55*L57+$C$59*L61+$C$63*L65+L49*C47</f>
        <v>0</v>
      </c>
      <c r="M41" s="877"/>
      <c r="N41" s="877">
        <f>N45*$C$43 +$C$51*N53+$C$55*N57+$C$59*N61+$C$63*N65+N49*C47</f>
        <v>7.1016964960432879E-7</v>
      </c>
      <c r="O41" s="877">
        <f>O45*$C$43 +$C$51*O53+$C$55*O57+$C$59*O61+$C$63*O65+O49*C47</f>
        <v>1.0932242626558453E-3</v>
      </c>
      <c r="P41" s="877">
        <f>P45*$C$43 +$C$51*P53+$C$55*P57+$C$59*P61+$C$63*P65+P49*C47</f>
        <v>0</v>
      </c>
      <c r="Q41" s="877">
        <f>Q45*$C$43 +$C$51*Q53+$C$55*Q57+$C$59*Q61+$C$63*Q65+Q49*C47</f>
        <v>0</v>
      </c>
      <c r="R41" s="877">
        <f>R45*$C$43 +$C$51*R53+$C$55*R57+$C$59*R61+$C$63*R65+R49*$C$47</f>
        <v>0</v>
      </c>
      <c r="S41" s="877">
        <f t="shared" si="4"/>
        <v>0</v>
      </c>
      <c r="T41" s="877">
        <f t="shared" si="4"/>
        <v>0</v>
      </c>
      <c r="U41" s="877">
        <f>U45*$C$43 +$C$51*U53+$C$55*U57+$C$59*U61+$C$63*U65+U49*$C$47</f>
        <v>1.1089438011013105E-3</v>
      </c>
      <c r="V41" s="877">
        <f t="shared" si="4"/>
        <v>0</v>
      </c>
      <c r="W41" s="877">
        <f>W45*$C$43 +$C$51*W53+$C$55*W57+$C$59*W61+$C$63*W65+W49*$C$47</f>
        <v>0</v>
      </c>
      <c r="X41" s="864"/>
      <c r="Y41" s="879"/>
      <c r="Z41" s="877"/>
      <c r="AA41" s="877"/>
      <c r="AB41" s="877"/>
      <c r="AC41" s="877"/>
      <c r="AD41" s="886"/>
      <c r="AE41" s="877"/>
      <c r="AF41" s="879"/>
      <c r="AG41" s="877"/>
      <c r="AH41" s="877"/>
      <c r="AI41" s="877"/>
      <c r="AJ41" s="877"/>
      <c r="AK41" s="886"/>
      <c r="AL41" s="877"/>
      <c r="AM41" s="879"/>
      <c r="AN41" s="877"/>
      <c r="AO41" s="877"/>
      <c r="AP41" s="877"/>
      <c r="AQ41" s="877"/>
      <c r="AR41" s="886"/>
      <c r="AS41" s="877"/>
      <c r="AT41" s="879"/>
      <c r="AU41" s="877"/>
      <c r="AV41" s="877"/>
      <c r="AW41" s="877"/>
      <c r="AX41" s="877"/>
      <c r="AY41" s="886"/>
      <c r="AZ41" s="877"/>
      <c r="BA41" s="879"/>
      <c r="BB41" s="877"/>
      <c r="BC41" s="877"/>
      <c r="BD41" s="877"/>
      <c r="BE41" s="877"/>
      <c r="BF41" s="886"/>
      <c r="BG41" s="877"/>
      <c r="BH41" s="879"/>
      <c r="BI41" s="877"/>
      <c r="BJ41" s="877"/>
      <c r="BK41" s="877"/>
      <c r="BL41" s="877"/>
      <c r="BM41" s="886"/>
      <c r="BN41" s="877"/>
      <c r="BO41" s="879"/>
      <c r="BP41" s="877"/>
      <c r="BQ41" s="877"/>
      <c r="BR41" s="877"/>
      <c r="BS41" s="877"/>
      <c r="BT41" s="886"/>
      <c r="BU41" s="877"/>
      <c r="BV41" s="879"/>
      <c r="BW41" s="886"/>
    </row>
    <row r="42" spans="1:253" s="406" customFormat="1" ht="21" customHeight="1">
      <c r="A42" s="18"/>
      <c r="B42" s="360"/>
      <c r="C42" s="83"/>
      <c r="D42" s="54"/>
      <c r="E42" s="1295" t="s">
        <v>320</v>
      </c>
      <c r="F42" s="877">
        <f t="shared" si="5"/>
        <v>5.9112479981717335E-5</v>
      </c>
      <c r="G42" s="877">
        <f t="shared" si="5"/>
        <v>9.304174229021083E-5</v>
      </c>
      <c r="H42" s="878">
        <f t="shared" si="5"/>
        <v>1.1104158287410292E-4</v>
      </c>
      <c r="I42" s="877">
        <f t="shared" si="5"/>
        <v>2.0670813448108619E-5</v>
      </c>
      <c r="J42" s="877">
        <f t="shared" si="5"/>
        <v>0</v>
      </c>
      <c r="K42" s="877">
        <f>K46*$C$43 +$C$51*K54+$C$55*K58+$C$59*K62+$C$63*K66+K50*C47</f>
        <v>5.5551228828147115E-5</v>
      </c>
      <c r="L42" s="877">
        <f>L46*$C$43 +$C$51*L54+$C$55*L58+$C$59*L62+$C$63*L66+L50*C47</f>
        <v>3.5612511535702135E-6</v>
      </c>
      <c r="M42" s="877"/>
      <c r="N42" s="877">
        <f>N46*$C$43 +$C$51*N54+$C$55*N58+$C$59*N62+$C$63*N66+N50*C47</f>
        <v>4.3078979637015484E-8</v>
      </c>
      <c r="O42" s="877">
        <f>O46*$C$43 +$C$51*O54+$C$55*O58+$C$59*O62+$C$63*O66+O50*C47</f>
        <v>1.3215369880747851E-5</v>
      </c>
      <c r="P42" s="877">
        <f>P46*$C$43 +$C$51*P54+$C$55*P58+$C$59*P62+$C$63*P66+P50*C47</f>
        <v>0</v>
      </c>
      <c r="Q42" s="877">
        <f>Q46*$C$43 +$C$51*Q54+$C$55*Q58+$C$59*Q62+$C$63*Q66+Q50*C47</f>
        <v>0</v>
      </c>
      <c r="R42" s="877">
        <f>R46*$C$43 +$C$51*R54+$C$55*R58+$C$59*R62+$C$63*R66+R50*$C$47</f>
        <v>0</v>
      </c>
      <c r="S42" s="877">
        <f>S46*$C$43 +$C$51*S54+$C$55*S58+$C$59*S62+$C$63*S66+S50*$C$47</f>
        <v>0</v>
      </c>
      <c r="T42" s="877">
        <f t="shared" si="4"/>
        <v>0</v>
      </c>
      <c r="U42" s="877">
        <f t="shared" si="4"/>
        <v>9.304174229021083E-5</v>
      </c>
      <c r="V42" s="877">
        <f t="shared" si="4"/>
        <v>0</v>
      </c>
      <c r="W42" s="877">
        <f t="shared" si="4"/>
        <v>0</v>
      </c>
      <c r="X42" s="864"/>
      <c r="Y42" s="879"/>
      <c r="Z42" s="877"/>
      <c r="AA42" s="877"/>
      <c r="AB42" s="877"/>
      <c r="AC42" s="877"/>
      <c r="AD42" s="886"/>
      <c r="AE42" s="877"/>
      <c r="AF42" s="879"/>
      <c r="AG42" s="877"/>
      <c r="AH42" s="877"/>
      <c r="AI42" s="877"/>
      <c r="AJ42" s="877"/>
      <c r="AK42" s="886"/>
      <c r="AL42" s="877"/>
      <c r="AM42" s="879"/>
      <c r="AN42" s="877"/>
      <c r="AO42" s="877"/>
      <c r="AP42" s="877"/>
      <c r="AQ42" s="877"/>
      <c r="AR42" s="886"/>
      <c r="AS42" s="877"/>
      <c r="AT42" s="879"/>
      <c r="AU42" s="877"/>
      <c r="AV42" s="877"/>
      <c r="AW42" s="877"/>
      <c r="AX42" s="877"/>
      <c r="AY42" s="886"/>
      <c r="AZ42" s="877"/>
      <c r="BA42" s="879"/>
      <c r="BB42" s="877"/>
      <c r="BC42" s="877"/>
      <c r="BD42" s="877"/>
      <c r="BE42" s="877"/>
      <c r="BF42" s="886"/>
      <c r="BG42" s="877"/>
      <c r="BH42" s="879"/>
      <c r="BI42" s="877"/>
      <c r="BJ42" s="877"/>
      <c r="BK42" s="877"/>
      <c r="BL42" s="877"/>
      <c r="BM42" s="886"/>
      <c r="BN42" s="877"/>
      <c r="BO42" s="879"/>
      <c r="BP42" s="877"/>
      <c r="BQ42" s="877"/>
      <c r="BR42" s="877"/>
      <c r="BS42" s="877"/>
      <c r="BT42" s="886"/>
      <c r="BU42" s="877"/>
      <c r="BV42" s="879"/>
      <c r="BW42" s="886"/>
    </row>
    <row r="43" spans="1:253" s="502" customFormat="1" ht="17.25">
      <c r="A43" s="20" t="s">
        <v>122</v>
      </c>
      <c r="B43" s="164" t="s">
        <v>129</v>
      </c>
      <c r="C43" s="904">
        <f>'Input data plant-based products'!D38</f>
        <v>0.35</v>
      </c>
      <c r="D43" s="17"/>
      <c r="E43" s="1293" t="s">
        <v>316</v>
      </c>
      <c r="F43" s="872">
        <f>SUMPRODUCT($CE$14:$CE$16,F44:F46)</f>
        <v>2.37611088E-2</v>
      </c>
      <c r="G43" s="872">
        <f>SUMPRODUCT($CE$14:$CE$16,G44:G46)</f>
        <v>0.49183206438261667</v>
      </c>
      <c r="H43" s="873">
        <f>SUMPRODUCT($CE$14:$CE$16,H44:H46)</f>
        <v>0.6824586041086248</v>
      </c>
      <c r="I43" s="888"/>
      <c r="J43" s="888"/>
      <c r="K43" s="888"/>
      <c r="L43" s="888"/>
      <c r="M43" s="888"/>
      <c r="N43" s="888"/>
      <c r="O43" s="888"/>
      <c r="P43" s="888"/>
      <c r="Q43" s="888"/>
      <c r="R43" s="888"/>
      <c r="S43" s="888"/>
      <c r="T43" s="888"/>
      <c r="U43" s="888"/>
      <c r="V43" s="888"/>
      <c r="W43" s="888"/>
      <c r="X43" s="864"/>
      <c r="Y43" s="879">
        <f>1/'Input data plant-based products'!E38*10^4</f>
        <v>2.2736263886173169E-2</v>
      </c>
      <c r="Z43" s="877">
        <f>$Y43*'Input data plant-based products'!Z38</f>
        <v>2.2736263886173169E-2</v>
      </c>
      <c r="AA43" s="877">
        <f>$Y43*'Input data plant-based products'!AA38</f>
        <v>2.2736263886173169E-2</v>
      </c>
      <c r="AB43" s="877">
        <f>$Y43*'Input data plant-based products'!AB38</f>
        <v>2.2736263886173169E-2</v>
      </c>
      <c r="AC43" s="877">
        <f>$Y43*'Input data plant-based products'!AC38</f>
        <v>2.7134817861526637E-2</v>
      </c>
      <c r="AD43" s="886">
        <f>$Y43*'Input data plant-based products'!AD38</f>
        <v>3.3499775137687204E-2</v>
      </c>
      <c r="AE43" s="877"/>
      <c r="AF43" s="879">
        <f>SUM('Input data plant-based products'!F38,'Input data plant-based products'!Q38)/'Input data plant-based products'!E38</f>
        <v>3.3E-3</v>
      </c>
      <c r="AG43" s="877">
        <f>$AF43*'Input data plant-based products'!Z38</f>
        <v>3.3E-3</v>
      </c>
      <c r="AH43" s="877">
        <f>$AF43*'Input data plant-based products'!AA38</f>
        <v>3.3E-3</v>
      </c>
      <c r="AI43" s="877">
        <f>$AF43*'Input data plant-based products'!AB38</f>
        <v>3.3E-3</v>
      </c>
      <c r="AJ43" s="877">
        <f>$AF43*'Input data plant-based products'!AC38</f>
        <v>3.9384174722520583E-3</v>
      </c>
      <c r="AK43" s="886">
        <f>$AF43*'Input data plant-based products'!AD38</f>
        <v>4.8622437929037752E-3</v>
      </c>
      <c r="AL43" s="877"/>
      <c r="AM43" s="879">
        <f>'Input data plant-based products'!R38/'Input data plant-based products'!E38</f>
        <v>1.6000000000000001E-3</v>
      </c>
      <c r="AN43" s="877">
        <f>$AM43*'Input data plant-based products'!Z38</f>
        <v>1.6000000000000001E-3</v>
      </c>
      <c r="AO43" s="877">
        <f>$AM43*'Input data plant-based products'!AA38</f>
        <v>1.6000000000000001E-3</v>
      </c>
      <c r="AP43" s="877">
        <f>$AM43*'Input data plant-based products'!AB38</f>
        <v>1.6000000000000001E-3</v>
      </c>
      <c r="AQ43" s="877">
        <f>$AM43*'Input data plant-based products'!AC38</f>
        <v>1.9095357441222104E-3</v>
      </c>
      <c r="AR43" s="886">
        <f>$AM43*'Input data plant-based products'!AD38</f>
        <v>2.3574515359533459E-3</v>
      </c>
      <c r="AS43" s="877"/>
      <c r="AT43" s="879">
        <f>'Input data plant-based products'!S38</f>
        <v>2E-3</v>
      </c>
      <c r="AU43" s="877">
        <f>$AT43*'Input data plant-based products'!Z38</f>
        <v>2E-3</v>
      </c>
      <c r="AV43" s="877">
        <f>$AT43*'Input data plant-based products'!AA38</f>
        <v>2E-3</v>
      </c>
      <c r="AW43" s="877">
        <f>$AT43*'Input data plant-based products'!AB38</f>
        <v>2E-3</v>
      </c>
      <c r="AX43" s="877">
        <f>$AT43*'Input data plant-based products'!AC38</f>
        <v>2.386919680152763E-3</v>
      </c>
      <c r="AY43" s="886">
        <f>$AT43*'Input data plant-based products'!AD38</f>
        <v>2.9468144199416824E-3</v>
      </c>
      <c r="AZ43" s="877"/>
      <c r="BA43" s="879">
        <f>((SUM('Input data plant-based products'!U38:Y38)*Y43)/('Common input data'!$B$192/10^6))/$BB$3</f>
        <v>1.6083394497981089E-13</v>
      </c>
      <c r="BB43" s="877">
        <f>$BA43*'Input data plant-based products'!Z38</f>
        <v>1.6083394497981089E-13</v>
      </c>
      <c r="BC43" s="877">
        <f>$BA43*'Input data plant-based products'!AA38</f>
        <v>1.6083394497981089E-13</v>
      </c>
      <c r="BD43" s="877">
        <f>$BA43*'Input data plant-based products'!AB38</f>
        <v>1.6083394497981089E-13</v>
      </c>
      <c r="BE43" s="877">
        <f>$BA43*'Input data plant-based products'!AC38</f>
        <v>1.9194885425445863E-13</v>
      </c>
      <c r="BF43" s="886">
        <f>$BA43*'Input data plant-based products'!AD38</f>
        <v>2.3697389414130694E-13</v>
      </c>
      <c r="BG43" s="877"/>
      <c r="BH43" s="879">
        <f>'Input data plant-based products'!T38/'Input data plant-based products'!E38</f>
        <v>6.5366758672747862E-6</v>
      </c>
      <c r="BI43" s="877">
        <f>$BH43*'Input data plant-based products'!Z38</f>
        <v>6.5366758672747862E-6</v>
      </c>
      <c r="BJ43" s="877">
        <f>$BH43*'Input data plant-based products'!AA38</f>
        <v>6.5366758672747862E-6</v>
      </c>
      <c r="BK43" s="877">
        <f>$BH43*'Input data plant-based products'!AB38</f>
        <v>6.5366758672747862E-6</v>
      </c>
      <c r="BL43" s="877">
        <f>$BH43*'Input data plant-based products'!AC38</f>
        <v>7.8012601351889079E-6</v>
      </c>
      <c r="BM43" s="886">
        <f>$BH43*'Input data plant-based products'!AD38</f>
        <v>9.6311853520850714E-6</v>
      </c>
      <c r="BN43" s="877"/>
      <c r="BO43" s="879">
        <f>('Input data plant-based products'!F38/'Input data plant-based products'!E38*'Common input data'!$B$195+'Input data plant-based products'!G38/'Input data plant-based products'!E38*'Common input data'!$B$196)/'Common input data'!$B$198</f>
        <v>8.4261319340329826E-5</v>
      </c>
      <c r="BP43" s="877">
        <f>$BO43*'Input data plant-based products'!Z38</f>
        <v>8.4261319340329826E-5</v>
      </c>
      <c r="BQ43" s="877">
        <f>$BO43*'Input data plant-based products'!AA38</f>
        <v>8.4261319340329826E-5</v>
      </c>
      <c r="BR43" s="877">
        <f>$BO43*'Input data plant-based products'!AB38</f>
        <v>8.4261319340329826E-5</v>
      </c>
      <c r="BS43" s="877">
        <f>$BO43*'Input data plant-based products'!AC38</f>
        <v>1.0056250070453494E-4</v>
      </c>
      <c r="BT43" s="886">
        <f>$BO43*'Input data plant-based products'!AD38</f>
        <v>1.2415123543769744E-4</v>
      </c>
      <c r="BU43" s="877"/>
      <c r="BV43" s="879">
        <f>'Common input data'!$C$202*'Input data plant-based products'!AC38</f>
        <v>0.17090344909893782</v>
      </c>
      <c r="BW43" s="886">
        <f>'Common input data'!$C$202*'Input data plant-based products'!AD38</f>
        <v>0.21099191246782442</v>
      </c>
      <c r="BX43" s="406"/>
      <c r="BY43" s="406"/>
      <c r="BZ43" s="406"/>
      <c r="CA43" s="406"/>
      <c r="CB43" s="406"/>
      <c r="CC43" s="406"/>
      <c r="CD43" s="406"/>
      <c r="CE43" s="406"/>
      <c r="CF43" s="406"/>
      <c r="CG43" s="406"/>
      <c r="CH43" s="406"/>
      <c r="CI43" s="406"/>
      <c r="CJ43" s="406"/>
      <c r="CK43" s="406"/>
      <c r="CL43" s="406"/>
      <c r="CM43" s="406"/>
      <c r="CN43" s="406"/>
      <c r="CO43" s="406"/>
      <c r="CP43" s="406"/>
      <c r="CQ43" s="406"/>
      <c r="CR43" s="406"/>
      <c r="CS43" s="406"/>
      <c r="CT43" s="406"/>
      <c r="CU43" s="406"/>
      <c r="CV43" s="406"/>
      <c r="CW43" s="406"/>
      <c r="CX43" s="406"/>
      <c r="CY43" s="406"/>
      <c r="CZ43" s="406"/>
      <c r="DA43" s="406"/>
      <c r="DB43" s="406"/>
      <c r="DC43" s="406"/>
      <c r="DD43" s="406"/>
      <c r="DE43" s="406"/>
      <c r="DF43" s="406"/>
      <c r="DG43" s="406"/>
      <c r="DH43" s="406"/>
      <c r="DI43" s="406"/>
      <c r="DJ43" s="406"/>
      <c r="DK43" s="406"/>
      <c r="DL43" s="406"/>
      <c r="DM43" s="406"/>
      <c r="DN43" s="406"/>
      <c r="DO43" s="406"/>
      <c r="DP43" s="406"/>
      <c r="DQ43" s="406"/>
      <c r="DR43" s="406"/>
      <c r="DS43" s="406"/>
      <c r="DT43" s="406"/>
      <c r="DU43" s="406"/>
      <c r="DV43" s="406"/>
      <c r="DW43" s="406"/>
      <c r="DX43" s="406"/>
      <c r="DY43" s="406"/>
      <c r="DZ43" s="406"/>
      <c r="EA43" s="406"/>
      <c r="EB43" s="406"/>
      <c r="EC43" s="406"/>
      <c r="ED43" s="406"/>
      <c r="EE43" s="406"/>
      <c r="EF43" s="406"/>
      <c r="EG43" s="406"/>
      <c r="EH43" s="406"/>
      <c r="EI43" s="406"/>
      <c r="EJ43" s="406"/>
      <c r="EK43" s="406"/>
      <c r="EL43" s="406"/>
      <c r="EM43" s="406"/>
      <c r="EN43" s="406"/>
      <c r="EO43" s="406"/>
      <c r="EP43" s="406"/>
      <c r="EQ43" s="406"/>
      <c r="ER43" s="406"/>
      <c r="ES43" s="406"/>
      <c r="ET43" s="406"/>
      <c r="EU43" s="406"/>
      <c r="EV43" s="406"/>
      <c r="EW43" s="406"/>
      <c r="EX43" s="406"/>
      <c r="EY43" s="406"/>
      <c r="EZ43" s="406"/>
      <c r="FA43" s="406"/>
      <c r="FB43" s="406"/>
      <c r="FC43" s="406"/>
      <c r="FD43" s="406"/>
      <c r="FE43" s="406"/>
      <c r="FF43" s="406"/>
      <c r="FG43" s="406"/>
      <c r="FH43" s="406"/>
      <c r="FI43" s="406"/>
      <c r="FJ43" s="406"/>
      <c r="FK43" s="406"/>
      <c r="FL43" s="406"/>
      <c r="FM43" s="406"/>
      <c r="FN43" s="406"/>
      <c r="FO43" s="406"/>
      <c r="FP43" s="406"/>
      <c r="FQ43" s="406"/>
      <c r="FR43" s="406"/>
      <c r="FS43" s="406"/>
      <c r="FT43" s="406"/>
      <c r="FU43" s="406"/>
      <c r="FV43" s="406"/>
      <c r="FW43" s="406"/>
      <c r="FX43" s="406"/>
      <c r="FY43" s="406"/>
      <c r="FZ43" s="406"/>
      <c r="GA43" s="406"/>
      <c r="GB43" s="406"/>
      <c r="GC43" s="406"/>
      <c r="GD43" s="406"/>
      <c r="GE43" s="406"/>
      <c r="GF43" s="406"/>
      <c r="GG43" s="406"/>
      <c r="GH43" s="406"/>
      <c r="GI43" s="406"/>
      <c r="GJ43" s="406"/>
      <c r="GK43" s="406"/>
      <c r="GL43" s="406"/>
      <c r="GM43" s="406"/>
      <c r="GN43" s="406"/>
      <c r="GO43" s="406"/>
      <c r="GP43" s="406"/>
      <c r="GQ43" s="406"/>
      <c r="GR43" s="406"/>
      <c r="GS43" s="406"/>
      <c r="GT43" s="406"/>
      <c r="GU43" s="406"/>
      <c r="GV43" s="406"/>
      <c r="GW43" s="406"/>
      <c r="GX43" s="406"/>
      <c r="GY43" s="406"/>
      <c r="GZ43" s="406"/>
      <c r="HA43" s="406"/>
      <c r="HB43" s="406"/>
      <c r="HC43" s="406"/>
      <c r="HD43" s="406"/>
      <c r="HE43" s="406"/>
      <c r="HF43" s="406"/>
      <c r="HG43" s="406"/>
      <c r="HH43" s="406"/>
      <c r="HI43" s="406"/>
      <c r="HJ43" s="406"/>
      <c r="HK43" s="406"/>
      <c r="HL43" s="406"/>
      <c r="HM43" s="406"/>
      <c r="HN43" s="406"/>
      <c r="HO43" s="406"/>
      <c r="HP43" s="406"/>
      <c r="HQ43" s="406"/>
      <c r="HR43" s="406"/>
      <c r="HS43" s="406"/>
      <c r="HT43" s="406"/>
      <c r="HU43" s="406"/>
      <c r="HV43" s="406"/>
      <c r="HW43" s="406"/>
      <c r="HX43" s="406"/>
      <c r="HY43" s="406"/>
      <c r="HZ43" s="406"/>
      <c r="IA43" s="406"/>
      <c r="IB43" s="406"/>
      <c r="IC43" s="406"/>
      <c r="ID43" s="406"/>
      <c r="IE43" s="406"/>
      <c r="IF43" s="406"/>
      <c r="IG43" s="406"/>
      <c r="IH43" s="406"/>
      <c r="II43" s="406"/>
      <c r="IJ43" s="406"/>
      <c r="IK43" s="406"/>
      <c r="IL43" s="406"/>
      <c r="IM43" s="406"/>
      <c r="IN43" s="406"/>
      <c r="IO43" s="406"/>
      <c r="IP43" s="406"/>
      <c r="IQ43" s="406"/>
      <c r="IR43" s="406"/>
      <c r="IS43" s="406"/>
    </row>
    <row r="44" spans="1:253" s="406" customFormat="1" ht="17.25">
      <c r="A44" s="499"/>
      <c r="B44"/>
      <c r="C44" s="917"/>
      <c r="D44" s="5"/>
      <c r="E44" s="1294" t="s">
        <v>317</v>
      </c>
      <c r="F44" s="877">
        <f>IF(AND($G$2="No",$G$3="No"),SUM(K44:L44),IF(AND($G$2="Yes", $G$3="No"), SUM(K44:L44)+S44, IF(AND($G$2="No", $G$3="Yes"),SUM(K44:L44)+R44, SUM(K44:L44)+S44+R44)))</f>
        <v>0</v>
      </c>
      <c r="G44" s="877">
        <f>IF(AND($G$2="No",$G$3="No"),SUM(I44:Q44),IF(AND($G$2="Yes", $G$3="No"), SUM(I44:Q44)+S44, IF(AND($G$2="No", $G$3="Yes"),SUM(I44:Q44)+R44, SUM(I44:Q44)+S44+R44)))</f>
        <v>0.42326012979145816</v>
      </c>
      <c r="H44" s="878">
        <f>SUM(U44:W44)/(1-'Common input data'!$B$140)</f>
        <v>0.60062075401773263</v>
      </c>
      <c r="I44" s="877">
        <f>('Input data plant-based products'!$F$38*('Common input data'!$B$93*'Common input data'!B86+'Common input data'!$B$94*'Common input data'!C86))/'Input data plant-based products'!$E$38</f>
        <v>1.0352524193623881E-2</v>
      </c>
      <c r="J44" s="877">
        <f>'Common input data'!$B$98</f>
        <v>0.03</v>
      </c>
      <c r="K44" s="877">
        <v>0</v>
      </c>
      <c r="L44" s="877">
        <v>0</v>
      </c>
      <c r="M44" s="877"/>
      <c r="N44" s="877">
        <v>0</v>
      </c>
      <c r="O44" s="877">
        <f>'Input data plant-based products'!N297/'Input data plant-based products'!E$38*'Input data plant-based products'!$L$297</f>
        <v>0.3807209389311676</v>
      </c>
      <c r="P44" s="877">
        <f>'Input data plant-based products'!G309*(1-'Input data plant-based products'!$L$297)</f>
        <v>2.1866666666666658E-3</v>
      </c>
      <c r="Q44" s="877">
        <v>0</v>
      </c>
      <c r="R44" s="877">
        <v>0</v>
      </c>
      <c r="S44" s="877">
        <v>0</v>
      </c>
      <c r="T44" s="877">
        <v>0</v>
      </c>
      <c r="U44" s="877">
        <f>(G44+T44)</f>
        <v>0.42326012979145816</v>
      </c>
      <c r="V44" s="877">
        <f>'Common input data'!$B$105</f>
        <v>0.05</v>
      </c>
      <c r="W44" s="877">
        <f>'Common input data'!C$115</f>
        <v>0.03</v>
      </c>
      <c r="X44" s="864"/>
      <c r="Y44" s="879"/>
      <c r="Z44" s="877"/>
      <c r="AA44" s="877"/>
      <c r="AB44" s="877"/>
      <c r="AC44" s="877"/>
      <c r="AD44" s="886"/>
      <c r="AE44" s="877"/>
      <c r="AF44" s="879"/>
      <c r="AG44" s="877"/>
      <c r="AH44" s="877"/>
      <c r="AI44" s="877"/>
      <c r="AJ44" s="877"/>
      <c r="AK44" s="886"/>
      <c r="AL44" s="877"/>
      <c r="AM44" s="879"/>
      <c r="AN44" s="877"/>
      <c r="AO44" s="877"/>
      <c r="AP44" s="877"/>
      <c r="AQ44" s="877"/>
      <c r="AR44" s="886"/>
      <c r="AS44" s="877"/>
      <c r="AT44" s="879"/>
      <c r="AU44" s="877"/>
      <c r="AV44" s="877"/>
      <c r="AW44" s="877"/>
      <c r="AX44" s="877"/>
      <c r="AY44" s="886"/>
      <c r="AZ44" s="877"/>
      <c r="BA44" s="879"/>
      <c r="BB44" s="877"/>
      <c r="BC44" s="877"/>
      <c r="BD44" s="877"/>
      <c r="BE44" s="877"/>
      <c r="BF44" s="886"/>
      <c r="BG44" s="877"/>
      <c r="BH44" s="879"/>
      <c r="BI44" s="877"/>
      <c r="BJ44" s="877"/>
      <c r="BK44" s="877"/>
      <c r="BL44" s="877"/>
      <c r="BM44" s="886"/>
      <c r="BN44" s="877"/>
      <c r="BO44" s="879"/>
      <c r="BP44" s="877"/>
      <c r="BQ44" s="877"/>
      <c r="BR44" s="877"/>
      <c r="BS44" s="877"/>
      <c r="BT44" s="886"/>
      <c r="BU44" s="877"/>
      <c r="BV44" s="879"/>
      <c r="BW44" s="886"/>
    </row>
    <row r="45" spans="1:253" s="406" customFormat="1" ht="17.25">
      <c r="A45" s="499"/>
      <c r="B45"/>
      <c r="C45" s="595"/>
      <c r="D45" s="50"/>
      <c r="E45" s="1294" t="s">
        <v>367</v>
      </c>
      <c r="F45" s="877">
        <f>SUM(K45:L45)</f>
        <v>0</v>
      </c>
      <c r="G45" s="877">
        <f>SUM(I45:Q45)</f>
        <v>1.209292997650083E-3</v>
      </c>
      <c r="H45" s="878">
        <f>SUM(U45:W45)/(1-'Common input data'!$B$140)</f>
        <v>1.4432426275809561E-3</v>
      </c>
      <c r="I45" s="877">
        <f>('Input data plant-based products'!$F$38*('Common input data'!$B$93*'Common input data'!B87+'Common input data'!$B$94*'Common input data'!C87))/'Input data plant-based products'!$E$38</f>
        <v>1.3023986782925373E-5</v>
      </c>
      <c r="J45" s="877">
        <v>0</v>
      </c>
      <c r="K45" s="877">
        <v>0</v>
      </c>
      <c r="L45" s="877">
        <v>0</v>
      </c>
      <c r="M45" s="877"/>
      <c r="N45" s="877">
        <v>0</v>
      </c>
      <c r="O45" s="877">
        <f>'Input data plant-based products'!O297/'Input data plant-based products'!E$38*'Input data plant-based products'!$L$297</f>
        <v>1.1962690108671577E-3</v>
      </c>
      <c r="P45" s="877">
        <v>0</v>
      </c>
      <c r="Q45" s="877">
        <v>0</v>
      </c>
      <c r="R45" s="877">
        <v>0</v>
      </c>
      <c r="S45" s="877">
        <v>0</v>
      </c>
      <c r="T45" s="877">
        <v>0</v>
      </c>
      <c r="U45" s="877">
        <f>(G45+T45)</f>
        <v>1.209292997650083E-3</v>
      </c>
      <c r="V45" s="877">
        <v>0</v>
      </c>
      <c r="W45" s="877">
        <v>0</v>
      </c>
      <c r="X45" s="864"/>
      <c r="Y45" s="879"/>
      <c r="Z45" s="877"/>
      <c r="AA45" s="877"/>
      <c r="AB45" s="877"/>
      <c r="AC45" s="877"/>
      <c r="AD45" s="886"/>
      <c r="AE45" s="877"/>
      <c r="AF45" s="879"/>
      <c r="AG45" s="877"/>
      <c r="AH45" s="877"/>
      <c r="AI45" s="877"/>
      <c r="AJ45" s="877"/>
      <c r="AK45" s="886"/>
      <c r="AL45" s="877"/>
      <c r="AM45" s="879"/>
      <c r="AN45" s="877"/>
      <c r="AO45" s="877"/>
      <c r="AP45" s="877"/>
      <c r="AQ45" s="877"/>
      <c r="AR45" s="886"/>
      <c r="AS45" s="877"/>
      <c r="AT45" s="879"/>
      <c r="AU45" s="877"/>
      <c r="AV45" s="877"/>
      <c r="AW45" s="877"/>
      <c r="AX45" s="877"/>
      <c r="AY45" s="886"/>
      <c r="AZ45" s="877"/>
      <c r="BA45" s="879"/>
      <c r="BB45" s="877"/>
      <c r="BC45" s="877"/>
      <c r="BD45" s="877"/>
      <c r="BE45" s="877"/>
      <c r="BF45" s="886"/>
      <c r="BG45" s="877"/>
      <c r="BH45" s="879"/>
      <c r="BI45" s="877"/>
      <c r="BJ45" s="877"/>
      <c r="BK45" s="877"/>
      <c r="BL45" s="877"/>
      <c r="BM45" s="886"/>
      <c r="BN45" s="877"/>
      <c r="BO45" s="879"/>
      <c r="BP45" s="877"/>
      <c r="BQ45" s="877"/>
      <c r="BR45" s="877"/>
      <c r="BS45" s="877"/>
      <c r="BT45" s="886"/>
      <c r="BU45" s="877"/>
      <c r="BV45" s="879"/>
      <c r="BW45" s="886"/>
    </row>
    <row r="46" spans="1:253" s="406" customFormat="1" ht="17.25">
      <c r="A46" s="18"/>
      <c r="B46"/>
      <c r="C46" s="83"/>
      <c r="D46" s="54"/>
      <c r="E46" s="1295" t="s">
        <v>320</v>
      </c>
      <c r="F46" s="877">
        <f>SUM(K46:L46)</f>
        <v>8.7037028571428576E-5</v>
      </c>
      <c r="G46" s="877">
        <f>SUM(I46:Q46)</f>
        <v>1.3157884122566387E-4</v>
      </c>
      <c r="H46" s="878">
        <f>SUM(U46:W46)/(1-'Common input data'!$B$140)</f>
        <v>1.5703406280661639E-4</v>
      </c>
      <c r="I46" s="877">
        <f>('Input data plant-based products'!$F$38*('Common input data'!$B$93*'Common input data'!B88+'Common input data'!$B$94*'Common input data'!C88))/'Input data plant-based products'!$E$38</f>
        <v>2.1768985628259245E-5</v>
      </c>
      <c r="J46" s="877">
        <v>0</v>
      </c>
      <c r="K46" s="877">
        <f>(SUM(('Input data plant-based products'!$F$38*'Input data plant-based products'!$B$258),(('Input data plant-based products'!$G$38+'Input data plant-based products'!$H$38)*'Input data plant-based products'!$B$259))*44/28)/'Input data plant-based products'!$E$38</f>
        <v>8.2971428571428579E-5</v>
      </c>
      <c r="L46" s="877">
        <f>K46*'Input data plant-based products'!$B$261*(1-'Input data plant-based products'!M297)</f>
        <v>4.0656000000000005E-6</v>
      </c>
      <c r="M46" s="877"/>
      <c r="N46" s="877">
        <v>0</v>
      </c>
      <c r="O46" s="877">
        <f>'Input data plant-based products'!P297/'Input data plant-based products'!E$38*'Input data plant-based products'!$L$297</f>
        <v>2.2772827025976045E-5</v>
      </c>
      <c r="P46" s="877">
        <v>0</v>
      </c>
      <c r="Q46" s="877">
        <v>0</v>
      </c>
      <c r="R46" s="877">
        <v>0</v>
      </c>
      <c r="S46" s="877">
        <v>0</v>
      </c>
      <c r="T46" s="877">
        <v>0</v>
      </c>
      <c r="U46" s="877">
        <f>(G46+T46)</f>
        <v>1.3157884122566387E-4</v>
      </c>
      <c r="V46" s="877">
        <v>0</v>
      </c>
      <c r="W46" s="877">
        <v>0</v>
      </c>
      <c r="X46" s="864"/>
      <c r="Y46" s="879"/>
      <c r="Z46" s="877"/>
      <c r="AA46" s="877"/>
      <c r="AB46" s="877"/>
      <c r="AC46" s="877"/>
      <c r="AD46" s="886"/>
      <c r="AE46" s="877"/>
      <c r="AF46" s="879"/>
      <c r="AG46" s="877"/>
      <c r="AH46" s="877"/>
      <c r="AI46" s="877"/>
      <c r="AJ46" s="877"/>
      <c r="AK46" s="886"/>
      <c r="AL46" s="877"/>
      <c r="AM46" s="879"/>
      <c r="AN46" s="877"/>
      <c r="AO46" s="877"/>
      <c r="AP46" s="877"/>
      <c r="AQ46" s="877"/>
      <c r="AR46" s="886"/>
      <c r="AS46" s="877"/>
      <c r="AT46" s="879"/>
      <c r="AU46" s="877"/>
      <c r="AV46" s="877"/>
      <c r="AW46" s="877"/>
      <c r="AX46" s="877"/>
      <c r="AY46" s="886"/>
      <c r="AZ46" s="877"/>
      <c r="BA46" s="879"/>
      <c r="BB46" s="877"/>
      <c r="BC46" s="877"/>
      <c r="BD46" s="877"/>
      <c r="BE46" s="877"/>
      <c r="BF46" s="886"/>
      <c r="BG46" s="877"/>
      <c r="BH46" s="879"/>
      <c r="BI46" s="877"/>
      <c r="BJ46" s="877"/>
      <c r="BK46" s="877"/>
      <c r="BL46" s="877"/>
      <c r="BM46" s="886"/>
      <c r="BN46" s="877"/>
      <c r="BO46" s="879"/>
      <c r="BP46" s="877"/>
      <c r="BQ46" s="877"/>
      <c r="BR46" s="877"/>
      <c r="BS46" s="877"/>
      <c r="BT46" s="886"/>
      <c r="BU46" s="877"/>
      <c r="BV46" s="879"/>
      <c r="BW46" s="886"/>
    </row>
    <row r="47" spans="1:253" s="502" customFormat="1" ht="17.25">
      <c r="A47" s="20" t="s">
        <v>122</v>
      </c>
      <c r="B47" s="164" t="s">
        <v>121</v>
      </c>
      <c r="C47" s="904">
        <f>'Input data plant-based products'!D39</f>
        <v>0.12</v>
      </c>
      <c r="D47" s="17"/>
      <c r="E47" s="1293" t="s">
        <v>316</v>
      </c>
      <c r="F47" s="872">
        <f>SUMPRODUCT($CE$14:$CE$16,F48:F50)</f>
        <v>6.419570982009995E-2</v>
      </c>
      <c r="G47" s="872">
        <f>SUMPRODUCT($CE$14:$CE$16,G48:G50)</f>
        <v>0.13269220215926131</v>
      </c>
      <c r="H47" s="873">
        <f>SUMPRODUCT($CE$14:$CE$16,H48:H50)</f>
        <v>0.25383960157448537</v>
      </c>
      <c r="I47" s="888"/>
      <c r="J47" s="888"/>
      <c r="K47" s="888"/>
      <c r="L47" s="888"/>
      <c r="M47" s="888"/>
      <c r="N47" s="888"/>
      <c r="O47" s="888"/>
      <c r="P47" s="888"/>
      <c r="Q47" s="888"/>
      <c r="R47" s="888"/>
      <c r="S47" s="888"/>
      <c r="T47" s="888"/>
      <c r="U47" s="888"/>
      <c r="V47" s="888"/>
      <c r="W47" s="888"/>
      <c r="X47" s="864"/>
      <c r="Y47" s="879">
        <f>1/'Input data plant-based products'!E39*10^4</f>
        <v>0.17006802721088435</v>
      </c>
      <c r="Z47" s="877">
        <f>$Y47*'Input data plant-based products'!Z39</f>
        <v>0.17006802721088435</v>
      </c>
      <c r="AA47" s="877">
        <f>$Y47*'Input data plant-based products'!AA39</f>
        <v>0.17006802721088435</v>
      </c>
      <c r="AB47" s="877">
        <f>$Y47*'Input data plant-based products'!AB39</f>
        <v>0.17006802721088435</v>
      </c>
      <c r="AC47" s="877">
        <f>$Y47*'Input data plant-based products'!AC39</f>
        <v>0.20296936055720771</v>
      </c>
      <c r="AD47" s="886">
        <f>$Y47*'Input data plant-based products'!AD39</f>
        <v>0.25057945747803417</v>
      </c>
      <c r="AE47" s="877"/>
      <c r="AF47" s="879">
        <f>SUM('Input data plant-based products'!F39,'Input data plant-based products'!Q39)/'Input data plant-based products'!E39</f>
        <v>2.3809523809523812E-3</v>
      </c>
      <c r="AG47" s="877">
        <f>$AF47*'Input data plant-based products'!Z39</f>
        <v>2.3809523809523812E-3</v>
      </c>
      <c r="AH47" s="877">
        <f>$AF47*'Input data plant-based products'!AA39</f>
        <v>2.3809523809523812E-3</v>
      </c>
      <c r="AI47" s="877">
        <f>$AF47*'Input data plant-based products'!AB39</f>
        <v>2.3809523809523812E-3</v>
      </c>
      <c r="AJ47" s="877">
        <f>$AF47*'Input data plant-based products'!AC39</f>
        <v>2.8415710478009084E-3</v>
      </c>
      <c r="AK47" s="886">
        <f>$AF47*'Input data plant-based products'!AD39</f>
        <v>3.508112404692479E-3</v>
      </c>
      <c r="AL47" s="877"/>
      <c r="AM47" s="879">
        <f>'Input data plant-based products'!R39/'Input data plant-based products'!E39</f>
        <v>6.1538461538461541E-4</v>
      </c>
      <c r="AN47" s="877">
        <f>$AM47*'Input data plant-based products'!Z39</f>
        <v>6.1538461538461541E-4</v>
      </c>
      <c r="AO47" s="877">
        <f>$AM47*'Input data plant-based products'!AA39</f>
        <v>6.1538461538461541E-4</v>
      </c>
      <c r="AP47" s="877">
        <f>$AM47*'Input data plant-based products'!AB39</f>
        <v>6.1538461538461541E-4</v>
      </c>
      <c r="AQ47" s="877">
        <f>$AM47*'Input data plant-based products'!AC39</f>
        <v>7.344368246623886E-4</v>
      </c>
      <c r="AR47" s="886">
        <f>$AM47*'Input data plant-based products'!AD39</f>
        <v>9.0671212921282528E-4</v>
      </c>
      <c r="AS47" s="877"/>
      <c r="AT47" s="879">
        <f>'Input data plant-based products'!S39</f>
        <v>2E-3</v>
      </c>
      <c r="AU47" s="877">
        <f>$AT47*'Input data plant-based products'!Z39</f>
        <v>2E-3</v>
      </c>
      <c r="AV47" s="877">
        <f>$AT47*'Input data plant-based products'!AA39</f>
        <v>2E-3</v>
      </c>
      <c r="AW47" s="877">
        <f>$AT47*'Input data plant-based products'!AB39</f>
        <v>2E-3</v>
      </c>
      <c r="AX47" s="877">
        <f>$AT47*'Input data plant-based products'!AC39</f>
        <v>2.386919680152763E-3</v>
      </c>
      <c r="AY47" s="886">
        <f>$AT47*'Input data plant-based products'!AD39</f>
        <v>2.9468144199416824E-3</v>
      </c>
      <c r="AZ47" s="877"/>
      <c r="BA47" s="879">
        <f>((SUM('Input data plant-based products'!U39:Y39)*Y47)/('Common input data'!$B$192/10^6))/$BB$3</f>
        <v>1.2030433789913315E-12</v>
      </c>
      <c r="BB47" s="877">
        <f>$BA47*'Input data plant-based products'!Z39</f>
        <v>1.2030433789913315E-12</v>
      </c>
      <c r="BC47" s="877">
        <f>$BA47*'Input data plant-based products'!AA39</f>
        <v>1.2030433789913315E-12</v>
      </c>
      <c r="BD47" s="877">
        <f>$BA47*'Input data plant-based products'!AB39</f>
        <v>1.2030433789913315E-12</v>
      </c>
      <c r="BE47" s="877">
        <f>$BA47*'Input data plant-based products'!AC39</f>
        <v>1.435783958695944E-12</v>
      </c>
      <c r="BF47" s="886">
        <f>$BA47*'Input data plant-based products'!AD39</f>
        <v>1.7725727885135109E-12</v>
      </c>
      <c r="BG47" s="877"/>
      <c r="BH47" s="879">
        <f>'Input data plant-based products'!T39/'Input data plant-based products'!E39</f>
        <v>4.8894557823129251E-5</v>
      </c>
      <c r="BI47" s="877">
        <f>$BH47*'Input data plant-based products'!Z39</f>
        <v>4.8894557823129251E-5</v>
      </c>
      <c r="BJ47" s="877">
        <f>$BH47*'Input data plant-based products'!AA39</f>
        <v>4.8894557823129251E-5</v>
      </c>
      <c r="BK47" s="877">
        <f>$BH47*'Input data plant-based products'!AB39</f>
        <v>4.8894557823129251E-5</v>
      </c>
      <c r="BL47" s="877">
        <f>$BH47*'Input data plant-based products'!AC39</f>
        <v>5.8353691160197219E-5</v>
      </c>
      <c r="BM47" s="886">
        <f>$BH47*'Input data plant-based products'!AD39</f>
        <v>7.2041594024934829E-5</v>
      </c>
      <c r="BN47" s="877"/>
      <c r="BO47" s="879">
        <f>('Input data plant-based products'!F39/'Input data plant-based products'!E39*'Common input data'!$B$195+'Input data plant-based products'!G39/'Input data plant-based products'!E39*'Common input data'!$B$196)/'Common input data'!$B$198</f>
        <v>6.0794602698650679E-5</v>
      </c>
      <c r="BP47" s="877">
        <f>$BO47*'Input data plant-based products'!Z39</f>
        <v>6.0794602698650679E-5</v>
      </c>
      <c r="BQ47" s="877">
        <f>$BO47*'Input data plant-based products'!AA39</f>
        <v>6.0794602698650679E-5</v>
      </c>
      <c r="BR47" s="877">
        <f>$BO47*'Input data plant-based products'!AB39</f>
        <v>6.0794602698650679E-5</v>
      </c>
      <c r="BS47" s="877">
        <f>$BO47*'Input data plant-based products'!AC39</f>
        <v>7.2555916814238784E-5</v>
      </c>
      <c r="BT47" s="886">
        <f>$BO47*'Input data plant-based products'!AD39</f>
        <v>8.9575205943504663E-5</v>
      </c>
      <c r="BU47" s="877"/>
      <c r="BV47" s="879">
        <f>'Common input data'!$C$202*'Input data plant-based products'!AC39</f>
        <v>0.17090344909893782</v>
      </c>
      <c r="BW47" s="886">
        <f>'Common input data'!$C$202*'Input data plant-based products'!AD39</f>
        <v>0.21099191246782442</v>
      </c>
      <c r="BX47" s="406"/>
      <c r="BY47" s="406"/>
      <c r="BZ47" s="406"/>
      <c r="CA47" s="406"/>
      <c r="CB47" s="406"/>
      <c r="CC47" s="406"/>
      <c r="CD47" s="406"/>
      <c r="CE47" s="406"/>
      <c r="CF47" s="406"/>
      <c r="CG47" s="406"/>
      <c r="CH47" s="406"/>
      <c r="CI47" s="406"/>
      <c r="CJ47" s="406"/>
      <c r="CK47" s="406"/>
      <c r="CL47" s="406"/>
      <c r="CM47" s="406"/>
      <c r="CN47" s="406"/>
      <c r="CO47" s="406"/>
      <c r="CP47" s="406"/>
      <c r="CQ47" s="406"/>
      <c r="CR47" s="406"/>
      <c r="CS47" s="406"/>
      <c r="CT47" s="406"/>
      <c r="CU47" s="406"/>
      <c r="CV47" s="406"/>
      <c r="CW47" s="406"/>
      <c r="CX47" s="406"/>
      <c r="CY47" s="406"/>
      <c r="CZ47" s="406"/>
      <c r="DA47" s="406"/>
      <c r="DB47" s="406"/>
      <c r="DC47" s="406"/>
      <c r="DD47" s="406"/>
      <c r="DE47" s="406"/>
      <c r="DF47" s="406"/>
      <c r="DG47" s="406"/>
      <c r="DH47" s="406"/>
      <c r="DI47" s="406"/>
      <c r="DJ47" s="406"/>
      <c r="DK47" s="406"/>
      <c r="DL47" s="406"/>
      <c r="DM47" s="406"/>
      <c r="DN47" s="406"/>
      <c r="DO47" s="406"/>
      <c r="DP47" s="406"/>
      <c r="DQ47" s="406"/>
      <c r="DR47" s="406"/>
      <c r="DS47" s="406"/>
      <c r="DT47" s="406"/>
      <c r="DU47" s="406"/>
      <c r="DV47" s="406"/>
      <c r="DW47" s="406"/>
      <c r="DX47" s="406"/>
      <c r="DY47" s="406"/>
      <c r="DZ47" s="406"/>
      <c r="EA47" s="406"/>
      <c r="EB47" s="406"/>
      <c r="EC47" s="406"/>
      <c r="ED47" s="406"/>
      <c r="EE47" s="406"/>
      <c r="EF47" s="406"/>
      <c r="EG47" s="406"/>
      <c r="EH47" s="406"/>
      <c r="EI47" s="406"/>
      <c r="EJ47" s="406"/>
      <c r="EK47" s="406"/>
      <c r="EL47" s="406"/>
      <c r="EM47" s="406"/>
      <c r="EN47" s="406"/>
      <c r="EO47" s="406"/>
      <c r="EP47" s="406"/>
      <c r="EQ47" s="406"/>
      <c r="ER47" s="406"/>
      <c r="ES47" s="406"/>
      <c r="ET47" s="406"/>
      <c r="EU47" s="406"/>
      <c r="EV47" s="406"/>
      <c r="EW47" s="406"/>
      <c r="EX47" s="406"/>
      <c r="EY47" s="406"/>
      <c r="EZ47" s="406"/>
      <c r="FA47" s="406"/>
      <c r="FB47" s="406"/>
      <c r="FC47" s="406"/>
      <c r="FD47" s="406"/>
      <c r="FE47" s="406"/>
      <c r="FF47" s="406"/>
      <c r="FG47" s="406"/>
      <c r="FH47" s="406"/>
      <c r="FI47" s="406"/>
      <c r="FJ47" s="406"/>
      <c r="FK47" s="406"/>
      <c r="FL47" s="406"/>
      <c r="FM47" s="406"/>
      <c r="FN47" s="406"/>
      <c r="FO47" s="406"/>
      <c r="FP47" s="406"/>
      <c r="FQ47" s="406"/>
      <c r="FR47" s="406"/>
      <c r="FS47" s="406"/>
      <c r="FT47" s="406"/>
      <c r="FU47" s="406"/>
      <c r="FV47" s="406"/>
      <c r="FW47" s="406"/>
      <c r="FX47" s="406"/>
      <c r="FY47" s="406"/>
      <c r="FZ47" s="406"/>
      <c r="GA47" s="406"/>
      <c r="GB47" s="406"/>
      <c r="GC47" s="406"/>
      <c r="GD47" s="406"/>
      <c r="GE47" s="406"/>
      <c r="GF47" s="406"/>
      <c r="GG47" s="406"/>
      <c r="GH47" s="406"/>
      <c r="GI47" s="406"/>
      <c r="GJ47" s="406"/>
      <c r="GK47" s="406"/>
      <c r="GL47" s="406"/>
      <c r="GM47" s="406"/>
      <c r="GN47" s="406"/>
      <c r="GO47" s="406"/>
      <c r="GP47" s="406"/>
      <c r="GQ47" s="406"/>
      <c r="GR47" s="406"/>
      <c r="GS47" s="406"/>
      <c r="GT47" s="406"/>
      <c r="GU47" s="406"/>
      <c r="GV47" s="406"/>
      <c r="GW47" s="406"/>
      <c r="GX47" s="406"/>
      <c r="GY47" s="406"/>
      <c r="GZ47" s="406"/>
      <c r="HA47" s="406"/>
      <c r="HB47" s="406"/>
      <c r="HC47" s="406"/>
      <c r="HD47" s="406"/>
      <c r="HE47" s="406"/>
      <c r="HF47" s="406"/>
      <c r="HG47" s="406"/>
      <c r="HH47" s="406"/>
      <c r="HI47" s="406"/>
      <c r="HJ47" s="406"/>
      <c r="HK47" s="406"/>
      <c r="HL47" s="406"/>
      <c r="HM47" s="406"/>
      <c r="HN47" s="406"/>
      <c r="HO47" s="406"/>
      <c r="HP47" s="406"/>
      <c r="HQ47" s="406"/>
      <c r="HR47" s="406"/>
      <c r="HS47" s="406"/>
      <c r="HT47" s="406"/>
      <c r="HU47" s="406"/>
      <c r="HV47" s="406"/>
      <c r="HW47" s="406"/>
      <c r="HX47" s="406"/>
      <c r="HY47" s="406"/>
      <c r="HZ47" s="406"/>
      <c r="IA47" s="406"/>
      <c r="IB47" s="406"/>
      <c r="IC47" s="406"/>
      <c r="ID47" s="406"/>
      <c r="IE47" s="406"/>
      <c r="IF47" s="406"/>
      <c r="IG47" s="406"/>
      <c r="IH47" s="406"/>
      <c r="II47" s="406"/>
      <c r="IJ47" s="406"/>
      <c r="IK47" s="406"/>
      <c r="IL47" s="406"/>
      <c r="IM47" s="406"/>
      <c r="IN47" s="406"/>
      <c r="IO47" s="406"/>
      <c r="IP47" s="406"/>
      <c r="IQ47" s="406"/>
      <c r="IR47" s="406"/>
      <c r="IS47" s="406"/>
    </row>
    <row r="48" spans="1:253" s="406" customFormat="1" ht="17.25">
      <c r="A48" s="499"/>
      <c r="B48"/>
      <c r="C48" s="917"/>
      <c r="D48" s="5"/>
      <c r="E48" s="1294" t="s">
        <v>317</v>
      </c>
      <c r="F48" s="877">
        <f>IF(AND($G$2="No",$G$3="No"),SUM(K48:L48),IF(AND($G$2="Yes", $G$3="No"), SUM(K48:L48)+S48, IF(AND($G$2="No", $G$3="Yes"),SUM(K48:L48)+R48, SUM(K48:L48)+S48+R48)))</f>
        <v>3.9989486962957101E-2</v>
      </c>
      <c r="G48" s="877">
        <f>IF(AND($G$2="No",$G$3="No"),SUM(I48:Q48),IF(AND($G$2="Yes", $G$3="No"), SUM(I48:Q48)+S48, IF(AND($G$2="No", $G$3="Yes"),SUM(I48:Q48)+R48, SUM(I48:Q48)+S48+R48)))</f>
        <v>0.10382165968562945</v>
      </c>
      <c r="H48" s="878">
        <f>SUM(U48:W48)/(1-'Common input data'!$B$140)</f>
        <v>0.21938376857098632</v>
      </c>
      <c r="I48" s="877">
        <f>('Input data plant-based products'!$F$39*('Common input data'!$B$93*'Common input data'!B86+'Common input data'!$B$94*'Common input data'!C86))/'Input data plant-based products'!$E$39</f>
        <v>7.4693536750533055E-3</v>
      </c>
      <c r="J48" s="877">
        <f>'Common input data'!$B$98</f>
        <v>0.03</v>
      </c>
      <c r="K48" s="877">
        <v>0</v>
      </c>
      <c r="L48" s="877">
        <v>0</v>
      </c>
      <c r="M48" s="877"/>
      <c r="N48" s="877">
        <f>('Input data plant-based products'!$P$39*'Common input data'!$C$76*'Common input data'!H66)/'Input data plant-based products'!$E$39</f>
        <v>6.3628190476190472E-3</v>
      </c>
      <c r="O48" s="877">
        <v>0</v>
      </c>
      <c r="P48" s="877">
        <f>'Input data plant-based products'!G$309</f>
        <v>0.02</v>
      </c>
      <c r="Q48" s="877">
        <v>0</v>
      </c>
      <c r="R48" s="877">
        <f>'Common input data'!E$19</f>
        <v>3.9989486962957101E-2</v>
      </c>
      <c r="S48" s="877">
        <v>0</v>
      </c>
      <c r="T48" s="877">
        <v>0</v>
      </c>
      <c r="U48" s="877">
        <f>(G48+T48)</f>
        <v>0.10382165968562945</v>
      </c>
      <c r="V48" s="877">
        <f>'Common input data'!$B$105</f>
        <v>0.05</v>
      </c>
      <c r="W48" s="877">
        <f>'Common input data'!C$115</f>
        <v>0.03</v>
      </c>
      <c r="X48" s="864"/>
      <c r="Y48" s="879"/>
      <c r="Z48" s="877"/>
      <c r="AA48" s="877"/>
      <c r="AB48" s="877"/>
      <c r="AC48" s="877"/>
      <c r="AD48" s="886"/>
      <c r="AE48" s="877"/>
      <c r="AF48" s="879"/>
      <c r="AG48" s="877"/>
      <c r="AH48" s="877"/>
      <c r="AI48" s="877"/>
      <c r="AJ48" s="877"/>
      <c r="AK48" s="886"/>
      <c r="AL48" s="877"/>
      <c r="AM48" s="879"/>
      <c r="AN48" s="877"/>
      <c r="AO48" s="877"/>
      <c r="AP48" s="877"/>
      <c r="AQ48" s="877"/>
      <c r="AR48" s="886"/>
      <c r="AS48" s="877"/>
      <c r="AT48" s="879"/>
      <c r="AU48" s="877"/>
      <c r="AV48" s="877"/>
      <c r="AW48" s="877"/>
      <c r="AX48" s="877"/>
      <c r="AY48" s="886"/>
      <c r="AZ48" s="877"/>
      <c r="BA48" s="879"/>
      <c r="BB48" s="877"/>
      <c r="BC48" s="877"/>
      <c r="BD48" s="877"/>
      <c r="BE48" s="877"/>
      <c r="BF48" s="886"/>
      <c r="BG48" s="877"/>
      <c r="BH48" s="879"/>
      <c r="BI48" s="877"/>
      <c r="BJ48" s="877"/>
      <c r="BK48" s="877"/>
      <c r="BL48" s="877"/>
      <c r="BM48" s="886"/>
      <c r="BN48" s="877"/>
      <c r="BO48" s="879"/>
      <c r="BP48" s="877"/>
      <c r="BQ48" s="877"/>
      <c r="BR48" s="877"/>
      <c r="BS48" s="877"/>
      <c r="BT48" s="886"/>
      <c r="BU48" s="877"/>
      <c r="BV48" s="879"/>
      <c r="BW48" s="886"/>
    </row>
    <row r="49" spans="1:253" s="406" customFormat="1" ht="17.25">
      <c r="A49" s="499"/>
      <c r="B49"/>
      <c r="C49" s="595"/>
      <c r="D49" s="50"/>
      <c r="E49" s="1294" t="s">
        <v>367</v>
      </c>
      <c r="F49" s="877">
        <f>SUM(K49:L49)</f>
        <v>0</v>
      </c>
      <c r="G49" s="877">
        <f>SUM(I49:Q49)</f>
        <v>1.2215330146410802E-5</v>
      </c>
      <c r="H49" s="878">
        <f>SUM(U49:W49)/(1-'Common input data'!$B$140)</f>
        <v>1.4578505963015637E-5</v>
      </c>
      <c r="I49" s="877">
        <f>('Input data plant-based products'!$F$39*('Common input data'!$B$93*'Common input data'!B87+'Common input data'!$B$94*'Common input data'!C87))/'Input data plant-based products'!$E$39</f>
        <v>9.3968158606965159E-6</v>
      </c>
      <c r="J49" s="877">
        <v>0</v>
      </c>
      <c r="K49" s="877">
        <v>0</v>
      </c>
      <c r="L49" s="877">
        <v>0</v>
      </c>
      <c r="M49" s="877"/>
      <c r="N49" s="877">
        <f>('Input data plant-based products'!$P$39*'Common input data'!$C$76*'Common input data'!H67)/'Input data plant-based products'!$E$39</f>
        <v>2.8185142857142858E-6</v>
      </c>
      <c r="O49" s="877">
        <v>0</v>
      </c>
      <c r="P49" s="877">
        <v>0</v>
      </c>
      <c r="Q49" s="877">
        <v>0</v>
      </c>
      <c r="R49" s="877">
        <v>0</v>
      </c>
      <c r="S49" s="877">
        <v>0</v>
      </c>
      <c r="T49" s="877">
        <v>0</v>
      </c>
      <c r="U49" s="877">
        <f>(G49+T49)</f>
        <v>1.2215330146410802E-5</v>
      </c>
      <c r="V49" s="877">
        <v>0</v>
      </c>
      <c r="W49" s="877">
        <v>0</v>
      </c>
      <c r="X49" s="864"/>
      <c r="Y49" s="879"/>
      <c r="Z49" s="877"/>
      <c r="AA49" s="877"/>
      <c r="AB49" s="877"/>
      <c r="AC49" s="877"/>
      <c r="AD49" s="886"/>
      <c r="AE49" s="877"/>
      <c r="AF49" s="879"/>
      <c r="AG49" s="877"/>
      <c r="AH49" s="877"/>
      <c r="AI49" s="877"/>
      <c r="AJ49" s="877"/>
      <c r="AK49" s="886"/>
      <c r="AL49" s="877"/>
      <c r="AM49" s="879"/>
      <c r="AN49" s="877"/>
      <c r="AO49" s="877"/>
      <c r="AP49" s="877"/>
      <c r="AQ49" s="877"/>
      <c r="AR49" s="886"/>
      <c r="AS49" s="877"/>
      <c r="AT49" s="879"/>
      <c r="AU49" s="877"/>
      <c r="AV49" s="877"/>
      <c r="AW49" s="877"/>
      <c r="AX49" s="877"/>
      <c r="AY49" s="886"/>
      <c r="AZ49" s="877"/>
      <c r="BA49" s="879"/>
      <c r="BB49" s="877"/>
      <c r="BC49" s="877"/>
      <c r="BD49" s="877"/>
      <c r="BE49" s="877"/>
      <c r="BF49" s="886"/>
      <c r="BG49" s="877"/>
      <c r="BH49" s="879"/>
      <c r="BI49" s="877"/>
      <c r="BJ49" s="877"/>
      <c r="BK49" s="877"/>
      <c r="BL49" s="877"/>
      <c r="BM49" s="886"/>
      <c r="BN49" s="877"/>
      <c r="BO49" s="879"/>
      <c r="BP49" s="877"/>
      <c r="BQ49" s="877"/>
      <c r="BR49" s="877"/>
      <c r="BS49" s="877"/>
      <c r="BT49" s="886"/>
      <c r="BU49" s="877"/>
      <c r="BV49" s="879"/>
      <c r="BW49" s="886"/>
    </row>
    <row r="50" spans="1:253" s="406" customFormat="1" ht="17.25">
      <c r="A50" s="18"/>
      <c r="B50"/>
      <c r="C50" s="83"/>
      <c r="D50" s="54"/>
      <c r="E50" s="1295" t="s">
        <v>320</v>
      </c>
      <c r="F50" s="877">
        <f>SUM(K50:L50)</f>
        <v>8.8667482993197273E-5</v>
      </c>
      <c r="G50" s="877">
        <f>SUM(I50:Q50)</f>
        <v>1.0454479325889659E-4</v>
      </c>
      <c r="H50" s="878">
        <f>SUM(U50:W50)/(1-'Common input data'!$B$140)</f>
        <v>1.2477001224358108E-4</v>
      </c>
      <c r="I50" s="877">
        <f>('Input data plant-based products'!$F$39*('Common input data'!$B$93*'Common input data'!B88+'Common input data'!$B$94*'Common input data'!C88))/'Input data plant-based products'!$E$39</f>
        <v>1.5706338837127879E-5</v>
      </c>
      <c r="J50" s="877">
        <v>0</v>
      </c>
      <c r="K50" s="877">
        <f>(SUM(('Input data plant-based products'!$F$39*'Input data plant-based products'!$B$258),(('Input data plant-based products'!$G$39+'Input data plant-based products'!$H$39)*'Input data plant-based products'!$B$259))*44/28)/'Input data plant-based products'!$E$39</f>
        <v>8.0606802721088432E-5</v>
      </c>
      <c r="L50" s="877">
        <f>K50*'Input data plant-based products'!$B$261</f>
        <v>8.0606802721088439E-6</v>
      </c>
      <c r="M50" s="877"/>
      <c r="N50" s="877">
        <f>('Input data plant-based products'!$P$39*'Common input data'!$C$76*'Common input data'!H68)/'Input data plant-based products'!$E$39</f>
        <v>1.7097142857142859E-7</v>
      </c>
      <c r="O50" s="877">
        <v>0</v>
      </c>
      <c r="P50" s="877">
        <v>0</v>
      </c>
      <c r="Q50" s="877">
        <v>0</v>
      </c>
      <c r="R50" s="877">
        <v>0</v>
      </c>
      <c r="S50" s="877">
        <v>0</v>
      </c>
      <c r="T50" s="877">
        <v>0</v>
      </c>
      <c r="U50" s="877">
        <f>(G50+T50)</f>
        <v>1.0454479325889659E-4</v>
      </c>
      <c r="V50" s="877">
        <v>0</v>
      </c>
      <c r="W50" s="877">
        <v>0</v>
      </c>
      <c r="X50" s="864"/>
      <c r="Y50" s="879"/>
      <c r="Z50" s="877"/>
      <c r="AA50" s="877"/>
      <c r="AB50" s="877"/>
      <c r="AC50" s="877"/>
      <c r="AD50" s="886"/>
      <c r="AE50" s="877"/>
      <c r="AF50" s="879"/>
      <c r="AG50" s="877"/>
      <c r="AH50" s="877"/>
      <c r="AI50" s="877"/>
      <c r="AJ50" s="877"/>
      <c r="AK50" s="886"/>
      <c r="AL50" s="877"/>
      <c r="AM50" s="879"/>
      <c r="AN50" s="877"/>
      <c r="AO50" s="877"/>
      <c r="AP50" s="877"/>
      <c r="AQ50" s="877"/>
      <c r="AR50" s="886"/>
      <c r="AS50" s="877"/>
      <c r="AT50" s="879"/>
      <c r="AU50" s="877"/>
      <c r="AV50" s="877"/>
      <c r="AW50" s="877"/>
      <c r="AX50" s="877"/>
      <c r="AY50" s="886"/>
      <c r="AZ50" s="877"/>
      <c r="BA50" s="879"/>
      <c r="BB50" s="877"/>
      <c r="BC50" s="877"/>
      <c r="BD50" s="877"/>
      <c r="BE50" s="877"/>
      <c r="BF50" s="886"/>
      <c r="BG50" s="877"/>
      <c r="BH50" s="879"/>
      <c r="BI50" s="877"/>
      <c r="BJ50" s="877"/>
      <c r="BK50" s="877"/>
      <c r="BL50" s="877"/>
      <c r="BM50" s="886"/>
      <c r="BN50" s="877"/>
      <c r="BO50" s="879"/>
      <c r="BP50" s="877"/>
      <c r="BQ50" s="877"/>
      <c r="BR50" s="877"/>
      <c r="BS50" s="877"/>
      <c r="BT50" s="886"/>
      <c r="BU50" s="877"/>
      <c r="BV50" s="879"/>
      <c r="BW50" s="886"/>
    </row>
    <row r="51" spans="1:253" s="502" customFormat="1" ht="17.25">
      <c r="A51" s="20" t="s">
        <v>148</v>
      </c>
      <c r="B51" s="164" t="s">
        <v>129</v>
      </c>
      <c r="C51" s="904">
        <f>'Input data plant-based products'!D40</f>
        <v>0.17</v>
      </c>
      <c r="D51" s="17"/>
      <c r="E51" s="1293" t="s">
        <v>316</v>
      </c>
      <c r="F51" s="872">
        <f>SUMPRODUCT($CE$14:$CE$16,F52:F54)</f>
        <v>8.2354742402204698E-3</v>
      </c>
      <c r="G51" s="872">
        <f>SUMPRODUCT($CE$14:$CE$16,G52:G54)</f>
        <v>1.0400828015004502</v>
      </c>
      <c r="H51" s="873">
        <f>SUMPRODUCT($CE$14:$CE$16,H52:H54)</f>
        <v>1.4561198251586707</v>
      </c>
      <c r="I51" s="888"/>
      <c r="J51" s="888"/>
      <c r="K51" s="888"/>
      <c r="L51" s="888"/>
      <c r="M51" s="888"/>
      <c r="N51" s="888"/>
      <c r="O51" s="888"/>
      <c r="P51" s="888"/>
      <c r="Q51" s="888"/>
      <c r="R51" s="888"/>
      <c r="S51" s="888"/>
      <c r="T51" s="888"/>
      <c r="U51" s="888"/>
      <c r="V51" s="888"/>
      <c r="W51" s="888"/>
      <c r="X51" s="864"/>
      <c r="Y51" s="879">
        <f>1/'Input data plant-based products'!E40*10^4</f>
        <v>1.4721556480723593E-2</v>
      </c>
      <c r="Z51" s="877">
        <f>$Y51*'Input data plant-based products'!Z40</f>
        <v>1.4721556480723593E-2</v>
      </c>
      <c r="AA51" s="877">
        <f>$Y51*'Input data plant-based products'!AA40</f>
        <v>1.4721556480723593E-2</v>
      </c>
      <c r="AB51" s="877">
        <f>$Y51*'Input data plant-based products'!AB40</f>
        <v>1.4721556480723593E-2</v>
      </c>
      <c r="AC51" s="877">
        <f>$Y51*'Input data plant-based products'!AC40</f>
        <v>1.7569586443159795E-2</v>
      </c>
      <c r="AD51" s="886">
        <f>$Y51*'Input data plant-based products'!AD40</f>
        <v>2.1690847460691103E-2</v>
      </c>
      <c r="AE51" s="877"/>
      <c r="AF51" s="879">
        <f>SUM('Input data plant-based products'!F40,'Input data plant-based products'!Q40)/'Input data plant-based products'!E40</f>
        <v>1.1998068531789729E-3</v>
      </c>
      <c r="AG51" s="877">
        <f>$AF51*'Input data plant-based products'!Z40</f>
        <v>1.1998068531789729E-3</v>
      </c>
      <c r="AH51" s="877">
        <f>$AF51*'Input data plant-based products'!AA40</f>
        <v>1.1998068531789729E-3</v>
      </c>
      <c r="AI51" s="877">
        <f>$AF51*'Input data plant-based products'!AB40</f>
        <v>1.1998068531789729E-3</v>
      </c>
      <c r="AJ51" s="877">
        <f>$AF51*'Input data plant-based products'!AC40</f>
        <v>1.4319212951175234E-3</v>
      </c>
      <c r="AK51" s="886">
        <f>$AF51*'Input data plant-based products'!AD40</f>
        <v>1.7678040680463251E-3</v>
      </c>
      <c r="AL51" s="877"/>
      <c r="AM51" s="879">
        <f>'Input data plant-based products'!R40/'Input data plant-based products'!E40</f>
        <v>5.3269385911787526E-5</v>
      </c>
      <c r="AN51" s="877">
        <f>$AM51*'Input data plant-based products'!Z40</f>
        <v>5.3269385911787526E-5</v>
      </c>
      <c r="AO51" s="877">
        <f>$AM51*'Input data plant-based products'!AA40</f>
        <v>5.3269385911787526E-5</v>
      </c>
      <c r="AP51" s="877">
        <f>$AM51*'Input data plant-based products'!AB40</f>
        <v>5.3269385911787526E-5</v>
      </c>
      <c r="AQ51" s="877">
        <f>$AM51*'Input data plant-based products'!AC40</f>
        <v>6.357487279124898E-5</v>
      </c>
      <c r="AR51" s="886">
        <f>$AM51*'Input data plant-based products'!AD40</f>
        <v>7.8487497273146891E-5</v>
      </c>
      <c r="AS51" s="877"/>
      <c r="AT51" s="879">
        <f>'Input data plant-based products'!S40</f>
        <v>0</v>
      </c>
      <c r="AU51" s="877">
        <f>$AT51*'Input data plant-based products'!Z40</f>
        <v>0</v>
      </c>
      <c r="AV51" s="877">
        <f>$AT51*'Input data plant-based products'!AA40</f>
        <v>0</v>
      </c>
      <c r="AW51" s="877">
        <f>$AT51*'Input data plant-based products'!AB40</f>
        <v>0</v>
      </c>
      <c r="AX51" s="877">
        <f>$AT51*'Input data plant-based products'!AC40</f>
        <v>0</v>
      </c>
      <c r="AY51" s="886">
        <f>$AT51*'Input data plant-based products'!AD40</f>
        <v>0</v>
      </c>
      <c r="AZ51" s="877"/>
      <c r="BA51" s="879">
        <f>((SUM('Input data plant-based products'!U40:Y40)*Y51)/('Common input data'!$B$192/10^6))/$BB$3</f>
        <v>1.0413874578917891E-13</v>
      </c>
      <c r="BB51" s="877">
        <f>$BA51*'Input data plant-based products'!Z40</f>
        <v>1.0413874578917891E-13</v>
      </c>
      <c r="BC51" s="877">
        <f>$BA51*'Input data plant-based products'!AA40</f>
        <v>1.0413874578917891E-13</v>
      </c>
      <c r="BD51" s="877">
        <f>$BA51*'Input data plant-based products'!AB40</f>
        <v>1.0413874578917891E-13</v>
      </c>
      <c r="BE51" s="877">
        <f>$BA51*'Input data plant-based products'!AC40</f>
        <v>1.2428541089530841E-13</v>
      </c>
      <c r="BF51" s="886">
        <f>$BA51*'Input data plant-based products'!AD40</f>
        <v>1.5343877888309677E-13</v>
      </c>
      <c r="BG51" s="877"/>
      <c r="BH51" s="879">
        <f>'Input data plant-based products'!T40/'Input data plant-based products'!E40</f>
        <v>4.0337064757182644E-6</v>
      </c>
      <c r="BI51" s="877">
        <f>$BH51*'Input data plant-based products'!Z40</f>
        <v>4.0337064757182644E-6</v>
      </c>
      <c r="BJ51" s="877">
        <f>$BH51*'Input data plant-based products'!AA40</f>
        <v>4.0337064757182644E-6</v>
      </c>
      <c r="BK51" s="877">
        <f>$BH51*'Input data plant-based products'!AB40</f>
        <v>4.0337064757182644E-6</v>
      </c>
      <c r="BL51" s="877">
        <f>$BH51*'Input data plant-based products'!AC40</f>
        <v>4.8140666854257835E-6</v>
      </c>
      <c r="BM51" s="886">
        <f>$BH51*'Input data plant-based products'!AD40</f>
        <v>5.9432922042293617E-6</v>
      </c>
      <c r="BN51" s="877"/>
      <c r="BO51" s="879">
        <f>('Input data plant-based products'!F40/'Input data plant-based products'!E40*'Common input data'!$B$195+'Input data plant-based products'!G40/'Input data plant-based products'!E40*'Common input data'!$B$196)/'Common input data'!$B$198</f>
        <v>3.0635548000736261E-5</v>
      </c>
      <c r="BP51" s="877">
        <f>$BO51*'Input data plant-based products'!Z40</f>
        <v>3.0635548000736261E-5</v>
      </c>
      <c r="BQ51" s="877">
        <f>$BO51*'Input data plant-based products'!AA40</f>
        <v>3.0635548000736261E-5</v>
      </c>
      <c r="BR51" s="877">
        <f>$BO51*'Input data plant-based products'!AB40</f>
        <v>3.0635548000736261E-5</v>
      </c>
      <c r="BS51" s="877">
        <f>$BO51*'Input data plant-based products'!AC40</f>
        <v>3.6562296217611007E-5</v>
      </c>
      <c r="BT51" s="886">
        <f>$BO51*'Input data plant-based products'!AD40</f>
        <v>4.5138637305692595E-5</v>
      </c>
      <c r="BU51" s="877"/>
      <c r="BV51" s="879">
        <f>('Common input data'!$C$202+'Common input data'!$B$209)*'Input data plant-based products'!AC39</f>
        <v>0.80081155269125193</v>
      </c>
      <c r="BW51" s="886">
        <f>('Common input data'!$C$202+'Common input data'!$B$209)*'Input data plant-based products'!AD39</f>
        <v>0.98865623789043444</v>
      </c>
      <c r="BX51" s="406"/>
      <c r="BY51" s="406"/>
      <c r="BZ51" s="406"/>
      <c r="CA51" s="406"/>
      <c r="CB51" s="406"/>
      <c r="CC51" s="406"/>
      <c r="CD51" s="406"/>
      <c r="CE51" s="406"/>
      <c r="CF51" s="406"/>
      <c r="CG51" s="406"/>
      <c r="CH51" s="406"/>
      <c r="CI51" s="406"/>
      <c r="CJ51" s="406"/>
      <c r="CK51" s="406"/>
      <c r="CL51" s="406"/>
      <c r="CM51" s="406"/>
      <c r="CN51" s="406"/>
      <c r="CO51" s="406"/>
      <c r="CP51" s="406"/>
      <c r="CQ51" s="406"/>
      <c r="CR51" s="406"/>
      <c r="CS51" s="406"/>
      <c r="CT51" s="406"/>
      <c r="CU51" s="406"/>
      <c r="CV51" s="406"/>
      <c r="CW51" s="406"/>
      <c r="CX51" s="406"/>
      <c r="CY51" s="406"/>
      <c r="CZ51" s="406"/>
      <c r="DA51" s="406"/>
      <c r="DB51" s="406"/>
      <c r="DC51" s="406"/>
      <c r="DD51" s="406"/>
      <c r="DE51" s="406"/>
      <c r="DF51" s="406"/>
      <c r="DG51" s="406"/>
      <c r="DH51" s="406"/>
      <c r="DI51" s="406"/>
      <c r="DJ51" s="406"/>
      <c r="DK51" s="406"/>
      <c r="DL51" s="406"/>
      <c r="DM51" s="406"/>
      <c r="DN51" s="406"/>
      <c r="DO51" s="406"/>
      <c r="DP51" s="406"/>
      <c r="DQ51" s="406"/>
      <c r="DR51" s="406"/>
      <c r="DS51" s="406"/>
      <c r="DT51" s="406"/>
      <c r="DU51" s="406"/>
      <c r="DV51" s="406"/>
      <c r="DW51" s="406"/>
      <c r="DX51" s="406"/>
      <c r="DY51" s="406"/>
      <c r="DZ51" s="406"/>
      <c r="EA51" s="406"/>
      <c r="EB51" s="406"/>
      <c r="EC51" s="406"/>
      <c r="ED51" s="406"/>
      <c r="EE51" s="406"/>
      <c r="EF51" s="406"/>
      <c r="EG51" s="406"/>
      <c r="EH51" s="406"/>
      <c r="EI51" s="406"/>
      <c r="EJ51" s="406"/>
      <c r="EK51" s="406"/>
      <c r="EL51" s="406"/>
      <c r="EM51" s="406"/>
      <c r="EN51" s="406"/>
      <c r="EO51" s="406"/>
      <c r="EP51" s="406"/>
      <c r="EQ51" s="406"/>
      <c r="ER51" s="406"/>
      <c r="ES51" s="406"/>
      <c r="ET51" s="406"/>
      <c r="EU51" s="406"/>
      <c r="EV51" s="406"/>
      <c r="EW51" s="406"/>
      <c r="EX51" s="406"/>
      <c r="EY51" s="406"/>
      <c r="EZ51" s="406"/>
      <c r="FA51" s="406"/>
      <c r="FB51" s="406"/>
      <c r="FC51" s="406"/>
      <c r="FD51" s="406"/>
      <c r="FE51" s="406"/>
      <c r="FF51" s="406"/>
      <c r="FG51" s="406"/>
      <c r="FH51" s="406"/>
      <c r="FI51" s="406"/>
      <c r="FJ51" s="406"/>
      <c r="FK51" s="406"/>
      <c r="FL51" s="406"/>
      <c r="FM51" s="406"/>
      <c r="FN51" s="406"/>
      <c r="FO51" s="406"/>
      <c r="FP51" s="406"/>
      <c r="FQ51" s="406"/>
      <c r="FR51" s="406"/>
      <c r="FS51" s="406"/>
      <c r="FT51" s="406"/>
      <c r="FU51" s="406"/>
      <c r="FV51" s="406"/>
      <c r="FW51" s="406"/>
      <c r="FX51" s="406"/>
      <c r="FY51" s="406"/>
      <c r="FZ51" s="406"/>
      <c r="GA51" s="406"/>
      <c r="GB51" s="406"/>
      <c r="GC51" s="406"/>
      <c r="GD51" s="406"/>
      <c r="GE51" s="406"/>
      <c r="GF51" s="406"/>
      <c r="GG51" s="406"/>
      <c r="GH51" s="406"/>
      <c r="GI51" s="406"/>
      <c r="GJ51" s="406"/>
      <c r="GK51" s="406"/>
      <c r="GL51" s="406"/>
      <c r="GM51" s="406"/>
      <c r="GN51" s="406"/>
      <c r="GO51" s="406"/>
      <c r="GP51" s="406"/>
      <c r="GQ51" s="406"/>
      <c r="GR51" s="406"/>
      <c r="GS51" s="406"/>
      <c r="GT51" s="406"/>
      <c r="GU51" s="406"/>
      <c r="GV51" s="406"/>
      <c r="GW51" s="406"/>
      <c r="GX51" s="406"/>
      <c r="GY51" s="406"/>
      <c r="GZ51" s="406"/>
      <c r="HA51" s="406"/>
      <c r="HB51" s="406"/>
      <c r="HC51" s="406"/>
      <c r="HD51" s="406"/>
      <c r="HE51" s="406"/>
      <c r="HF51" s="406"/>
      <c r="HG51" s="406"/>
      <c r="HH51" s="406"/>
      <c r="HI51" s="406"/>
      <c r="HJ51" s="406"/>
      <c r="HK51" s="406"/>
      <c r="HL51" s="406"/>
      <c r="HM51" s="406"/>
      <c r="HN51" s="406"/>
      <c r="HO51" s="406"/>
      <c r="HP51" s="406"/>
      <c r="HQ51" s="406"/>
      <c r="HR51" s="406"/>
      <c r="HS51" s="406"/>
      <c r="HT51" s="406"/>
      <c r="HU51" s="406"/>
      <c r="HV51" s="406"/>
      <c r="HW51" s="406"/>
      <c r="HX51" s="406"/>
      <c r="HY51" s="406"/>
      <c r="HZ51" s="406"/>
      <c r="IA51" s="406"/>
      <c r="IB51" s="406"/>
      <c r="IC51" s="406"/>
      <c r="ID51" s="406"/>
      <c r="IE51" s="406"/>
      <c r="IF51" s="406"/>
      <c r="IG51" s="406"/>
      <c r="IH51" s="406"/>
      <c r="II51" s="406"/>
      <c r="IJ51" s="406"/>
      <c r="IK51" s="406"/>
      <c r="IL51" s="406"/>
      <c r="IM51" s="406"/>
      <c r="IN51" s="406"/>
      <c r="IO51" s="406"/>
      <c r="IP51" s="406"/>
      <c r="IQ51" s="406"/>
      <c r="IR51" s="406"/>
      <c r="IS51" s="406"/>
    </row>
    <row r="52" spans="1:253" s="406" customFormat="1" ht="17.25">
      <c r="A52" s="18"/>
      <c r="B52"/>
      <c r="C52" s="917"/>
      <c r="D52" s="5"/>
      <c r="E52" s="1294" t="s">
        <v>317</v>
      </c>
      <c r="F52" s="877">
        <f>IF(AND($G$2="No",$G$3="No"),SUM(K52:L52),IF(AND($G$2="Yes", $G$3="No"), SUM(K52:L52)+S52, IF(AND($G$2="No", $G$3="Yes"),SUM(K52:L52)+R52, SUM(K52:L52)+S52+R52)))</f>
        <v>0</v>
      </c>
      <c r="G52" s="877">
        <f>IF(AND($G$2="No",$G$3="No"),SUM(I52:Q52),IF(AND($G$2="Yes", $G$3="No"), SUM(I52:Q52)+S52, IF(AND($G$2="No", $G$3="Yes"),SUM(I52:Q52)+R52, SUM(I52:Q52)+S52+R52)))</f>
        <v>0.91336008933806068</v>
      </c>
      <c r="H52" s="878">
        <f>SUM(U52:W52)/(1-'Common input data'!$B$140)</f>
        <v>1.3048813573672999</v>
      </c>
      <c r="I52" s="877">
        <f>('Input data plant-based products'!$F$40*('Common input data'!$C$93*'Common input data'!B86+'Common input data'!$C$94*'Common input data'!C86))/'Input data plant-based products'!$E$40</f>
        <v>4.517242748453951E-3</v>
      </c>
      <c r="J52" s="877">
        <f>'Common input data'!$B$98</f>
        <v>0.03</v>
      </c>
      <c r="K52" s="877">
        <v>0</v>
      </c>
      <c r="L52" s="877">
        <v>0</v>
      </c>
      <c r="M52" s="877"/>
      <c r="N52" s="877">
        <v>0</v>
      </c>
      <c r="O52" s="877">
        <f>'Input data plant-based products'!N298/'Input data plant-based products'!E$40*'Common input data'!D$49</f>
        <v>0.87884284658960676</v>
      </c>
      <c r="P52" s="877">
        <v>0</v>
      </c>
      <c r="Q52" s="877">
        <v>0</v>
      </c>
      <c r="R52" s="877">
        <v>0</v>
      </c>
      <c r="S52" s="877">
        <v>0</v>
      </c>
      <c r="T52" s="877">
        <v>0</v>
      </c>
      <c r="U52" s="877">
        <f>(G52+T52)</f>
        <v>0.91336008933806068</v>
      </c>
      <c r="V52" s="877">
        <f>'Common input data'!$B$105</f>
        <v>0.05</v>
      </c>
      <c r="W52" s="877">
        <f>'Common input data'!B116+'Common input data'!C116</f>
        <v>0.13</v>
      </c>
      <c r="X52" s="864"/>
      <c r="Y52" s="879"/>
      <c r="Z52" s="877"/>
      <c r="AA52" s="877"/>
      <c r="AB52" s="877"/>
      <c r="AC52" s="877"/>
      <c r="AD52" s="886"/>
      <c r="AE52" s="877"/>
      <c r="AF52" s="879"/>
      <c r="AG52" s="877"/>
      <c r="AH52" s="877"/>
      <c r="AI52" s="877"/>
      <c r="AJ52" s="877"/>
      <c r="AK52" s="886"/>
      <c r="AL52" s="877"/>
      <c r="AM52" s="879"/>
      <c r="AN52" s="877"/>
      <c r="AO52" s="877"/>
      <c r="AP52" s="877"/>
      <c r="AQ52" s="877"/>
      <c r="AR52" s="886"/>
      <c r="AS52" s="877"/>
      <c r="AT52" s="879"/>
      <c r="AU52" s="877"/>
      <c r="AV52" s="877"/>
      <c r="AW52" s="877"/>
      <c r="AX52" s="877"/>
      <c r="AY52" s="886"/>
      <c r="AZ52" s="877"/>
      <c r="BA52" s="879"/>
      <c r="BB52" s="877"/>
      <c r="BC52" s="877"/>
      <c r="BD52" s="877"/>
      <c r="BE52" s="877"/>
      <c r="BF52" s="886"/>
      <c r="BG52" s="877"/>
      <c r="BH52" s="879"/>
      <c r="BI52" s="877"/>
      <c r="BJ52" s="877"/>
      <c r="BK52" s="877"/>
      <c r="BL52" s="877"/>
      <c r="BM52" s="886"/>
      <c r="BN52" s="877"/>
      <c r="BO52" s="879"/>
      <c r="BP52" s="877"/>
      <c r="BQ52" s="877"/>
      <c r="BR52" s="877"/>
      <c r="BS52" s="877"/>
      <c r="BT52" s="886"/>
      <c r="BU52" s="877"/>
      <c r="BV52" s="879"/>
      <c r="BW52" s="886"/>
    </row>
    <row r="53" spans="1:253" s="406" customFormat="1" ht="17.25">
      <c r="A53" s="18"/>
      <c r="B53" s="23"/>
      <c r="C53" s="595"/>
      <c r="D53" s="50"/>
      <c r="E53" s="1294" t="s">
        <v>367</v>
      </c>
      <c r="F53" s="877">
        <f>SUM(K53:L53)</f>
        <v>0</v>
      </c>
      <c r="G53" s="877">
        <f>SUM(I53:Q53)</f>
        <v>3.9761108273094255E-3</v>
      </c>
      <c r="H53" s="878">
        <f>SUM(U53:W53)/(1-'Common input data'!$B$140)</f>
        <v>4.7453285920866757E-3</v>
      </c>
      <c r="I53" s="877">
        <f>('Input data plant-based products'!$F$40*('Common input data'!$C$93*'Common input data'!B87+'Common input data'!$C$94*'Common input data'!C87))/'Input data plant-based products'!$E$40</f>
        <v>8.2866575897775441E-6</v>
      </c>
      <c r="J53" s="877">
        <v>0</v>
      </c>
      <c r="K53" s="931">
        <v>0</v>
      </c>
      <c r="L53" s="877">
        <v>0</v>
      </c>
      <c r="M53" s="877"/>
      <c r="N53" s="877">
        <v>0</v>
      </c>
      <c r="O53" s="877">
        <f>'Input data plant-based products'!O298/'Input data plant-based products'!E$40*'Common input data'!D$49</f>
        <v>3.9678241697196481E-3</v>
      </c>
      <c r="P53" s="877">
        <v>0</v>
      </c>
      <c r="Q53" s="877">
        <v>0</v>
      </c>
      <c r="R53" s="877">
        <v>0</v>
      </c>
      <c r="S53" s="877">
        <v>0</v>
      </c>
      <c r="T53" s="877">
        <v>0</v>
      </c>
      <c r="U53" s="877">
        <f>(G53+T53)</f>
        <v>3.9761108273094255E-3</v>
      </c>
      <c r="V53" s="877">
        <v>0</v>
      </c>
      <c r="W53" s="877">
        <v>0</v>
      </c>
      <c r="X53" s="864"/>
      <c r="Y53" s="879"/>
      <c r="Z53" s="877"/>
      <c r="AA53" s="877"/>
      <c r="AB53" s="877"/>
      <c r="AC53" s="877"/>
      <c r="AD53" s="886"/>
      <c r="AE53" s="877"/>
      <c r="AF53" s="879"/>
      <c r="AG53" s="877"/>
      <c r="AH53" s="877"/>
      <c r="AI53" s="877"/>
      <c r="AJ53" s="877"/>
      <c r="AK53" s="886"/>
      <c r="AL53" s="877"/>
      <c r="AM53" s="879"/>
      <c r="AN53" s="877"/>
      <c r="AO53" s="877"/>
      <c r="AP53" s="877"/>
      <c r="AQ53" s="877"/>
      <c r="AR53" s="886"/>
      <c r="AS53" s="877"/>
      <c r="AT53" s="879"/>
      <c r="AU53" s="877"/>
      <c r="AV53" s="877"/>
      <c r="AW53" s="877"/>
      <c r="AX53" s="877"/>
      <c r="AY53" s="886"/>
      <c r="AZ53" s="877"/>
      <c r="BA53" s="879"/>
      <c r="BB53" s="877"/>
      <c r="BC53" s="877"/>
      <c r="BD53" s="877"/>
      <c r="BE53" s="877"/>
      <c r="BF53" s="886"/>
      <c r="BG53" s="877"/>
      <c r="BH53" s="879"/>
      <c r="BI53" s="877"/>
      <c r="BJ53" s="877"/>
      <c r="BK53" s="877"/>
      <c r="BL53" s="877"/>
      <c r="BM53" s="886"/>
      <c r="BN53" s="877"/>
      <c r="BO53" s="879"/>
      <c r="BP53" s="877"/>
      <c r="BQ53" s="877"/>
      <c r="BR53" s="877"/>
      <c r="BS53" s="877"/>
      <c r="BT53" s="886"/>
      <c r="BU53" s="877"/>
      <c r="BV53" s="879"/>
      <c r="BW53" s="886"/>
    </row>
    <row r="54" spans="1:253" s="406" customFormat="1" ht="17.25">
      <c r="A54" s="18"/>
      <c r="B54"/>
      <c r="C54" s="83"/>
      <c r="D54" s="54"/>
      <c r="E54" s="1295" t="s">
        <v>320</v>
      </c>
      <c r="F54" s="877">
        <f>SUM(K54:L54)</f>
        <v>3.0166572308499889E-5</v>
      </c>
      <c r="G54" s="877">
        <f>SUM(I54:Q54)</f>
        <v>7.0944028663132147E-5</v>
      </c>
      <c r="H54" s="878">
        <f>SUM(U54:W54)/(1-'Common input data'!$B$140)</f>
        <v>8.4668849102675917E-5</v>
      </c>
      <c r="I54" s="877">
        <f>('Input data plant-based products'!$F$40*('Common input data'!$C$93*'Common input data'!B88+'Common input data'!$C$94*'Common input data'!C88))/'Input data plant-based products'!$E$40</f>
        <v>9.9252185801838183E-6</v>
      </c>
      <c r="J54" s="877">
        <v>0</v>
      </c>
      <c r="K54" s="877">
        <f>(SUM(('Input data plant-based products'!$F$40*'Input data plant-based products'!$B$258),(('Input data plant-based products'!$G$40+'Input data plant-based products'!$H$40)*'Input data plant-based products'!$B$259))*44/28)/'Input data plant-based products'!$E$40</f>
        <v>3.0166572308499889E-5</v>
      </c>
      <c r="L54" s="877">
        <f>K54*'Input data plant-based products'!$B$261*(1-'Input data plant-based products'!M298)</f>
        <v>0</v>
      </c>
      <c r="M54" s="877"/>
      <c r="N54" s="877">
        <v>0</v>
      </c>
      <c r="O54" s="877">
        <f>'Input data plant-based products'!P298/'Input data plant-based products'!E$40*'Common input data'!D$49</f>
        <v>3.0852237774448448E-5</v>
      </c>
      <c r="P54" s="877">
        <v>0</v>
      </c>
      <c r="Q54" s="877">
        <v>0</v>
      </c>
      <c r="R54" s="877">
        <v>0</v>
      </c>
      <c r="S54" s="877">
        <v>0</v>
      </c>
      <c r="T54" s="877">
        <v>0</v>
      </c>
      <c r="U54" s="877">
        <f>(G54+T54)</f>
        <v>7.0944028663132147E-5</v>
      </c>
      <c r="V54" s="877">
        <v>0</v>
      </c>
      <c r="W54" s="877">
        <v>0</v>
      </c>
      <c r="X54" s="864"/>
      <c r="Y54" s="879"/>
      <c r="Z54" s="877"/>
      <c r="AA54" s="877"/>
      <c r="AB54" s="877"/>
      <c r="AC54" s="877"/>
      <c r="AD54" s="886"/>
      <c r="AE54" s="877"/>
      <c r="AF54" s="879"/>
      <c r="AG54" s="877"/>
      <c r="AH54" s="877"/>
      <c r="AI54" s="877"/>
      <c r="AJ54" s="877"/>
      <c r="AK54" s="886"/>
      <c r="AL54" s="877"/>
      <c r="AM54" s="879"/>
      <c r="AN54" s="877"/>
      <c r="AO54" s="877"/>
      <c r="AP54" s="877"/>
      <c r="AQ54" s="877"/>
      <c r="AR54" s="886"/>
      <c r="AS54" s="877"/>
      <c r="AT54" s="879"/>
      <c r="AU54" s="877"/>
      <c r="AV54" s="877"/>
      <c r="AW54" s="877"/>
      <c r="AX54" s="877"/>
      <c r="AY54" s="886"/>
      <c r="AZ54" s="877"/>
      <c r="BA54" s="879"/>
      <c r="BB54" s="877"/>
      <c r="BC54" s="877"/>
      <c r="BD54" s="877"/>
      <c r="BE54" s="877"/>
      <c r="BF54" s="886"/>
      <c r="BG54" s="877"/>
      <c r="BH54" s="879"/>
      <c r="BI54" s="877"/>
      <c r="BJ54" s="877"/>
      <c r="BK54" s="877"/>
      <c r="BL54" s="877"/>
      <c r="BM54" s="886"/>
      <c r="BN54" s="877"/>
      <c r="BO54" s="879"/>
      <c r="BP54" s="877"/>
      <c r="BQ54" s="877"/>
      <c r="BR54" s="877"/>
      <c r="BS54" s="877"/>
      <c r="BT54" s="886"/>
      <c r="BU54" s="877"/>
      <c r="BV54" s="879"/>
      <c r="BW54" s="886"/>
    </row>
    <row r="55" spans="1:253" s="502" customFormat="1" ht="17.25">
      <c r="A55" s="20" t="s">
        <v>130</v>
      </c>
      <c r="B55" s="164" t="s">
        <v>129</v>
      </c>
      <c r="C55" s="904">
        <f>'Input data plant-based products'!D41</f>
        <v>0.26</v>
      </c>
      <c r="D55" s="17"/>
      <c r="E55" s="1293" t="s">
        <v>316</v>
      </c>
      <c r="F55" s="872">
        <f>SUMPRODUCT($CE$14:$CE$16,F56:F58)</f>
        <v>7.3655504376869156E-3</v>
      </c>
      <c r="G55" s="872">
        <f>SUMPRODUCT($CE$14:$CE$16,G56:G58)</f>
        <v>7.6750435157097369E-2</v>
      </c>
      <c r="H55" s="873">
        <f>SUMPRODUCT($CE$14:$CE$16,H56:H58)</f>
        <v>0.42576731728976897</v>
      </c>
      <c r="I55" s="888"/>
      <c r="J55" s="888"/>
      <c r="K55" s="888"/>
      <c r="L55" s="888"/>
      <c r="M55" s="888"/>
      <c r="N55" s="888"/>
      <c r="O55" s="888"/>
      <c r="P55" s="888"/>
      <c r="Q55" s="888"/>
      <c r="R55" s="888"/>
      <c r="S55" s="888"/>
      <c r="T55" s="888"/>
      <c r="U55" s="888"/>
      <c r="V55" s="888"/>
      <c r="W55" s="888"/>
      <c r="X55" s="864"/>
      <c r="Y55" s="879">
        <f>1/'Input data plant-based products'!E41*10^4</f>
        <v>0.10914885721146499</v>
      </c>
      <c r="Z55" s="877">
        <f>$Y55*'Input data plant-based products'!Z41</f>
        <v>0.10914885721146499</v>
      </c>
      <c r="AA55" s="877">
        <f>$Y55*'Input data plant-based products'!AA41</f>
        <v>0.10914885721146499</v>
      </c>
      <c r="AB55" s="877">
        <f>$Y55*'Input data plant-based products'!AB41</f>
        <v>0.10914885721146499</v>
      </c>
      <c r="AC55" s="877">
        <f>$Y55*'Input data plant-based products'!AC41</f>
        <v>0.13026477767211478</v>
      </c>
      <c r="AD55" s="886">
        <f>$Y55*'Input data plant-based products'!AD41</f>
        <v>0.16082071317545035</v>
      </c>
      <c r="AE55" s="877"/>
      <c r="AF55" s="879">
        <f>SUM('Input data plant-based products'!F41,'Input data plant-based products'!Q41)/'Input data plant-based products'!E41</f>
        <v>3.1216573162478989E-3</v>
      </c>
      <c r="AG55" s="877">
        <f>$AF55*'Input data plant-based products'!Z41</f>
        <v>3.1216573162478989E-3</v>
      </c>
      <c r="AH55" s="877">
        <f>$AF55*'Input data plant-based products'!AA41</f>
        <v>3.1216573162478989E-3</v>
      </c>
      <c r="AI55" s="877">
        <f>$AF55*'Input data plant-based products'!AB41</f>
        <v>3.1216573162478989E-3</v>
      </c>
      <c r="AJ55" s="877">
        <f>$AF55*'Input data plant-based products'!AC41</f>
        <v>3.7255726414224832E-3</v>
      </c>
      <c r="AK55" s="886">
        <f>$AF55*'Input data plant-based products'!AD41</f>
        <v>4.5994723968178801E-3</v>
      </c>
      <c r="AL55" s="877"/>
      <c r="AM55" s="879">
        <f>'Input data plant-based products'!R41/'Input data plant-based products'!E41</f>
        <v>1.75E-3</v>
      </c>
      <c r="AN55" s="877">
        <f>$AM55*'Input data plant-based products'!Z41</f>
        <v>1.75E-3</v>
      </c>
      <c r="AO55" s="877">
        <f>$AM55*'Input data plant-based products'!AA41</f>
        <v>1.75E-3</v>
      </c>
      <c r="AP55" s="877">
        <f>$AM55*'Input data plant-based products'!AB41</f>
        <v>1.75E-3</v>
      </c>
      <c r="AQ55" s="877">
        <f>$AM55*'Input data plant-based products'!AC41</f>
        <v>2.0885547201336674E-3</v>
      </c>
      <c r="AR55" s="886">
        <f>$AM55*'Input data plant-based products'!AD41</f>
        <v>2.5784626174489718E-3</v>
      </c>
      <c r="AS55" s="877"/>
      <c r="AT55" s="879">
        <f>'Input data plant-based products'!S41</f>
        <v>3.2000000000000001E-2</v>
      </c>
      <c r="AU55" s="877">
        <f>$AT55*'Input data plant-based products'!Z41</f>
        <v>3.2000000000000001E-2</v>
      </c>
      <c r="AV55" s="877">
        <f>$AT55*'Input data plant-based products'!AA41</f>
        <v>3.2000000000000001E-2</v>
      </c>
      <c r="AW55" s="877">
        <f>$AT55*'Input data plant-based products'!AB41</f>
        <v>3.2000000000000001E-2</v>
      </c>
      <c r="AX55" s="877">
        <f>$AT55*'Input data plant-based products'!AC41</f>
        <v>3.8190714882444209E-2</v>
      </c>
      <c r="AY55" s="886">
        <f>$AT55*'Input data plant-based products'!AD41</f>
        <v>4.7149030719066919E-2</v>
      </c>
      <c r="AZ55" s="877"/>
      <c r="BA55" s="879">
        <f>((SUM('Input data plant-based products'!U41:Y41)*Y55)/('Common input data'!$B$192/10^6))/$BB$3</f>
        <v>1.8492171661345074E-10</v>
      </c>
      <c r="BB55" s="877">
        <f>$BA55*'Input data plant-based products'!Z41</f>
        <v>1.8492171661345074E-10</v>
      </c>
      <c r="BC55" s="877">
        <f>$BA55*'Input data plant-based products'!AA41</f>
        <v>1.8492171661345074E-10</v>
      </c>
      <c r="BD55" s="877">
        <f>$BA55*'Input data plant-based products'!AB41</f>
        <v>1.8492171661345074E-10</v>
      </c>
      <c r="BE55" s="877">
        <f>$BA55*'Input data plant-based products'!AC41</f>
        <v>2.2069664233613884E-10</v>
      </c>
      <c r="BF55" s="886">
        <f>$BA55*'Input data plant-based products'!AD41</f>
        <v>2.7246499053844299E-10</v>
      </c>
      <c r="BG55" s="877"/>
      <c r="BH55" s="879">
        <f>'Input data plant-based products'!T41/'Input data plant-based products'!E41</f>
        <v>1.737649806806523E-4</v>
      </c>
      <c r="BI55" s="877">
        <f>$BH55*'Input data plant-based products'!Z41</f>
        <v>1.737649806806523E-4</v>
      </c>
      <c r="BJ55" s="877">
        <f>$BH55*'Input data plant-based products'!AA41</f>
        <v>1.737649806806523E-4</v>
      </c>
      <c r="BK55" s="877">
        <f>$BH55*'Input data plant-based products'!AB41</f>
        <v>1.737649806806523E-4</v>
      </c>
      <c r="BL55" s="877">
        <f>$BH55*'Input data plant-based products'!AC41</f>
        <v>2.073815260540068E-4</v>
      </c>
      <c r="BM55" s="886">
        <f>$BH55*'Input data plant-based products'!AD41</f>
        <v>2.5602657537531702E-4</v>
      </c>
      <c r="BN55" s="877"/>
      <c r="BO55" s="879">
        <f>('Input data plant-based products'!F41/'Input data plant-based products'!E41*'Common input data'!$B$195+'Input data plant-based products'!G41/'Input data plant-based products'!E41*'Common input data'!$B$196)/'Common input data'!$B$198</f>
        <v>7.9707564847103404E-5</v>
      </c>
      <c r="BP55" s="877">
        <f>$BO55*'Input data plant-based products'!Z41</f>
        <v>7.9707564847103404E-5</v>
      </c>
      <c r="BQ55" s="877">
        <f>$BO55*'Input data plant-based products'!AA41</f>
        <v>7.9707564847103404E-5</v>
      </c>
      <c r="BR55" s="877">
        <f>$BO55*'Input data plant-based products'!AB41</f>
        <v>7.9707564847103404E-5</v>
      </c>
      <c r="BS55" s="877">
        <f>$BO55*'Input data plant-based products'!AC41</f>
        <v>9.5127777595301828E-5</v>
      </c>
      <c r="BT55" s="886">
        <f>$BO55*'Input data plant-based products'!AD41</f>
        <v>1.1744170073494052E-4</v>
      </c>
      <c r="BU55" s="877"/>
      <c r="BV55" s="879">
        <f>('Common input data'!$C$202+'Common input data'!$B$210)*'Input data plant-based products'!AC41</f>
        <v>1.4837092731829575</v>
      </c>
      <c r="BW55" s="886">
        <f>('Common input data'!$C$202+'Common input data'!$B$210)*'Input data plant-based products'!AD41</f>
        <v>1.8317398434357497</v>
      </c>
      <c r="BX55" s="406"/>
      <c r="BY55" s="406"/>
      <c r="BZ55" s="406"/>
      <c r="CA55" s="406"/>
      <c r="CB55" s="406"/>
      <c r="CC55" s="406"/>
      <c r="CD55" s="406"/>
      <c r="CE55" s="406"/>
      <c r="CF55" s="406"/>
      <c r="CG55" s="406"/>
      <c r="CH55" s="406"/>
      <c r="CI55" s="406"/>
      <c r="CJ55" s="406"/>
      <c r="CK55" s="406"/>
      <c r="CL55" s="406"/>
      <c r="CM55" s="406"/>
      <c r="CN55" s="406"/>
      <c r="CO55" s="406"/>
      <c r="CP55" s="406"/>
      <c r="CQ55" s="406"/>
      <c r="CR55" s="406"/>
      <c r="CS55" s="406"/>
      <c r="CT55" s="406"/>
      <c r="CU55" s="406"/>
      <c r="CV55" s="406"/>
      <c r="CW55" s="406"/>
      <c r="CX55" s="406"/>
      <c r="CY55" s="406"/>
      <c r="CZ55" s="406"/>
      <c r="DA55" s="406"/>
      <c r="DB55" s="406"/>
      <c r="DC55" s="406"/>
      <c r="DD55" s="406"/>
      <c r="DE55" s="406"/>
      <c r="DF55" s="406"/>
      <c r="DG55" s="406"/>
      <c r="DH55" s="406"/>
      <c r="DI55" s="406"/>
      <c r="DJ55" s="406"/>
      <c r="DK55" s="406"/>
      <c r="DL55" s="406"/>
      <c r="DM55" s="406"/>
      <c r="DN55" s="406"/>
      <c r="DO55" s="406"/>
      <c r="DP55" s="406"/>
      <c r="DQ55" s="406"/>
      <c r="DR55" s="406"/>
      <c r="DS55" s="406"/>
      <c r="DT55" s="406"/>
      <c r="DU55" s="406"/>
      <c r="DV55" s="406"/>
      <c r="DW55" s="406"/>
      <c r="DX55" s="406"/>
      <c r="DY55" s="406"/>
      <c r="DZ55" s="406"/>
      <c r="EA55" s="406"/>
      <c r="EB55" s="406"/>
      <c r="EC55" s="406"/>
      <c r="ED55" s="406"/>
      <c r="EE55" s="406"/>
      <c r="EF55" s="406"/>
      <c r="EG55" s="406"/>
      <c r="EH55" s="406"/>
      <c r="EI55" s="406"/>
      <c r="EJ55" s="406"/>
      <c r="EK55" s="406"/>
      <c r="EL55" s="406"/>
      <c r="EM55" s="406"/>
      <c r="EN55" s="406"/>
      <c r="EO55" s="406"/>
      <c r="EP55" s="406"/>
      <c r="EQ55" s="406"/>
      <c r="ER55" s="406"/>
      <c r="ES55" s="406"/>
      <c r="ET55" s="406"/>
      <c r="EU55" s="406"/>
      <c r="EV55" s="406"/>
      <c r="EW55" s="406"/>
      <c r="EX55" s="406"/>
      <c r="EY55" s="406"/>
      <c r="EZ55" s="406"/>
      <c r="FA55" s="406"/>
      <c r="FB55" s="406"/>
      <c r="FC55" s="406"/>
      <c r="FD55" s="406"/>
      <c r="FE55" s="406"/>
      <c r="FF55" s="406"/>
      <c r="FG55" s="406"/>
      <c r="FH55" s="406"/>
      <c r="FI55" s="406"/>
      <c r="FJ55" s="406"/>
      <c r="FK55" s="406"/>
      <c r="FL55" s="406"/>
      <c r="FM55" s="406"/>
      <c r="FN55" s="406"/>
      <c r="FO55" s="406"/>
      <c r="FP55" s="406"/>
      <c r="FQ55" s="406"/>
      <c r="FR55" s="406"/>
      <c r="FS55" s="406"/>
      <c r="FT55" s="406"/>
      <c r="FU55" s="406"/>
      <c r="FV55" s="406"/>
      <c r="FW55" s="406"/>
      <c r="FX55" s="406"/>
      <c r="FY55" s="406"/>
      <c r="FZ55" s="406"/>
      <c r="GA55" s="406"/>
      <c r="GB55" s="406"/>
      <c r="GC55" s="406"/>
      <c r="GD55" s="406"/>
      <c r="GE55" s="406"/>
      <c r="GF55" s="406"/>
      <c r="GG55" s="406"/>
      <c r="GH55" s="406"/>
      <c r="GI55" s="406"/>
      <c r="GJ55" s="406"/>
      <c r="GK55" s="406"/>
      <c r="GL55" s="406"/>
      <c r="GM55" s="406"/>
      <c r="GN55" s="406"/>
      <c r="GO55" s="406"/>
      <c r="GP55" s="406"/>
      <c r="GQ55" s="406"/>
      <c r="GR55" s="406"/>
      <c r="GS55" s="406"/>
      <c r="GT55" s="406"/>
      <c r="GU55" s="406"/>
      <c r="GV55" s="406"/>
      <c r="GW55" s="406"/>
      <c r="GX55" s="406"/>
      <c r="GY55" s="406"/>
      <c r="GZ55" s="406"/>
      <c r="HA55" s="406"/>
      <c r="HB55" s="406"/>
      <c r="HC55" s="406"/>
      <c r="HD55" s="406"/>
      <c r="HE55" s="406"/>
      <c r="HF55" s="406"/>
      <c r="HG55" s="406"/>
      <c r="HH55" s="406"/>
      <c r="HI55" s="406"/>
      <c r="HJ55" s="406"/>
      <c r="HK55" s="406"/>
      <c r="HL55" s="406"/>
      <c r="HM55" s="406"/>
      <c r="HN55" s="406"/>
      <c r="HO55" s="406"/>
      <c r="HP55" s="406"/>
      <c r="HQ55" s="406"/>
      <c r="HR55" s="406"/>
      <c r="HS55" s="406"/>
      <c r="HT55" s="406"/>
      <c r="HU55" s="406"/>
      <c r="HV55" s="406"/>
      <c r="HW55" s="406"/>
      <c r="HX55" s="406"/>
      <c r="HY55" s="406"/>
      <c r="HZ55" s="406"/>
      <c r="IA55" s="406"/>
      <c r="IB55" s="406"/>
      <c r="IC55" s="406"/>
      <c r="ID55" s="406"/>
      <c r="IE55" s="406"/>
      <c r="IF55" s="406"/>
      <c r="IG55" s="406"/>
      <c r="IH55" s="406"/>
      <c r="II55" s="406"/>
      <c r="IJ55" s="406"/>
      <c r="IK55" s="406"/>
      <c r="IL55" s="406"/>
      <c r="IM55" s="406"/>
      <c r="IN55" s="406"/>
      <c r="IO55" s="406"/>
      <c r="IP55" s="406"/>
      <c r="IQ55" s="406"/>
      <c r="IR55" s="406"/>
      <c r="IS55" s="406"/>
    </row>
    <row r="56" spans="1:253" s="406" customFormat="1" ht="17.25">
      <c r="A56" s="68"/>
      <c r="B56"/>
      <c r="C56" s="917"/>
      <c r="D56" s="5"/>
      <c r="E56" s="1294" t="s">
        <v>317</v>
      </c>
      <c r="F56" s="877">
        <f>IF(AND($G$2="No",$G$3="No"),SUM(K56:L56),IF(AND($G$2="Yes", $G$3="No"), SUM(K56:L56)+S56, IF(AND($G$2="No", $G$3="Yes"),SUM(K56:L56)+R56, SUM(K56:L56)+S56+R56)))</f>
        <v>0</v>
      </c>
      <c r="G56" s="877">
        <f>IF(AND($G$2="No",$G$3="No"),SUM(I56:Q56),IF(AND($G$2="Yes", $G$3="No"), SUM(I56:Q56)+S56, IF(AND($G$2="No", $G$3="Yes"),SUM(I56:Q56)+R56, SUM(I56:Q56)+S56+R56)))</f>
        <v>6.1752961601791737E-2</v>
      </c>
      <c r="H56" s="878">
        <f>SUM(U56:W56)/(1-'Common input data'!$B$140)</f>
        <v>0.40786843489890412</v>
      </c>
      <c r="I56" s="877">
        <f>('Input data plant-based products'!$F$41*('Common input data'!$C$93*'Common input data'!B86+'Common input data'!$C$94*'Common input data'!C86))/'Input data plant-based products'!$E$41</f>
        <v>1.1752961601791736E-2</v>
      </c>
      <c r="J56" s="877">
        <f>'Common input data'!$B$98</f>
        <v>0.03</v>
      </c>
      <c r="K56" s="877">
        <v>0</v>
      </c>
      <c r="L56" s="877">
        <v>0</v>
      </c>
      <c r="M56" s="877"/>
      <c r="N56" s="877">
        <v>0</v>
      </c>
      <c r="O56" s="877">
        <v>0</v>
      </c>
      <c r="P56" s="877">
        <f>'Input data plant-based products'!G$309</f>
        <v>0.02</v>
      </c>
      <c r="Q56" s="877">
        <v>0</v>
      </c>
      <c r="R56" s="877">
        <v>0</v>
      </c>
      <c r="S56" s="877">
        <v>0</v>
      </c>
      <c r="T56" s="877">
        <v>0</v>
      </c>
      <c r="U56" s="877">
        <f>(G56+T56)</f>
        <v>6.1752961601791737E-2</v>
      </c>
      <c r="V56" s="877">
        <f>'Common input data'!$B$105</f>
        <v>0.05</v>
      </c>
      <c r="W56" s="877">
        <f>'Common input data'!B117+'Common input data'!C117</f>
        <v>0.23</v>
      </c>
      <c r="X56" s="864"/>
      <c r="Y56" s="879"/>
      <c r="Z56" s="877"/>
      <c r="AA56" s="877"/>
      <c r="AB56" s="877"/>
      <c r="AC56" s="877"/>
      <c r="AD56" s="886"/>
      <c r="AE56" s="877"/>
      <c r="AF56" s="879"/>
      <c r="AG56" s="877"/>
      <c r="AH56" s="877"/>
      <c r="AI56" s="877"/>
      <c r="AJ56" s="877"/>
      <c r="AK56" s="886"/>
      <c r="AL56" s="877"/>
      <c r="AM56" s="879"/>
      <c r="AN56" s="877"/>
      <c r="AO56" s="877"/>
      <c r="AP56" s="877"/>
      <c r="AQ56" s="877"/>
      <c r="AR56" s="886"/>
      <c r="AS56" s="877"/>
      <c r="AT56" s="879"/>
      <c r="AU56" s="877"/>
      <c r="AV56" s="877"/>
      <c r="AW56" s="877"/>
      <c r="AX56" s="877"/>
      <c r="AY56" s="886"/>
      <c r="AZ56" s="877"/>
      <c r="BA56" s="879"/>
      <c r="BB56" s="877"/>
      <c r="BC56" s="877"/>
      <c r="BD56" s="877"/>
      <c r="BE56" s="877"/>
      <c r="BF56" s="886"/>
      <c r="BG56" s="877"/>
      <c r="BH56" s="879"/>
      <c r="BI56" s="877"/>
      <c r="BJ56" s="877"/>
      <c r="BK56" s="877"/>
      <c r="BL56" s="877"/>
      <c r="BM56" s="886"/>
      <c r="BN56" s="877"/>
      <c r="BO56" s="879"/>
      <c r="BP56" s="877"/>
      <c r="BQ56" s="877"/>
      <c r="BR56" s="877"/>
      <c r="BS56" s="877"/>
      <c r="BT56" s="886"/>
      <c r="BU56" s="877"/>
      <c r="BV56" s="879"/>
      <c r="BW56" s="886"/>
    </row>
    <row r="57" spans="1:253" s="406" customFormat="1" ht="17.25">
      <c r="A57" s="18"/>
      <c r="B57"/>
      <c r="C57" s="595"/>
      <c r="D57" s="50"/>
      <c r="E57" s="1294" t="s">
        <v>367</v>
      </c>
      <c r="F57" s="877">
        <f>SUM(K57:L57)</f>
        <v>0</v>
      </c>
      <c r="G57" s="877">
        <f>SUM(I57:Q57)</f>
        <v>2.1560224651018518E-5</v>
      </c>
      <c r="H57" s="878">
        <f>SUM(U57:W57)/(1-'Common input data'!$B$140)</f>
        <v>2.5731262264015418E-5</v>
      </c>
      <c r="I57" s="877">
        <f>('Input data plant-based products'!$F$41*('Common input data'!$C$93*'Common input data'!B87+'Common input data'!$C$94*'Common input data'!C87))/'Input data plant-based products'!$E$41</f>
        <v>2.1560224651018518E-5</v>
      </c>
      <c r="J57" s="877">
        <v>0</v>
      </c>
      <c r="K57" s="877">
        <v>0</v>
      </c>
      <c r="L57" s="877">
        <v>0</v>
      </c>
      <c r="M57" s="877"/>
      <c r="N57" s="877">
        <v>0</v>
      </c>
      <c r="O57" s="877">
        <v>0</v>
      </c>
      <c r="P57" s="877">
        <v>0</v>
      </c>
      <c r="Q57" s="877">
        <v>0</v>
      </c>
      <c r="R57" s="877">
        <v>0</v>
      </c>
      <c r="S57" s="877">
        <v>0</v>
      </c>
      <c r="T57" s="877">
        <v>0</v>
      </c>
      <c r="U57" s="877">
        <f>(G57+T57)</f>
        <v>2.1560224651018518E-5</v>
      </c>
      <c r="V57" s="877">
        <v>0</v>
      </c>
      <c r="W57" s="877">
        <v>0</v>
      </c>
      <c r="X57" s="864"/>
      <c r="Y57" s="879"/>
      <c r="Z57" s="877"/>
      <c r="AA57" s="877"/>
      <c r="AB57" s="877"/>
      <c r="AC57" s="877"/>
      <c r="AD57" s="886"/>
      <c r="AE57" s="877"/>
      <c r="AF57" s="879"/>
      <c r="AG57" s="877"/>
      <c r="AH57" s="877"/>
      <c r="AI57" s="877"/>
      <c r="AJ57" s="877"/>
      <c r="AK57" s="886"/>
      <c r="AL57" s="877"/>
      <c r="AM57" s="879"/>
      <c r="AN57" s="877"/>
      <c r="AO57" s="877"/>
      <c r="AP57" s="877"/>
      <c r="AQ57" s="877"/>
      <c r="AR57" s="886"/>
      <c r="AS57" s="877"/>
      <c r="AT57" s="879"/>
      <c r="AU57" s="877"/>
      <c r="AV57" s="877"/>
      <c r="AW57" s="877"/>
      <c r="AX57" s="877"/>
      <c r="AY57" s="886"/>
      <c r="AZ57" s="877"/>
      <c r="BA57" s="879"/>
      <c r="BB57" s="877"/>
      <c r="BC57" s="877"/>
      <c r="BD57" s="877"/>
      <c r="BE57" s="877"/>
      <c r="BF57" s="886"/>
      <c r="BG57" s="877"/>
      <c r="BH57" s="879"/>
      <c r="BI57" s="877"/>
      <c r="BJ57" s="877"/>
      <c r="BK57" s="877"/>
      <c r="BL57" s="877"/>
      <c r="BM57" s="886"/>
      <c r="BN57" s="877"/>
      <c r="BO57" s="879"/>
      <c r="BP57" s="877"/>
      <c r="BQ57" s="877"/>
      <c r="BR57" s="877"/>
      <c r="BS57" s="877"/>
      <c r="BT57" s="886"/>
      <c r="BU57" s="877"/>
      <c r="BV57" s="879"/>
      <c r="BW57" s="886"/>
    </row>
    <row r="58" spans="1:253" s="406" customFormat="1" ht="17.25">
      <c r="A58" s="359"/>
      <c r="B58"/>
      <c r="C58" s="83"/>
      <c r="D58" s="54"/>
      <c r="E58" s="1295" t="s">
        <v>320</v>
      </c>
      <c r="F58" s="877">
        <f>SUM(K58:L58)</f>
        <v>2.6980038233285406E-5</v>
      </c>
      <c r="G58" s="877">
        <f>SUM(I58:Q58)</f>
        <v>5.2803470658344833E-5</v>
      </c>
      <c r="H58" s="878">
        <f>SUM(U58:W58)/(1-'Common input data'!$B$140)</f>
        <v>6.3018821647386127E-5</v>
      </c>
      <c r="I58" s="877">
        <f>('Input data plant-based products'!$F$41*('Common input data'!$C$93*'Common input data'!B88+'Common input data'!$C$94*'Common input data'!C88))/'Input data plant-based products'!$E$41</f>
        <v>2.5823432425059427E-5</v>
      </c>
      <c r="J58" s="877">
        <v>0</v>
      </c>
      <c r="K58" s="877">
        <f>(SUM('Input data plant-based products'!F41:H41)*'Input data plant-based products'!$B$260*44/28)/'Input data plant-based products'!E41</f>
        <v>2.4527307484804915E-5</v>
      </c>
      <c r="L58" s="877">
        <f>K58*'Input data plant-based products'!$B$261</f>
        <v>2.4527307484804917E-6</v>
      </c>
      <c r="M58" s="877"/>
      <c r="N58" s="877">
        <v>0</v>
      </c>
      <c r="O58" s="877">
        <v>0</v>
      </c>
      <c r="P58" s="877">
        <v>0</v>
      </c>
      <c r="Q58" s="877">
        <v>0</v>
      </c>
      <c r="R58" s="877">
        <v>0</v>
      </c>
      <c r="S58" s="877">
        <v>0</v>
      </c>
      <c r="T58" s="877">
        <v>0</v>
      </c>
      <c r="U58" s="877">
        <f>(G58+T58)</f>
        <v>5.2803470658344833E-5</v>
      </c>
      <c r="V58" s="877">
        <v>0</v>
      </c>
      <c r="W58" s="877">
        <v>0</v>
      </c>
      <c r="X58" s="864"/>
      <c r="Y58" s="879"/>
      <c r="Z58" s="877"/>
      <c r="AA58" s="877"/>
      <c r="AB58" s="877"/>
      <c r="AC58" s="877"/>
      <c r="AD58" s="886"/>
      <c r="AE58" s="877"/>
      <c r="AF58" s="879"/>
      <c r="AG58" s="877"/>
      <c r="AH58" s="877"/>
      <c r="AI58" s="877"/>
      <c r="AJ58" s="877"/>
      <c r="AK58" s="886"/>
      <c r="AL58" s="877"/>
      <c r="AM58" s="879"/>
      <c r="AN58" s="877"/>
      <c r="AO58" s="877"/>
      <c r="AP58" s="877"/>
      <c r="AQ58" s="877"/>
      <c r="AR58" s="886"/>
      <c r="AS58" s="877"/>
      <c r="AT58" s="879"/>
      <c r="AU58" s="877"/>
      <c r="AV58" s="877"/>
      <c r="AW58" s="877"/>
      <c r="AX58" s="877"/>
      <c r="AY58" s="886"/>
      <c r="AZ58" s="877"/>
      <c r="BA58" s="879"/>
      <c r="BB58" s="877"/>
      <c r="BC58" s="877"/>
      <c r="BD58" s="877"/>
      <c r="BE58" s="877"/>
      <c r="BF58" s="886"/>
      <c r="BG58" s="877"/>
      <c r="BH58" s="879"/>
      <c r="BI58" s="877"/>
      <c r="BJ58" s="877"/>
      <c r="BK58" s="877"/>
      <c r="BL58" s="877"/>
      <c r="BM58" s="886"/>
      <c r="BN58" s="877"/>
      <c r="BO58" s="879"/>
      <c r="BP58" s="877"/>
      <c r="BQ58" s="877"/>
      <c r="BR58" s="877"/>
      <c r="BS58" s="877"/>
      <c r="BT58" s="886"/>
      <c r="BU58" s="877"/>
      <c r="BV58" s="879"/>
      <c r="BW58" s="886"/>
    </row>
    <row r="59" spans="1:253" s="502" customFormat="1" ht="17.25">
      <c r="A59" s="20" t="s">
        <v>130</v>
      </c>
      <c r="B59" s="164" t="s">
        <v>121</v>
      </c>
      <c r="C59" s="904">
        <f>'Input data plant-based products'!D42</f>
        <v>0.05</v>
      </c>
      <c r="D59" s="17"/>
      <c r="E59" s="1293" t="s">
        <v>316</v>
      </c>
      <c r="F59" s="872">
        <f>SUMPRODUCT($CE$14:$CE$16,F60:F62)</f>
        <v>5.0599723691432189E-2</v>
      </c>
      <c r="G59" s="872">
        <f>SUMPRODUCT($CE$14:$CE$16,G60:G62)</f>
        <v>0.12780101019009926</v>
      </c>
      <c r="H59" s="873">
        <f>SUMPRODUCT($CE$14:$CE$16,H60:H62)</f>
        <v>0.48669412840446269</v>
      </c>
      <c r="I59" s="888"/>
      <c r="J59" s="888"/>
      <c r="K59" s="888"/>
      <c r="L59" s="888"/>
      <c r="M59" s="888"/>
      <c r="N59" s="888"/>
      <c r="O59" s="888"/>
      <c r="P59" s="888"/>
      <c r="Q59" s="888"/>
      <c r="R59" s="888"/>
      <c r="S59" s="888"/>
      <c r="T59" s="888"/>
      <c r="U59" s="888"/>
      <c r="V59" s="888"/>
      <c r="W59" s="888"/>
      <c r="X59" s="864"/>
      <c r="Y59" s="879">
        <f>1/'Input data plant-based products'!E42*10^4</f>
        <v>0.11668202980059042</v>
      </c>
      <c r="Z59" s="877">
        <f>$Y59*'Input data plant-based products'!Z42</f>
        <v>0.11668202980059042</v>
      </c>
      <c r="AA59" s="877">
        <f>$Y59*'Input data plant-based products'!AA42</f>
        <v>0.11668202980059042</v>
      </c>
      <c r="AB59" s="877">
        <f>$Y59*'Input data plant-based products'!AB42</f>
        <v>0.11668202980059042</v>
      </c>
      <c r="AC59" s="877">
        <f>$Y59*'Input data plant-based products'!AC42</f>
        <v>0.1392553166256002</v>
      </c>
      <c r="AD59" s="886">
        <f>$Y59*'Input data plant-based products'!AD42</f>
        <v>0.17192014398222247</v>
      </c>
      <c r="AE59" s="877"/>
      <c r="AF59" s="879">
        <f>SUM('Input data plant-based products'!F42,'Input data plant-based products'!Q42)/'Input data plant-based products'!E42</f>
        <v>3.6638157357385391E-3</v>
      </c>
      <c r="AG59" s="877">
        <f>$AF59*'Input data plant-based products'!Z42</f>
        <v>3.6638157357385391E-3</v>
      </c>
      <c r="AH59" s="877">
        <f>$AF59*'Input data plant-based products'!AA42</f>
        <v>3.6638157357385391E-3</v>
      </c>
      <c r="AI59" s="877">
        <f>$AF59*'Input data plant-based products'!AB42</f>
        <v>3.6638157357385391E-3</v>
      </c>
      <c r="AJ59" s="877">
        <f>$AF59*'Input data plant-based products'!AC42</f>
        <v>4.3726169420438468E-3</v>
      </c>
      <c r="AK59" s="886">
        <f>$AF59*'Input data plant-based products'!AD42</f>
        <v>5.3982925210417851E-3</v>
      </c>
      <c r="AL59" s="877"/>
      <c r="AM59" s="879">
        <f>'Input data plant-based products'!R42/'Input data plant-based products'!E42</f>
        <v>1.4999999999999998E-2</v>
      </c>
      <c r="AN59" s="877">
        <f>$AM59*'Input data plant-based products'!Z42</f>
        <v>1.4999999999999998E-2</v>
      </c>
      <c r="AO59" s="877">
        <f>$AM59*'Input data plant-based products'!AA42</f>
        <v>1.4999999999999998E-2</v>
      </c>
      <c r="AP59" s="877">
        <f>$AM59*'Input data plant-based products'!AB42</f>
        <v>1.4999999999999998E-2</v>
      </c>
      <c r="AQ59" s="877">
        <f>$AM59*'Input data plant-based products'!AC42</f>
        <v>1.7901897601145716E-2</v>
      </c>
      <c r="AR59" s="886">
        <f>$AM59*'Input data plant-based products'!AD42</f>
        <v>2.2101108149562614E-2</v>
      </c>
      <c r="AS59" s="877"/>
      <c r="AT59" s="879">
        <f>'Input data plant-based products'!S42</f>
        <v>3.2000000000000001E-2</v>
      </c>
      <c r="AU59" s="877">
        <f>$AT59*'Input data plant-based products'!Z42</f>
        <v>3.2000000000000001E-2</v>
      </c>
      <c r="AV59" s="877">
        <f>$AT59*'Input data plant-based products'!AA42</f>
        <v>3.2000000000000001E-2</v>
      </c>
      <c r="AW59" s="877">
        <f>$AT59*'Input data plant-based products'!AB42</f>
        <v>3.2000000000000001E-2</v>
      </c>
      <c r="AX59" s="877">
        <f>$AT59*'Input data plant-based products'!AC42</f>
        <v>3.8190714882444209E-2</v>
      </c>
      <c r="AY59" s="886">
        <f>$AT59*'Input data plant-based products'!AD42</f>
        <v>4.7149030719066919E-2</v>
      </c>
      <c r="AZ59" s="877"/>
      <c r="BA59" s="879">
        <f>((SUM('Input data plant-based products'!U42:Y42)*Y59)/('Common input data'!$B$192/10^6))/$BB$3</f>
        <v>1.976845365120373E-10</v>
      </c>
      <c r="BB59" s="877">
        <f>$BA59*'Input data plant-based products'!Z42</f>
        <v>1.976845365120373E-10</v>
      </c>
      <c r="BC59" s="877">
        <f>$BA59*'Input data plant-based products'!AA42</f>
        <v>1.976845365120373E-10</v>
      </c>
      <c r="BD59" s="877">
        <f>$BA59*'Input data plant-based products'!AB42</f>
        <v>1.976845365120373E-10</v>
      </c>
      <c r="BE59" s="877">
        <f>$BA59*'Input data plant-based products'!AC42</f>
        <v>2.3592855533122959E-10</v>
      </c>
      <c r="BF59" s="886">
        <f>$BA59*'Input data plant-based products'!AD42</f>
        <v>2.9126982139657974E-10</v>
      </c>
      <c r="BG59" s="877"/>
      <c r="BH59" s="879">
        <f>'Input data plant-based products'!T42/'Input data plant-based products'!E42</f>
        <v>1.8575779144253997E-4</v>
      </c>
      <c r="BI59" s="877">
        <f>$BH59*'Input data plant-based products'!Z42</f>
        <v>1.8575779144253997E-4</v>
      </c>
      <c r="BJ59" s="877">
        <f>$BH59*'Input data plant-based products'!AA42</f>
        <v>1.8575779144253997E-4</v>
      </c>
      <c r="BK59" s="877">
        <f>$BH59*'Input data plant-based products'!AB42</f>
        <v>1.8575779144253997E-4</v>
      </c>
      <c r="BL59" s="877">
        <f>$BH59*'Input data plant-based products'!AC42</f>
        <v>2.2169446406795557E-4</v>
      </c>
      <c r="BM59" s="886">
        <f>$BH59*'Input data plant-based products'!AD42</f>
        <v>2.736968692196982E-4</v>
      </c>
      <c r="BN59" s="877"/>
      <c r="BO59" s="879">
        <f>('Input data plant-based products'!F42/'Input data plant-based products'!E42*'Common input data'!$B$195+'Input data plant-based products'!G42/'Input data plant-based products'!E42*'Common input data'!$B$196)/'Common input data'!$B$198</f>
        <v>9.355089324642138E-5</v>
      </c>
      <c r="BP59" s="877">
        <f>$BO59*'Input data plant-based products'!Z42</f>
        <v>9.355089324642138E-5</v>
      </c>
      <c r="BQ59" s="877">
        <f>$BO59*'Input data plant-based products'!AA42</f>
        <v>9.355089324642138E-5</v>
      </c>
      <c r="BR59" s="877">
        <f>$BO59*'Input data plant-based products'!AB42</f>
        <v>9.355089324642138E-5</v>
      </c>
      <c r="BS59" s="877">
        <f>$BO59*'Input data plant-based products'!AC42</f>
        <v>1.1164923409287669E-4</v>
      </c>
      <c r="BT59" s="886">
        <f>$BO59*'Input data plant-based products'!AD42</f>
        <v>1.3783856060848972E-4</v>
      </c>
      <c r="BU59" s="877"/>
      <c r="BV59" s="879">
        <f>('Common input data'!$C$202+'Common input data'!$B$210)*'Input data plant-based products'!AC41</f>
        <v>1.4837092731829575</v>
      </c>
      <c r="BW59" s="886">
        <f>('Common input data'!$C$202+'Common input data'!$B$210)*'Input data plant-based products'!AD41</f>
        <v>1.8317398434357497</v>
      </c>
      <c r="BX59" s="406"/>
      <c r="BY59" s="406"/>
      <c r="BZ59" s="406"/>
      <c r="CA59" s="406"/>
      <c r="CB59" s="406"/>
      <c r="CC59" s="406"/>
      <c r="CD59" s="406"/>
      <c r="CE59" s="406"/>
      <c r="CF59" s="406"/>
      <c r="CG59" s="406"/>
      <c r="CH59" s="406"/>
      <c r="CI59" s="406"/>
      <c r="CJ59" s="406"/>
      <c r="CK59" s="406"/>
      <c r="CL59" s="406"/>
      <c r="CM59" s="406"/>
      <c r="CN59" s="406"/>
      <c r="CO59" s="406"/>
      <c r="CP59" s="406"/>
      <c r="CQ59" s="406"/>
      <c r="CR59" s="406"/>
      <c r="CS59" s="406"/>
      <c r="CT59" s="406"/>
      <c r="CU59" s="406"/>
      <c r="CV59" s="406"/>
      <c r="CW59" s="406"/>
      <c r="CX59" s="406"/>
      <c r="CY59" s="406"/>
      <c r="CZ59" s="406"/>
      <c r="DA59" s="406"/>
      <c r="DB59" s="406"/>
      <c r="DC59" s="406"/>
      <c r="DD59" s="406"/>
      <c r="DE59" s="406"/>
      <c r="DF59" s="406"/>
      <c r="DG59" s="406"/>
      <c r="DH59" s="406"/>
      <c r="DI59" s="406"/>
      <c r="DJ59" s="406"/>
      <c r="DK59" s="406"/>
      <c r="DL59" s="406"/>
      <c r="DM59" s="406"/>
      <c r="DN59" s="406"/>
      <c r="DO59" s="406"/>
      <c r="DP59" s="406"/>
      <c r="DQ59" s="406"/>
      <c r="DR59" s="406"/>
      <c r="DS59" s="406"/>
      <c r="DT59" s="406"/>
      <c r="DU59" s="406"/>
      <c r="DV59" s="406"/>
      <c r="DW59" s="406"/>
      <c r="DX59" s="406"/>
      <c r="DY59" s="406"/>
      <c r="DZ59" s="406"/>
      <c r="EA59" s="406"/>
      <c r="EB59" s="406"/>
      <c r="EC59" s="406"/>
      <c r="ED59" s="406"/>
      <c r="EE59" s="406"/>
      <c r="EF59" s="406"/>
      <c r="EG59" s="406"/>
      <c r="EH59" s="406"/>
      <c r="EI59" s="406"/>
      <c r="EJ59" s="406"/>
      <c r="EK59" s="406"/>
      <c r="EL59" s="406"/>
      <c r="EM59" s="406"/>
      <c r="EN59" s="406"/>
      <c r="EO59" s="406"/>
      <c r="EP59" s="406"/>
      <c r="EQ59" s="406"/>
      <c r="ER59" s="406"/>
      <c r="ES59" s="406"/>
      <c r="ET59" s="406"/>
      <c r="EU59" s="406"/>
      <c r="EV59" s="406"/>
      <c r="EW59" s="406"/>
      <c r="EX59" s="406"/>
      <c r="EY59" s="406"/>
      <c r="EZ59" s="406"/>
      <c r="FA59" s="406"/>
      <c r="FB59" s="406"/>
      <c r="FC59" s="406"/>
      <c r="FD59" s="406"/>
      <c r="FE59" s="406"/>
      <c r="FF59" s="406"/>
      <c r="FG59" s="406"/>
      <c r="FH59" s="406"/>
      <c r="FI59" s="406"/>
      <c r="FJ59" s="406"/>
      <c r="FK59" s="406"/>
      <c r="FL59" s="406"/>
      <c r="FM59" s="406"/>
      <c r="FN59" s="406"/>
      <c r="FO59" s="406"/>
      <c r="FP59" s="406"/>
      <c r="FQ59" s="406"/>
      <c r="FR59" s="406"/>
      <c r="FS59" s="406"/>
      <c r="FT59" s="406"/>
      <c r="FU59" s="406"/>
      <c r="FV59" s="406"/>
      <c r="FW59" s="406"/>
      <c r="FX59" s="406"/>
      <c r="FY59" s="406"/>
      <c r="FZ59" s="406"/>
      <c r="GA59" s="406"/>
      <c r="GB59" s="406"/>
      <c r="GC59" s="406"/>
      <c r="GD59" s="406"/>
      <c r="GE59" s="406"/>
      <c r="GF59" s="406"/>
      <c r="GG59" s="406"/>
      <c r="GH59" s="406"/>
      <c r="GI59" s="406"/>
      <c r="GJ59" s="406"/>
      <c r="GK59" s="406"/>
      <c r="GL59" s="406"/>
      <c r="GM59" s="406"/>
      <c r="GN59" s="406"/>
      <c r="GO59" s="406"/>
      <c r="GP59" s="406"/>
      <c r="GQ59" s="406"/>
      <c r="GR59" s="406"/>
      <c r="GS59" s="406"/>
      <c r="GT59" s="406"/>
      <c r="GU59" s="406"/>
      <c r="GV59" s="406"/>
      <c r="GW59" s="406"/>
      <c r="GX59" s="406"/>
      <c r="GY59" s="406"/>
      <c r="GZ59" s="406"/>
      <c r="HA59" s="406"/>
      <c r="HB59" s="406"/>
      <c r="HC59" s="406"/>
      <c r="HD59" s="406"/>
      <c r="HE59" s="406"/>
      <c r="HF59" s="406"/>
      <c r="HG59" s="406"/>
      <c r="HH59" s="406"/>
      <c r="HI59" s="406"/>
      <c r="HJ59" s="406"/>
      <c r="HK59" s="406"/>
      <c r="HL59" s="406"/>
      <c r="HM59" s="406"/>
      <c r="HN59" s="406"/>
      <c r="HO59" s="406"/>
      <c r="HP59" s="406"/>
      <c r="HQ59" s="406"/>
      <c r="HR59" s="406"/>
      <c r="HS59" s="406"/>
      <c r="HT59" s="406"/>
      <c r="HU59" s="406"/>
      <c r="HV59" s="406"/>
      <c r="HW59" s="406"/>
      <c r="HX59" s="406"/>
      <c r="HY59" s="406"/>
      <c r="HZ59" s="406"/>
      <c r="IA59" s="406"/>
      <c r="IB59" s="406"/>
      <c r="IC59" s="406"/>
      <c r="ID59" s="406"/>
      <c r="IE59" s="406"/>
      <c r="IF59" s="406"/>
      <c r="IG59" s="406"/>
      <c r="IH59" s="406"/>
      <c r="II59" s="406"/>
      <c r="IJ59" s="406"/>
      <c r="IK59" s="406"/>
      <c r="IL59" s="406"/>
      <c r="IM59" s="406"/>
      <c r="IN59" s="406"/>
      <c r="IO59" s="406"/>
      <c r="IP59" s="406"/>
      <c r="IQ59" s="406"/>
      <c r="IR59" s="406"/>
      <c r="IS59" s="406"/>
    </row>
    <row r="60" spans="1:253" s="406" customFormat="1" ht="17.25">
      <c r="A60" s="68"/>
      <c r="B60" s="55"/>
      <c r="C60" s="917"/>
      <c r="D60" s="5"/>
      <c r="E60" s="1294" t="s">
        <v>317</v>
      </c>
      <c r="F60" s="877">
        <f>IF(AND($G$2="No",$G$3="No"),SUM(K60:L60),IF(AND($G$2="Yes", $G$3="No"), SUM(K60:L60)+S60, IF(AND($G$2="No", $G$3="Yes"),SUM(K60:L60)+R60, SUM(K60:L60)+S60+R60)))</f>
        <v>3.9989486962957101E-2</v>
      </c>
      <c r="G60" s="877">
        <f>IF(AND($G$2="No",$G$3="No"),SUM(I60:Q60),IF(AND($G$2="Yes", $G$3="No"), SUM(I60:Q60)+S60, IF(AND($G$2="No", $G$3="Yes"),SUM(I60:Q60)+R60, SUM(I60:Q60)+S60+R60)))</f>
        <v>0.10814913008706656</v>
      </c>
      <c r="H60" s="878">
        <f>SUM(U60:W60)/(1-'Common input data'!$B$140)</f>
        <v>0.46324039871949702</v>
      </c>
      <c r="I60" s="877">
        <f>('Input data plant-based products'!$F$42*('Common input data'!$C$93*'Common input data'!B86+'Common input data'!$C$94*'Common input data'!C86))/'Input data plant-based products'!$E$42</f>
        <v>1.3794174470736756E-2</v>
      </c>
      <c r="J60" s="877">
        <f>'Common input data'!$B$98</f>
        <v>0.03</v>
      </c>
      <c r="K60" s="877">
        <v>0</v>
      </c>
      <c r="L60" s="877">
        <v>0</v>
      </c>
      <c r="M60" s="877"/>
      <c r="N60" s="877">
        <f>('Input data plant-based products'!$P$42*'Common input data'!$C$76*'Common input data'!H66)/'Input data plant-based products'!$E$42</f>
        <v>4.3654686533726944E-3</v>
      </c>
      <c r="O60" s="877">
        <v>0</v>
      </c>
      <c r="P60" s="877">
        <f>'Input data plant-based products'!G$309</f>
        <v>0.02</v>
      </c>
      <c r="Q60" s="877">
        <v>0</v>
      </c>
      <c r="R60" s="877">
        <f>'Common input data'!E$19</f>
        <v>3.9989486962957101E-2</v>
      </c>
      <c r="S60" s="877">
        <v>0</v>
      </c>
      <c r="T60" s="877">
        <v>0</v>
      </c>
      <c r="U60" s="877">
        <f>(G60+T60)</f>
        <v>0.10814913008706656</v>
      </c>
      <c r="V60" s="877">
        <f>'Common input data'!$B$105</f>
        <v>0.05</v>
      </c>
      <c r="W60" s="877">
        <f>'Common input data'!B117+'Common input data'!C117</f>
        <v>0.23</v>
      </c>
      <c r="X60" s="864"/>
      <c r="Y60" s="879"/>
      <c r="Z60" s="877"/>
      <c r="AA60" s="877"/>
      <c r="AB60" s="877"/>
      <c r="AC60" s="877"/>
      <c r="AD60" s="886"/>
      <c r="AE60" s="877"/>
      <c r="AF60" s="879"/>
      <c r="AG60" s="877"/>
      <c r="AH60" s="877"/>
      <c r="AI60" s="877"/>
      <c r="AJ60" s="877"/>
      <c r="AK60" s="886"/>
      <c r="AL60" s="877"/>
      <c r="AM60" s="879"/>
      <c r="AN60" s="877"/>
      <c r="AO60" s="877"/>
      <c r="AP60" s="877"/>
      <c r="AQ60" s="877"/>
      <c r="AR60" s="886"/>
      <c r="AS60" s="877"/>
      <c r="AT60" s="879"/>
      <c r="AU60" s="877"/>
      <c r="AV60" s="877"/>
      <c r="AW60" s="877"/>
      <c r="AX60" s="877"/>
      <c r="AY60" s="886"/>
      <c r="AZ60" s="877"/>
      <c r="BA60" s="879"/>
      <c r="BB60" s="877"/>
      <c r="BC60" s="877"/>
      <c r="BD60" s="877"/>
      <c r="BE60" s="877"/>
      <c r="BF60" s="886"/>
      <c r="BG60" s="877"/>
      <c r="BH60" s="879"/>
      <c r="BI60" s="877"/>
      <c r="BJ60" s="877"/>
      <c r="BK60" s="877"/>
      <c r="BL60" s="877"/>
      <c r="BM60" s="886"/>
      <c r="BN60" s="877"/>
      <c r="BO60" s="879"/>
      <c r="BP60" s="877"/>
      <c r="BQ60" s="877"/>
      <c r="BR60" s="877"/>
      <c r="BS60" s="877"/>
      <c r="BT60" s="886"/>
      <c r="BU60" s="877"/>
      <c r="BV60" s="879"/>
      <c r="BW60" s="886"/>
    </row>
    <row r="61" spans="1:253" s="406" customFormat="1" ht="17.25">
      <c r="A61" s="18"/>
      <c r="B61" s="55"/>
      <c r="C61" s="595"/>
      <c r="D61" s="50"/>
      <c r="E61" s="1294" t="s">
        <v>367</v>
      </c>
      <c r="F61" s="877">
        <f>SUM(K61:L61)</f>
        <v>0</v>
      </c>
      <c r="G61" s="877">
        <f>SUM(I61:Q61)</f>
        <v>2.7238483746078303E-5</v>
      </c>
      <c r="H61" s="878">
        <f>SUM(U61:W61)/(1-'Common input data'!$B$140)</f>
        <v>3.2508036455517724E-5</v>
      </c>
      <c r="I61" s="877">
        <f>('Input data plant-based products'!$F$42*('Common input data'!$C$93*'Common input data'!B87+'Common input data'!$C$94*'Common input data'!C87))/'Input data plant-based products'!$E$42</f>
        <v>2.5304728334949172E-5</v>
      </c>
      <c r="J61" s="877">
        <v>0</v>
      </c>
      <c r="K61" s="877">
        <v>0</v>
      </c>
      <c r="L61" s="877">
        <v>0</v>
      </c>
      <c r="M61" s="877"/>
      <c r="N61" s="877">
        <f>('Input data plant-based products'!$P$42*'Common input data'!$C$76*'Common input data'!H67)/'Input data plant-based products'!$E$42</f>
        <v>1.933755411129132E-6</v>
      </c>
      <c r="O61" s="877">
        <v>0</v>
      </c>
      <c r="P61" s="877">
        <v>0</v>
      </c>
      <c r="Q61" s="877">
        <v>0</v>
      </c>
      <c r="R61" s="877">
        <v>0</v>
      </c>
      <c r="S61" s="877">
        <v>0</v>
      </c>
      <c r="T61" s="877">
        <v>0</v>
      </c>
      <c r="U61" s="877">
        <f>(G61+T61)</f>
        <v>2.7238483746078303E-5</v>
      </c>
      <c r="V61" s="877">
        <v>0</v>
      </c>
      <c r="W61" s="877">
        <v>0</v>
      </c>
      <c r="X61" s="864"/>
      <c r="Y61" s="879"/>
      <c r="Z61" s="877"/>
      <c r="AA61" s="877"/>
      <c r="AB61" s="877"/>
      <c r="AC61" s="877"/>
      <c r="AD61" s="886"/>
      <c r="AE61" s="877"/>
      <c r="AF61" s="879"/>
      <c r="AG61" s="877"/>
      <c r="AH61" s="877"/>
      <c r="AI61" s="877"/>
      <c r="AJ61" s="877"/>
      <c r="AK61" s="886"/>
      <c r="AL61" s="877"/>
      <c r="AM61" s="879"/>
      <c r="AN61" s="877"/>
      <c r="AO61" s="877"/>
      <c r="AP61" s="877"/>
      <c r="AQ61" s="877"/>
      <c r="AR61" s="886"/>
      <c r="AS61" s="877"/>
      <c r="AT61" s="879"/>
      <c r="AU61" s="877"/>
      <c r="AV61" s="877"/>
      <c r="AW61" s="877"/>
      <c r="AX61" s="877"/>
      <c r="AY61" s="886"/>
      <c r="AZ61" s="877"/>
      <c r="BA61" s="879"/>
      <c r="BB61" s="877"/>
      <c r="BC61" s="877"/>
      <c r="BD61" s="877"/>
      <c r="BE61" s="877"/>
      <c r="BF61" s="886"/>
      <c r="BG61" s="877"/>
      <c r="BH61" s="879"/>
      <c r="BI61" s="877"/>
      <c r="BJ61" s="877"/>
      <c r="BK61" s="877"/>
      <c r="BL61" s="877"/>
      <c r="BM61" s="886"/>
      <c r="BN61" s="877"/>
      <c r="BO61" s="879"/>
      <c r="BP61" s="877"/>
      <c r="BQ61" s="877"/>
      <c r="BR61" s="877"/>
      <c r="BS61" s="877"/>
      <c r="BT61" s="886"/>
      <c r="BU61" s="877"/>
      <c r="BV61" s="879"/>
      <c r="BW61" s="886"/>
    </row>
    <row r="62" spans="1:253" s="406" customFormat="1" ht="17.25">
      <c r="A62" s="359"/>
      <c r="B62" s="360"/>
      <c r="C62" s="83"/>
      <c r="D62" s="54"/>
      <c r="E62" s="1295" t="s">
        <v>320</v>
      </c>
      <c r="F62" s="877">
        <f>SUM(K62:L62)</f>
        <v>3.8865336001740233E-5</v>
      </c>
      <c r="G62" s="877">
        <f>SUM(I62:Q62)</f>
        <v>6.9290992827430737E-5</v>
      </c>
      <c r="H62" s="878">
        <f>SUM(U62:W62)/(1-'Common input data'!$B$140)</f>
        <v>8.2696017218559189E-5</v>
      </c>
      <c r="I62" s="877">
        <f>('Input data plant-based products'!$F$42*('Common input data'!$C$93*'Common input data'!B88+'Common input data'!$C$94*'Common input data'!C88))/'Input data plant-based products'!$E$42</f>
        <v>3.030835498094761E-5</v>
      </c>
      <c r="J62" s="877">
        <v>0</v>
      </c>
      <c r="K62" s="877">
        <f>(SUM('Input data plant-based products'!F42:H42)*'Input data plant-based products'!$B$260*44/28)/'Input data plant-based products'!E42</f>
        <v>3.5332123637945666E-5</v>
      </c>
      <c r="L62" s="877">
        <f>K62*'Input data plant-based products'!$B$261</f>
        <v>3.5332123637945668E-6</v>
      </c>
      <c r="M62" s="877"/>
      <c r="N62" s="877">
        <f>('Input data plant-based products'!$P$42*'Common input data'!$C$76*'Common input data'!H68)/'Input data plant-based products'!$E$42</f>
        <v>1.1730184474289115E-7</v>
      </c>
      <c r="O62" s="877">
        <v>0</v>
      </c>
      <c r="P62" s="877">
        <v>0</v>
      </c>
      <c r="Q62" s="877">
        <v>0</v>
      </c>
      <c r="R62" s="877">
        <v>0</v>
      </c>
      <c r="S62" s="877">
        <v>0</v>
      </c>
      <c r="T62" s="877">
        <v>0</v>
      </c>
      <c r="U62" s="877">
        <f>(G62+T62)</f>
        <v>6.9290992827430737E-5</v>
      </c>
      <c r="V62" s="877">
        <v>0</v>
      </c>
      <c r="W62" s="877">
        <v>0</v>
      </c>
      <c r="X62" s="864"/>
      <c r="Y62" s="879"/>
      <c r="Z62" s="877"/>
      <c r="AA62" s="877"/>
      <c r="AB62" s="877"/>
      <c r="AC62" s="877"/>
      <c r="AD62" s="886"/>
      <c r="AE62" s="877"/>
      <c r="AF62" s="879"/>
      <c r="AG62" s="877"/>
      <c r="AH62" s="877"/>
      <c r="AI62" s="877"/>
      <c r="AJ62" s="877"/>
      <c r="AK62" s="886"/>
      <c r="AL62" s="877"/>
      <c r="AM62" s="879"/>
      <c r="AN62" s="877"/>
      <c r="AO62" s="877"/>
      <c r="AP62" s="877"/>
      <c r="AQ62" s="877"/>
      <c r="AR62" s="886"/>
      <c r="AS62" s="877"/>
      <c r="AT62" s="879"/>
      <c r="AU62" s="877"/>
      <c r="AV62" s="877"/>
      <c r="AW62" s="877"/>
      <c r="AX62" s="877"/>
      <c r="AY62" s="886"/>
      <c r="AZ62" s="877"/>
      <c r="BA62" s="879"/>
      <c r="BB62" s="877"/>
      <c r="BC62" s="877"/>
      <c r="BD62" s="877"/>
      <c r="BE62" s="877"/>
      <c r="BF62" s="886"/>
      <c r="BG62" s="877"/>
      <c r="BH62" s="879"/>
      <c r="BI62" s="877"/>
      <c r="BJ62" s="877"/>
      <c r="BK62" s="877"/>
      <c r="BL62" s="877"/>
      <c r="BM62" s="886"/>
      <c r="BN62" s="877"/>
      <c r="BO62" s="879"/>
      <c r="BP62" s="877"/>
      <c r="BQ62" s="877"/>
      <c r="BR62" s="877"/>
      <c r="BS62" s="877"/>
      <c r="BT62" s="886"/>
      <c r="BU62" s="877"/>
      <c r="BV62" s="879"/>
      <c r="BW62" s="886"/>
    </row>
    <row r="63" spans="1:253" s="502" customFormat="1" ht="17.25">
      <c r="A63" s="20" t="s">
        <v>125</v>
      </c>
      <c r="B63" s="164" t="s">
        <v>121</v>
      </c>
      <c r="C63" s="904">
        <f>'Input data plant-based products'!D43</f>
        <v>0.05</v>
      </c>
      <c r="D63" s="17"/>
      <c r="E63" s="1293" t="s">
        <v>316</v>
      </c>
      <c r="F63" s="872">
        <f>SUMPRODUCT($CE$14:$CE$16,F64:F66)</f>
        <v>6.1409219784794244E-2</v>
      </c>
      <c r="G63" s="872">
        <f>SUMPRODUCT($CE$14:$CE$16,G64:G66)</f>
        <v>0.13024104172895265</v>
      </c>
      <c r="H63" s="873">
        <f>SUMPRODUCT($CE$14:$CE$16,H64:H66)</f>
        <v>0.48960620805460398</v>
      </c>
      <c r="I63" s="888"/>
      <c r="J63" s="888"/>
      <c r="K63" s="888"/>
      <c r="L63" s="888"/>
      <c r="M63" s="888"/>
      <c r="N63" s="888"/>
      <c r="O63" s="888"/>
      <c r="P63" s="888"/>
      <c r="Q63" s="888"/>
      <c r="R63" s="888"/>
      <c r="S63" s="888"/>
      <c r="T63" s="888"/>
      <c r="U63" s="888"/>
      <c r="V63" s="888"/>
      <c r="W63" s="888"/>
      <c r="X63" s="864"/>
      <c r="Y63" s="879">
        <f>1/'Input data plant-based products'!E43*10^4</f>
        <v>0.33218176986446984</v>
      </c>
      <c r="Z63" s="877">
        <f>$Y63*'Input data plant-based products'!Z43</f>
        <v>0.33218176986446984</v>
      </c>
      <c r="AA63" s="877">
        <f>$Y63*'Input data plant-based products'!AA43</f>
        <v>0.33218176986446984</v>
      </c>
      <c r="AB63" s="877">
        <f>$Y63*'Input data plant-based products'!AB43</f>
        <v>0.33218176986446984</v>
      </c>
      <c r="AC63" s="877">
        <f>$Y63*'Input data plant-based products'!AC43</f>
        <v>0.39644560193873951</v>
      </c>
      <c r="AD63" s="886">
        <f>$Y63*'Input data plant-based products'!AD43</f>
        <v>0.48943901473918455</v>
      </c>
      <c r="AE63" s="877"/>
      <c r="AF63" s="879">
        <f>SUM('Input data plant-based products'!F43,'Input data plant-based products'!Q43)/'Input data plant-based products'!E43</f>
        <v>3.0223840583454599E-3</v>
      </c>
      <c r="AG63" s="877">
        <f>$AF63*'Input data plant-based products'!Z43</f>
        <v>3.0223840583454599E-3</v>
      </c>
      <c r="AH63" s="877">
        <f>$AF63*'Input data plant-based products'!AA43</f>
        <v>3.0223840583454599E-3</v>
      </c>
      <c r="AI63" s="877">
        <f>$AF63*'Input data plant-based products'!AB43</f>
        <v>3.0223840583454599E-3</v>
      </c>
      <c r="AJ63" s="877">
        <f>$AF63*'Input data plant-based products'!AC43</f>
        <v>3.6070939949223771E-3</v>
      </c>
      <c r="AK63" s="886">
        <f>$AF63*'Input data plant-based products'!AD43</f>
        <v>4.4532024628671316E-3</v>
      </c>
      <c r="AL63" s="877"/>
      <c r="AM63" s="879">
        <f>'Input data plant-based products'!R43/'Input data plant-based products'!E43</f>
        <v>2.1952724146037324E-2</v>
      </c>
      <c r="AN63" s="877">
        <f>$AM63*'Input data plant-based products'!Z43</f>
        <v>2.1952724146037324E-2</v>
      </c>
      <c r="AO63" s="877">
        <f>$AM63*'Input data plant-based products'!AA43</f>
        <v>2.1952724146037324E-2</v>
      </c>
      <c r="AP63" s="877">
        <f>$AM63*'Input data plant-based products'!AB43</f>
        <v>2.1952724146037324E-2</v>
      </c>
      <c r="AQ63" s="877">
        <f>$AM63*'Input data plant-based products'!AC43</f>
        <v>2.619969464857062E-2</v>
      </c>
      <c r="AR63" s="886">
        <f>$AM63*'Input data plant-based products'!AD43</f>
        <v>3.2345302035272368E-2</v>
      </c>
      <c r="AS63" s="877"/>
      <c r="AT63" s="879">
        <f>'Input data plant-based products'!S43</f>
        <v>1.3599999999999999E-2</v>
      </c>
      <c r="AU63" s="877">
        <f>$AT63*'Input data plant-based products'!Z43</f>
        <v>1.3599999999999999E-2</v>
      </c>
      <c r="AV63" s="877">
        <f>$AT63*'Input data plant-based products'!AA43</f>
        <v>1.3599999999999999E-2</v>
      </c>
      <c r="AW63" s="877">
        <f>$AT63*'Input data plant-based products'!AB43</f>
        <v>1.3599999999999999E-2</v>
      </c>
      <c r="AX63" s="877">
        <f>$AT63*'Input data plant-based products'!AC43</f>
        <v>1.6231053825038786E-2</v>
      </c>
      <c r="AY63" s="886">
        <f>$AT63*'Input data plant-based products'!AD43</f>
        <v>2.0038338055603438E-2</v>
      </c>
      <c r="AZ63" s="877"/>
      <c r="BA63" s="879">
        <f>((SUM('Input data plant-based products'!U43:Y43)*Y63)/('Common input data'!$B$192/10^6))/$BB$3</f>
        <v>2.2752507179979969E-10</v>
      </c>
      <c r="BB63" s="877">
        <f>$BA63*'Input data plant-based products'!Z43</f>
        <v>2.2752507179979969E-10</v>
      </c>
      <c r="BC63" s="877">
        <f>$BA63*'Input data plant-based products'!AA43</f>
        <v>2.2752507179979969E-10</v>
      </c>
      <c r="BD63" s="877">
        <f>$BA63*'Input data plant-based products'!AB43</f>
        <v>2.2752507179979969E-10</v>
      </c>
      <c r="BE63" s="877">
        <f>$BA63*'Input data plant-based products'!AC43</f>
        <v>2.7154203580355612E-10</v>
      </c>
      <c r="BF63" s="886">
        <f>$BA63*'Input data plant-based products'!AD43</f>
        <v>3.3523708123895814E-10</v>
      </c>
      <c r="BG63" s="877"/>
      <c r="BH63" s="879">
        <f>'Input data plant-based products'!T43/'Input data plant-based products'!E43</f>
        <v>2.0661706085570026E-4</v>
      </c>
      <c r="BI63" s="877">
        <f>$BH63*'Input data plant-based products'!Z43</f>
        <v>2.0661706085570026E-4</v>
      </c>
      <c r="BJ63" s="877">
        <f>$BH63*'Input data plant-based products'!AA43</f>
        <v>2.0661706085570026E-4</v>
      </c>
      <c r="BK63" s="877">
        <f>$BH63*'Input data plant-based products'!AB43</f>
        <v>2.0661706085570026E-4</v>
      </c>
      <c r="BL63" s="877">
        <f>$BH63*'Input data plant-based products'!AC43</f>
        <v>2.4658916440589598E-4</v>
      </c>
      <c r="BM63" s="886">
        <f>$BH63*'Input data plant-based products'!AD43</f>
        <v>3.0443106716777278E-4</v>
      </c>
      <c r="BN63" s="877"/>
      <c r="BO63" s="879">
        <f>('Input data plant-based products'!F43/'Input data plant-based products'!E43*'Common input data'!$B$195+'Input data plant-based products'!G43/'Input data plant-based products'!E43*'Common input data'!$B$196)/'Common input data'!$B$198</f>
        <v>7.7172747972536026E-5</v>
      </c>
      <c r="BP63" s="877">
        <f>$BO63*'Input data plant-based products'!Z43</f>
        <v>7.7172747972536026E-5</v>
      </c>
      <c r="BQ63" s="877">
        <f>$BO63*'Input data plant-based products'!AA43</f>
        <v>7.7172747972536026E-5</v>
      </c>
      <c r="BR63" s="877">
        <f>$BO63*'Input data plant-based products'!AB43</f>
        <v>7.7172747972536026E-5</v>
      </c>
      <c r="BS63" s="877">
        <f>$BO63*'Input data plant-based products'!AC43</f>
        <v>9.2102575453557737E-5</v>
      </c>
      <c r="BT63" s="886">
        <f>$BO63*'Input data plant-based products'!AD43</f>
        <v>1.1370688327599718E-4</v>
      </c>
      <c r="BU63" s="877"/>
      <c r="BV63" s="879">
        <f>('Common input data'!$C$202+'Common input data'!$B$214)*'Input data plant-based products'!AC43</f>
        <v>1.1339857580459085</v>
      </c>
      <c r="BW63" s="886">
        <f>('Common input data'!$C$202+'Common input data'!$B$214)*'Input data plant-based products'!AD43</f>
        <v>1.3999824173406277</v>
      </c>
      <c r="BX63" s="406"/>
      <c r="BY63" s="406"/>
      <c r="BZ63" s="406"/>
      <c r="CA63" s="406"/>
      <c r="CB63" s="406"/>
      <c r="CC63" s="406"/>
      <c r="CD63" s="406"/>
      <c r="CE63" s="406"/>
      <c r="CF63" s="406"/>
      <c r="CG63" s="406"/>
      <c r="CH63" s="406"/>
      <c r="CI63" s="406"/>
      <c r="CJ63" s="406"/>
      <c r="CK63" s="406"/>
      <c r="CL63" s="406"/>
      <c r="CM63" s="406"/>
      <c r="CN63" s="406"/>
      <c r="CO63" s="406"/>
      <c r="CP63" s="406"/>
      <c r="CQ63" s="406"/>
      <c r="CR63" s="406"/>
      <c r="CS63" s="406"/>
      <c r="CT63" s="406"/>
      <c r="CU63" s="406"/>
      <c r="CV63" s="406"/>
      <c r="CW63" s="406"/>
      <c r="CX63" s="406"/>
      <c r="CY63" s="406"/>
      <c r="CZ63" s="406"/>
      <c r="DA63" s="406"/>
      <c r="DB63" s="406"/>
      <c r="DC63" s="406"/>
      <c r="DD63" s="406"/>
      <c r="DE63" s="406"/>
      <c r="DF63" s="406"/>
      <c r="DG63" s="406"/>
      <c r="DH63" s="406"/>
      <c r="DI63" s="406"/>
      <c r="DJ63" s="406"/>
      <c r="DK63" s="406"/>
      <c r="DL63" s="406"/>
      <c r="DM63" s="406"/>
      <c r="DN63" s="406"/>
      <c r="DO63" s="406"/>
      <c r="DP63" s="406"/>
      <c r="DQ63" s="406"/>
      <c r="DR63" s="406"/>
      <c r="DS63" s="406"/>
      <c r="DT63" s="406"/>
      <c r="DU63" s="406"/>
      <c r="DV63" s="406"/>
      <c r="DW63" s="406"/>
      <c r="DX63" s="406"/>
      <c r="DY63" s="406"/>
      <c r="DZ63" s="406"/>
      <c r="EA63" s="406"/>
      <c r="EB63" s="406"/>
      <c r="EC63" s="406"/>
      <c r="ED63" s="406"/>
      <c r="EE63" s="406"/>
      <c r="EF63" s="406"/>
      <c r="EG63" s="406"/>
      <c r="EH63" s="406"/>
      <c r="EI63" s="406"/>
      <c r="EJ63" s="406"/>
      <c r="EK63" s="406"/>
      <c r="EL63" s="406"/>
      <c r="EM63" s="406"/>
      <c r="EN63" s="406"/>
      <c r="EO63" s="406"/>
      <c r="EP63" s="406"/>
      <c r="EQ63" s="406"/>
      <c r="ER63" s="406"/>
      <c r="ES63" s="406"/>
      <c r="ET63" s="406"/>
      <c r="EU63" s="406"/>
      <c r="EV63" s="406"/>
      <c r="EW63" s="406"/>
      <c r="EX63" s="406"/>
      <c r="EY63" s="406"/>
      <c r="EZ63" s="406"/>
      <c r="FA63" s="406"/>
      <c r="FB63" s="406"/>
      <c r="FC63" s="406"/>
      <c r="FD63" s="406"/>
      <c r="FE63" s="406"/>
      <c r="FF63" s="406"/>
      <c r="FG63" s="406"/>
      <c r="FH63" s="406"/>
      <c r="FI63" s="406"/>
      <c r="FJ63" s="406"/>
      <c r="FK63" s="406"/>
      <c r="FL63" s="406"/>
      <c r="FM63" s="406"/>
      <c r="FN63" s="406"/>
      <c r="FO63" s="406"/>
      <c r="FP63" s="406"/>
      <c r="FQ63" s="406"/>
      <c r="FR63" s="406"/>
      <c r="FS63" s="406"/>
      <c r="FT63" s="406"/>
      <c r="FU63" s="406"/>
      <c r="FV63" s="406"/>
      <c r="FW63" s="406"/>
      <c r="FX63" s="406"/>
      <c r="FY63" s="406"/>
      <c r="FZ63" s="406"/>
      <c r="GA63" s="406"/>
      <c r="GB63" s="406"/>
      <c r="GC63" s="406"/>
      <c r="GD63" s="406"/>
      <c r="GE63" s="406"/>
      <c r="GF63" s="406"/>
      <c r="GG63" s="406"/>
      <c r="GH63" s="406"/>
      <c r="GI63" s="406"/>
      <c r="GJ63" s="406"/>
      <c r="GK63" s="406"/>
      <c r="GL63" s="406"/>
      <c r="GM63" s="406"/>
      <c r="GN63" s="406"/>
      <c r="GO63" s="406"/>
      <c r="GP63" s="406"/>
      <c r="GQ63" s="406"/>
      <c r="GR63" s="406"/>
      <c r="GS63" s="406"/>
      <c r="GT63" s="406"/>
      <c r="GU63" s="406"/>
      <c r="GV63" s="406"/>
      <c r="GW63" s="406"/>
      <c r="GX63" s="406"/>
      <c r="GY63" s="406"/>
      <c r="GZ63" s="406"/>
      <c r="HA63" s="406"/>
      <c r="HB63" s="406"/>
      <c r="HC63" s="406"/>
      <c r="HD63" s="406"/>
      <c r="HE63" s="406"/>
      <c r="HF63" s="406"/>
      <c r="HG63" s="406"/>
      <c r="HH63" s="406"/>
      <c r="HI63" s="406"/>
      <c r="HJ63" s="406"/>
      <c r="HK63" s="406"/>
      <c r="HL63" s="406"/>
      <c r="HM63" s="406"/>
      <c r="HN63" s="406"/>
      <c r="HO63" s="406"/>
      <c r="HP63" s="406"/>
      <c r="HQ63" s="406"/>
      <c r="HR63" s="406"/>
      <c r="HS63" s="406"/>
      <c r="HT63" s="406"/>
      <c r="HU63" s="406"/>
      <c r="HV63" s="406"/>
      <c r="HW63" s="406"/>
      <c r="HX63" s="406"/>
      <c r="HY63" s="406"/>
      <c r="HZ63" s="406"/>
      <c r="IA63" s="406"/>
      <c r="IB63" s="406"/>
      <c r="IC63" s="406"/>
      <c r="ID63" s="406"/>
      <c r="IE63" s="406"/>
      <c r="IF63" s="406"/>
      <c r="IG63" s="406"/>
      <c r="IH63" s="406"/>
      <c r="II63" s="406"/>
      <c r="IJ63" s="406"/>
      <c r="IK63" s="406"/>
      <c r="IL63" s="406"/>
      <c r="IM63" s="406"/>
      <c r="IN63" s="406"/>
      <c r="IO63" s="406"/>
      <c r="IP63" s="406"/>
      <c r="IQ63" s="406"/>
      <c r="IR63" s="406"/>
      <c r="IS63" s="406"/>
    </row>
    <row r="64" spans="1:253" s="406" customFormat="1" ht="17.25">
      <c r="A64" s="68"/>
      <c r="B64" s="55"/>
      <c r="C64" s="917"/>
      <c r="D64" s="5"/>
      <c r="E64" s="1294" t="s">
        <v>317</v>
      </c>
      <c r="F64" s="877">
        <f>IF(AND($G$2="No",$G$3="No"),SUM(K64:L64),IF(AND($G$2="Yes", $G$3="No"), SUM(K64:L64)+S64, IF(AND($G$2="No", $G$3="Yes"),SUM(K64:L64)+R64, SUM(K64:L64)+S64+R64)))</f>
        <v>3.9989486962957101E-2</v>
      </c>
      <c r="G64" s="877">
        <f>IF(AND($G$2="No",$G$3="No"),SUM(I64:Q64),IF(AND($G$2="Yes", $G$3="No"), SUM(I64:Q64)+S64, IF(AND($G$2="No", $G$3="Yes"),SUM(I64:Q64)+R64, SUM(I64:Q64)+S64+R64)))</f>
        <v>0.10119228424726612</v>
      </c>
      <c r="H64" s="878">
        <f>SUM(U64:W64)/(1-'Common input data'!$B$140)</f>
        <v>0.4549376825960928</v>
      </c>
      <c r="I64" s="877">
        <f>('Input data plant-based products'!$F$43*('Common input data'!$C$93*'Common input data'!B86+'Common input data'!$C$94*'Common input data'!C86))/'Input data plant-based products'!$E$43</f>
        <v>1.137920027246859E-2</v>
      </c>
      <c r="J64" s="877">
        <f>'Common input data'!$B$98</f>
        <v>0.03</v>
      </c>
      <c r="K64" s="877">
        <v>0</v>
      </c>
      <c r="L64" s="877">
        <v>0</v>
      </c>
      <c r="M64" s="877"/>
      <c r="N64" s="877">
        <f>('Input data plant-based products'!$P$43*'Common input data'!$C$76*'Common input data'!H66)/'Input data plant-based products'!$E$43</f>
        <v>1.2428041456284879E-2</v>
      </c>
      <c r="O64" s="877">
        <v>0</v>
      </c>
      <c r="P64" s="877">
        <f>AVERAGE(P44,P52,P56)</f>
        <v>7.3955555555555554E-3</v>
      </c>
      <c r="Q64" s="877">
        <v>0</v>
      </c>
      <c r="R64" s="877">
        <f>'Common input data'!E$19</f>
        <v>3.9989486962957101E-2</v>
      </c>
      <c r="S64" s="877">
        <v>0</v>
      </c>
      <c r="T64" s="877">
        <v>0</v>
      </c>
      <c r="U64" s="877">
        <f>(G64+T64)</f>
        <v>0.10119228424726612</v>
      </c>
      <c r="V64" s="877">
        <f>'Common input data'!$B$105</f>
        <v>0.05</v>
      </c>
      <c r="W64" s="877">
        <f>'Common input data'!B119+'Common input data'!C119</f>
        <v>0.23000000000000004</v>
      </c>
      <c r="X64" s="864"/>
      <c r="Y64" s="879"/>
      <c r="Z64" s="877"/>
      <c r="AA64" s="877"/>
      <c r="AB64" s="877"/>
      <c r="AC64" s="877"/>
      <c r="AD64" s="886"/>
      <c r="AE64" s="877"/>
      <c r="AF64" s="879"/>
      <c r="AG64" s="877"/>
      <c r="AH64" s="877"/>
      <c r="AI64" s="877"/>
      <c r="AJ64" s="877"/>
      <c r="AK64" s="886"/>
      <c r="AL64" s="877"/>
      <c r="AM64" s="879"/>
      <c r="AN64" s="877"/>
      <c r="AO64" s="877"/>
      <c r="AP64" s="877"/>
      <c r="AQ64" s="877"/>
      <c r="AR64" s="886"/>
      <c r="AS64" s="877"/>
      <c r="AT64" s="879"/>
      <c r="AU64" s="877"/>
      <c r="AV64" s="877"/>
      <c r="AW64" s="877"/>
      <c r="AX64" s="877"/>
      <c r="AY64" s="886"/>
      <c r="AZ64" s="877"/>
      <c r="BA64" s="879"/>
      <c r="BB64" s="877"/>
      <c r="BC64" s="877"/>
      <c r="BD64" s="877"/>
      <c r="BE64" s="877"/>
      <c r="BF64" s="886"/>
      <c r="BG64" s="877"/>
      <c r="BH64" s="879"/>
      <c r="BI64" s="877"/>
      <c r="BJ64" s="877"/>
      <c r="BK64" s="877"/>
      <c r="BL64" s="877"/>
      <c r="BM64" s="886"/>
      <c r="BN64" s="877"/>
      <c r="BO64" s="879"/>
      <c r="BP64" s="877"/>
      <c r="BQ64" s="877"/>
      <c r="BR64" s="877"/>
      <c r="BS64" s="877"/>
      <c r="BT64" s="886"/>
      <c r="BU64" s="877"/>
      <c r="BV64" s="879"/>
      <c r="BW64" s="886"/>
    </row>
    <row r="65" spans="1:75" s="406" customFormat="1" ht="17.25">
      <c r="A65" s="18"/>
      <c r="B65" s="55"/>
      <c r="C65" s="595"/>
      <c r="D65" s="50"/>
      <c r="E65" s="1294" t="s">
        <v>367</v>
      </c>
      <c r="F65" s="877">
        <f>SUM(K65:L65)</f>
        <v>0</v>
      </c>
      <c r="G65" s="877">
        <f>SUM(I65:Q65)</f>
        <v>2.6379781340827199E-5</v>
      </c>
      <c r="H65" s="878">
        <f>SUM(U65:W65)/(1-'Common input data'!$B$140)</f>
        <v>3.1483209620273542E-5</v>
      </c>
      <c r="I65" s="877">
        <f>('Input data plant-based products'!$F$43*('Common input data'!$C$93*'Common input data'!B87+'Common input data'!$C$94*'Common input data'!C87))/'Input data plant-based products'!$E$43</f>
        <v>2.0874578045584042E-5</v>
      </c>
      <c r="J65" s="877">
        <v>0</v>
      </c>
      <c r="K65" s="877">
        <v>0</v>
      </c>
      <c r="L65" s="877">
        <v>0</v>
      </c>
      <c r="M65" s="877"/>
      <c r="N65" s="877">
        <f>('Input data plant-based products'!$P$43*'Common input data'!$C$76*'Common input data'!H67)/'Input data plant-based products'!$E$43</f>
        <v>5.5052032952431578E-6</v>
      </c>
      <c r="O65" s="877">
        <v>0</v>
      </c>
      <c r="P65" s="877">
        <v>0</v>
      </c>
      <c r="Q65" s="877">
        <v>0</v>
      </c>
      <c r="R65" s="877">
        <v>0</v>
      </c>
      <c r="S65" s="877">
        <v>0</v>
      </c>
      <c r="T65" s="877">
        <v>0</v>
      </c>
      <c r="U65" s="877">
        <f>(G65+T65)</f>
        <v>2.6379781340827199E-5</v>
      </c>
      <c r="V65" s="877">
        <v>0</v>
      </c>
      <c r="W65" s="877">
        <v>0</v>
      </c>
      <c r="X65" s="864"/>
      <c r="Y65" s="879"/>
      <c r="Z65" s="877"/>
      <c r="AA65" s="877"/>
      <c r="AB65" s="877"/>
      <c r="AC65" s="877"/>
      <c r="AD65" s="886"/>
      <c r="AE65" s="877"/>
      <c r="AF65" s="879"/>
      <c r="AG65" s="877"/>
      <c r="AH65" s="877"/>
      <c r="AI65" s="877"/>
      <c r="AJ65" s="877"/>
      <c r="AK65" s="886"/>
      <c r="AL65" s="877"/>
      <c r="AM65" s="879"/>
      <c r="AN65" s="877"/>
      <c r="AO65" s="877"/>
      <c r="AP65" s="877"/>
      <c r="AQ65" s="877"/>
      <c r="AR65" s="886"/>
      <c r="AS65" s="877"/>
      <c r="AT65" s="879"/>
      <c r="AU65" s="877"/>
      <c r="AV65" s="877"/>
      <c r="AW65" s="877"/>
      <c r="AX65" s="877"/>
      <c r="AY65" s="886"/>
      <c r="AZ65" s="877"/>
      <c r="BA65" s="879"/>
      <c r="BB65" s="877"/>
      <c r="BC65" s="877"/>
      <c r="BD65" s="877"/>
      <c r="BE65" s="877"/>
      <c r="BF65" s="886"/>
      <c r="BG65" s="877"/>
      <c r="BH65" s="879"/>
      <c r="BI65" s="877"/>
      <c r="BJ65" s="877"/>
      <c r="BK65" s="877"/>
      <c r="BL65" s="877"/>
      <c r="BM65" s="886"/>
      <c r="BN65" s="877"/>
      <c r="BO65" s="879"/>
      <c r="BP65" s="877"/>
      <c r="BQ65" s="877"/>
      <c r="BR65" s="877"/>
      <c r="BS65" s="877"/>
      <c r="BT65" s="886"/>
      <c r="BU65" s="877"/>
      <c r="BV65" s="879"/>
      <c r="BW65" s="886"/>
    </row>
    <row r="66" spans="1:75" s="406" customFormat="1" ht="17.25">
      <c r="A66" s="359"/>
      <c r="B66" s="360"/>
      <c r="C66" s="83"/>
      <c r="D66" s="54"/>
      <c r="E66" s="1295" t="s">
        <v>320</v>
      </c>
      <c r="F66" s="896">
        <f>SUM(K66:L66)</f>
        <v>7.8460559786949234E-5</v>
      </c>
      <c r="G66" s="896">
        <f>SUM(I66:Q66)</f>
        <v>1.0379671569774436E-4</v>
      </c>
      <c r="H66" s="933">
        <f>SUM(U66:W66)/(1-'Common input data'!$B$140)</f>
        <v>1.2387721171708361E-4</v>
      </c>
      <c r="I66" s="877">
        <f>('Input data plant-based products'!$F$43*('Common input data'!$C$93*'Common input data'!B88+'Common input data'!$C$94*'Common input data'!C88))/'Input data plant-based products'!$E$43</f>
        <v>2.5002209591369134E-5</v>
      </c>
      <c r="J66" s="877">
        <v>0</v>
      </c>
      <c r="K66" s="877">
        <f>(SUM('Input data plant-based products'!F43:H43)*'Input data plant-based products'!$B$257*44/28)/'Input data plant-based products'!E43</f>
        <v>7.1327781624499299E-5</v>
      </c>
      <c r="L66" s="877">
        <f>K66*'Input data plant-based products'!$B$261</f>
        <v>7.1327781624499302E-6</v>
      </c>
      <c r="M66" s="877"/>
      <c r="N66" s="877">
        <f>('Input data plant-based products'!$P$43*'Common input data'!$C$76*'Common input data'!H68)/'Input data plant-based products'!$E$43</f>
        <v>3.339463194259899E-7</v>
      </c>
      <c r="O66" s="877">
        <v>0</v>
      </c>
      <c r="P66" s="877">
        <v>0</v>
      </c>
      <c r="Q66" s="877">
        <v>0</v>
      </c>
      <c r="R66" s="877">
        <v>0</v>
      </c>
      <c r="S66" s="877">
        <v>0</v>
      </c>
      <c r="T66" s="877">
        <v>0</v>
      </c>
      <c r="U66" s="877">
        <f>(G66+T66)</f>
        <v>1.0379671569774436E-4</v>
      </c>
      <c r="V66" s="877">
        <v>0</v>
      </c>
      <c r="W66" s="877">
        <v>0</v>
      </c>
      <c r="X66" s="864"/>
      <c r="Y66" s="879"/>
      <c r="Z66" s="877"/>
      <c r="AA66" s="877"/>
      <c r="AB66" s="877"/>
      <c r="AC66" s="877"/>
      <c r="AD66" s="886"/>
      <c r="AE66" s="877"/>
      <c r="AF66" s="879"/>
      <c r="AG66" s="877"/>
      <c r="AH66" s="877"/>
      <c r="AI66" s="877"/>
      <c r="AJ66" s="877"/>
      <c r="AK66" s="886"/>
      <c r="AL66" s="877"/>
      <c r="AM66" s="879"/>
      <c r="AN66" s="877"/>
      <c r="AO66" s="877"/>
      <c r="AP66" s="877"/>
      <c r="AQ66" s="877"/>
      <c r="AR66" s="886"/>
      <c r="AS66" s="877"/>
      <c r="AT66" s="879"/>
      <c r="AU66" s="877"/>
      <c r="AV66" s="877"/>
      <c r="AW66" s="877"/>
      <c r="AX66" s="877"/>
      <c r="AY66" s="886"/>
      <c r="AZ66" s="877"/>
      <c r="BA66" s="879"/>
      <c r="BB66" s="877"/>
      <c r="BC66" s="877"/>
      <c r="BD66" s="877"/>
      <c r="BE66" s="877"/>
      <c r="BF66" s="886"/>
      <c r="BG66" s="877"/>
      <c r="BH66" s="879"/>
      <c r="BI66" s="877"/>
      <c r="BJ66" s="877"/>
      <c r="BK66" s="877"/>
      <c r="BL66" s="877"/>
      <c r="BM66" s="886"/>
      <c r="BN66" s="877"/>
      <c r="BO66" s="879"/>
      <c r="BP66" s="877"/>
      <c r="BQ66" s="877"/>
      <c r="BR66" s="877"/>
      <c r="BS66" s="877"/>
      <c r="BT66" s="886"/>
      <c r="BU66" s="877"/>
      <c r="BV66" s="879"/>
      <c r="BW66" s="886"/>
    </row>
    <row r="67" spans="1:75" s="406" customFormat="1" ht="17.25">
      <c r="A67" s="362" t="s">
        <v>478</v>
      </c>
      <c r="B67" s="363"/>
      <c r="C67" s="770"/>
      <c r="D67" s="54"/>
      <c r="E67" s="1296"/>
      <c r="F67" s="1290" t="s">
        <v>479</v>
      </c>
      <c r="G67" s="1290" t="s">
        <v>479</v>
      </c>
      <c r="H67" s="870" t="s">
        <v>479</v>
      </c>
      <c r="I67" s="889"/>
      <c r="J67" s="889"/>
      <c r="K67" s="889"/>
      <c r="L67" s="890"/>
      <c r="M67" s="890"/>
      <c r="N67" s="890"/>
      <c r="O67" s="891"/>
      <c r="P67" s="890"/>
      <c r="Q67" s="890"/>
      <c r="R67" s="890"/>
      <c r="S67" s="890"/>
      <c r="T67" s="890"/>
      <c r="U67" s="890"/>
      <c r="V67" s="890"/>
      <c r="W67" s="890"/>
      <c r="X67" s="864"/>
      <c r="Y67" s="879"/>
      <c r="Z67" s="877"/>
      <c r="AA67" s="877"/>
      <c r="AB67" s="877"/>
      <c r="AC67" s="877"/>
      <c r="AD67" s="886"/>
      <c r="AE67" s="877"/>
      <c r="AF67" s="879"/>
      <c r="AG67" s="877"/>
      <c r="AH67" s="877"/>
      <c r="AI67" s="877"/>
      <c r="AJ67" s="877"/>
      <c r="AK67" s="886"/>
      <c r="AL67" s="877"/>
      <c r="AM67" s="879"/>
      <c r="AN67" s="877"/>
      <c r="AO67" s="877"/>
      <c r="AP67" s="877"/>
      <c r="AQ67" s="877"/>
      <c r="AR67" s="886"/>
      <c r="AS67" s="877"/>
      <c r="AT67" s="879"/>
      <c r="AU67" s="877"/>
      <c r="AV67" s="877"/>
      <c r="AW67" s="877"/>
      <c r="AX67" s="877"/>
      <c r="AY67" s="886"/>
      <c r="AZ67" s="877"/>
      <c r="BA67" s="879"/>
      <c r="BB67" s="877"/>
      <c r="BC67" s="877"/>
      <c r="BD67" s="877"/>
      <c r="BE67" s="877"/>
      <c r="BF67" s="886"/>
      <c r="BG67" s="877"/>
      <c r="BH67" s="879"/>
      <c r="BI67" s="877"/>
      <c r="BJ67" s="877"/>
      <c r="BK67" s="877"/>
      <c r="BL67" s="877"/>
      <c r="BM67" s="886"/>
      <c r="BN67" s="877"/>
      <c r="BO67" s="879"/>
      <c r="BP67" s="877"/>
      <c r="BQ67" s="877"/>
      <c r="BR67" s="877"/>
      <c r="BS67" s="877"/>
      <c r="BT67" s="886"/>
      <c r="BU67" s="877"/>
      <c r="BV67" s="879"/>
      <c r="BW67" s="886"/>
    </row>
    <row r="68" spans="1:75" s="406" customFormat="1" ht="17.25">
      <c r="A68" s="20" t="s">
        <v>120</v>
      </c>
      <c r="B68" s="93"/>
      <c r="C68" s="771">
        <f>SUM(C72:C91)</f>
        <v>1</v>
      </c>
      <c r="D68" s="50"/>
      <c r="E68" s="1293" t="s">
        <v>316</v>
      </c>
      <c r="F68" s="874">
        <f>SUMPRODUCT($CE$14:$CE$16,F69:F71)</f>
        <v>2.42387581068121E-2</v>
      </c>
      <c r="G68" s="874">
        <f>SUMPRODUCT($CE$14:$CE$16,G69:G71)</f>
        <v>1.6185091834933278</v>
      </c>
      <c r="H68" s="927">
        <f>SUMPRODUCT($CE$14:$CE$16,H69:H71)</f>
        <v>2.1940777609934652</v>
      </c>
      <c r="I68" s="872"/>
      <c r="J68" s="884"/>
      <c r="K68" s="884"/>
      <c r="L68" s="888"/>
      <c r="M68" s="888"/>
      <c r="N68" s="888"/>
      <c r="O68" s="888"/>
      <c r="P68" s="888"/>
      <c r="Q68" s="888"/>
      <c r="R68" s="888"/>
      <c r="S68" s="888"/>
      <c r="T68" s="888"/>
      <c r="U68" s="888"/>
      <c r="V68" s="888"/>
      <c r="W68" s="888"/>
      <c r="X68" s="864"/>
      <c r="Y68" s="883">
        <f>Y72*$C$72+Y76*$C$76+Y80*$C$80+Y84*$C$84+Y88*$C$88</f>
        <v>9.902893521003707E-2</v>
      </c>
      <c r="Z68" s="884">
        <f t="shared" ref="Z68:BW68" si="6">Z72*$C$72+Z76*$C$76+Z80*$C$80+Z84*$C$84+Z88*$C$88</f>
        <v>9.902893521003707E-2</v>
      </c>
      <c r="AA68" s="884">
        <f t="shared" si="6"/>
        <v>9.902893521003707E-2</v>
      </c>
      <c r="AB68" s="884">
        <f t="shared" si="6"/>
        <v>9.902893521003707E-2</v>
      </c>
      <c r="AC68" s="884">
        <f t="shared" si="6"/>
        <v>0.11818705717870517</v>
      </c>
      <c r="AD68" s="885">
        <f t="shared" si="6"/>
        <v>0.14590994713420391</v>
      </c>
      <c r="AE68" s="877"/>
      <c r="AF68" s="883">
        <f t="shared" si="6"/>
        <v>2.7388460617891208E-3</v>
      </c>
      <c r="AG68" s="884">
        <f t="shared" si="6"/>
        <v>2.7388460617891208E-3</v>
      </c>
      <c r="AH68" s="884">
        <f t="shared" si="6"/>
        <v>2.7388460617891208E-3</v>
      </c>
      <c r="AI68" s="884">
        <f t="shared" si="6"/>
        <v>2.7388460617891208E-3</v>
      </c>
      <c r="AJ68" s="884">
        <f t="shared" si="6"/>
        <v>3.268702782896672E-3</v>
      </c>
      <c r="AK68" s="885">
        <f t="shared" si="6"/>
        <v>4.0354355344403344E-3</v>
      </c>
      <c r="AL68" s="877"/>
      <c r="AM68" s="883">
        <f t="shared" si="6"/>
        <v>0</v>
      </c>
      <c r="AN68" s="884">
        <f t="shared" si="6"/>
        <v>0</v>
      </c>
      <c r="AO68" s="884">
        <f t="shared" si="6"/>
        <v>0</v>
      </c>
      <c r="AP68" s="884">
        <f t="shared" si="6"/>
        <v>0</v>
      </c>
      <c r="AQ68" s="884">
        <f t="shared" si="6"/>
        <v>0</v>
      </c>
      <c r="AR68" s="885">
        <f t="shared" si="6"/>
        <v>0</v>
      </c>
      <c r="AS68" s="877"/>
      <c r="AT68" s="883">
        <f t="shared" si="6"/>
        <v>0</v>
      </c>
      <c r="AU68" s="884">
        <f t="shared" si="6"/>
        <v>0</v>
      </c>
      <c r="AV68" s="884">
        <f t="shared" si="6"/>
        <v>0</v>
      </c>
      <c r="AW68" s="884">
        <f t="shared" si="6"/>
        <v>0</v>
      </c>
      <c r="AX68" s="884">
        <f t="shared" si="6"/>
        <v>0</v>
      </c>
      <c r="AY68" s="885">
        <f t="shared" si="6"/>
        <v>0</v>
      </c>
      <c r="AZ68" s="877"/>
      <c r="BA68" s="883">
        <f t="shared" si="6"/>
        <v>1.1044628497154875E-10</v>
      </c>
      <c r="BB68" s="884">
        <f t="shared" si="6"/>
        <v>1.1044628497154875E-10</v>
      </c>
      <c r="BC68" s="884">
        <f t="shared" si="6"/>
        <v>1.1044628497154875E-10</v>
      </c>
      <c r="BD68" s="884">
        <f t="shared" si="6"/>
        <v>1.1044628497154875E-10</v>
      </c>
      <c r="BE68" s="884">
        <f t="shared" si="6"/>
        <v>1.3181320559917501E-10</v>
      </c>
      <c r="BF68" s="885">
        <f t="shared" si="6"/>
        <v>1.6273235259157406E-10</v>
      </c>
      <c r="BG68" s="877"/>
      <c r="BH68" s="883">
        <f t="shared" si="6"/>
        <v>6.4003162217051901E-5</v>
      </c>
      <c r="BI68" s="884">
        <f t="shared" si="6"/>
        <v>6.4003162217051901E-5</v>
      </c>
      <c r="BJ68" s="884">
        <f t="shared" si="6"/>
        <v>6.4003162217051901E-5</v>
      </c>
      <c r="BK68" s="884">
        <f t="shared" si="6"/>
        <v>6.4003162217051901E-5</v>
      </c>
      <c r="BL68" s="884">
        <f t="shared" si="6"/>
        <v>7.6385203743945456E-5</v>
      </c>
      <c r="BM68" s="885">
        <f t="shared" si="6"/>
        <v>9.4302720671537603E-5</v>
      </c>
      <c r="BN68" s="877"/>
      <c r="BO68" s="883">
        <f t="shared" si="6"/>
        <v>6.9932964435278134E-5</v>
      </c>
      <c r="BP68" s="884">
        <f t="shared" si="6"/>
        <v>6.9932964435278134E-5</v>
      </c>
      <c r="BQ68" s="884">
        <f t="shared" si="6"/>
        <v>6.9932964435278134E-5</v>
      </c>
      <c r="BR68" s="884">
        <f t="shared" si="6"/>
        <v>6.9932964435278134E-5</v>
      </c>
      <c r="BS68" s="884">
        <f t="shared" si="6"/>
        <v>8.3462184550994314E-5</v>
      </c>
      <c r="BT68" s="885">
        <f t="shared" si="6"/>
        <v>1.030397340135732E-4</v>
      </c>
      <c r="BU68" s="877"/>
      <c r="BV68" s="883">
        <f t="shared" si="6"/>
        <v>1.0228076773245502</v>
      </c>
      <c r="BW68" s="885">
        <f t="shared" si="6"/>
        <v>1.2627255275611728</v>
      </c>
    </row>
    <row r="69" spans="1:75" s="406" customFormat="1" ht="17.25">
      <c r="A69" s="499"/>
      <c r="B69" s="55"/>
      <c r="C69" s="917"/>
      <c r="D69" s="5"/>
      <c r="E69" s="1294" t="s">
        <v>317</v>
      </c>
      <c r="F69" s="877">
        <f>F73*$C$72+F77*$C$76+$C$80*F81+$C$84*F85+$C$88*F89</f>
        <v>9.5819215786754272E-3</v>
      </c>
      <c r="G69" s="877">
        <f t="shared" ref="F69:W71" si="7">G73*$C$72+G77*$C$76+$C$80*G81+$C$84*G85+$C$88*G89</f>
        <v>1.4184246817492976</v>
      </c>
      <c r="H69" s="878">
        <f t="shared" si="7"/>
        <v>1.9552849435402722</v>
      </c>
      <c r="I69" s="877">
        <f t="shared" si="7"/>
        <v>1.03116868177307E-2</v>
      </c>
      <c r="J69" s="877">
        <f t="shared" si="7"/>
        <v>0.03</v>
      </c>
      <c r="K69" s="877">
        <f t="shared" si="7"/>
        <v>0</v>
      </c>
      <c r="L69" s="877">
        <f t="shared" si="7"/>
        <v>0</v>
      </c>
      <c r="M69" s="877"/>
      <c r="N69" s="877">
        <f t="shared" si="7"/>
        <v>1.8967142287493409E-3</v>
      </c>
      <c r="O69" s="877">
        <f t="shared" si="7"/>
        <v>1.3590614431484016</v>
      </c>
      <c r="P69" s="877">
        <f t="shared" si="7"/>
        <v>7.5729159757407958E-3</v>
      </c>
      <c r="Q69" s="877">
        <f t="shared" si="7"/>
        <v>0</v>
      </c>
      <c r="R69" s="877">
        <f t="shared" si="7"/>
        <v>9.5819215786754272E-3</v>
      </c>
      <c r="S69" s="877">
        <f t="shared" si="7"/>
        <v>0</v>
      </c>
      <c r="T69" s="877">
        <f t="shared" si="7"/>
        <v>0</v>
      </c>
      <c r="U69" s="877">
        <f t="shared" si="7"/>
        <v>1.4184246817492976</v>
      </c>
      <c r="V69" s="877">
        <f t="shared" si="7"/>
        <v>0.05</v>
      </c>
      <c r="W69" s="877">
        <f t="shared" si="7"/>
        <v>0.16990857244309648</v>
      </c>
      <c r="X69" s="864"/>
      <c r="Y69" s="879"/>
      <c r="Z69" s="877"/>
      <c r="AA69" s="877"/>
      <c r="AB69" s="877"/>
      <c r="AC69" s="877"/>
      <c r="AD69" s="886"/>
      <c r="AE69" s="877"/>
      <c r="AF69" s="879"/>
      <c r="AG69" s="877"/>
      <c r="AH69" s="877"/>
      <c r="AI69" s="877"/>
      <c r="AJ69" s="877"/>
      <c r="AK69" s="886"/>
      <c r="AL69" s="877"/>
      <c r="AM69" s="879"/>
      <c r="AN69" s="877"/>
      <c r="AO69" s="877"/>
      <c r="AP69" s="877"/>
      <c r="AQ69" s="877"/>
      <c r="AR69" s="886"/>
      <c r="AS69" s="877"/>
      <c r="AT69" s="879"/>
      <c r="AU69" s="877"/>
      <c r="AV69" s="877"/>
      <c r="AW69" s="877"/>
      <c r="AX69" s="877"/>
      <c r="AY69" s="886"/>
      <c r="AZ69" s="877"/>
      <c r="BA69" s="879"/>
      <c r="BB69" s="877"/>
      <c r="BC69" s="877"/>
      <c r="BD69" s="877"/>
      <c r="BE69" s="877"/>
      <c r="BF69" s="886"/>
      <c r="BG69" s="877"/>
      <c r="BH69" s="879"/>
      <c r="BI69" s="877"/>
      <c r="BJ69" s="877"/>
      <c r="BK69" s="877"/>
      <c r="BL69" s="877"/>
      <c r="BM69" s="886"/>
      <c r="BN69" s="877"/>
      <c r="BO69" s="879"/>
      <c r="BP69" s="877"/>
      <c r="BQ69" s="877"/>
      <c r="BR69" s="877"/>
      <c r="BS69" s="877"/>
      <c r="BT69" s="886"/>
      <c r="BU69" s="877"/>
      <c r="BV69" s="879"/>
      <c r="BW69" s="886"/>
    </row>
    <row r="70" spans="1:75" s="406" customFormat="1" ht="17.25">
      <c r="A70" s="499"/>
      <c r="B70" s="55"/>
      <c r="C70" s="595"/>
      <c r="D70" s="50"/>
      <c r="E70" s="1294" t="s">
        <v>367</v>
      </c>
      <c r="F70" s="877">
        <f t="shared" si="7"/>
        <v>0</v>
      </c>
      <c r="G70" s="877">
        <f>G74*$C$72+G78*$C$76+$C$80*G82+$C$84*G86+$C$88*G90</f>
        <v>6.1556849271548865E-3</v>
      </c>
      <c r="H70" s="878">
        <f>H74*$C$72+H78*$C$76+$C$80*H82+$C$84*H86+$C$88*H90</f>
        <v>7.3465627487228624E-3</v>
      </c>
      <c r="I70" s="877">
        <f t="shared" si="7"/>
        <v>1.8916277603368258E-5</v>
      </c>
      <c r="J70" s="877">
        <f t="shared" si="7"/>
        <v>0</v>
      </c>
      <c r="K70" s="877">
        <f t="shared" si="7"/>
        <v>0</v>
      </c>
      <c r="L70" s="877">
        <f t="shared" si="7"/>
        <v>0</v>
      </c>
      <c r="M70" s="877"/>
      <c r="N70" s="877">
        <f t="shared" si="7"/>
        <v>8.4018044669178528E-7</v>
      </c>
      <c r="O70" s="877">
        <f t="shared" si="7"/>
        <v>6.1359284691048259E-3</v>
      </c>
      <c r="P70" s="877">
        <f t="shared" si="7"/>
        <v>0</v>
      </c>
      <c r="Q70" s="877">
        <f t="shared" si="7"/>
        <v>0</v>
      </c>
      <c r="R70" s="877">
        <f t="shared" si="7"/>
        <v>0</v>
      </c>
      <c r="S70" s="877">
        <f t="shared" si="7"/>
        <v>0</v>
      </c>
      <c r="T70" s="877">
        <f t="shared" si="7"/>
        <v>0</v>
      </c>
      <c r="U70" s="877">
        <f t="shared" si="7"/>
        <v>6.1556849271548865E-3</v>
      </c>
      <c r="V70" s="877">
        <f t="shared" si="7"/>
        <v>0</v>
      </c>
      <c r="W70" s="877">
        <f t="shared" si="7"/>
        <v>0</v>
      </c>
      <c r="X70" s="864"/>
      <c r="Y70" s="879"/>
      <c r="Z70" s="877"/>
      <c r="AA70" s="877"/>
      <c r="AB70" s="877"/>
      <c r="AC70" s="877"/>
      <c r="AD70" s="886"/>
      <c r="AE70" s="877"/>
      <c r="AF70" s="879"/>
      <c r="AG70" s="877"/>
      <c r="AH70" s="877"/>
      <c r="AI70" s="877"/>
      <c r="AJ70" s="877"/>
      <c r="AK70" s="886"/>
      <c r="AL70" s="877"/>
      <c r="AM70" s="879"/>
      <c r="AN70" s="877"/>
      <c r="AO70" s="877"/>
      <c r="AP70" s="877"/>
      <c r="AQ70" s="877"/>
      <c r="AR70" s="886"/>
      <c r="AS70" s="877"/>
      <c r="AT70" s="879"/>
      <c r="AU70" s="877"/>
      <c r="AV70" s="877"/>
      <c r="AW70" s="877"/>
      <c r="AX70" s="877"/>
      <c r="AY70" s="886"/>
      <c r="AZ70" s="877"/>
      <c r="BA70" s="879"/>
      <c r="BB70" s="877"/>
      <c r="BC70" s="877"/>
      <c r="BD70" s="877"/>
      <c r="BE70" s="877"/>
      <c r="BF70" s="886"/>
      <c r="BG70" s="877"/>
      <c r="BH70" s="879"/>
      <c r="BI70" s="877"/>
      <c r="BJ70" s="877"/>
      <c r="BK70" s="877"/>
      <c r="BL70" s="877"/>
      <c r="BM70" s="886"/>
      <c r="BN70" s="877"/>
      <c r="BO70" s="879"/>
      <c r="BP70" s="877"/>
      <c r="BQ70" s="877"/>
      <c r="BR70" s="877"/>
      <c r="BS70" s="877"/>
      <c r="BT70" s="886"/>
      <c r="BU70" s="877"/>
      <c r="BV70" s="879"/>
      <c r="BW70" s="886"/>
    </row>
    <row r="71" spans="1:75" s="406" customFormat="1" ht="17.25">
      <c r="A71" s="18"/>
      <c r="B71" s="360"/>
      <c r="C71" s="83"/>
      <c r="D71" s="54"/>
      <c r="E71" s="1295" t="s">
        <v>320</v>
      </c>
      <c r="F71" s="877">
        <f t="shared" si="7"/>
        <v>5.3688045890610524E-5</v>
      </c>
      <c r="G71" s="877">
        <f t="shared" si="7"/>
        <v>1.2410625901409622E-4</v>
      </c>
      <c r="H71" s="878">
        <f>H75*$C$72+H79*$C$76+$C$80*H83+$C$84*H87+$C$88*H91</f>
        <v>1.481158360354413E-4</v>
      </c>
      <c r="I71" s="877">
        <f t="shared" si="7"/>
        <v>2.2656684906164418E-5</v>
      </c>
      <c r="J71" s="877">
        <f t="shared" si="7"/>
        <v>0</v>
      </c>
      <c r="K71" s="877">
        <f t="shared" si="7"/>
        <v>5.1783963405078853E-5</v>
      </c>
      <c r="L71" s="877">
        <f t="shared" si="7"/>
        <v>1.9040824855316684E-6</v>
      </c>
      <c r="M71" s="877"/>
      <c r="N71" s="877">
        <f t="shared" si="7"/>
        <v>5.0965450825193048E-8</v>
      </c>
      <c r="O71" s="877">
        <f t="shared" si="7"/>
        <v>4.7710562766496099E-5</v>
      </c>
      <c r="P71" s="877">
        <f t="shared" si="7"/>
        <v>0</v>
      </c>
      <c r="Q71" s="877">
        <f t="shared" si="7"/>
        <v>0</v>
      </c>
      <c r="R71" s="877">
        <f t="shared" si="7"/>
        <v>0</v>
      </c>
      <c r="S71" s="877">
        <f t="shared" si="7"/>
        <v>0</v>
      </c>
      <c r="T71" s="877">
        <f t="shared" si="7"/>
        <v>0</v>
      </c>
      <c r="U71" s="877">
        <f t="shared" si="7"/>
        <v>1.2410625901409622E-4</v>
      </c>
      <c r="V71" s="877">
        <f t="shared" si="7"/>
        <v>0</v>
      </c>
      <c r="W71" s="877">
        <f t="shared" si="7"/>
        <v>0</v>
      </c>
      <c r="X71" s="864"/>
      <c r="Y71" s="879"/>
      <c r="Z71" s="877"/>
      <c r="AA71" s="877"/>
      <c r="AB71" s="877"/>
      <c r="AC71" s="877"/>
      <c r="AD71" s="886"/>
      <c r="AE71" s="877"/>
      <c r="AF71" s="879"/>
      <c r="AG71" s="877"/>
      <c r="AH71" s="877"/>
      <c r="AI71" s="877"/>
      <c r="AJ71" s="877"/>
      <c r="AK71" s="886"/>
      <c r="AL71" s="877"/>
      <c r="AM71" s="879"/>
      <c r="AN71" s="877"/>
      <c r="AO71" s="877"/>
      <c r="AP71" s="877"/>
      <c r="AQ71" s="877"/>
      <c r="AR71" s="886"/>
      <c r="AS71" s="877"/>
      <c r="AT71" s="879"/>
      <c r="AU71" s="877"/>
      <c r="AV71" s="877"/>
      <c r="AW71" s="877"/>
      <c r="AX71" s="877"/>
      <c r="AY71" s="886"/>
      <c r="AZ71" s="877"/>
      <c r="BA71" s="879"/>
      <c r="BB71" s="877"/>
      <c r="BC71" s="877"/>
      <c r="BD71" s="877"/>
      <c r="BE71" s="877"/>
      <c r="BF71" s="886"/>
      <c r="BG71" s="877"/>
      <c r="BH71" s="879"/>
      <c r="BI71" s="877"/>
      <c r="BJ71" s="877"/>
      <c r="BK71" s="877"/>
      <c r="BL71" s="877"/>
      <c r="BM71" s="886"/>
      <c r="BN71" s="877"/>
      <c r="BO71" s="879"/>
      <c r="BP71" s="877"/>
      <c r="BQ71" s="877"/>
      <c r="BR71" s="877"/>
      <c r="BS71" s="877"/>
      <c r="BT71" s="886"/>
      <c r="BU71" s="877"/>
      <c r="BV71" s="879"/>
      <c r="BW71" s="886"/>
    </row>
    <row r="72" spans="1:75" s="406" customFormat="1" ht="17.25">
      <c r="A72" s="20" t="s">
        <v>148</v>
      </c>
      <c r="B72" s="164" t="s">
        <v>129</v>
      </c>
      <c r="C72" s="904">
        <f>'Input data plant-based products'!D79</f>
        <v>0.60091427556903521</v>
      </c>
      <c r="D72" s="17"/>
      <c r="E72" s="1293" t="s">
        <v>316</v>
      </c>
      <c r="F72" s="872">
        <f>SUMPRODUCT($CE$14:$CE$16,F73:F75)</f>
        <v>1.4410340961551147E-2</v>
      </c>
      <c r="G72" s="872">
        <f>SUMPRODUCT($CE$14:$CE$16,G73:G75)</f>
        <v>2.532294122920054</v>
      </c>
      <c r="H72" s="873">
        <f>SUMPRODUCT($CE$14:$CE$16,H73:H75)</f>
        <v>3.2370141101802763</v>
      </c>
      <c r="I72" s="888"/>
      <c r="J72" s="888"/>
      <c r="K72" s="888"/>
      <c r="L72" s="888"/>
      <c r="M72" s="888"/>
      <c r="N72" s="888"/>
      <c r="O72" s="888"/>
      <c r="P72" s="888"/>
      <c r="Q72" s="888"/>
      <c r="R72" s="888"/>
      <c r="S72" s="888"/>
      <c r="T72" s="888"/>
      <c r="U72" s="888"/>
      <c r="V72" s="888"/>
      <c r="W72" s="888"/>
      <c r="X72" s="864"/>
      <c r="Y72" s="879">
        <f>1/'Input data plant-based products'!E79*10^4</f>
        <v>3.6638894384723043E-2</v>
      </c>
      <c r="Z72" s="877">
        <f>$Y72*'Input data plant-based products'!Z79</f>
        <v>3.6638894384723043E-2</v>
      </c>
      <c r="AA72" s="877">
        <f>$Y72*'Input data plant-based products'!AA79</f>
        <v>3.6638894384723043E-2</v>
      </c>
      <c r="AB72" s="877">
        <f>$Y72*'Input data plant-based products'!AB79</f>
        <v>3.6638894384723043E-2</v>
      </c>
      <c r="AC72" s="877">
        <f>$Y72*'Input data plant-based products'!AC79</f>
        <v>4.3727049032966994E-2</v>
      </c>
      <c r="AD72" s="886">
        <f>$Y72*'Input data plant-based products'!AD79</f>
        <v>5.3984011151811097E-2</v>
      </c>
      <c r="AE72" s="877"/>
      <c r="AF72" s="879">
        <f>SUM('Input data plant-based products'!F79,'Input data plant-based products'!Q79)/'Input data plant-based products'!E79</f>
        <v>2.0994086482446304E-3</v>
      </c>
      <c r="AG72" s="877">
        <f>$AF72*'Input data plant-based products'!Z79</f>
        <v>2.0994086482446304E-3</v>
      </c>
      <c r="AH72" s="877">
        <f>$AF72*'Input data plant-based products'!AA79</f>
        <v>2.0994086482446304E-3</v>
      </c>
      <c r="AI72" s="877">
        <f>$AF72*'Input data plant-based products'!AB79</f>
        <v>2.0994086482446304E-3</v>
      </c>
      <c r="AJ72" s="877">
        <f>$AF72*'Input data plant-based products'!AC79</f>
        <v>2.5055599095890088E-3</v>
      </c>
      <c r="AK72" s="886">
        <f>$AF72*'Input data plant-based products'!AD79</f>
        <v>3.0932838389987759E-3</v>
      </c>
      <c r="AL72" s="877"/>
      <c r="AM72" s="879">
        <f>'Input data plant-based products'!R79/'Input data plant-based products'!E79</f>
        <v>0</v>
      </c>
      <c r="AN72" s="877">
        <f>$AM72*'Input data plant-based products'!Z79</f>
        <v>0</v>
      </c>
      <c r="AO72" s="877">
        <f>$AM72*'Input data plant-based products'!AA79</f>
        <v>0</v>
      </c>
      <c r="AP72" s="877">
        <f>$AM72*'Input data plant-based products'!AB79</f>
        <v>0</v>
      </c>
      <c r="AQ72" s="877">
        <f>$AM72*'Input data plant-based products'!AC79</f>
        <v>0</v>
      </c>
      <c r="AR72" s="886">
        <f>$AM72*'Input data plant-based products'!AD79</f>
        <v>0</v>
      </c>
      <c r="AS72" s="877"/>
      <c r="AT72" s="879">
        <f>'Input data plant-based products'!S79</f>
        <v>0</v>
      </c>
      <c r="AU72" s="877">
        <f>$AT72*'Input data plant-based products'!Z79</f>
        <v>0</v>
      </c>
      <c r="AV72" s="877">
        <f>$AT72*'Input data plant-based products'!AA79</f>
        <v>0</v>
      </c>
      <c r="AW72" s="877">
        <f>$AT72*'Input data plant-based products'!AB79</f>
        <v>0</v>
      </c>
      <c r="AX72" s="877">
        <f>$AT72*'Input data plant-based products'!AC79</f>
        <v>0</v>
      </c>
      <c r="AY72" s="886">
        <f>$AT72*'Input data plant-based products'!AD79</f>
        <v>0</v>
      </c>
      <c r="AZ72" s="877"/>
      <c r="BA72" s="879">
        <f>((SUM('Input data plant-based products'!U79:Y79)*Y72)/('Common input data'!$B$192/10^6))/$BB$3</f>
        <v>8.10746336309184E-13</v>
      </c>
      <c r="BB72" s="877">
        <f>$BA72*'Input data plant-based products'!Z79</f>
        <v>8.10746336309184E-13</v>
      </c>
      <c r="BC72" s="877">
        <f>$BA72*'Input data plant-based products'!AA79</f>
        <v>8.10746336309184E-13</v>
      </c>
      <c r="BD72" s="877">
        <f>$BA72*'Input data plant-based products'!AB79</f>
        <v>8.10746336309184E-13</v>
      </c>
      <c r="BE72" s="877">
        <f>$BA72*'Input data plant-based products'!AC79</f>
        <v>9.6759319287407081E-13</v>
      </c>
      <c r="BF72" s="886">
        <f>$BA72*'Input data plant-based products'!AD79</f>
        <v>1.1945594973753959E-12</v>
      </c>
      <c r="BG72" s="877"/>
      <c r="BH72" s="879">
        <f>'Input data plant-based products'!T79/'Input data plant-based products'!E79</f>
        <v>0</v>
      </c>
      <c r="BI72" s="877">
        <f>$BH72*'Input data plant-based products'!Z79</f>
        <v>0</v>
      </c>
      <c r="BJ72" s="877">
        <f>$BH72*'Input data plant-based products'!AA79</f>
        <v>0</v>
      </c>
      <c r="BK72" s="877">
        <f>$BH72*'Input data plant-based products'!AB79</f>
        <v>0</v>
      </c>
      <c r="BL72" s="877">
        <f>$BH72*'Input data plant-based products'!AC79</f>
        <v>0</v>
      </c>
      <c r="BM72" s="886">
        <f>$BH72*'Input data plant-based products'!AD79</f>
        <v>0</v>
      </c>
      <c r="BN72" s="877"/>
      <c r="BO72" s="879">
        <f>('Input data plant-based products'!F79/'Input data plant-based products'!E79*'Common input data'!$B$195+'Input data plant-based products'!G79/'Input data plant-based products'!E79*'Common input data'!$B$196)/'Common input data'!$B$198</f>
        <v>5.3605740162300298E-5</v>
      </c>
      <c r="BP72" s="877">
        <f>$BO72*'Input data plant-based products'!Z79</f>
        <v>5.3605740162300298E-5</v>
      </c>
      <c r="BQ72" s="877">
        <f>$BO72*'Input data plant-based products'!AA79</f>
        <v>5.3605740162300298E-5</v>
      </c>
      <c r="BR72" s="877">
        <f>$BO72*'Input data plant-based products'!AB79</f>
        <v>5.3605740162300298E-5</v>
      </c>
      <c r="BS72" s="877">
        <f>$BO72*'Input data plant-based products'!AC79</f>
        <v>6.3976298081274967E-5</v>
      </c>
      <c r="BT72" s="886">
        <f>$BO72*'Input data plant-based products'!AD79</f>
        <v>7.8983084050956746E-5</v>
      </c>
      <c r="BU72" s="877"/>
      <c r="BV72" s="879">
        <f>('Common input data'!$C$202+'Common input data'!$B$209)*'Input data plant-based products'!AC79</f>
        <v>0.80081155269125193</v>
      </c>
      <c r="BW72" s="886">
        <f>('Common input data'!$C$202+'Common input data'!$B$209)*'Input data plant-based products'!AD79</f>
        <v>0.98865623789043444</v>
      </c>
    </row>
    <row r="73" spans="1:75" s="406" customFormat="1" ht="17.25">
      <c r="A73" s="499"/>
      <c r="B73"/>
      <c r="C73" s="917"/>
      <c r="D73" s="5"/>
      <c r="E73" s="1294" t="s">
        <v>317</v>
      </c>
      <c r="F73" s="877">
        <f>IF(AND($G$2="No",$G$3="No"),SUM(K73:L73),IF(AND($G$2="Yes", $G$3="No"), SUM(K73:L73)+S73, IF(AND($G$2="No", $G$3="Yes"),SUM(K73:L73)+R73, SUM(K73:L73)+S73+R73)))</f>
        <v>0</v>
      </c>
      <c r="G73" s="877">
        <f>IF(AND($G$2="No",$G$3="No"),SUM(I73:Q73),IF(AND($G$2="Yes", $G$3="No"), SUM(I73:Q73)+S73, IF(AND($G$2="No", $G$3="Yes"),SUM(I73:Q73)+R73, SUM(I73:Q73)+S73+R73)))</f>
        <v>2.2251614093774275</v>
      </c>
      <c r="H73" s="878">
        <f>SUM(U73:W73)/(1-'Common input data'!$B$140)</f>
        <v>2.8704635509934686</v>
      </c>
      <c r="I73" s="877">
        <f>('Input data plant-based products'!$F$79*('Common input data'!$C$93*'Common input data'!B86+'Common input data'!$C$94*'Common input data'!C86))/'Input data plant-based products'!$E$79</f>
        <v>7.904220972898484E-3</v>
      </c>
      <c r="J73" s="877">
        <f>'Common input data'!$B$98</f>
        <v>0.03</v>
      </c>
      <c r="K73" s="877">
        <v>0</v>
      </c>
      <c r="L73" s="877">
        <v>0</v>
      </c>
      <c r="M73" s="877"/>
      <c r="N73" s="877">
        <v>0</v>
      </c>
      <c r="O73" s="877">
        <f>'Input data plant-based products'!N299/'Input data plant-based products'!E$79*'Common input data'!D$50</f>
        <v>2.1872571884045291</v>
      </c>
      <c r="P73" s="877">
        <v>0</v>
      </c>
      <c r="Q73" s="877">
        <v>0</v>
      </c>
      <c r="R73" s="877">
        <v>0</v>
      </c>
      <c r="S73" s="877">
        <v>0</v>
      </c>
      <c r="T73" s="877">
        <v>0</v>
      </c>
      <c r="U73" s="877">
        <f>(G73+T73)</f>
        <v>2.2251614093774275</v>
      </c>
      <c r="V73" s="877">
        <f>'Common input data'!$B$105</f>
        <v>0.05</v>
      </c>
      <c r="W73" s="877">
        <f>'Common input data'!B116+'Common input data'!C116</f>
        <v>0.13</v>
      </c>
      <c r="X73" s="864"/>
      <c r="Y73" s="879"/>
      <c r="Z73" s="877"/>
      <c r="AA73" s="877"/>
      <c r="AB73" s="877"/>
      <c r="AC73" s="877"/>
      <c r="AD73" s="886"/>
      <c r="AE73" s="877"/>
      <c r="AF73" s="879"/>
      <c r="AG73" s="877"/>
      <c r="AH73" s="877"/>
      <c r="AI73" s="877"/>
      <c r="AJ73" s="877"/>
      <c r="AK73" s="886"/>
      <c r="AL73" s="877"/>
      <c r="AM73" s="879"/>
      <c r="AN73" s="877"/>
      <c r="AO73" s="877"/>
      <c r="AP73" s="877"/>
      <c r="AQ73" s="877"/>
      <c r="AR73" s="886"/>
      <c r="AS73" s="877"/>
      <c r="AT73" s="879"/>
      <c r="AU73" s="877"/>
      <c r="AV73" s="877"/>
      <c r="AW73" s="877"/>
      <c r="AX73" s="877"/>
      <c r="AY73" s="886"/>
      <c r="AZ73" s="877"/>
      <c r="BA73" s="879"/>
      <c r="BB73" s="877"/>
      <c r="BC73" s="877"/>
      <c r="BD73" s="877"/>
      <c r="BE73" s="877"/>
      <c r="BF73" s="886"/>
      <c r="BG73" s="877"/>
      <c r="BH73" s="879"/>
      <c r="BI73" s="877"/>
      <c r="BJ73" s="877"/>
      <c r="BK73" s="877"/>
      <c r="BL73" s="877"/>
      <c r="BM73" s="886"/>
      <c r="BN73" s="877"/>
      <c r="BO73" s="879"/>
      <c r="BP73" s="877"/>
      <c r="BQ73" s="877"/>
      <c r="BR73" s="877"/>
      <c r="BS73" s="877"/>
      <c r="BT73" s="886"/>
      <c r="BU73" s="877"/>
      <c r="BV73" s="879"/>
      <c r="BW73" s="886"/>
    </row>
    <row r="74" spans="1:75" s="406" customFormat="1" ht="17.25">
      <c r="A74" s="499"/>
      <c r="B74"/>
      <c r="C74" s="595"/>
      <c r="D74" s="50"/>
      <c r="E74" s="1294" t="s">
        <v>367</v>
      </c>
      <c r="F74" s="877">
        <f>SUM(K74:L74)</f>
        <v>0</v>
      </c>
      <c r="G74" s="877">
        <f>SUM(I74:Q74)</f>
        <v>9.8895895956322612E-3</v>
      </c>
      <c r="H74" s="878">
        <f>SUM(U74:W74)/(1-'Common input data'!$B$140)</f>
        <v>1.1802828017224324E-2</v>
      </c>
      <c r="I74" s="877">
        <f>('Input data plant-based products'!$F$79*('Common input data'!$C$93*'Common input data'!B87+'Common input data'!$C$94*'Common input data'!C87))/'Input data plant-based products'!$E$79</f>
        <v>1.4499901015672806E-5</v>
      </c>
      <c r="J74" s="877">
        <v>0</v>
      </c>
      <c r="K74" s="877">
        <v>0</v>
      </c>
      <c r="L74" s="877">
        <v>0</v>
      </c>
      <c r="M74" s="877"/>
      <c r="N74" s="877">
        <v>0</v>
      </c>
      <c r="O74" s="877">
        <f>'Input data plant-based products'!O299/'Input data plant-based products'!E$79*'Common input data'!D$50</f>
        <v>9.8750896946165883E-3</v>
      </c>
      <c r="P74" s="877">
        <v>0</v>
      </c>
      <c r="Q74" s="877">
        <v>0</v>
      </c>
      <c r="R74" s="877">
        <v>0</v>
      </c>
      <c r="S74" s="877">
        <v>0</v>
      </c>
      <c r="T74" s="877">
        <v>0</v>
      </c>
      <c r="U74" s="877">
        <f>(G74+T74)</f>
        <v>9.8895895956322612E-3</v>
      </c>
      <c r="V74" s="877">
        <v>0</v>
      </c>
      <c r="W74" s="877">
        <v>0</v>
      </c>
      <c r="X74" s="864"/>
      <c r="Y74" s="879"/>
      <c r="Z74" s="877"/>
      <c r="AA74" s="877"/>
      <c r="AB74" s="877"/>
      <c r="AC74" s="877"/>
      <c r="AD74" s="886"/>
      <c r="AE74" s="877"/>
      <c r="AF74" s="879"/>
      <c r="AG74" s="877"/>
      <c r="AH74" s="877"/>
      <c r="AI74" s="877"/>
      <c r="AJ74" s="877"/>
      <c r="AK74" s="886"/>
      <c r="AL74" s="877"/>
      <c r="AM74" s="879"/>
      <c r="AN74" s="877"/>
      <c r="AO74" s="877"/>
      <c r="AP74" s="877"/>
      <c r="AQ74" s="877"/>
      <c r="AR74" s="886"/>
      <c r="AS74" s="877"/>
      <c r="AT74" s="879"/>
      <c r="AU74" s="877"/>
      <c r="AV74" s="877"/>
      <c r="AW74" s="877"/>
      <c r="AX74" s="877"/>
      <c r="AY74" s="886"/>
      <c r="AZ74" s="877"/>
      <c r="BA74" s="879"/>
      <c r="BB74" s="877"/>
      <c r="BC74" s="877"/>
      <c r="BD74" s="877"/>
      <c r="BE74" s="877"/>
      <c r="BF74" s="886"/>
      <c r="BG74" s="877"/>
      <c r="BH74" s="879"/>
      <c r="BI74" s="877"/>
      <c r="BJ74" s="877"/>
      <c r="BK74" s="877"/>
      <c r="BL74" s="877"/>
      <c r="BM74" s="886"/>
      <c r="BN74" s="877"/>
      <c r="BO74" s="879"/>
      <c r="BP74" s="877"/>
      <c r="BQ74" s="877"/>
      <c r="BR74" s="877"/>
      <c r="BS74" s="877"/>
      <c r="BT74" s="886"/>
      <c r="BU74" s="877"/>
      <c r="BV74" s="879"/>
      <c r="BW74" s="886"/>
    </row>
    <row r="75" spans="1:75" s="406" customFormat="1" ht="17.25">
      <c r="A75" s="18"/>
      <c r="B75"/>
      <c r="C75" s="83"/>
      <c r="D75" s="54"/>
      <c r="E75" s="1295" t="s">
        <v>320</v>
      </c>
      <c r="F75" s="877">
        <f>SUM(K75:L75)</f>
        <v>5.278513172729358E-5</v>
      </c>
      <c r="G75" s="877">
        <f>SUM(I75:Q75)</f>
        <v>1.4693697604599036E-4</v>
      </c>
      <c r="H75" s="878">
        <f>SUM(U75:W75)/(1-'Common input data'!$B$140)</f>
        <v>1.7536337993315476E-4</v>
      </c>
      <c r="I75" s="877">
        <f>('Input data plant-based products'!$F$79*('Common input data'!$C$93*'Common input data'!B88+'Common input data'!$C$94*'Common input data'!C88))/'Input data plant-based products'!$E$79</f>
        <v>1.7367036759080732E-5</v>
      </c>
      <c r="J75" s="877">
        <v>0</v>
      </c>
      <c r="K75" s="877">
        <f>(SUM(('Input data plant-based products'!$F$79*'Input data plant-based products'!$B$258),(('Input data plant-based products'!$G$79+'Input data plant-based products'!$H$79)*'Input data plant-based products'!$B$259))*44/28)/'Input data plant-based products'!$E$79</f>
        <v>5.278513172729358E-5</v>
      </c>
      <c r="L75" s="877">
        <f>K75*'Input data plant-based products'!$B$261*(1-'Input data plant-based products'!M299)</f>
        <v>0</v>
      </c>
      <c r="M75" s="877"/>
      <c r="N75" s="877">
        <v>0</v>
      </c>
      <c r="O75" s="877">
        <f>'Input data plant-based products'!P299/'Input data plant-based products'!E$79*'Common input data'!D$50</f>
        <v>7.6784807559616037E-5</v>
      </c>
      <c r="P75" s="877">
        <v>0</v>
      </c>
      <c r="Q75" s="877">
        <v>0</v>
      </c>
      <c r="R75" s="877">
        <v>0</v>
      </c>
      <c r="S75" s="877">
        <v>0</v>
      </c>
      <c r="T75" s="877">
        <v>0</v>
      </c>
      <c r="U75" s="877">
        <f>(G75+T75)</f>
        <v>1.4693697604599036E-4</v>
      </c>
      <c r="V75" s="877">
        <v>0</v>
      </c>
      <c r="W75" s="877">
        <v>0</v>
      </c>
      <c r="X75" s="864"/>
      <c r="Y75" s="879"/>
      <c r="Z75" s="877"/>
      <c r="AA75" s="877"/>
      <c r="AB75" s="877"/>
      <c r="AC75" s="877"/>
      <c r="AD75" s="886"/>
      <c r="AE75" s="877"/>
      <c r="AF75" s="879"/>
      <c r="AG75" s="877"/>
      <c r="AH75" s="877"/>
      <c r="AI75" s="877"/>
      <c r="AJ75" s="877"/>
      <c r="AK75" s="886"/>
      <c r="AL75" s="877"/>
      <c r="AM75" s="879"/>
      <c r="AN75" s="877"/>
      <c r="AO75" s="877"/>
      <c r="AP75" s="877"/>
      <c r="AQ75" s="877"/>
      <c r="AR75" s="886"/>
      <c r="AS75" s="877"/>
      <c r="AT75" s="879"/>
      <c r="AU75" s="877"/>
      <c r="AV75" s="877"/>
      <c r="AW75" s="877"/>
      <c r="AX75" s="877"/>
      <c r="AY75" s="886"/>
      <c r="AZ75" s="877"/>
      <c r="BA75" s="879"/>
      <c r="BB75" s="877"/>
      <c r="BC75" s="877"/>
      <c r="BD75" s="877"/>
      <c r="BE75" s="877"/>
      <c r="BF75" s="886"/>
      <c r="BG75" s="877"/>
      <c r="BH75" s="879"/>
      <c r="BI75" s="877"/>
      <c r="BJ75" s="877"/>
      <c r="BK75" s="877"/>
      <c r="BL75" s="877"/>
      <c r="BM75" s="886"/>
      <c r="BN75" s="877"/>
      <c r="BO75" s="879"/>
      <c r="BP75" s="877"/>
      <c r="BQ75" s="877"/>
      <c r="BR75" s="877"/>
      <c r="BS75" s="877"/>
      <c r="BT75" s="886"/>
      <c r="BU75" s="877"/>
      <c r="BV75" s="879"/>
      <c r="BW75" s="886"/>
    </row>
    <row r="76" spans="1:75" s="406" customFormat="1" ht="17.25">
      <c r="A76" s="20" t="s">
        <v>130</v>
      </c>
      <c r="B76" s="164" t="s">
        <v>129</v>
      </c>
      <c r="C76" s="904">
        <f>'Input data plant-based products'!D80</f>
        <v>0.1185948576891951</v>
      </c>
      <c r="D76" s="17"/>
      <c r="E76" s="1293" t="s">
        <v>316</v>
      </c>
      <c r="F76" s="872">
        <f>SUMPRODUCT($CE$14:$CE$16,F77:F79)</f>
        <v>1.1026615601581725E-2</v>
      </c>
      <c r="G76" s="872">
        <f>SUMPRODUCT($CE$14:$CE$16,G77:G79)</f>
        <v>9.0046805482874664E-2</v>
      </c>
      <c r="H76" s="873">
        <f>SUMPRODUCT($CE$14:$CE$16,H77:H79)</f>
        <v>0.44163600129236746</v>
      </c>
      <c r="I76" s="888"/>
      <c r="J76" s="888"/>
      <c r="K76" s="888"/>
      <c r="L76" s="888"/>
      <c r="M76" s="888"/>
      <c r="N76" s="888"/>
      <c r="O76" s="888"/>
      <c r="P76" s="888"/>
      <c r="Q76" s="888"/>
      <c r="R76" s="888"/>
      <c r="S76" s="888"/>
      <c r="T76" s="888"/>
      <c r="U76" s="888"/>
      <c r="V76" s="888"/>
      <c r="W76" s="888"/>
      <c r="X76" s="864"/>
      <c r="Y76" s="879">
        <f>1/'Input data plant-based products'!E80*10^4</f>
        <v>0.13826286535962171</v>
      </c>
      <c r="Z76" s="877">
        <f>$Y76*'Input data plant-based products'!Z80</f>
        <v>0.13826286535962171</v>
      </c>
      <c r="AA76" s="877">
        <f>$Y76*'Input data plant-based products'!AA80</f>
        <v>0.13826286535962171</v>
      </c>
      <c r="AB76" s="877">
        <f>$Y76*'Input data plant-based products'!AB80</f>
        <v>0.13826286535962171</v>
      </c>
      <c r="AC76" s="877">
        <f>$Y76*'Input data plant-based products'!AC80</f>
        <v>0.16501117718059638</v>
      </c>
      <c r="AD76" s="886">
        <f>$Y76*'Input data plant-based products'!AD80</f>
        <v>0.20371750269209427</v>
      </c>
      <c r="AE76" s="877"/>
      <c r="AF76" s="879">
        <f>SUM('Input data plant-based products'!F80,'Input data plant-based products'!Q80)/'Input data plant-based products'!E80</f>
        <v>4.6732848491552138E-3</v>
      </c>
      <c r="AG76" s="877">
        <f>$AF76*'Input data plant-based products'!Z80</f>
        <v>4.6732848491552138E-3</v>
      </c>
      <c r="AH76" s="877">
        <f>$AF76*'Input data plant-based products'!AA80</f>
        <v>4.6732848491552138E-3</v>
      </c>
      <c r="AI76" s="877">
        <f>$AF76*'Input data plant-based products'!AB80</f>
        <v>4.6732848491552138E-3</v>
      </c>
      <c r="AJ76" s="877">
        <f>$AF76*'Input data plant-based products'!AC80</f>
        <v>5.5773777887041572E-3</v>
      </c>
      <c r="AK76" s="886">
        <f>$AF76*'Input data plant-based products'!AD80</f>
        <v>6.8856515909927864E-3</v>
      </c>
      <c r="AL76" s="877"/>
      <c r="AM76" s="879">
        <f>'Input data plant-based products'!R80/'Input data plant-based products'!E80</f>
        <v>0</v>
      </c>
      <c r="AN76" s="877">
        <f>$AM76*'Input data plant-based products'!Z80</f>
        <v>0</v>
      </c>
      <c r="AO76" s="877">
        <f>$AM76*'Input data plant-based products'!AA80</f>
        <v>0</v>
      </c>
      <c r="AP76" s="877">
        <f>$AM76*'Input data plant-based products'!AB80</f>
        <v>0</v>
      </c>
      <c r="AQ76" s="877">
        <f>$AM76*'Input data plant-based products'!AC80</f>
        <v>0</v>
      </c>
      <c r="AR76" s="886">
        <f>$AM76*'Input data plant-based products'!AD80</f>
        <v>0</v>
      </c>
      <c r="AS76" s="877"/>
      <c r="AT76" s="879">
        <f>'Input data plant-based products'!S80</f>
        <v>0</v>
      </c>
      <c r="AU76" s="877">
        <f>$AT76*'Input data plant-based products'!Z80</f>
        <v>0</v>
      </c>
      <c r="AV76" s="877">
        <f>$AT76*'Input data plant-based products'!AA80</f>
        <v>0</v>
      </c>
      <c r="AW76" s="877">
        <f>$AT76*'Input data plant-based products'!AB80</f>
        <v>0</v>
      </c>
      <c r="AX76" s="877">
        <f>$AT76*'Input data plant-based products'!AC80</f>
        <v>0</v>
      </c>
      <c r="AY76" s="886">
        <f>$AT76*'Input data plant-based products'!AD80</f>
        <v>0</v>
      </c>
      <c r="AZ76" s="877"/>
      <c r="BA76" s="879">
        <f>((SUM('Input data plant-based products'!U80:Y80)*Y76)/('Common input data'!$B$192/10^6))/$BB$3</f>
        <v>2.3424712873228339E-10</v>
      </c>
      <c r="BB76" s="877">
        <f>$BA76*'Input data plant-based products'!Z80</f>
        <v>2.3424712873228339E-10</v>
      </c>
      <c r="BC76" s="877">
        <f>$BA76*'Input data plant-based products'!AA80</f>
        <v>2.3424712873228339E-10</v>
      </c>
      <c r="BD76" s="877">
        <f>$BA76*'Input data plant-based products'!AB80</f>
        <v>2.3424712873228339E-10</v>
      </c>
      <c r="BE76" s="877">
        <f>$BA76*'Input data plant-based products'!AC80</f>
        <v>2.7956454079518245E-10</v>
      </c>
      <c r="BF76" s="886">
        <f>$BA76*'Input data plant-based products'!AD80</f>
        <v>3.4514140838911413E-10</v>
      </c>
      <c r="BG76" s="877"/>
      <c r="BH76" s="879">
        <f>'Input data plant-based products'!T80/'Input data plant-based products'!E80</f>
        <v>2.201144816525178E-4</v>
      </c>
      <c r="BI76" s="877">
        <f>$BH76*'Input data plant-based products'!Z80</f>
        <v>2.201144816525178E-4</v>
      </c>
      <c r="BJ76" s="877">
        <f>$BH76*'Input data plant-based products'!AA80</f>
        <v>2.201144816525178E-4</v>
      </c>
      <c r="BK76" s="877">
        <f>$BH76*'Input data plant-based products'!AB80</f>
        <v>2.201144816525178E-4</v>
      </c>
      <c r="BL76" s="877">
        <f>$BH76*'Input data plant-based products'!AC80</f>
        <v>2.626977940715095E-4</v>
      </c>
      <c r="BM76" s="886">
        <f>$BH76*'Input data plant-based products'!AD80</f>
        <v>3.2431826428581413E-4</v>
      </c>
      <c r="BN76" s="877"/>
      <c r="BO76" s="879">
        <f>('Input data plant-based products'!F80/'Input data plant-based products'!E80*'Common input data'!$B$195+'Input data plant-based products'!G80/'Input data plant-based products'!E80*'Common input data'!$B$196)/'Common input data'!$B$198</f>
        <v>1.1932640819484624E-4</v>
      </c>
      <c r="BP76" s="877">
        <f>$BO76*'Input data plant-based products'!Z80</f>
        <v>1.1932640819484624E-4</v>
      </c>
      <c r="BQ76" s="877">
        <f>$BO76*'Input data plant-based products'!AA80</f>
        <v>1.1932640819484624E-4</v>
      </c>
      <c r="BR76" s="877">
        <f>$BO76*'Input data plant-based products'!AB80</f>
        <v>1.1932640819484624E-4</v>
      </c>
      <c r="BS76" s="877">
        <f>$BO76*'Input data plant-based products'!AC80</f>
        <v>1.4241127604111019E-4</v>
      </c>
      <c r="BT76" s="886">
        <f>$BO76*'Input data plant-based products'!AD80</f>
        <v>1.7581639017421011E-4</v>
      </c>
      <c r="BU76" s="877"/>
      <c r="BV76" s="879">
        <f>('Common input data'!$C$202+'Common input data'!$B$210)*'Input data plant-based products'!AC80</f>
        <v>1.4837092731829575</v>
      </c>
      <c r="BW76" s="886">
        <f>('Common input data'!$C$202+'Common input data'!$B$210)*'Input data plant-based products'!AD80</f>
        <v>1.8317398434357497</v>
      </c>
    </row>
    <row r="77" spans="1:75" s="406" customFormat="1" ht="17.25">
      <c r="A77" s="499"/>
      <c r="B77"/>
      <c r="C77" s="917"/>
      <c r="D77" s="5"/>
      <c r="E77" s="1294" t="s">
        <v>317</v>
      </c>
      <c r="F77" s="877">
        <f>IF(AND($G$2="No",$G$3="No"),SUM(K77:L77),IF(AND($G$2="Yes", $G$3="No"), SUM(K77:L77)+S77, IF(AND($G$2="No", $G$3="Yes"),SUM(K77:L77)+R77, SUM(K77:L77)+S77+R77)))</f>
        <v>0</v>
      </c>
      <c r="G77" s="877">
        <f>IF(AND($G$2="No",$G$3="No"),SUM(I77:Q77),IF(AND($G$2="Yes", $G$3="No"), SUM(I77:Q77)+S77, IF(AND($G$2="No", $G$3="Yes"),SUM(I77:Q77)+R77, SUM(I77:Q77)+S77+R77)))</f>
        <v>6.7594800396724455E-2</v>
      </c>
      <c r="H77" s="878">
        <f>SUM(U77:W77)/(1-'Common input data'!$B$140)</f>
        <v>0.41484043489285655</v>
      </c>
      <c r="I77" s="877">
        <f>('Input data plant-based products'!$F$80*('Common input data'!$C$93*'Common input data'!B86+'Common input data'!$C$94*'Common input data'!C86))/'Input data plant-based products'!$E$80</f>
        <v>1.7594800396724449E-2</v>
      </c>
      <c r="J77" s="877">
        <f>'Common input data'!$B$98</f>
        <v>0.03</v>
      </c>
      <c r="K77" s="877">
        <v>0</v>
      </c>
      <c r="L77" s="877">
        <v>0</v>
      </c>
      <c r="M77" s="877"/>
      <c r="N77" s="877">
        <v>0</v>
      </c>
      <c r="O77" s="877">
        <v>0</v>
      </c>
      <c r="P77" s="877">
        <f>'Input data plant-based products'!G$309</f>
        <v>0.02</v>
      </c>
      <c r="Q77" s="877">
        <v>0</v>
      </c>
      <c r="R77" s="877">
        <v>0</v>
      </c>
      <c r="S77" s="877">
        <v>0</v>
      </c>
      <c r="T77" s="877">
        <v>0</v>
      </c>
      <c r="U77" s="877">
        <f>(G77+T77)</f>
        <v>6.7594800396724455E-2</v>
      </c>
      <c r="V77" s="877">
        <f>'Common input data'!$B$105</f>
        <v>0.05</v>
      </c>
      <c r="W77" s="877">
        <f>'Common input data'!B117+'Common input data'!C117</f>
        <v>0.23</v>
      </c>
      <c r="X77" s="864"/>
      <c r="Y77" s="879"/>
      <c r="Z77" s="877"/>
      <c r="AA77" s="877"/>
      <c r="AB77" s="877"/>
      <c r="AC77" s="877"/>
      <c r="AD77" s="886"/>
      <c r="AE77" s="877"/>
      <c r="AF77" s="879"/>
      <c r="AG77" s="877"/>
      <c r="AH77" s="877"/>
      <c r="AI77" s="877"/>
      <c r="AJ77" s="877"/>
      <c r="AK77" s="886"/>
      <c r="AL77" s="877"/>
      <c r="AM77" s="879"/>
      <c r="AN77" s="877"/>
      <c r="AO77" s="877"/>
      <c r="AP77" s="877"/>
      <c r="AQ77" s="877"/>
      <c r="AR77" s="886"/>
      <c r="AS77" s="877"/>
      <c r="AT77" s="879"/>
      <c r="AU77" s="877"/>
      <c r="AV77" s="877"/>
      <c r="AW77" s="877"/>
      <c r="AX77" s="877"/>
      <c r="AY77" s="886"/>
      <c r="AZ77" s="877"/>
      <c r="BA77" s="879"/>
      <c r="BB77" s="877"/>
      <c r="BC77" s="877"/>
      <c r="BD77" s="877"/>
      <c r="BE77" s="877"/>
      <c r="BF77" s="886"/>
      <c r="BG77" s="877"/>
      <c r="BH77" s="879"/>
      <c r="BI77" s="877"/>
      <c r="BJ77" s="877"/>
      <c r="BK77" s="877"/>
      <c r="BL77" s="877"/>
      <c r="BM77" s="886"/>
      <c r="BN77" s="877"/>
      <c r="BO77" s="879"/>
      <c r="BP77" s="877"/>
      <c r="BQ77" s="877"/>
      <c r="BR77" s="877"/>
      <c r="BS77" s="877"/>
      <c r="BT77" s="886"/>
      <c r="BU77" s="877"/>
      <c r="BV77" s="879"/>
      <c r="BW77" s="886"/>
    </row>
    <row r="78" spans="1:75" s="406" customFormat="1" ht="17.25">
      <c r="A78" s="499"/>
      <c r="B78"/>
      <c r="C78" s="595"/>
      <c r="D78" s="50"/>
      <c r="E78" s="1294" t="s">
        <v>367</v>
      </c>
      <c r="F78" s="877">
        <f>SUM(K78:L78)</f>
        <v>0</v>
      </c>
      <c r="G78" s="877">
        <f>SUM(I78:Q78)</f>
        <v>3.2276787936189413E-5</v>
      </c>
      <c r="H78" s="878">
        <f>SUM(U78:W78)/(1-'Common input data'!$B$140)</f>
        <v>3.8521050168503892E-5</v>
      </c>
      <c r="I78" s="877">
        <f>('Input data plant-based products'!$F$80*('Common input data'!$C$93*'Common input data'!B87+'Common input data'!$C$94*'Common input data'!C87))/'Input data plant-based products'!$E$80</f>
        <v>3.2276787936189413E-5</v>
      </c>
      <c r="J78" s="877">
        <v>0</v>
      </c>
      <c r="K78" s="877">
        <v>0</v>
      </c>
      <c r="L78" s="877">
        <v>0</v>
      </c>
      <c r="M78" s="877"/>
      <c r="N78" s="877">
        <v>0</v>
      </c>
      <c r="O78" s="877">
        <v>0</v>
      </c>
      <c r="P78" s="877">
        <v>0</v>
      </c>
      <c r="Q78" s="877">
        <v>0</v>
      </c>
      <c r="R78" s="877">
        <v>0</v>
      </c>
      <c r="S78" s="877">
        <v>0</v>
      </c>
      <c r="T78" s="877">
        <v>0</v>
      </c>
      <c r="U78" s="877">
        <f>(G78+T78)</f>
        <v>3.2276787936189413E-5</v>
      </c>
      <c r="V78" s="877">
        <v>0</v>
      </c>
      <c r="W78" s="877">
        <v>0</v>
      </c>
      <c r="X78" s="864"/>
      <c r="Y78" s="879"/>
      <c r="Z78" s="877"/>
      <c r="AA78" s="877"/>
      <c r="AB78" s="877"/>
      <c r="AC78" s="877"/>
      <c r="AD78" s="886"/>
      <c r="AE78" s="877"/>
      <c r="AF78" s="879"/>
      <c r="AG78" s="877"/>
      <c r="AH78" s="877"/>
      <c r="AI78" s="877"/>
      <c r="AJ78" s="877"/>
      <c r="AK78" s="886"/>
      <c r="AL78" s="877"/>
      <c r="AM78" s="879"/>
      <c r="AN78" s="877"/>
      <c r="AO78" s="877"/>
      <c r="AP78" s="877"/>
      <c r="AQ78" s="877"/>
      <c r="AR78" s="886"/>
      <c r="AS78" s="877"/>
      <c r="AT78" s="879"/>
      <c r="AU78" s="877"/>
      <c r="AV78" s="877"/>
      <c r="AW78" s="877"/>
      <c r="AX78" s="877"/>
      <c r="AY78" s="886"/>
      <c r="AZ78" s="877"/>
      <c r="BA78" s="879"/>
      <c r="BB78" s="877"/>
      <c r="BC78" s="877"/>
      <c r="BD78" s="877"/>
      <c r="BE78" s="877"/>
      <c r="BF78" s="886"/>
      <c r="BG78" s="877"/>
      <c r="BH78" s="879"/>
      <c r="BI78" s="877"/>
      <c r="BJ78" s="877"/>
      <c r="BK78" s="877"/>
      <c r="BL78" s="877"/>
      <c r="BM78" s="886"/>
      <c r="BN78" s="877"/>
      <c r="BO78" s="879"/>
      <c r="BP78" s="877"/>
      <c r="BQ78" s="877"/>
      <c r="BR78" s="877"/>
      <c r="BS78" s="877"/>
      <c r="BT78" s="886"/>
      <c r="BU78" s="877"/>
      <c r="BV78" s="879"/>
      <c r="BW78" s="886"/>
    </row>
    <row r="79" spans="1:75" s="406" customFormat="1" ht="17.25">
      <c r="A79" s="18"/>
      <c r="B79"/>
      <c r="C79" s="83"/>
      <c r="D79" s="54"/>
      <c r="E79" s="1295" t="s">
        <v>320</v>
      </c>
      <c r="F79" s="877">
        <f>SUM(K79:L79)</f>
        <v>4.03905333391272E-5</v>
      </c>
      <c r="G79" s="877">
        <f>SUM(I79:Q79)</f>
        <v>7.9049567076458214E-5</v>
      </c>
      <c r="H79" s="878">
        <f>SUM(U79:W79)/(1-'Common input data'!$B$140)</f>
        <v>9.4342483681177005E-5</v>
      </c>
      <c r="I79" s="877">
        <f>('Input data plant-based products'!$F$80*('Common input data'!$C$93*'Common input data'!B88+'Common input data'!$C$94*'Common input data'!C88))/'Input data plant-based products'!$E$80</f>
        <v>3.8659033737331007E-5</v>
      </c>
      <c r="J79" s="877">
        <v>0</v>
      </c>
      <c r="K79" s="877">
        <f>(SUM('Input data plant-based products'!F80:H80)*'Input data plant-based products'!$B$260*44/28)/'Input data plant-based products'!E80</f>
        <v>3.671866667193382E-5</v>
      </c>
      <c r="L79" s="877">
        <f>K79*'Input data plant-based products'!$B$261</f>
        <v>3.6718666671933821E-6</v>
      </c>
      <c r="M79" s="877"/>
      <c r="N79" s="877">
        <v>0</v>
      </c>
      <c r="O79" s="877">
        <v>0</v>
      </c>
      <c r="P79" s="877">
        <v>0</v>
      </c>
      <c r="Q79" s="877">
        <v>0</v>
      </c>
      <c r="R79" s="877">
        <v>0</v>
      </c>
      <c r="S79" s="877">
        <v>0</v>
      </c>
      <c r="T79" s="877">
        <v>0</v>
      </c>
      <c r="U79" s="877">
        <f>(G79+T79)</f>
        <v>7.9049567076458214E-5</v>
      </c>
      <c r="V79" s="877">
        <v>0</v>
      </c>
      <c r="W79" s="877">
        <v>0</v>
      </c>
      <c r="X79" s="864"/>
      <c r="Y79" s="879"/>
      <c r="Z79" s="877"/>
      <c r="AA79" s="877"/>
      <c r="AB79" s="877"/>
      <c r="AC79" s="877"/>
      <c r="AD79" s="886"/>
      <c r="AE79" s="877"/>
      <c r="AF79" s="879"/>
      <c r="AG79" s="877"/>
      <c r="AH79" s="877"/>
      <c r="AI79" s="877"/>
      <c r="AJ79" s="877"/>
      <c r="AK79" s="886"/>
      <c r="AL79" s="877"/>
      <c r="AM79" s="879"/>
      <c r="AN79" s="877"/>
      <c r="AO79" s="877"/>
      <c r="AP79" s="877"/>
      <c r="AQ79" s="877"/>
      <c r="AR79" s="886"/>
      <c r="AS79" s="877"/>
      <c r="AT79" s="879"/>
      <c r="AU79" s="877"/>
      <c r="AV79" s="877"/>
      <c r="AW79" s="877"/>
      <c r="AX79" s="877"/>
      <c r="AY79" s="886"/>
      <c r="AZ79" s="877"/>
      <c r="BA79" s="879"/>
      <c r="BB79" s="877"/>
      <c r="BC79" s="877"/>
      <c r="BD79" s="877"/>
      <c r="BE79" s="877"/>
      <c r="BF79" s="886"/>
      <c r="BG79" s="877"/>
      <c r="BH79" s="879"/>
      <c r="BI79" s="877"/>
      <c r="BJ79" s="877"/>
      <c r="BK79" s="877"/>
      <c r="BL79" s="877"/>
      <c r="BM79" s="886"/>
      <c r="BN79" s="877"/>
      <c r="BO79" s="879"/>
      <c r="BP79" s="877"/>
      <c r="BQ79" s="877"/>
      <c r="BR79" s="877"/>
      <c r="BS79" s="877"/>
      <c r="BT79" s="886"/>
      <c r="BU79" s="877"/>
      <c r="BV79" s="879"/>
      <c r="BW79" s="886"/>
    </row>
    <row r="80" spans="1:75" s="406" customFormat="1" ht="17.25">
      <c r="A80" s="20" t="s">
        <v>130</v>
      </c>
      <c r="B80" s="93" t="s">
        <v>121</v>
      </c>
      <c r="C80" s="904">
        <f>'Input data plant-based products'!D81</f>
        <v>0.13598069034833049</v>
      </c>
      <c r="D80" s="17"/>
      <c r="E80" s="1293" t="s">
        <v>316</v>
      </c>
      <c r="F80" s="872">
        <f>SUMPRODUCT($CE$14:$CE$16,F81:F83)</f>
        <v>5.6038194949074291E-2</v>
      </c>
      <c r="G80" s="872">
        <f>SUMPRODUCT($CE$14:$CE$16,G81:G83)</f>
        <v>0.14097985144488537</v>
      </c>
      <c r="H80" s="873">
        <f>SUMPRODUCT($CE$14:$CE$16,H81:H83)</f>
        <v>0.50242254618079174</v>
      </c>
      <c r="I80" s="888"/>
      <c r="J80" s="888"/>
      <c r="K80" s="888"/>
      <c r="L80" s="888"/>
      <c r="M80" s="888"/>
      <c r="N80" s="888"/>
      <c r="O80" s="888"/>
      <c r="P80" s="888"/>
      <c r="Q80" s="888"/>
      <c r="R80" s="888"/>
      <c r="S80" s="888"/>
      <c r="T80" s="888"/>
      <c r="U80" s="888"/>
      <c r="V80" s="888"/>
      <c r="W80" s="888"/>
      <c r="X80" s="864"/>
      <c r="Y80" s="879">
        <f>1/'Input data plant-based products'!E81*10^4</f>
        <v>0.17506696311339087</v>
      </c>
      <c r="Z80" s="877">
        <f>$Y80*'Input data plant-based products'!Z81</f>
        <v>0.17506696311339087</v>
      </c>
      <c r="AA80" s="877">
        <f>$Y80*'Input data plant-based products'!AA81</f>
        <v>0.17506696311339087</v>
      </c>
      <c r="AB80" s="877">
        <f>$Y80*'Input data plant-based products'!AB81</f>
        <v>0.17506696311339087</v>
      </c>
      <c r="AC80" s="877">
        <f>$Y80*'Input data plant-based products'!AC81</f>
        <v>0.20893538979996523</v>
      </c>
      <c r="AD80" s="886">
        <f>$Y80*'Input data plant-based products'!AD81</f>
        <v>0.25794492567896937</v>
      </c>
      <c r="AE80" s="877"/>
      <c r="AF80" s="879">
        <f>SUM('Input data plant-based products'!F81,'Input data plant-based products'!Q81)/'Input data plant-based products'!E81</f>
        <v>4.551741040948163E-3</v>
      </c>
      <c r="AG80" s="877">
        <f>$AF80*'Input data plant-based products'!Z81</f>
        <v>4.551741040948163E-3</v>
      </c>
      <c r="AH80" s="877">
        <f>$AF80*'Input data plant-based products'!AA81</f>
        <v>4.551741040948163E-3</v>
      </c>
      <c r="AI80" s="877">
        <f>$AF80*'Input data plant-based products'!AB81</f>
        <v>4.551741040948163E-3</v>
      </c>
      <c r="AJ80" s="877">
        <f>$AF80*'Input data plant-based products'!AC81</f>
        <v>5.4323201347990964E-3</v>
      </c>
      <c r="AK80" s="886">
        <f>$AF80*'Input data plant-based products'!AD81</f>
        <v>6.7065680676532046E-3</v>
      </c>
      <c r="AL80" s="877"/>
      <c r="AM80" s="879">
        <f>'Input data plant-based products'!R81/'Input data plant-based products'!E81</f>
        <v>0</v>
      </c>
      <c r="AN80" s="877">
        <f>$AM80*'Input data plant-based products'!Z81</f>
        <v>0</v>
      </c>
      <c r="AO80" s="877">
        <f>$AM80*'Input data plant-based products'!AA81</f>
        <v>0</v>
      </c>
      <c r="AP80" s="877">
        <f>$AM80*'Input data plant-based products'!AB81</f>
        <v>0</v>
      </c>
      <c r="AQ80" s="877">
        <f>$AM80*'Input data plant-based products'!AC81</f>
        <v>0</v>
      </c>
      <c r="AR80" s="886">
        <f>$AM80*'Input data plant-based products'!AD81</f>
        <v>0</v>
      </c>
      <c r="AS80" s="877"/>
      <c r="AT80" s="879">
        <f>'Input data plant-based products'!S81</f>
        <v>0</v>
      </c>
      <c r="AU80" s="877">
        <f>$AT80*'Input data plant-based products'!Z81</f>
        <v>0</v>
      </c>
      <c r="AV80" s="877">
        <f>$AT80*'Input data plant-based products'!AA81</f>
        <v>0</v>
      </c>
      <c r="AW80" s="877">
        <f>$AT80*'Input data plant-based products'!AB81</f>
        <v>0</v>
      </c>
      <c r="AX80" s="877">
        <f>$AT80*'Input data plant-based products'!AC81</f>
        <v>0</v>
      </c>
      <c r="AY80" s="886">
        <f>$AT80*'Input data plant-based products'!AD81</f>
        <v>0</v>
      </c>
      <c r="AZ80" s="877"/>
      <c r="BA80" s="879">
        <f>((SUM('Input data plant-based products'!U81:Y81)*Y80)/('Common input data'!$B$192/10^6))/$BB$3</f>
        <v>2.9660121203569842E-10</v>
      </c>
      <c r="BB80" s="877">
        <f>$BA80*'Input data plant-based products'!Z81</f>
        <v>2.9660121203569842E-10</v>
      </c>
      <c r="BC80" s="877">
        <f>$BA80*'Input data plant-based products'!AA81</f>
        <v>2.9660121203569842E-10</v>
      </c>
      <c r="BD80" s="877">
        <f>$BA80*'Input data plant-based products'!AB81</f>
        <v>2.9660121203569842E-10</v>
      </c>
      <c r="BE80" s="877">
        <f>$BA80*'Input data plant-based products'!AC81</f>
        <v>3.539816350825855E-10</v>
      </c>
      <c r="BF80" s="886">
        <f>$BA80*'Input data plant-based products'!AD81</f>
        <v>4.3701436429948827E-10</v>
      </c>
      <c r="BG80" s="877"/>
      <c r="BH80" s="879">
        <f>'Input data plant-based products'!T81/'Input data plant-based products'!E81</f>
        <v>2.7870660527651829E-4</v>
      </c>
      <c r="BI80" s="877">
        <f>$BH80*'Input data plant-based products'!Z81</f>
        <v>2.7870660527651829E-4</v>
      </c>
      <c r="BJ80" s="877">
        <f>$BH80*'Input data plant-based products'!AA81</f>
        <v>2.7870660527651829E-4</v>
      </c>
      <c r="BK80" s="877">
        <f>$BH80*'Input data plant-based products'!AB81</f>
        <v>2.7870660527651829E-4</v>
      </c>
      <c r="BL80" s="877">
        <f>$BH80*'Input data plant-based products'!AC81</f>
        <v>3.3262514056154468E-4</v>
      </c>
      <c r="BM80" s="886">
        <f>$BH80*'Input data plant-based products'!AD81</f>
        <v>4.1064832168091932E-4</v>
      </c>
      <c r="BN80" s="877"/>
      <c r="BO80" s="879">
        <f>('Input data plant-based products'!F81/'Input data plant-based products'!E81*'Common input data'!$B$195+'Input data plant-based products'!G81/'Input data plant-based products'!E81*'Common input data'!$B$196)/'Common input data'!$B$198</f>
        <v>1.1622294103206621E-4</v>
      </c>
      <c r="BP80" s="877">
        <f>$BO80*'Input data plant-based products'!Z81</f>
        <v>1.1622294103206621E-4</v>
      </c>
      <c r="BQ80" s="877">
        <f>$BO80*'Input data plant-based products'!AA81</f>
        <v>1.1622294103206621E-4</v>
      </c>
      <c r="BR80" s="877">
        <f>$BO80*'Input data plant-based products'!AB81</f>
        <v>1.1622294103206621E-4</v>
      </c>
      <c r="BS80" s="877">
        <f>$BO80*'Input data plant-based products'!AC81</f>
        <v>1.3870741261733644E-4</v>
      </c>
      <c r="BT80" s="886">
        <f>$BO80*'Input data plant-based products'!AD81</f>
        <v>1.7124371928066225E-4</v>
      </c>
      <c r="BU80" s="877"/>
      <c r="BV80" s="879">
        <f>('Common input data'!$C$202+'Common input data'!$B$210)*'Input data plant-based products'!AC81</f>
        <v>1.4837092731829575</v>
      </c>
      <c r="BW80" s="886">
        <f>('Common input data'!$C$202+'Common input data'!$B$210)*'Input data plant-based products'!AD81</f>
        <v>1.8317398434357497</v>
      </c>
    </row>
    <row r="81" spans="1:253" s="406" customFormat="1" ht="17.25">
      <c r="A81" s="18"/>
      <c r="B81"/>
      <c r="C81" s="917"/>
      <c r="D81" s="5"/>
      <c r="E81" s="1294" t="s">
        <v>317</v>
      </c>
      <c r="F81" s="877">
        <f>IF(AND($G$2="No",$G$3="No"),SUM(K81:L81),IF(AND($G$2="Yes", $G$3="No"), SUM(K81:L81)+S81, IF(AND($G$2="No", $G$3="Yes"),SUM(K81:L81)+R81, SUM(K81:L81)+S81+R81)))</f>
        <v>3.9989486962957101E-2</v>
      </c>
      <c r="G81" s="877">
        <f>IF(AND($G$2="No",$G$3="No"),SUM(I81:Q81),IF(AND($G$2="Yes", $G$3="No"), SUM(I81:Q81)+S81, IF(AND($G$2="No", $G$3="Yes"),SUM(I81:Q81)+R81, SUM(I81:Q81)+S81+R81)))</f>
        <v>0.11367652408245232</v>
      </c>
      <c r="H81" s="878">
        <f>SUM(U81:W81)/(1-'Common input data'!$B$140)</f>
        <v>0.46983712147326934</v>
      </c>
      <c r="I81" s="877">
        <f>('Input data plant-based products'!$F$81*('Common input data'!$C$93*'Common input data'!B86+'Common input data'!$C$94*'Common input data'!C86))/'Input data plant-based products'!$E$81</f>
        <v>1.7137191003355798E-2</v>
      </c>
      <c r="J81" s="877">
        <f>'Common input data'!$B$98</f>
        <v>0.03</v>
      </c>
      <c r="K81" s="877">
        <v>0</v>
      </c>
      <c r="L81" s="877">
        <v>0</v>
      </c>
      <c r="M81" s="877"/>
      <c r="N81" s="877">
        <f>('Input data plant-based products'!$P$81*'Common input data'!$C$76*'Common input data'!H66)/'Input data plant-based products'!$E$81</f>
        <v>6.5498461161394234E-3</v>
      </c>
      <c r="O81" s="877">
        <v>0</v>
      </c>
      <c r="P81" s="877">
        <f>'Input data plant-based products'!G$309</f>
        <v>0.02</v>
      </c>
      <c r="Q81" s="877">
        <v>0</v>
      </c>
      <c r="R81" s="877">
        <f>'Common input data'!E$19</f>
        <v>3.9989486962957101E-2</v>
      </c>
      <c r="S81" s="877">
        <v>0</v>
      </c>
      <c r="T81" s="877">
        <v>0</v>
      </c>
      <c r="U81" s="877">
        <f>(G81+T81)</f>
        <v>0.11367652408245232</v>
      </c>
      <c r="V81" s="877">
        <f>'Common input data'!$B$105</f>
        <v>0.05</v>
      </c>
      <c r="W81" s="877">
        <f>'Common input data'!B117+'Common input data'!C117</f>
        <v>0.23</v>
      </c>
      <c r="X81" s="864"/>
      <c r="Y81" s="879"/>
      <c r="Z81" s="877"/>
      <c r="AA81" s="877"/>
      <c r="AB81" s="877"/>
      <c r="AC81" s="877"/>
      <c r="AD81" s="886"/>
      <c r="AE81" s="877"/>
      <c r="AF81" s="879"/>
      <c r="AG81" s="877"/>
      <c r="AH81" s="877"/>
      <c r="AI81" s="877"/>
      <c r="AJ81" s="877"/>
      <c r="AK81" s="886"/>
      <c r="AL81" s="877"/>
      <c r="AM81" s="879"/>
      <c r="AN81" s="877"/>
      <c r="AO81" s="877"/>
      <c r="AP81" s="877"/>
      <c r="AQ81" s="877"/>
      <c r="AR81" s="886"/>
      <c r="AS81" s="877"/>
      <c r="AT81" s="879"/>
      <c r="AU81" s="877"/>
      <c r="AV81" s="877"/>
      <c r="AW81" s="877"/>
      <c r="AX81" s="877"/>
      <c r="AY81" s="886"/>
      <c r="AZ81" s="877"/>
      <c r="BA81" s="879"/>
      <c r="BB81" s="877"/>
      <c r="BC81" s="877"/>
      <c r="BD81" s="877"/>
      <c r="BE81" s="877"/>
      <c r="BF81" s="886"/>
      <c r="BG81" s="877"/>
      <c r="BH81" s="879"/>
      <c r="BI81" s="877"/>
      <c r="BJ81" s="877"/>
      <c r="BK81" s="877"/>
      <c r="BL81" s="877"/>
      <c r="BM81" s="886"/>
      <c r="BN81" s="877"/>
      <c r="BO81" s="879"/>
      <c r="BP81" s="877"/>
      <c r="BQ81" s="877"/>
      <c r="BR81" s="877"/>
      <c r="BS81" s="877"/>
      <c r="BT81" s="886"/>
      <c r="BU81" s="877"/>
      <c r="BV81" s="879"/>
      <c r="BW81" s="886"/>
    </row>
    <row r="82" spans="1:253" s="406" customFormat="1" ht="17.25">
      <c r="A82" s="18"/>
      <c r="B82" s="23"/>
      <c r="C82" s="595"/>
      <c r="D82" s="50"/>
      <c r="E82" s="1294" t="s">
        <v>367</v>
      </c>
      <c r="F82" s="877">
        <f>SUM(K82:L82)</f>
        <v>0</v>
      </c>
      <c r="G82" s="877">
        <f>SUM(I82:Q82)</f>
        <v>3.4338687189984491E-5</v>
      </c>
      <c r="H82" s="878">
        <f>SUM(U82:W82)/(1-'Common input data'!$B$140)</f>
        <v>4.0981844122191782E-5</v>
      </c>
      <c r="I82" s="877">
        <f>('Input data plant-based products'!$F$81*('Common input data'!$C$93*'Common input data'!B87+'Common input data'!$C$94*'Common input data'!C87))/'Input data plant-based products'!$E$81</f>
        <v>3.1437326219413249E-5</v>
      </c>
      <c r="J82" s="877">
        <v>0</v>
      </c>
      <c r="K82" s="931">
        <v>0</v>
      </c>
      <c r="L82" s="877">
        <v>0</v>
      </c>
      <c r="M82" s="877"/>
      <c r="N82" s="877">
        <f>('Input data plant-based products'!$P$81*'Common input data'!$C$76*'Common input data'!H67)/'Input data plant-based products'!$E$81</f>
        <v>2.9013609705712436E-6</v>
      </c>
      <c r="O82" s="877">
        <v>0</v>
      </c>
      <c r="P82" s="877">
        <v>0</v>
      </c>
      <c r="Q82" s="877">
        <v>0</v>
      </c>
      <c r="R82" s="877">
        <v>0</v>
      </c>
      <c r="S82" s="877">
        <v>0</v>
      </c>
      <c r="T82" s="877">
        <v>0</v>
      </c>
      <c r="U82" s="877">
        <f>(G82+T82)</f>
        <v>3.4338687189984491E-5</v>
      </c>
      <c r="V82" s="877">
        <v>0</v>
      </c>
      <c r="W82" s="877">
        <v>0</v>
      </c>
      <c r="X82" s="864"/>
      <c r="Y82" s="879"/>
      <c r="Z82" s="877"/>
      <c r="AA82" s="877"/>
      <c r="AB82" s="877"/>
      <c r="AC82" s="877"/>
      <c r="AD82" s="886"/>
      <c r="AE82" s="877"/>
      <c r="AF82" s="879"/>
      <c r="AG82" s="877"/>
      <c r="AH82" s="877"/>
      <c r="AI82" s="877"/>
      <c r="AJ82" s="877"/>
      <c r="AK82" s="886"/>
      <c r="AL82" s="877"/>
      <c r="AM82" s="879"/>
      <c r="AN82" s="877"/>
      <c r="AO82" s="877"/>
      <c r="AP82" s="877"/>
      <c r="AQ82" s="877"/>
      <c r="AR82" s="886"/>
      <c r="AS82" s="877"/>
      <c r="AT82" s="879"/>
      <c r="AU82" s="877"/>
      <c r="AV82" s="877"/>
      <c r="AW82" s="877"/>
      <c r="AX82" s="877"/>
      <c r="AY82" s="886"/>
      <c r="AZ82" s="877"/>
      <c r="BA82" s="879"/>
      <c r="BB82" s="877"/>
      <c r="BC82" s="877"/>
      <c r="BD82" s="877"/>
      <c r="BE82" s="877"/>
      <c r="BF82" s="886"/>
      <c r="BG82" s="877"/>
      <c r="BH82" s="879"/>
      <c r="BI82" s="877"/>
      <c r="BJ82" s="877"/>
      <c r="BK82" s="877"/>
      <c r="BL82" s="877"/>
      <c r="BM82" s="886"/>
      <c r="BN82" s="877"/>
      <c r="BO82" s="879"/>
      <c r="BP82" s="877"/>
      <c r="BQ82" s="877"/>
      <c r="BR82" s="877"/>
      <c r="BS82" s="877"/>
      <c r="BT82" s="886"/>
      <c r="BU82" s="877"/>
      <c r="BV82" s="879"/>
      <c r="BW82" s="886"/>
    </row>
    <row r="83" spans="1:253" s="406" customFormat="1" ht="17.25">
      <c r="A83" s="18"/>
      <c r="B83"/>
      <c r="C83" s="83"/>
      <c r="D83" s="54"/>
      <c r="E83" s="1295" t="s">
        <v>320</v>
      </c>
      <c r="F83" s="877">
        <f>SUM(K83:L83)</f>
        <v>5.8786476139623398E-5</v>
      </c>
      <c r="G83" s="877">
        <f>SUM(I83:Q83)</f>
        <v>9.6616054242869851E-5</v>
      </c>
      <c r="H83" s="878">
        <f>SUM(U83:W83)/(1-'Common input data'!$B$140)</f>
        <v>1.1530738064550645E-4</v>
      </c>
      <c r="I83" s="877">
        <f>('Input data plant-based products'!$F$81*('Common input data'!$C$93*'Common input data'!B88+'Common input data'!$C$94*'Common input data'!C88))/'Input data plant-based products'!$E$81</f>
        <v>3.7653581184425001E-5</v>
      </c>
      <c r="J83" s="877">
        <v>0</v>
      </c>
      <c r="K83" s="877">
        <f>(SUM('Input data plant-based products'!F81:H81)*'Input data plant-based products'!$B$260*44/28)/'Input data plant-based products'!E81</f>
        <v>5.344225103602127E-5</v>
      </c>
      <c r="L83" s="877">
        <f>K83*'Input data plant-based products'!$B$261</f>
        <v>5.3442251036021275E-6</v>
      </c>
      <c r="M83" s="877"/>
      <c r="N83" s="877">
        <f>('Input data plant-based products'!$P$81*'Common input data'!$C$76*'Common input data'!H68)/'Input data plant-based products'!$E$81</f>
        <v>1.7599691882144922E-7</v>
      </c>
      <c r="O83" s="877">
        <v>0</v>
      </c>
      <c r="P83" s="877">
        <v>0</v>
      </c>
      <c r="Q83" s="877">
        <v>0</v>
      </c>
      <c r="R83" s="877">
        <v>0</v>
      </c>
      <c r="S83" s="877">
        <v>0</v>
      </c>
      <c r="T83" s="877">
        <v>0</v>
      </c>
      <c r="U83" s="877">
        <f>(G83+T83)</f>
        <v>9.6616054242869851E-5</v>
      </c>
      <c r="V83" s="877">
        <v>0</v>
      </c>
      <c r="W83" s="877">
        <v>0</v>
      </c>
      <c r="X83" s="864"/>
      <c r="Y83" s="879"/>
      <c r="Z83" s="877"/>
      <c r="AA83" s="877"/>
      <c r="AB83" s="877"/>
      <c r="AC83" s="877"/>
      <c r="AD83" s="886"/>
      <c r="AE83" s="877"/>
      <c r="AF83" s="879"/>
      <c r="AG83" s="877"/>
      <c r="AH83" s="877"/>
      <c r="AI83" s="877"/>
      <c r="AJ83" s="877"/>
      <c r="AK83" s="886"/>
      <c r="AL83" s="877"/>
      <c r="AM83" s="879"/>
      <c r="AN83" s="877"/>
      <c r="AO83" s="877"/>
      <c r="AP83" s="877"/>
      <c r="AQ83" s="877"/>
      <c r="AR83" s="886"/>
      <c r="AS83" s="877"/>
      <c r="AT83" s="879"/>
      <c r="AU83" s="877"/>
      <c r="AV83" s="877"/>
      <c r="AW83" s="877"/>
      <c r="AX83" s="877"/>
      <c r="AY83" s="886"/>
      <c r="AZ83" s="877"/>
      <c r="BA83" s="879"/>
      <c r="BB83" s="877"/>
      <c r="BC83" s="877"/>
      <c r="BD83" s="877"/>
      <c r="BE83" s="877"/>
      <c r="BF83" s="886"/>
      <c r="BG83" s="877"/>
      <c r="BH83" s="879"/>
      <c r="BI83" s="877"/>
      <c r="BJ83" s="877"/>
      <c r="BK83" s="877"/>
      <c r="BL83" s="877"/>
      <c r="BM83" s="886"/>
      <c r="BN83" s="877"/>
      <c r="BO83" s="879"/>
      <c r="BP83" s="877"/>
      <c r="BQ83" s="877"/>
      <c r="BR83" s="877"/>
      <c r="BS83" s="877"/>
      <c r="BT83" s="886"/>
      <c r="BU83" s="877"/>
      <c r="BV83" s="879"/>
      <c r="BW83" s="886"/>
    </row>
    <row r="84" spans="1:253" s="406" customFormat="1" ht="17.25">
      <c r="A84" s="20" t="s">
        <v>125</v>
      </c>
      <c r="B84" s="164" t="s">
        <v>129</v>
      </c>
      <c r="C84" s="904">
        <f>'Input data plant-based products'!D82</f>
        <v>4.0879851287850155E-2</v>
      </c>
      <c r="D84" s="17"/>
      <c r="E84" s="1293" t="s">
        <v>316</v>
      </c>
      <c r="F84" s="872">
        <f>SUMPRODUCT($CE$14:$CE$16,F85:F87)</f>
        <v>9.2775478587892764E-3</v>
      </c>
      <c r="G84" s="872">
        <f>SUMPRODUCT($CE$14:$CE$16,G85:G87)</f>
        <v>1.2998091455428686</v>
      </c>
      <c r="H84" s="873">
        <f>SUMPRODUCT($CE$14:$CE$16,H85:H87)</f>
        <v>1.8854387701907969</v>
      </c>
      <c r="I84" s="888"/>
      <c r="J84" s="888"/>
      <c r="K84" s="888"/>
      <c r="L84" s="888"/>
      <c r="M84" s="888"/>
      <c r="N84" s="888"/>
      <c r="O84" s="888"/>
      <c r="P84" s="888"/>
      <c r="Q84" s="888"/>
      <c r="R84" s="888"/>
      <c r="S84" s="888"/>
      <c r="T84" s="888"/>
      <c r="U84" s="888"/>
      <c r="V84" s="888"/>
      <c r="W84" s="888"/>
      <c r="X84" s="864"/>
      <c r="Y84" s="879">
        <f>1/'Input data plant-based products'!E82*10^4</f>
        <v>0.24263011039670024</v>
      </c>
      <c r="Z84" s="877">
        <f>$Y84*'Input data plant-based products'!Z82</f>
        <v>0.24263011039670024</v>
      </c>
      <c r="AA84" s="877">
        <f>$Y84*'Input data plant-based products'!AA82</f>
        <v>0.24263011039670024</v>
      </c>
      <c r="AB84" s="877">
        <f>$Y84*'Input data plant-based products'!AB82</f>
        <v>0.24263011039670024</v>
      </c>
      <c r="AC84" s="877">
        <f>$Y84*'Input data plant-based products'!AC82</f>
        <v>0.28956929275176063</v>
      </c>
      <c r="AD84" s="886">
        <f>$Y84*'Input data plant-based products'!AD82</f>
        <v>0.35749295401451925</v>
      </c>
      <c r="AE84" s="877"/>
      <c r="AF84" s="879">
        <f>SUM('Input data plant-based products'!F82,'Input data plant-based products'!Q82)/'Input data plant-based products'!E82</f>
        <v>2.1108819604512921E-3</v>
      </c>
      <c r="AG84" s="877">
        <f>$AF84*'Input data plant-based products'!Z82</f>
        <v>2.1108819604512921E-3</v>
      </c>
      <c r="AH84" s="877">
        <f>$AF84*'Input data plant-based products'!AA82</f>
        <v>2.1108819604512921E-3</v>
      </c>
      <c r="AI84" s="877">
        <f>$AF84*'Input data plant-based products'!AB82</f>
        <v>2.1108819604512921E-3</v>
      </c>
      <c r="AJ84" s="877">
        <f>$AF84*'Input data plant-based products'!AC82</f>
        <v>2.5192528469403174E-3</v>
      </c>
      <c r="AK84" s="886">
        <f>$AF84*'Input data plant-based products'!AD82</f>
        <v>3.1101886999263177E-3</v>
      </c>
      <c r="AL84" s="877"/>
      <c r="AM84" s="879">
        <f>'Input data plant-based products'!R82/'Input data plant-based products'!E82</f>
        <v>0</v>
      </c>
      <c r="AN84" s="877">
        <f>$AM84*'Input data plant-based products'!Z82</f>
        <v>0</v>
      </c>
      <c r="AO84" s="877">
        <f>$AM84*'Input data plant-based products'!AA82</f>
        <v>0</v>
      </c>
      <c r="AP84" s="877">
        <f>$AM84*'Input data plant-based products'!AB82</f>
        <v>0</v>
      </c>
      <c r="AQ84" s="877">
        <f>$AM84*'Input data plant-based products'!AC82</f>
        <v>0</v>
      </c>
      <c r="AR84" s="886">
        <f>$AM84*'Input data plant-based products'!AD82</f>
        <v>0</v>
      </c>
      <c r="AS84" s="877"/>
      <c r="AT84" s="879">
        <f>'Input data plant-based products'!S82</f>
        <v>0</v>
      </c>
      <c r="AU84" s="877">
        <f>$AT84*'Input data plant-based products'!Z82</f>
        <v>0</v>
      </c>
      <c r="AV84" s="877">
        <f>$AT84*'Input data plant-based products'!AA82</f>
        <v>0</v>
      </c>
      <c r="AW84" s="877">
        <f>$AT84*'Input data plant-based products'!AB82</f>
        <v>0</v>
      </c>
      <c r="AX84" s="877">
        <f>$AT84*'Input data plant-based products'!AC82</f>
        <v>0</v>
      </c>
      <c r="AY84" s="886">
        <f>$AT84*'Input data plant-based products'!AD82</f>
        <v>0</v>
      </c>
      <c r="AZ84" s="877"/>
      <c r="BA84" s="879">
        <f>((SUM('Input data plant-based products'!U82:Y82)*Y84)/('Common input data'!$B$192/10^6))/$BB$3</f>
        <v>2.7583481666008714E-10</v>
      </c>
      <c r="BB84" s="877">
        <f>$BA84*'Input data plant-based products'!Z82</f>
        <v>2.7583481666008714E-10</v>
      </c>
      <c r="BC84" s="877">
        <f>$BA84*'Input data plant-based products'!AA82</f>
        <v>2.7583481666008714E-10</v>
      </c>
      <c r="BD84" s="877">
        <f>$BA84*'Input data plant-based products'!AB82</f>
        <v>2.7583481666008714E-10</v>
      </c>
      <c r="BE84" s="877">
        <f>$BA84*'Input data plant-based products'!AC82</f>
        <v>3.291977761786456E-10</v>
      </c>
      <c r="BF84" s="886">
        <f>$BA84*'Input data plant-based products'!AD82</f>
        <v>4.0641700762795743E-10</v>
      </c>
      <c r="BG84" s="877"/>
      <c r="BH84" s="879">
        <f>'Input data plant-based products'!T82/'Input data plant-based products'!E82</f>
        <v>0</v>
      </c>
      <c r="BI84" s="877">
        <f>$BH84*'Input data plant-based products'!Z82</f>
        <v>0</v>
      </c>
      <c r="BJ84" s="877">
        <f>$BH84*'Input data plant-based products'!AA82</f>
        <v>0</v>
      </c>
      <c r="BK84" s="877">
        <f>$BH84*'Input data plant-based products'!AB82</f>
        <v>0</v>
      </c>
      <c r="BL84" s="877">
        <f>$BH84*'Input data plant-based products'!AC82</f>
        <v>0</v>
      </c>
      <c r="BM84" s="886">
        <f>$BH84*'Input data plant-based products'!AD82</f>
        <v>0</v>
      </c>
      <c r="BN84" s="877"/>
      <c r="BO84" s="879">
        <f>('Input data plant-based products'!F82/'Input data plant-based products'!E82*'Common input data'!$B$195+'Input data plant-based products'!G82/'Input data plant-based products'!E82*'Common input data'!$B$196)/'Common input data'!$B$198</f>
        <v>5.3898696654341763E-5</v>
      </c>
      <c r="BP84" s="877">
        <f>$BO84*'Input data plant-based products'!Z82</f>
        <v>5.3898696654341763E-5</v>
      </c>
      <c r="BQ84" s="877">
        <f>$BO84*'Input data plant-based products'!AA82</f>
        <v>5.3898696654341763E-5</v>
      </c>
      <c r="BR84" s="877">
        <f>$BO84*'Input data plant-based products'!AB82</f>
        <v>5.3898696654341763E-5</v>
      </c>
      <c r="BS84" s="877">
        <f>$BO84*'Input data plant-based products'!AC82</f>
        <v>6.4325929889416111E-5</v>
      </c>
      <c r="BT84" s="886">
        <f>$BO84*'Input data plant-based products'!AD82</f>
        <v>7.9414728258538403E-5</v>
      </c>
      <c r="BU84" s="877"/>
      <c r="BV84" s="879">
        <f>('Common input data'!$C$202+'Common input data'!$B$214)*'Input data plant-based products'!AC82</f>
        <v>1.1339857580459085</v>
      </c>
      <c r="BW84" s="886">
        <f>('Common input data'!$C$202+'Common input data'!$B$214)*'Input data plant-based products'!AD82</f>
        <v>1.3999824173406277</v>
      </c>
    </row>
    <row r="85" spans="1:253" s="406" customFormat="1" ht="17.25">
      <c r="A85" s="68"/>
      <c r="B85"/>
      <c r="C85" s="917"/>
      <c r="D85" s="5"/>
      <c r="E85" s="1294" t="s">
        <v>317</v>
      </c>
      <c r="F85" s="877">
        <f>IF(AND($G$2="No",$G$3="No"),SUM(K85:L85),IF(AND($G$2="Yes", $G$3="No"), SUM(K85:L85)+S85, IF(AND($G$2="No", $G$3="Yes"),SUM(K85:L85)+R85, SUM(K85:L85)+S85+R85)))</f>
        <v>0</v>
      </c>
      <c r="G85" s="877">
        <f>IF(AND($G$2="No",$G$3="No"),SUM(I85:Q85),IF(AND($G$2="Yes", $G$3="No"), SUM(I85:Q85)+S85, IF(AND($G$2="No", $G$3="Yes"),SUM(I85:Q85)+R85, SUM(I85:Q85)+S85+R85)))</f>
        <v>1.1415760119082281</v>
      </c>
      <c r="H85" s="878">
        <f>SUM(U85:W85)/(1-'Common input data'!$B$140)</f>
        <v>1.6965938798284141</v>
      </c>
      <c r="I85" s="877">
        <f>('Input data plant-based products'!$F$82*('Common input data'!$C$93*'Common input data'!B86+'Common input data'!$C$94*'Common input data'!C86))/'Input data plant-based products'!$E$82</f>
        <v>7.9474177059634492E-3</v>
      </c>
      <c r="J85" s="877">
        <f>'Common input data'!$B$98</f>
        <v>0.03</v>
      </c>
      <c r="K85" s="877">
        <v>0</v>
      </c>
      <c r="L85" s="877">
        <v>0</v>
      </c>
      <c r="M85" s="877"/>
      <c r="N85" s="877">
        <v>0</v>
      </c>
      <c r="O85" s="877">
        <f>AVERAGE(O73,O77)</f>
        <v>1.0936285942022645</v>
      </c>
      <c r="P85" s="877">
        <f>AVERAGE(P73,P77)</f>
        <v>0.01</v>
      </c>
      <c r="Q85" s="877">
        <v>0</v>
      </c>
      <c r="R85" s="877">
        <v>0</v>
      </c>
      <c r="S85" s="877">
        <v>0</v>
      </c>
      <c r="T85" s="877">
        <v>0</v>
      </c>
      <c r="U85" s="877">
        <f>(G85+T85)</f>
        <v>1.1415760119082281</v>
      </c>
      <c r="V85" s="877">
        <f>'Common input data'!$B$105</f>
        <v>0.05</v>
      </c>
      <c r="W85" s="877">
        <f>'Common input data'!B119+'Common input data'!C119</f>
        <v>0.23000000000000004</v>
      </c>
      <c r="X85" s="864"/>
      <c r="Y85" s="879"/>
      <c r="Z85" s="877"/>
      <c r="AA85" s="877"/>
      <c r="AB85" s="877"/>
      <c r="AC85" s="877"/>
      <c r="AD85" s="886"/>
      <c r="AE85" s="877"/>
      <c r="AF85" s="879"/>
      <c r="AG85" s="877"/>
      <c r="AH85" s="877"/>
      <c r="AI85" s="877"/>
      <c r="AJ85" s="877"/>
      <c r="AK85" s="886"/>
      <c r="AL85" s="877"/>
      <c r="AM85" s="879"/>
      <c r="AN85" s="877"/>
      <c r="AO85" s="877"/>
      <c r="AP85" s="877"/>
      <c r="AQ85" s="877"/>
      <c r="AR85" s="886"/>
      <c r="AS85" s="877"/>
      <c r="AT85" s="879"/>
      <c r="AU85" s="877"/>
      <c r="AV85" s="877"/>
      <c r="AW85" s="877"/>
      <c r="AX85" s="877"/>
      <c r="AY85" s="886"/>
      <c r="AZ85" s="877"/>
      <c r="BA85" s="879"/>
      <c r="BB85" s="877"/>
      <c r="BC85" s="877"/>
      <c r="BD85" s="877"/>
      <c r="BE85" s="877"/>
      <c r="BF85" s="886"/>
      <c r="BG85" s="877"/>
      <c r="BH85" s="879"/>
      <c r="BI85" s="877"/>
      <c r="BJ85" s="877"/>
      <c r="BK85" s="877"/>
      <c r="BL85" s="877"/>
      <c r="BM85" s="886"/>
      <c r="BN85" s="877"/>
      <c r="BO85" s="879"/>
      <c r="BP85" s="877"/>
      <c r="BQ85" s="877"/>
      <c r="BR85" s="877"/>
      <c r="BS85" s="877"/>
      <c r="BT85" s="886"/>
      <c r="BU85" s="877"/>
      <c r="BV85" s="879"/>
      <c r="BW85" s="886"/>
    </row>
    <row r="86" spans="1:253" s="406" customFormat="1" ht="17.25">
      <c r="A86" s="18"/>
      <c r="B86"/>
      <c r="C86" s="595"/>
      <c r="D86" s="50"/>
      <c r="E86" s="1294" t="s">
        <v>367</v>
      </c>
      <c r="F86" s="877">
        <f>SUM(K86:L86)</f>
        <v>0</v>
      </c>
      <c r="G86" s="877">
        <f>SUM(I86:Q86)</f>
        <v>4.9521239905865235E-3</v>
      </c>
      <c r="H86" s="878">
        <f>SUM(U86:W86)/(1-'Common input data'!$B$140)</f>
        <v>5.9101611058438039E-3</v>
      </c>
      <c r="I86" s="877">
        <f>('Input data plant-based products'!$F$82*('Common input data'!$C$93*'Common input data'!B87+'Common input data'!$C$94*'Common input data'!C87))/'Input data plant-based products'!$E$82</f>
        <v>1.4579143278229742E-5</v>
      </c>
      <c r="J86" s="877">
        <v>0</v>
      </c>
      <c r="K86" s="877">
        <v>0</v>
      </c>
      <c r="L86" s="877">
        <v>0</v>
      </c>
      <c r="M86" s="877"/>
      <c r="N86" s="877">
        <v>0</v>
      </c>
      <c r="O86" s="877">
        <f>AVERAGE(O74,O78)</f>
        <v>4.9375448473082941E-3</v>
      </c>
      <c r="P86" s="877">
        <v>0</v>
      </c>
      <c r="Q86" s="877">
        <v>0</v>
      </c>
      <c r="R86" s="877">
        <v>0</v>
      </c>
      <c r="S86" s="877">
        <v>0</v>
      </c>
      <c r="T86" s="877">
        <v>0</v>
      </c>
      <c r="U86" s="877">
        <f>(G86+T86)</f>
        <v>4.9521239905865235E-3</v>
      </c>
      <c r="V86" s="877">
        <v>0</v>
      </c>
      <c r="W86" s="877">
        <v>0</v>
      </c>
      <c r="X86" s="864"/>
      <c r="Y86" s="879"/>
      <c r="Z86" s="877"/>
      <c r="AA86" s="877"/>
      <c r="AB86" s="877"/>
      <c r="AC86" s="877"/>
      <c r="AD86" s="886"/>
      <c r="AE86" s="877"/>
      <c r="AF86" s="879"/>
      <c r="AG86" s="877"/>
      <c r="AH86" s="877"/>
      <c r="AI86" s="877"/>
      <c r="AJ86" s="877"/>
      <c r="AK86" s="886"/>
      <c r="AL86" s="877"/>
      <c r="AM86" s="879"/>
      <c r="AN86" s="877"/>
      <c r="AO86" s="877"/>
      <c r="AP86" s="877"/>
      <c r="AQ86" s="877"/>
      <c r="AR86" s="886"/>
      <c r="AS86" s="877"/>
      <c r="AT86" s="879"/>
      <c r="AU86" s="877"/>
      <c r="AV86" s="877"/>
      <c r="AW86" s="877"/>
      <c r="AX86" s="877"/>
      <c r="AY86" s="886"/>
      <c r="AZ86" s="877"/>
      <c r="BA86" s="879"/>
      <c r="BB86" s="877"/>
      <c r="BC86" s="877"/>
      <c r="BD86" s="877"/>
      <c r="BE86" s="877"/>
      <c r="BF86" s="886"/>
      <c r="BG86" s="877"/>
      <c r="BH86" s="879"/>
      <c r="BI86" s="877"/>
      <c r="BJ86" s="877"/>
      <c r="BK86" s="877"/>
      <c r="BL86" s="877"/>
      <c r="BM86" s="886"/>
      <c r="BN86" s="877"/>
      <c r="BO86" s="879"/>
      <c r="BP86" s="877"/>
      <c r="BQ86" s="877"/>
      <c r="BR86" s="877"/>
      <c r="BS86" s="877"/>
      <c r="BT86" s="886"/>
      <c r="BU86" s="877"/>
      <c r="BV86" s="879"/>
      <c r="BW86" s="886"/>
    </row>
    <row r="87" spans="1:253" s="406" customFormat="1" ht="17.25">
      <c r="A87" s="359"/>
      <c r="B87"/>
      <c r="C87" s="83"/>
      <c r="D87" s="54"/>
      <c r="E87" s="1295" t="s">
        <v>320</v>
      </c>
      <c r="F87" s="877">
        <f>SUM(K87:L87)</f>
        <v>3.3983691790436909E-5</v>
      </c>
      <c r="G87" s="877">
        <f>SUM(I87:Q87)</f>
        <v>8.9838043548734093E-5</v>
      </c>
      <c r="H87" s="878">
        <f>SUM(U87:W87)/(1-'Common input data'!$B$140)</f>
        <v>1.0721809708644719E-4</v>
      </c>
      <c r="I87" s="877">
        <f>('Input data plant-based products'!$F$82*('Common input data'!$C$93*'Common input data'!B88+'Common input data'!$C$94*'Common input data'!C88))/'Input data plant-based products'!$E$82</f>
        <v>1.7461947978489162E-5</v>
      </c>
      <c r="J87" s="877">
        <v>0</v>
      </c>
      <c r="K87" s="877">
        <f>(SUM('Input data plant-based products'!F82:H82)*'Input data plant-based products'!$B$257*44/28)/'Input data plant-based products'!E82</f>
        <v>3.3171002235663164E-5</v>
      </c>
      <c r="L87" s="877">
        <f>K87*'Input data plant-based products'!$B$261*(1-AVERAGE('Input data plant-based products'!M295:M300))</f>
        <v>8.1268955477374795E-7</v>
      </c>
      <c r="M87" s="877"/>
      <c r="N87" s="877">
        <v>0</v>
      </c>
      <c r="O87" s="877">
        <f>AVERAGE(O75,O79)</f>
        <v>3.8392403779808018E-5</v>
      </c>
      <c r="P87" s="877">
        <v>0</v>
      </c>
      <c r="Q87" s="877">
        <v>0</v>
      </c>
      <c r="R87" s="877">
        <v>0</v>
      </c>
      <c r="S87" s="877">
        <v>0</v>
      </c>
      <c r="T87" s="877">
        <v>0</v>
      </c>
      <c r="U87" s="877">
        <f>(G87+T87)</f>
        <v>8.9838043548734093E-5</v>
      </c>
      <c r="V87" s="877">
        <v>0</v>
      </c>
      <c r="W87" s="877">
        <v>0</v>
      </c>
      <c r="X87" s="864"/>
      <c r="Y87" s="879"/>
      <c r="Z87" s="877"/>
      <c r="AA87" s="877"/>
      <c r="AB87" s="877"/>
      <c r="AC87" s="877"/>
      <c r="AD87" s="886"/>
      <c r="AE87" s="877"/>
      <c r="AF87" s="879"/>
      <c r="AG87" s="877"/>
      <c r="AH87" s="877"/>
      <c r="AI87" s="877"/>
      <c r="AJ87" s="877"/>
      <c r="AK87" s="886"/>
      <c r="AL87" s="877"/>
      <c r="AM87" s="879"/>
      <c r="AN87" s="877"/>
      <c r="AO87" s="877"/>
      <c r="AP87" s="877"/>
      <c r="AQ87" s="877"/>
      <c r="AR87" s="886"/>
      <c r="AS87" s="877"/>
      <c r="AT87" s="879"/>
      <c r="AU87" s="877"/>
      <c r="AV87" s="877"/>
      <c r="AW87" s="877"/>
      <c r="AX87" s="877"/>
      <c r="AY87" s="886"/>
      <c r="AZ87" s="877"/>
      <c r="BA87" s="879"/>
      <c r="BB87" s="877"/>
      <c r="BC87" s="877"/>
      <c r="BD87" s="877"/>
      <c r="BE87" s="877"/>
      <c r="BF87" s="886"/>
      <c r="BG87" s="877"/>
      <c r="BH87" s="879"/>
      <c r="BI87" s="877"/>
      <c r="BJ87" s="877"/>
      <c r="BK87" s="877"/>
      <c r="BL87" s="877"/>
      <c r="BM87" s="886"/>
      <c r="BN87" s="877"/>
      <c r="BO87" s="879"/>
      <c r="BP87" s="877"/>
      <c r="BQ87" s="877"/>
      <c r="BR87" s="877"/>
      <c r="BS87" s="877"/>
      <c r="BT87" s="886"/>
      <c r="BU87" s="877"/>
      <c r="BV87" s="879"/>
      <c r="BW87" s="886"/>
    </row>
    <row r="88" spans="1:253" s="406" customFormat="1" ht="17.25">
      <c r="A88" s="20" t="s">
        <v>125</v>
      </c>
      <c r="B88" s="93" t="s">
        <v>121</v>
      </c>
      <c r="C88" s="904">
        <f>'Input data plant-based products'!D83</f>
        <v>0.10363032510558906</v>
      </c>
      <c r="D88" s="17"/>
      <c r="E88" s="1293" t="s">
        <v>316</v>
      </c>
      <c r="F88" s="872">
        <f>SUMPRODUCT($CE$14:$CE$16,F89:F91)</f>
        <v>6.0525732992849676E-2</v>
      </c>
      <c r="G88" s="872">
        <f>SUMPRODUCT($CE$14:$CE$16,G89:G91)</f>
        <v>0.1334731402061731</v>
      </c>
      <c r="H88" s="873">
        <f>SUMPRODUCT($CE$14:$CE$16,H89:H91)</f>
        <v>0.4934635877863387</v>
      </c>
      <c r="I88" s="888"/>
      <c r="J88" s="888"/>
      <c r="K88" s="888"/>
      <c r="L88" s="888"/>
      <c r="M88" s="888"/>
      <c r="N88" s="888"/>
      <c r="O88" s="888"/>
      <c r="P88" s="888"/>
      <c r="Q88" s="888"/>
      <c r="R88" s="888"/>
      <c r="S88" s="888"/>
      <c r="T88" s="888"/>
      <c r="U88" s="888"/>
      <c r="V88" s="888"/>
      <c r="W88" s="888"/>
      <c r="X88" s="864"/>
      <c r="Y88" s="879">
        <f>1/'Input data plant-based products'!E83*10^4</f>
        <v>0.2594841455187088</v>
      </c>
      <c r="Z88" s="877">
        <f>$Y88*'Input data plant-based products'!Z83</f>
        <v>0.2594841455187088</v>
      </c>
      <c r="AA88" s="877">
        <f>$Y88*'Input data plant-based products'!AA83</f>
        <v>0.2594841455187088</v>
      </c>
      <c r="AB88" s="877">
        <f>$Y88*'Input data plant-based products'!AB83</f>
        <v>0.2594841455187088</v>
      </c>
      <c r="AC88" s="877">
        <f>$Y88*'Input data plant-based products'!AC83</f>
        <v>0.3096839068131147</v>
      </c>
      <c r="AD88" s="886">
        <f>$Y88*'Input data plant-based products'!AD83</f>
        <v>0.38232581088038847</v>
      </c>
      <c r="AE88" s="877"/>
      <c r="AF88" s="879">
        <f>SUM('Input data plant-based products'!F83,'Input data plant-based products'!Q83)/'Input data plant-based products'!E83</f>
        <v>2.1018215787015414E-3</v>
      </c>
      <c r="AG88" s="877">
        <f>$AF88*'Input data plant-based products'!Z83</f>
        <v>2.1018215787015414E-3</v>
      </c>
      <c r="AH88" s="877">
        <f>$AF88*'Input data plant-based products'!AA83</f>
        <v>2.1018215787015414E-3</v>
      </c>
      <c r="AI88" s="877">
        <f>$AF88*'Input data plant-based products'!AB83</f>
        <v>2.1018215787015414E-3</v>
      </c>
      <c r="AJ88" s="877">
        <f>$AF88*'Input data plant-based products'!AC83</f>
        <v>2.508439645186229E-3</v>
      </c>
      <c r="AK88" s="886">
        <f>$AF88*'Input data plant-based products'!AD83</f>
        <v>3.0968390681311467E-3</v>
      </c>
      <c r="AL88" s="877"/>
      <c r="AM88" s="879">
        <f>'Input data plant-based products'!R83/'Input data plant-based products'!E83</f>
        <v>0</v>
      </c>
      <c r="AN88" s="877">
        <f>$AM88*'Input data plant-based products'!Z83</f>
        <v>0</v>
      </c>
      <c r="AO88" s="877">
        <f>$AM88*'Input data plant-based products'!AA83</f>
        <v>0</v>
      </c>
      <c r="AP88" s="877">
        <f>$AM88*'Input data plant-based products'!AB83</f>
        <v>0</v>
      </c>
      <c r="AQ88" s="877">
        <f>$AM88*'Input data plant-based products'!AC83</f>
        <v>0</v>
      </c>
      <c r="AR88" s="886">
        <f>$AM88*'Input data plant-based products'!AD83</f>
        <v>0</v>
      </c>
      <c r="AS88" s="877"/>
      <c r="AT88" s="879">
        <f>'Input data plant-based products'!S83</f>
        <v>0</v>
      </c>
      <c r="AU88" s="877">
        <f>$AT88*'Input data plant-based products'!Z83</f>
        <v>0</v>
      </c>
      <c r="AV88" s="877">
        <f>$AT88*'Input data plant-based products'!AA83</f>
        <v>0</v>
      </c>
      <c r="AW88" s="877">
        <f>$AT88*'Input data plant-based products'!AB83</f>
        <v>0</v>
      </c>
      <c r="AX88" s="877">
        <f>$AT88*'Input data plant-based products'!AC83</f>
        <v>0</v>
      </c>
      <c r="AY88" s="886">
        <f>$AT88*'Input data plant-based products'!AD83</f>
        <v>0</v>
      </c>
      <c r="AZ88" s="877"/>
      <c r="BA88" s="879">
        <f>((SUM('Input data plant-based products'!U83:Y83)*Y88)/('Common input data'!$B$192/10^6))/$BB$3</f>
        <v>2.9499538036860994E-10</v>
      </c>
      <c r="BB88" s="877">
        <f>$BA88*'Input data plant-based products'!Z83</f>
        <v>2.9499538036860994E-10</v>
      </c>
      <c r="BC88" s="877">
        <f>$BA88*'Input data plant-based products'!AA83</f>
        <v>2.9499538036860994E-10</v>
      </c>
      <c r="BD88" s="877">
        <f>$BA88*'Input data plant-based products'!AB83</f>
        <v>2.9499538036860994E-10</v>
      </c>
      <c r="BE88" s="877">
        <f>$BA88*'Input data plant-based products'!AC83</f>
        <v>3.5206513947799254E-10</v>
      </c>
      <c r="BF88" s="886">
        <f>$BA88*'Input data plant-based products'!AD83</f>
        <v>4.346483203432006E-10</v>
      </c>
      <c r="BG88" s="877"/>
      <c r="BH88" s="879">
        <f>'Input data plant-based products'!T83/'Input data plant-based products'!E83</f>
        <v>0</v>
      </c>
      <c r="BI88" s="877">
        <f>$BH88*'Input data plant-based products'!Z83</f>
        <v>0</v>
      </c>
      <c r="BJ88" s="877">
        <f>$BH88*'Input data plant-based products'!AA83</f>
        <v>0</v>
      </c>
      <c r="BK88" s="877">
        <f>$BH88*'Input data plant-based products'!AB83</f>
        <v>0</v>
      </c>
      <c r="BL88" s="877">
        <f>$BH88*'Input data plant-based products'!AC83</f>
        <v>0</v>
      </c>
      <c r="BM88" s="886">
        <f>$BH88*'Input data plant-based products'!AD83</f>
        <v>0</v>
      </c>
      <c r="BN88" s="877"/>
      <c r="BO88" s="879">
        <f>('Input data plant-based products'!F83/'Input data plant-based products'!E83*'Common input data'!$B$195+'Input data plant-based products'!G83/'Input data plant-based products'!E83*'Common input data'!$B$196)/'Common input data'!$B$198</f>
        <v>5.3667351284656596E-5</v>
      </c>
      <c r="BP88" s="877">
        <f>$BO88*'Input data plant-based products'!Z83</f>
        <v>5.3667351284656596E-5</v>
      </c>
      <c r="BQ88" s="877">
        <f>$BO88*'Input data plant-based products'!AA83</f>
        <v>5.3667351284656596E-5</v>
      </c>
      <c r="BR88" s="877">
        <f>$BO88*'Input data plant-based products'!AB83</f>
        <v>5.3667351284656596E-5</v>
      </c>
      <c r="BS88" s="877">
        <f>$BO88*'Input data plant-based products'!AC83</f>
        <v>6.4049828481509236E-5</v>
      </c>
      <c r="BT88" s="886">
        <f>$BO88*'Input data plant-based products'!AD83</f>
        <v>7.9073862322850909E-5</v>
      </c>
      <c r="BU88" s="877"/>
      <c r="BV88" s="879">
        <f>('Common input data'!$C$202+'Common input data'!$B$214)*'Input data plant-based products'!AC83</f>
        <v>1.1339857580459085</v>
      </c>
      <c r="BW88" s="886">
        <f>('Common input data'!$C$202+'Common input data'!$B$214)*'Input data plant-based products'!AD83</f>
        <v>1.3999824173406277</v>
      </c>
    </row>
    <row r="89" spans="1:253" s="406" customFormat="1" ht="17.25">
      <c r="A89" s="68"/>
      <c r="B89" s="55"/>
      <c r="C89" s="917"/>
      <c r="D89" s="5"/>
      <c r="E89" s="1294" t="s">
        <v>317</v>
      </c>
      <c r="F89" s="877">
        <f>IF(AND($G$2="No",$G$3="No"),SUM(K89:L89),IF(AND($G$2="Yes", $G$3="No"), SUM(K89:L89)+S89, IF(AND($G$2="No", $G$3="Yes"),SUM(K89:L89)+R89, SUM(K89:L89)+S89+R89)))</f>
        <v>3.9989486962957101E-2</v>
      </c>
      <c r="G89" s="877">
        <f>IF(AND($G$2="No",$G$3="No"),SUM(I89:Q89),IF(AND($G$2="Yes", $G$3="No"), SUM(I89:Q89)+S89, IF(AND($G$2="No", $G$3="Yes"),SUM(I89:Q89)+R89, SUM(I89:Q89)+S89+R89)))</f>
        <v>0.10761097046091492</v>
      </c>
      <c r="H89" s="878">
        <f>SUM(U89:W89)/(1-'Common input data'!$B$140)</f>
        <v>0.46259812681813461</v>
      </c>
      <c r="I89" s="877">
        <f>('Input data plant-based products'!$F$83*('Common input data'!$C$93*'Common input data'!B86+'Common input data'!$C$94*'Common input data'!C86))/'Input data plant-based products'!$E$83</f>
        <v>7.9133055956276538E-3</v>
      </c>
      <c r="J89" s="877">
        <f>'Common input data'!$B$98</f>
        <v>0.03</v>
      </c>
      <c r="K89" s="877">
        <v>0</v>
      </c>
      <c r="L89" s="877">
        <v>0</v>
      </c>
      <c r="M89" s="877"/>
      <c r="N89" s="877">
        <f>('Input data plant-based products'!$P$83*'Common input data'!$C$76*'Common input data'!H66)/'Input data plant-based products'!$E$83</f>
        <v>9.7081779023301673E-3</v>
      </c>
      <c r="O89" s="877">
        <v>0</v>
      </c>
      <c r="P89" s="877">
        <f>'Input data plant-based products'!G$309</f>
        <v>0.02</v>
      </c>
      <c r="Q89" s="877">
        <v>0</v>
      </c>
      <c r="R89" s="877">
        <f>'Common input data'!E$19</f>
        <v>3.9989486962957101E-2</v>
      </c>
      <c r="S89" s="877">
        <v>0</v>
      </c>
      <c r="T89" s="877">
        <v>0</v>
      </c>
      <c r="U89" s="877">
        <f>(G89+T89)</f>
        <v>0.10761097046091492</v>
      </c>
      <c r="V89" s="877">
        <f>'Common input data'!$B$105</f>
        <v>0.05</v>
      </c>
      <c r="W89" s="877">
        <f>'Common input data'!B119+'Common input data'!C119</f>
        <v>0.23000000000000004</v>
      </c>
      <c r="X89" s="864"/>
      <c r="Y89" s="879"/>
      <c r="Z89" s="877"/>
      <c r="AA89" s="877"/>
      <c r="AB89" s="877"/>
      <c r="AC89" s="877"/>
      <c r="AD89" s="886"/>
      <c r="AE89" s="877"/>
      <c r="AF89" s="879"/>
      <c r="AG89" s="877"/>
      <c r="AH89" s="877"/>
      <c r="AI89" s="877"/>
      <c r="AJ89" s="877"/>
      <c r="AK89" s="886"/>
      <c r="AL89" s="877"/>
      <c r="AM89" s="879"/>
      <c r="AN89" s="877"/>
      <c r="AO89" s="877"/>
      <c r="AP89" s="877"/>
      <c r="AQ89" s="877"/>
      <c r="AR89" s="886"/>
      <c r="AS89" s="877"/>
      <c r="AT89" s="879"/>
      <c r="AU89" s="877"/>
      <c r="AV89" s="877"/>
      <c r="AW89" s="877"/>
      <c r="AX89" s="877"/>
      <c r="AY89" s="886"/>
      <c r="AZ89" s="877"/>
      <c r="BA89" s="879"/>
      <c r="BB89" s="877"/>
      <c r="BC89" s="877"/>
      <c r="BD89" s="877"/>
      <c r="BE89" s="877"/>
      <c r="BF89" s="886"/>
      <c r="BG89" s="877"/>
      <c r="BH89" s="879"/>
      <c r="BI89" s="877"/>
      <c r="BJ89" s="877"/>
      <c r="BK89" s="877"/>
      <c r="BL89" s="877"/>
      <c r="BM89" s="886"/>
      <c r="BN89" s="877"/>
      <c r="BO89" s="879"/>
      <c r="BP89" s="877"/>
      <c r="BQ89" s="877"/>
      <c r="BR89" s="877"/>
      <c r="BS89" s="877"/>
      <c r="BT89" s="886"/>
      <c r="BU89" s="877"/>
      <c r="BV89" s="879"/>
      <c r="BW89" s="886"/>
    </row>
    <row r="90" spans="1:253" s="406" customFormat="1" ht="17.25">
      <c r="A90" s="18"/>
      <c r="B90" s="55"/>
      <c r="C90" s="595"/>
      <c r="D90" s="50"/>
      <c r="E90" s="1294" t="s">
        <v>367</v>
      </c>
      <c r="F90" s="877">
        <f>SUM(K90:L90)</f>
        <v>0</v>
      </c>
      <c r="G90" s="877">
        <f>SUM(I90:Q90)</f>
        <v>1.8816961758953945E-5</v>
      </c>
      <c r="H90" s="878">
        <f>SUM(U90:W90)/(1-'Common input data'!$B$140)</f>
        <v>2.2457288171564562E-5</v>
      </c>
      <c r="I90" s="877">
        <f>('Input data plant-based products'!$F$83*('Common input data'!$C$93*'Common input data'!B87+'Common input data'!$C$94*'Common input data'!C87))/'Input data plant-based products'!$E$83</f>
        <v>1.4516566305116173E-5</v>
      </c>
      <c r="J90" s="877">
        <v>0</v>
      </c>
      <c r="K90" s="877">
        <v>0</v>
      </c>
      <c r="L90" s="877">
        <v>0</v>
      </c>
      <c r="M90" s="877"/>
      <c r="N90" s="877">
        <f>('Input data plant-based products'!$P$83*'Common input data'!$C$76*'Common input data'!H67)/'Input data plant-based products'!$E$83</f>
        <v>4.3003954538377705E-6</v>
      </c>
      <c r="O90" s="877">
        <v>0</v>
      </c>
      <c r="P90" s="877">
        <v>0</v>
      </c>
      <c r="Q90" s="877">
        <v>0</v>
      </c>
      <c r="R90" s="877">
        <v>0</v>
      </c>
      <c r="S90" s="877">
        <v>0</v>
      </c>
      <c r="T90" s="877">
        <v>0</v>
      </c>
      <c r="U90" s="877">
        <f>(G90+T90)</f>
        <v>1.8816961758953945E-5</v>
      </c>
      <c r="V90" s="877">
        <v>0</v>
      </c>
      <c r="W90" s="877">
        <v>0</v>
      </c>
      <c r="X90" s="864"/>
      <c r="Y90" s="879"/>
      <c r="Z90" s="877"/>
      <c r="AA90" s="877"/>
      <c r="AB90" s="877"/>
      <c r="AC90" s="877"/>
      <c r="AD90" s="886"/>
      <c r="AE90" s="877"/>
      <c r="AF90" s="879"/>
      <c r="AG90" s="877"/>
      <c r="AH90" s="877"/>
      <c r="AI90" s="877"/>
      <c r="AJ90" s="877"/>
      <c r="AK90" s="886"/>
      <c r="AL90" s="877"/>
      <c r="AM90" s="879"/>
      <c r="AN90" s="877"/>
      <c r="AO90" s="877"/>
      <c r="AP90" s="877"/>
      <c r="AQ90" s="877"/>
      <c r="AR90" s="886"/>
      <c r="AS90" s="877"/>
      <c r="AT90" s="879"/>
      <c r="AU90" s="877"/>
      <c r="AV90" s="877"/>
      <c r="AW90" s="877"/>
      <c r="AX90" s="877"/>
      <c r="AY90" s="886"/>
      <c r="AZ90" s="877"/>
      <c r="BA90" s="879"/>
      <c r="BB90" s="877"/>
      <c r="BC90" s="877"/>
      <c r="BD90" s="877"/>
      <c r="BE90" s="877"/>
      <c r="BF90" s="886"/>
      <c r="BG90" s="877"/>
      <c r="BH90" s="879"/>
      <c r="BI90" s="877"/>
      <c r="BJ90" s="877"/>
      <c r="BK90" s="877"/>
      <c r="BL90" s="877"/>
      <c r="BM90" s="886"/>
      <c r="BN90" s="877"/>
      <c r="BO90" s="879"/>
      <c r="BP90" s="877"/>
      <c r="BQ90" s="877"/>
      <c r="BR90" s="877"/>
      <c r="BS90" s="877"/>
      <c r="BT90" s="886"/>
      <c r="BU90" s="877"/>
      <c r="BV90" s="879"/>
      <c r="BW90" s="886"/>
    </row>
    <row r="91" spans="1:253" s="406" customFormat="1" ht="17.25">
      <c r="A91" s="359"/>
      <c r="B91" s="360"/>
      <c r="C91" s="83"/>
      <c r="D91" s="54"/>
      <c r="E91" s="1295" t="s">
        <v>320</v>
      </c>
      <c r="F91" s="896">
        <f>SUM(K91:L91)</f>
        <v>7.5224344431840928E-5</v>
      </c>
      <c r="G91" s="896">
        <f>SUM(I91:Q91)</f>
        <v>9.2872204314162744E-5</v>
      </c>
      <c r="H91" s="933">
        <f>SUM(U91:W91)/(1-'Common input data'!$B$140)</f>
        <v>1.108392461083217E-4</v>
      </c>
      <c r="I91" s="877">
        <f>('Input data plant-based products'!$F$83*('Common input data'!$C$93*'Common input data'!B88+'Common input data'!$C$94*'Common input data'!C88))/'Input data plant-based products'!$E$83</f>
        <v>1.7386997357022117E-5</v>
      </c>
      <c r="J91" s="877">
        <v>0</v>
      </c>
      <c r="K91" s="877">
        <f>(SUM('Input data plant-based products'!F83:H83)*'Input data plant-based products'!$B$257*44/28)/'Input data plant-based products'!E83</f>
        <v>6.8385767665309931E-5</v>
      </c>
      <c r="L91" s="877">
        <f>K91*'Input data plant-based products'!$B$261</f>
        <v>6.8385767665309938E-6</v>
      </c>
      <c r="M91" s="877"/>
      <c r="N91" s="877">
        <f>('Input data plant-based products'!$P$83*'Common input data'!$C$76*'Common input data'!H68)/'Input data plant-based products'!$E$83</f>
        <v>2.6086252529970421E-7</v>
      </c>
      <c r="O91" s="877">
        <v>0</v>
      </c>
      <c r="P91" s="877">
        <v>0</v>
      </c>
      <c r="Q91" s="877">
        <v>0</v>
      </c>
      <c r="R91" s="877">
        <v>0</v>
      </c>
      <c r="S91" s="877">
        <v>0</v>
      </c>
      <c r="T91" s="877">
        <v>0</v>
      </c>
      <c r="U91" s="877">
        <f>(G91+T91)</f>
        <v>9.2872204314162744E-5</v>
      </c>
      <c r="V91" s="877">
        <v>0</v>
      </c>
      <c r="W91" s="877">
        <v>0</v>
      </c>
      <c r="X91" s="864"/>
      <c r="Y91" s="879"/>
      <c r="Z91" s="877"/>
      <c r="AA91" s="877"/>
      <c r="AB91" s="877"/>
      <c r="AC91" s="877"/>
      <c r="AD91" s="886"/>
      <c r="AE91" s="877"/>
      <c r="AF91" s="879"/>
      <c r="AG91" s="877"/>
      <c r="AH91" s="877"/>
      <c r="AI91" s="877"/>
      <c r="AJ91" s="877"/>
      <c r="AK91" s="886"/>
      <c r="AL91" s="877"/>
      <c r="AM91" s="879"/>
      <c r="AN91" s="877"/>
      <c r="AO91" s="877"/>
      <c r="AP91" s="877"/>
      <c r="AQ91" s="877"/>
      <c r="AR91" s="886"/>
      <c r="AS91" s="877"/>
      <c r="AT91" s="879"/>
      <c r="AU91" s="877"/>
      <c r="AV91" s="877"/>
      <c r="AW91" s="877"/>
      <c r="AX91" s="877"/>
      <c r="AY91" s="886"/>
      <c r="AZ91" s="877"/>
      <c r="BA91" s="879"/>
      <c r="BB91" s="877"/>
      <c r="BC91" s="877"/>
      <c r="BD91" s="877"/>
      <c r="BE91" s="877"/>
      <c r="BF91" s="886"/>
      <c r="BG91" s="877"/>
      <c r="BH91" s="879"/>
      <c r="BI91" s="877"/>
      <c r="BJ91" s="877"/>
      <c r="BK91" s="877"/>
      <c r="BL91" s="877"/>
      <c r="BM91" s="886"/>
      <c r="BN91" s="877"/>
      <c r="BO91" s="879"/>
      <c r="BP91" s="877"/>
      <c r="BQ91" s="877"/>
      <c r="BR91" s="877"/>
      <c r="BS91" s="877"/>
      <c r="BT91" s="886"/>
      <c r="BU91" s="877"/>
      <c r="BV91" s="879"/>
      <c r="BW91" s="886"/>
    </row>
    <row r="92" spans="1:253" s="503" customFormat="1" ht="17.25">
      <c r="A92" s="362" t="s">
        <v>480</v>
      </c>
      <c r="B92" s="363"/>
      <c r="C92" s="770"/>
      <c r="D92" s="54"/>
      <c r="E92" s="1296"/>
      <c r="F92" s="1290" t="s">
        <v>481</v>
      </c>
      <c r="G92" s="1290" t="s">
        <v>481</v>
      </c>
      <c r="H92" s="870" t="s">
        <v>481</v>
      </c>
      <c r="I92" s="889"/>
      <c r="J92" s="889"/>
      <c r="K92" s="889"/>
      <c r="L92" s="890"/>
      <c r="M92" s="890"/>
      <c r="N92" s="890"/>
      <c r="O92" s="891"/>
      <c r="P92" s="890"/>
      <c r="Q92" s="890"/>
      <c r="R92" s="890"/>
      <c r="S92" s="890"/>
      <c r="T92" s="890"/>
      <c r="U92" s="890"/>
      <c r="V92" s="890"/>
      <c r="W92" s="890"/>
      <c r="X92" s="858"/>
      <c r="Y92" s="879"/>
      <c r="Z92" s="877"/>
      <c r="AA92" s="877"/>
      <c r="AB92" s="877"/>
      <c r="AC92" s="877"/>
      <c r="AD92" s="886"/>
      <c r="AE92" s="877"/>
      <c r="AF92" s="879"/>
      <c r="AG92" s="877"/>
      <c r="AH92" s="877"/>
      <c r="AI92" s="877"/>
      <c r="AJ92" s="877"/>
      <c r="AK92" s="886"/>
      <c r="AL92" s="877"/>
      <c r="AM92" s="879"/>
      <c r="AN92" s="877"/>
      <c r="AO92" s="877"/>
      <c r="AP92" s="877"/>
      <c r="AQ92" s="877"/>
      <c r="AR92" s="886"/>
      <c r="AS92" s="877"/>
      <c r="AT92" s="879"/>
      <c r="AU92" s="877"/>
      <c r="AV92" s="877"/>
      <c r="AW92" s="877"/>
      <c r="AX92" s="877"/>
      <c r="AY92" s="886"/>
      <c r="AZ92" s="877"/>
      <c r="BA92" s="879"/>
      <c r="BB92" s="877"/>
      <c r="BC92" s="877"/>
      <c r="BD92" s="877"/>
      <c r="BE92" s="877"/>
      <c r="BF92" s="886"/>
      <c r="BG92" s="877"/>
      <c r="BH92" s="879"/>
      <c r="BI92" s="877"/>
      <c r="BJ92" s="877"/>
      <c r="BK92" s="877"/>
      <c r="BL92" s="877"/>
      <c r="BM92" s="886"/>
      <c r="BN92" s="877"/>
      <c r="BO92" s="879"/>
      <c r="BP92" s="877"/>
      <c r="BQ92" s="877"/>
      <c r="BR92" s="877"/>
      <c r="BS92" s="877"/>
      <c r="BT92" s="886"/>
      <c r="BU92" s="877"/>
      <c r="BV92" s="879"/>
      <c r="BW92" s="886"/>
      <c r="BX92" s="406"/>
      <c r="BY92" s="406"/>
      <c r="BZ92" s="406"/>
      <c r="CA92" s="406"/>
      <c r="CB92" s="406"/>
      <c r="CC92" s="406"/>
      <c r="CD92" s="406"/>
      <c r="CE92" s="406"/>
      <c r="CF92" s="406"/>
      <c r="CG92" s="406"/>
      <c r="CH92" s="406"/>
      <c r="CI92" s="406"/>
      <c r="CJ92" s="406"/>
      <c r="CK92" s="406"/>
      <c r="CL92" s="406"/>
      <c r="CM92" s="406"/>
      <c r="CN92" s="406"/>
      <c r="CO92" s="406"/>
      <c r="CP92" s="406"/>
      <c r="CQ92" s="406"/>
      <c r="CR92" s="406"/>
      <c r="CS92" s="406"/>
      <c r="CT92" s="406"/>
      <c r="CU92" s="406"/>
      <c r="CV92" s="406"/>
      <c r="CW92" s="406"/>
      <c r="CX92" s="406"/>
      <c r="CY92" s="406"/>
      <c r="CZ92" s="406"/>
      <c r="DA92" s="406"/>
      <c r="DB92" s="406"/>
      <c r="DC92" s="406"/>
      <c r="DD92" s="406"/>
      <c r="DE92" s="406"/>
      <c r="DF92" s="406"/>
      <c r="DG92" s="406"/>
      <c r="DH92" s="406"/>
      <c r="DI92" s="406"/>
      <c r="DJ92" s="406"/>
      <c r="DK92" s="406"/>
      <c r="DL92" s="406"/>
      <c r="DM92" s="406"/>
      <c r="DN92" s="406"/>
      <c r="DO92" s="406"/>
      <c r="DP92" s="406"/>
      <c r="DQ92" s="406"/>
      <c r="DR92" s="406"/>
      <c r="DS92" s="406"/>
      <c r="DT92" s="406"/>
      <c r="DU92" s="406"/>
      <c r="DV92" s="406"/>
      <c r="DW92" s="406"/>
      <c r="DX92" s="406"/>
      <c r="DY92" s="406"/>
      <c r="DZ92" s="406"/>
      <c r="EA92" s="406"/>
      <c r="EB92" s="406"/>
      <c r="EC92" s="406"/>
      <c r="ED92" s="406"/>
      <c r="EE92" s="406"/>
      <c r="EF92" s="406"/>
      <c r="EG92" s="406"/>
      <c r="EH92" s="406"/>
      <c r="EI92" s="406"/>
      <c r="EJ92" s="406"/>
      <c r="EK92" s="406"/>
      <c r="EL92" s="406"/>
      <c r="EM92" s="406"/>
      <c r="EN92" s="406"/>
      <c r="EO92" s="406"/>
      <c r="EP92" s="406"/>
      <c r="EQ92" s="406"/>
      <c r="ER92" s="406"/>
      <c r="ES92" s="406"/>
      <c r="ET92" s="406"/>
      <c r="EU92" s="406"/>
      <c r="EV92" s="406"/>
      <c r="EW92" s="406"/>
      <c r="EX92" s="406"/>
      <c r="EY92" s="406"/>
      <c r="EZ92" s="406"/>
      <c r="FA92" s="406"/>
      <c r="FB92" s="406"/>
      <c r="FC92" s="406"/>
      <c r="FD92" s="406"/>
      <c r="FE92" s="406"/>
      <c r="FF92" s="406"/>
      <c r="FG92" s="406"/>
      <c r="FH92" s="406"/>
      <c r="FI92" s="406"/>
      <c r="FJ92" s="406"/>
      <c r="FK92" s="406"/>
      <c r="FL92" s="406"/>
      <c r="FM92" s="406"/>
      <c r="FN92" s="406"/>
      <c r="FO92" s="406"/>
      <c r="FP92" s="406"/>
      <c r="FQ92" s="406"/>
      <c r="FR92" s="406"/>
      <c r="FS92" s="406"/>
      <c r="FT92" s="406"/>
      <c r="FU92" s="406"/>
      <c r="FV92" s="406"/>
      <c r="FW92" s="406"/>
      <c r="FX92" s="406"/>
      <c r="FY92" s="406"/>
      <c r="FZ92" s="406"/>
      <c r="GA92" s="406"/>
      <c r="GB92" s="406"/>
      <c r="GC92" s="406"/>
      <c r="GD92" s="406"/>
      <c r="GE92" s="406"/>
      <c r="GF92" s="406"/>
      <c r="GG92" s="406"/>
      <c r="GH92" s="406"/>
      <c r="GI92" s="406"/>
      <c r="GJ92" s="406"/>
      <c r="GK92" s="406"/>
      <c r="GL92" s="406"/>
      <c r="GM92" s="406"/>
      <c r="GN92" s="406"/>
      <c r="GO92" s="406"/>
      <c r="GP92" s="406"/>
      <c r="GQ92" s="406"/>
      <c r="GR92" s="406"/>
      <c r="GS92" s="406"/>
      <c r="GT92" s="406"/>
      <c r="GU92" s="406"/>
      <c r="GV92" s="406"/>
      <c r="GW92" s="406"/>
      <c r="GX92" s="406"/>
      <c r="GY92" s="406"/>
      <c r="GZ92" s="406"/>
      <c r="HA92" s="406"/>
      <c r="HB92" s="406"/>
      <c r="HC92" s="406"/>
      <c r="HD92" s="406"/>
      <c r="HE92" s="406"/>
      <c r="HF92" s="406"/>
      <c r="HG92" s="406"/>
      <c r="HH92" s="406"/>
      <c r="HI92" s="406"/>
      <c r="HJ92" s="406"/>
      <c r="HK92" s="406"/>
      <c r="HL92" s="406"/>
      <c r="HM92" s="406"/>
      <c r="HN92" s="406"/>
      <c r="HO92" s="406"/>
      <c r="HP92" s="406"/>
      <c r="HQ92" s="406"/>
      <c r="HR92" s="406"/>
      <c r="HS92" s="406"/>
      <c r="HT92" s="406"/>
      <c r="HU92" s="406"/>
      <c r="HV92" s="406"/>
      <c r="HW92" s="406"/>
      <c r="HX92" s="406"/>
      <c r="HY92" s="406"/>
      <c r="HZ92" s="406"/>
      <c r="IA92" s="406"/>
      <c r="IB92" s="406"/>
      <c r="IC92" s="406"/>
      <c r="ID92" s="406"/>
      <c r="IE92" s="406"/>
      <c r="IF92" s="406"/>
      <c r="IG92" s="406"/>
      <c r="IH92" s="406"/>
      <c r="II92" s="406"/>
      <c r="IJ92" s="406"/>
      <c r="IK92" s="406"/>
      <c r="IL92" s="406"/>
      <c r="IM92" s="406"/>
      <c r="IN92" s="406"/>
      <c r="IO92" s="406"/>
      <c r="IP92" s="406"/>
      <c r="IQ92" s="406"/>
      <c r="IR92" s="406"/>
      <c r="IS92" s="406"/>
    </row>
    <row r="93" spans="1:253" s="502" customFormat="1" ht="17.25">
      <c r="A93" s="20" t="s">
        <v>120</v>
      </c>
      <c r="B93" s="93"/>
      <c r="C93" s="771">
        <f>SUM(C97:C108)</f>
        <v>1</v>
      </c>
      <c r="D93" s="50"/>
      <c r="E93" s="1293" t="s">
        <v>316</v>
      </c>
      <c r="F93" s="874">
        <f>SUMPRODUCT($CE$14:$CE$16,F94:F96)</f>
        <v>7.037685569783042E-2</v>
      </c>
      <c r="G93" s="874">
        <f>SUMPRODUCT($CE$14:$CE$16,G94:G96)</f>
        <v>0.14057387278195616</v>
      </c>
      <c r="H93" s="927">
        <f>SUMPRODUCT($CE$14:$CE$16,H94:H96)</f>
        <v>0.30621061317813125</v>
      </c>
      <c r="I93" s="872"/>
      <c r="J93" s="884"/>
      <c r="K93" s="884"/>
      <c r="L93" s="888"/>
      <c r="M93" s="888"/>
      <c r="N93" s="888"/>
      <c r="O93" s="888"/>
      <c r="P93" s="888"/>
      <c r="Q93" s="888"/>
      <c r="R93" s="888"/>
      <c r="S93" s="888"/>
      <c r="T93" s="888"/>
      <c r="U93" s="888"/>
      <c r="V93" s="888"/>
      <c r="W93" s="888"/>
      <c r="X93" s="858"/>
      <c r="Y93" s="883">
        <f>Y97*$C$97+Y101*$C$101+Y105*$C$105</f>
        <v>0.39970123867820495</v>
      </c>
      <c r="Z93" s="884">
        <f t="shared" ref="Z93:BW93" si="8">Z97*$C$97+Z101*$C$101+Z105*$C$105</f>
        <v>0.39970123867820495</v>
      </c>
      <c r="AA93" s="884">
        <f t="shared" si="8"/>
        <v>0.39970123867820495</v>
      </c>
      <c r="AB93" s="884">
        <f t="shared" si="8"/>
        <v>0.39970123867820495</v>
      </c>
      <c r="AC93" s="884">
        <f t="shared" si="8"/>
        <v>0.47702737639122195</v>
      </c>
      <c r="AD93" s="885">
        <f t="shared" si="8"/>
        <v>0.58892268690274319</v>
      </c>
      <c r="AE93" s="877"/>
      <c r="AF93" s="883">
        <f t="shared" si="8"/>
        <v>4.0810489323152305E-3</v>
      </c>
      <c r="AG93" s="884">
        <f t="shared" si="8"/>
        <v>4.0810489323152305E-3</v>
      </c>
      <c r="AH93" s="884">
        <f t="shared" si="8"/>
        <v>4.0810489323152305E-3</v>
      </c>
      <c r="AI93" s="884">
        <f t="shared" si="8"/>
        <v>4.0810489323152305E-3</v>
      </c>
      <c r="AJ93" s="884">
        <f t="shared" si="8"/>
        <v>4.8705680061048228E-3</v>
      </c>
      <c r="AK93" s="885">
        <f t="shared" si="8"/>
        <v>6.0130469211170648E-3</v>
      </c>
      <c r="AL93" s="877"/>
      <c r="AM93" s="883">
        <f t="shared" si="8"/>
        <v>8.4711619047619046E-4</v>
      </c>
      <c r="AN93" s="884">
        <f t="shared" si="8"/>
        <v>8.4711619047619046E-4</v>
      </c>
      <c r="AO93" s="884">
        <f t="shared" si="8"/>
        <v>8.4711619047619046E-4</v>
      </c>
      <c r="AP93" s="884">
        <f t="shared" si="8"/>
        <v>8.4711619047619046E-4</v>
      </c>
      <c r="AQ93" s="884">
        <f t="shared" si="8"/>
        <v>1.0109991532118278E-3</v>
      </c>
      <c r="AR93" s="885">
        <f t="shared" si="8"/>
        <v>1.2481471027306513E-3</v>
      </c>
      <c r="AS93" s="877"/>
      <c r="AT93" s="883">
        <f t="shared" si="8"/>
        <v>1.2239238269733353E-2</v>
      </c>
      <c r="AU93" s="884">
        <f t="shared" si="8"/>
        <v>1.2239238269733353E-2</v>
      </c>
      <c r="AV93" s="884">
        <f t="shared" si="8"/>
        <v>1.2239238269733353E-2</v>
      </c>
      <c r="AW93" s="884">
        <f t="shared" si="8"/>
        <v>1.2239238269733353E-2</v>
      </c>
      <c r="AX93" s="884">
        <f t="shared" si="8"/>
        <v>1.4607039348052697E-2</v>
      </c>
      <c r="AY93" s="885">
        <f t="shared" si="8"/>
        <v>1.8033381911176163E-2</v>
      </c>
      <c r="AZ93" s="877"/>
      <c r="BA93" s="883">
        <f t="shared" si="8"/>
        <v>1.0037840047081065E-10</v>
      </c>
      <c r="BB93" s="884">
        <f t="shared" si="8"/>
        <v>1.0037840047081065E-10</v>
      </c>
      <c r="BC93" s="884">
        <f t="shared" si="8"/>
        <v>1.0037840047081065E-10</v>
      </c>
      <c r="BD93" s="884">
        <f t="shared" si="8"/>
        <v>1.0037840047081065E-10</v>
      </c>
      <c r="BE93" s="884">
        <f t="shared" si="8"/>
        <v>1.1979758977301666E-10</v>
      </c>
      <c r="BF93" s="885">
        <f t="shared" si="8"/>
        <v>1.4789825897903289E-10</v>
      </c>
      <c r="BG93" s="877"/>
      <c r="BH93" s="883">
        <f t="shared" si="8"/>
        <v>2.9566574339793812E-4</v>
      </c>
      <c r="BI93" s="884">
        <f t="shared" si="8"/>
        <v>2.9566574339793812E-4</v>
      </c>
      <c r="BJ93" s="884">
        <f t="shared" si="8"/>
        <v>2.9566574339793812E-4</v>
      </c>
      <c r="BK93" s="884">
        <f t="shared" si="8"/>
        <v>2.9566574339793812E-4</v>
      </c>
      <c r="BL93" s="884">
        <f t="shared" si="8"/>
        <v>3.5286519083176766E-4</v>
      </c>
      <c r="BM93" s="885">
        <f t="shared" si="8"/>
        <v>4.3563603806391063E-4</v>
      </c>
      <c r="BN93" s="877"/>
      <c r="BO93" s="883">
        <f t="shared" si="8"/>
        <v>1.0420441434221995E-4</v>
      </c>
      <c r="BP93" s="884">
        <f t="shared" si="8"/>
        <v>1.0420441434221995E-4</v>
      </c>
      <c r="BQ93" s="884">
        <f t="shared" si="8"/>
        <v>1.0420441434221995E-4</v>
      </c>
      <c r="BR93" s="884">
        <f t="shared" si="8"/>
        <v>1.0420441434221995E-4</v>
      </c>
      <c r="BS93" s="884">
        <f t="shared" si="8"/>
        <v>1.2436378367611879E-4</v>
      </c>
      <c r="BT93" s="885">
        <f t="shared" si="8"/>
        <v>1.535355354026158E-4</v>
      </c>
      <c r="BU93" s="877"/>
      <c r="BV93" s="883">
        <f t="shared" si="8"/>
        <v>0.38622508652583842</v>
      </c>
      <c r="BW93" s="885">
        <f t="shared" si="8"/>
        <v>0.47682109447634363</v>
      </c>
      <c r="BX93" s="406"/>
      <c r="BY93" s="406"/>
      <c r="BZ93" s="406"/>
      <c r="CA93" s="406"/>
      <c r="CB93" s="406"/>
      <c r="CC93" s="406"/>
      <c r="CD93" s="406"/>
      <c r="CE93" s="406"/>
      <c r="CF93" s="406"/>
      <c r="CG93" s="406"/>
      <c r="CH93" s="406"/>
      <c r="CI93" s="406"/>
      <c r="CJ93" s="406"/>
      <c r="CK93" s="406"/>
      <c r="CL93" s="406"/>
      <c r="CM93" s="406"/>
      <c r="CN93" s="406"/>
      <c r="CO93" s="406"/>
      <c r="CP93" s="406"/>
      <c r="CQ93" s="406"/>
      <c r="CR93" s="406"/>
      <c r="CS93" s="406"/>
      <c r="CT93" s="406"/>
      <c r="CU93" s="406"/>
      <c r="CV93" s="406"/>
      <c r="CW93" s="406"/>
      <c r="CX93" s="406"/>
      <c r="CY93" s="406"/>
      <c r="CZ93" s="406"/>
      <c r="DA93" s="406"/>
      <c r="DB93" s="406"/>
      <c r="DC93" s="406"/>
      <c r="DD93" s="406"/>
      <c r="DE93" s="406"/>
      <c r="DF93" s="406"/>
      <c r="DG93" s="406"/>
      <c r="DH93" s="406"/>
      <c r="DI93" s="406"/>
      <c r="DJ93" s="406"/>
      <c r="DK93" s="406"/>
      <c r="DL93" s="406"/>
      <c r="DM93" s="406"/>
      <c r="DN93" s="406"/>
      <c r="DO93" s="406"/>
      <c r="DP93" s="406"/>
      <c r="DQ93" s="406"/>
      <c r="DR93" s="406"/>
      <c r="DS93" s="406"/>
      <c r="DT93" s="406"/>
      <c r="DU93" s="406"/>
      <c r="DV93" s="406"/>
      <c r="DW93" s="406"/>
      <c r="DX93" s="406"/>
      <c r="DY93" s="406"/>
      <c r="DZ93" s="406"/>
      <c r="EA93" s="406"/>
      <c r="EB93" s="406"/>
      <c r="EC93" s="406"/>
      <c r="ED93" s="406"/>
      <c r="EE93" s="406"/>
      <c r="EF93" s="406"/>
      <c r="EG93" s="406"/>
      <c r="EH93" s="406"/>
      <c r="EI93" s="406"/>
      <c r="EJ93" s="406"/>
      <c r="EK93" s="406"/>
      <c r="EL93" s="406"/>
      <c r="EM93" s="406"/>
      <c r="EN93" s="406"/>
      <c r="EO93" s="406"/>
      <c r="EP93" s="406"/>
      <c r="EQ93" s="406"/>
      <c r="ER93" s="406"/>
      <c r="ES93" s="406"/>
      <c r="ET93" s="406"/>
      <c r="EU93" s="406"/>
      <c r="EV93" s="406"/>
      <c r="EW93" s="406"/>
      <c r="EX93" s="406"/>
      <c r="EY93" s="406"/>
      <c r="EZ93" s="406"/>
      <c r="FA93" s="406"/>
      <c r="FB93" s="406"/>
      <c r="FC93" s="406"/>
      <c r="FD93" s="406"/>
      <c r="FE93" s="406"/>
      <c r="FF93" s="406"/>
      <c r="FG93" s="406"/>
      <c r="FH93" s="406"/>
      <c r="FI93" s="406"/>
      <c r="FJ93" s="406"/>
      <c r="FK93" s="406"/>
      <c r="FL93" s="406"/>
      <c r="FM93" s="406"/>
      <c r="FN93" s="406"/>
      <c r="FO93" s="406"/>
      <c r="FP93" s="406"/>
      <c r="FQ93" s="406"/>
      <c r="FR93" s="406"/>
      <c r="FS93" s="406"/>
      <c r="FT93" s="406"/>
      <c r="FU93" s="406"/>
      <c r="FV93" s="406"/>
      <c r="FW93" s="406"/>
      <c r="FX93" s="406"/>
      <c r="FY93" s="406"/>
      <c r="FZ93" s="406"/>
      <c r="GA93" s="406"/>
      <c r="GB93" s="406"/>
      <c r="GC93" s="406"/>
      <c r="GD93" s="406"/>
      <c r="GE93" s="406"/>
      <c r="GF93" s="406"/>
      <c r="GG93" s="406"/>
      <c r="GH93" s="406"/>
      <c r="GI93" s="406"/>
      <c r="GJ93" s="406"/>
      <c r="GK93" s="406"/>
      <c r="GL93" s="406"/>
      <c r="GM93" s="406"/>
      <c r="GN93" s="406"/>
      <c r="GO93" s="406"/>
      <c r="GP93" s="406"/>
      <c r="GQ93" s="406"/>
      <c r="GR93" s="406"/>
      <c r="GS93" s="406"/>
      <c r="GT93" s="406"/>
      <c r="GU93" s="406"/>
      <c r="GV93" s="406"/>
      <c r="GW93" s="406"/>
      <c r="GX93" s="406"/>
      <c r="GY93" s="406"/>
      <c r="GZ93" s="406"/>
      <c r="HA93" s="406"/>
      <c r="HB93" s="406"/>
      <c r="HC93" s="406"/>
      <c r="HD93" s="406"/>
      <c r="HE93" s="406"/>
      <c r="HF93" s="406"/>
      <c r="HG93" s="406"/>
      <c r="HH93" s="406"/>
      <c r="HI93" s="406"/>
      <c r="HJ93" s="406"/>
      <c r="HK93" s="406"/>
      <c r="HL93" s="406"/>
      <c r="HM93" s="406"/>
      <c r="HN93" s="406"/>
      <c r="HO93" s="406"/>
      <c r="HP93" s="406"/>
      <c r="HQ93" s="406"/>
      <c r="HR93" s="406"/>
      <c r="HS93" s="406"/>
      <c r="HT93" s="406"/>
      <c r="HU93" s="406"/>
      <c r="HV93" s="406"/>
      <c r="HW93" s="406"/>
      <c r="HX93" s="406"/>
      <c r="HY93" s="406"/>
      <c r="HZ93" s="406"/>
      <c r="IA93" s="406"/>
      <c r="IB93" s="406"/>
      <c r="IC93" s="406"/>
      <c r="ID93" s="406"/>
      <c r="IE93" s="406"/>
      <c r="IF93" s="406"/>
      <c r="IG93" s="406"/>
      <c r="IH93" s="406"/>
      <c r="II93" s="406"/>
      <c r="IJ93" s="406"/>
      <c r="IK93" s="406"/>
      <c r="IL93" s="406"/>
      <c r="IM93" s="406"/>
      <c r="IN93" s="406"/>
      <c r="IO93" s="406"/>
      <c r="IP93" s="406"/>
      <c r="IQ93" s="406"/>
      <c r="IR93" s="406"/>
      <c r="IS93" s="406"/>
    </row>
    <row r="94" spans="1:253" s="406" customFormat="1" ht="17.25">
      <c r="A94" s="499"/>
      <c r="B94" s="55"/>
      <c r="C94" s="917"/>
      <c r="D94" s="5"/>
      <c r="E94" s="1294" t="s">
        <v>317</v>
      </c>
      <c r="F94" s="877">
        <f t="shared" ref="F94:W96" si="9">F98*$C$97+F102*$C$101+$C$105*F106</f>
        <v>3.9989486962957101E-2</v>
      </c>
      <c r="G94" s="877">
        <f t="shared" si="9"/>
        <v>0.10175977662714716</v>
      </c>
      <c r="H94" s="878">
        <f t="shared" si="9"/>
        <v>0.25988754818850363</v>
      </c>
      <c r="I94" s="877">
        <f t="shared" si="9"/>
        <v>1.3216116933856648E-2</v>
      </c>
      <c r="J94" s="877">
        <f t="shared" si="9"/>
        <v>2.9999999999999995E-2</v>
      </c>
      <c r="K94" s="877">
        <f t="shared" si="9"/>
        <v>0</v>
      </c>
      <c r="L94" s="877">
        <f t="shared" si="9"/>
        <v>0</v>
      </c>
      <c r="M94" s="877"/>
      <c r="N94" s="877">
        <f t="shared" si="9"/>
        <v>1.4954172730333422E-2</v>
      </c>
      <c r="O94" s="877">
        <f t="shared" si="9"/>
        <v>0</v>
      </c>
      <c r="P94" s="877">
        <f t="shared" si="9"/>
        <v>3.5999999999999999E-3</v>
      </c>
      <c r="Q94" s="877">
        <f t="shared" si="9"/>
        <v>0</v>
      </c>
      <c r="R94" s="877">
        <f t="shared" si="9"/>
        <v>3.9989486962957101E-2</v>
      </c>
      <c r="S94" s="877">
        <f t="shared" si="9"/>
        <v>0</v>
      </c>
      <c r="T94" s="877">
        <f t="shared" si="9"/>
        <v>0</v>
      </c>
      <c r="U94" s="877">
        <f t="shared" si="9"/>
        <v>0.10175977662714716</v>
      </c>
      <c r="V94" s="877">
        <f t="shared" si="9"/>
        <v>0.05</v>
      </c>
      <c r="W94" s="877">
        <f t="shared" si="9"/>
        <v>6.6000000000000003E-2</v>
      </c>
      <c r="X94" s="858"/>
      <c r="Y94" s="879"/>
      <c r="Z94" s="877"/>
      <c r="AA94" s="877"/>
      <c r="AB94" s="877"/>
      <c r="AC94" s="877"/>
      <c r="AD94" s="886"/>
      <c r="AE94" s="877"/>
      <c r="AF94" s="879"/>
      <c r="AG94" s="877"/>
      <c r="AH94" s="877"/>
      <c r="AI94" s="877"/>
      <c r="AJ94" s="877"/>
      <c r="AK94" s="886"/>
      <c r="AL94" s="877"/>
      <c r="AM94" s="879"/>
      <c r="AN94" s="877"/>
      <c r="AO94" s="877"/>
      <c r="AP94" s="877"/>
      <c r="AQ94" s="877"/>
      <c r="AR94" s="886"/>
      <c r="AS94" s="877"/>
      <c r="AT94" s="879"/>
      <c r="AU94" s="877"/>
      <c r="AV94" s="877"/>
      <c r="AW94" s="877"/>
      <c r="AX94" s="877"/>
      <c r="AY94" s="886"/>
      <c r="AZ94" s="877"/>
      <c r="BA94" s="879"/>
      <c r="BB94" s="877"/>
      <c r="BC94" s="877"/>
      <c r="BD94" s="877"/>
      <c r="BE94" s="877"/>
      <c r="BF94" s="886"/>
      <c r="BG94" s="877"/>
      <c r="BH94" s="879"/>
      <c r="BI94" s="877"/>
      <c r="BJ94" s="877"/>
      <c r="BK94" s="877"/>
      <c r="BL94" s="877"/>
      <c r="BM94" s="886"/>
      <c r="BN94" s="877"/>
      <c r="BO94" s="879"/>
      <c r="BP94" s="877"/>
      <c r="BQ94" s="877"/>
      <c r="BR94" s="877"/>
      <c r="BS94" s="877"/>
      <c r="BT94" s="886"/>
      <c r="BU94" s="877"/>
      <c r="BV94" s="879"/>
      <c r="BW94" s="886"/>
    </row>
    <row r="95" spans="1:253" s="406" customFormat="1" ht="17.25">
      <c r="A95" s="499"/>
      <c r="B95" s="55"/>
      <c r="C95" s="595"/>
      <c r="D95" s="50"/>
      <c r="E95" s="1294" t="s">
        <v>367</v>
      </c>
      <c r="F95" s="877">
        <f t="shared" si="9"/>
        <v>0</v>
      </c>
      <c r="G95" s="877">
        <f t="shared" si="9"/>
        <v>2.4679427764355938E-5</v>
      </c>
      <c r="H95" s="878">
        <f t="shared" si="9"/>
        <v>2.9453905912824842E-5</v>
      </c>
      <c r="I95" s="877">
        <f t="shared" si="9"/>
        <v>1.8055233495110503E-5</v>
      </c>
      <c r="J95" s="877">
        <f t="shared" si="9"/>
        <v>0</v>
      </c>
      <c r="K95" s="877">
        <f t="shared" si="9"/>
        <v>0</v>
      </c>
      <c r="L95" s="877">
        <f t="shared" si="9"/>
        <v>0</v>
      </c>
      <c r="M95" s="877"/>
      <c r="N95" s="877">
        <f t="shared" si="9"/>
        <v>6.6241942692454307E-6</v>
      </c>
      <c r="O95" s="877">
        <f t="shared" si="9"/>
        <v>0</v>
      </c>
      <c r="P95" s="877">
        <f t="shared" si="9"/>
        <v>0</v>
      </c>
      <c r="Q95" s="877">
        <f t="shared" si="9"/>
        <v>0</v>
      </c>
      <c r="R95" s="877">
        <f t="shared" si="9"/>
        <v>0</v>
      </c>
      <c r="S95" s="877">
        <f t="shared" si="9"/>
        <v>0</v>
      </c>
      <c r="T95" s="877">
        <f t="shared" si="9"/>
        <v>0</v>
      </c>
      <c r="U95" s="877">
        <f t="shared" si="9"/>
        <v>2.4679427764355938E-5</v>
      </c>
      <c r="V95" s="877">
        <f t="shared" si="9"/>
        <v>0</v>
      </c>
      <c r="W95" s="877">
        <f t="shared" si="9"/>
        <v>0</v>
      </c>
      <c r="X95" s="858"/>
      <c r="Y95" s="879"/>
      <c r="Z95" s="877"/>
      <c r="AA95" s="877"/>
      <c r="AB95" s="877"/>
      <c r="AC95" s="877"/>
      <c r="AD95" s="886"/>
      <c r="AE95" s="877"/>
      <c r="AF95" s="879"/>
      <c r="AG95" s="877"/>
      <c r="AH95" s="877"/>
      <c r="AI95" s="877"/>
      <c r="AJ95" s="877"/>
      <c r="AK95" s="886"/>
      <c r="AL95" s="877"/>
      <c r="AM95" s="879"/>
      <c r="AN95" s="877"/>
      <c r="AO95" s="877"/>
      <c r="AP95" s="877"/>
      <c r="AQ95" s="877"/>
      <c r="AR95" s="886"/>
      <c r="AS95" s="877"/>
      <c r="AT95" s="879"/>
      <c r="AU95" s="877"/>
      <c r="AV95" s="877"/>
      <c r="AW95" s="877"/>
      <c r="AX95" s="877"/>
      <c r="AY95" s="886"/>
      <c r="AZ95" s="877"/>
      <c r="BA95" s="879"/>
      <c r="BB95" s="877"/>
      <c r="BC95" s="877"/>
      <c r="BD95" s="877"/>
      <c r="BE95" s="877"/>
      <c r="BF95" s="886"/>
      <c r="BG95" s="877"/>
      <c r="BH95" s="879"/>
      <c r="BI95" s="877"/>
      <c r="BJ95" s="877"/>
      <c r="BK95" s="877"/>
      <c r="BL95" s="877"/>
      <c r="BM95" s="886"/>
      <c r="BN95" s="877"/>
      <c r="BO95" s="879"/>
      <c r="BP95" s="877"/>
      <c r="BQ95" s="877"/>
      <c r="BR95" s="877"/>
      <c r="BS95" s="877"/>
      <c r="BT95" s="886"/>
      <c r="BU95" s="877"/>
      <c r="BV95" s="879"/>
      <c r="BW95" s="886"/>
    </row>
    <row r="96" spans="1:253" s="406" customFormat="1" ht="17.25">
      <c r="A96" s="18"/>
      <c r="B96" s="360"/>
      <c r="C96" s="83"/>
      <c r="D96" s="54"/>
      <c r="E96" s="1295" t="s">
        <v>320</v>
      </c>
      <c r="F96" s="877">
        <f t="shared" si="9"/>
        <v>1.1130904298488395E-4</v>
      </c>
      <c r="G96" s="877">
        <f t="shared" si="9"/>
        <v>1.3973535386509664E-4</v>
      </c>
      <c r="H96" s="878">
        <f t="shared" si="9"/>
        <v>1.6676853307685485E-4</v>
      </c>
      <c r="I96" s="877">
        <f t="shared" si="9"/>
        <v>2.8024486428554637E-5</v>
      </c>
      <c r="J96" s="877">
        <f t="shared" si="9"/>
        <v>0</v>
      </c>
      <c r="K96" s="877">
        <f t="shared" si="9"/>
        <v>1.0119003907716721E-4</v>
      </c>
      <c r="L96" s="877">
        <f t="shared" si="9"/>
        <v>1.0119003907716724E-5</v>
      </c>
      <c r="M96" s="877"/>
      <c r="N96" s="877">
        <f t="shared" si="9"/>
        <v>4.0182445165806353E-7</v>
      </c>
      <c r="O96" s="877">
        <f t="shared" si="9"/>
        <v>0</v>
      </c>
      <c r="P96" s="877">
        <f t="shared" si="9"/>
        <v>0</v>
      </c>
      <c r="Q96" s="877">
        <f t="shared" si="9"/>
        <v>0</v>
      </c>
      <c r="R96" s="877">
        <f t="shared" si="9"/>
        <v>0</v>
      </c>
      <c r="S96" s="877">
        <f t="shared" si="9"/>
        <v>0</v>
      </c>
      <c r="T96" s="877">
        <f t="shared" si="9"/>
        <v>0</v>
      </c>
      <c r="U96" s="877">
        <f t="shared" si="9"/>
        <v>1.3973535386509664E-4</v>
      </c>
      <c r="V96" s="877">
        <f t="shared" si="9"/>
        <v>0</v>
      </c>
      <c r="W96" s="877">
        <f t="shared" si="9"/>
        <v>0</v>
      </c>
      <c r="X96" s="858"/>
      <c r="Y96" s="879"/>
      <c r="Z96" s="877"/>
      <c r="AA96" s="877"/>
      <c r="AB96" s="877"/>
      <c r="AC96" s="877"/>
      <c r="AD96" s="886"/>
      <c r="AE96" s="877"/>
      <c r="AF96" s="879"/>
      <c r="AG96" s="877"/>
      <c r="AH96" s="877"/>
      <c r="AI96" s="877"/>
      <c r="AJ96" s="877"/>
      <c r="AK96" s="886"/>
      <c r="AL96" s="877"/>
      <c r="AM96" s="879"/>
      <c r="AN96" s="877"/>
      <c r="AO96" s="877"/>
      <c r="AP96" s="877"/>
      <c r="AQ96" s="877"/>
      <c r="AR96" s="886"/>
      <c r="AS96" s="877"/>
      <c r="AT96" s="879"/>
      <c r="AU96" s="877"/>
      <c r="AV96" s="877"/>
      <c r="AW96" s="877"/>
      <c r="AX96" s="877"/>
      <c r="AY96" s="886"/>
      <c r="AZ96" s="877"/>
      <c r="BA96" s="879"/>
      <c r="BB96" s="877"/>
      <c r="BC96" s="877"/>
      <c r="BD96" s="877"/>
      <c r="BE96" s="877"/>
      <c r="BF96" s="886"/>
      <c r="BG96" s="877"/>
      <c r="BH96" s="879"/>
      <c r="BI96" s="877"/>
      <c r="BJ96" s="877"/>
      <c r="BK96" s="877"/>
      <c r="BL96" s="877"/>
      <c r="BM96" s="886"/>
      <c r="BN96" s="877"/>
      <c r="BO96" s="879"/>
      <c r="BP96" s="877"/>
      <c r="BQ96" s="877"/>
      <c r="BR96" s="877"/>
      <c r="BS96" s="877"/>
      <c r="BT96" s="886"/>
      <c r="BU96" s="877"/>
      <c r="BV96" s="879"/>
      <c r="BW96" s="886"/>
    </row>
    <row r="97" spans="1:253" s="502" customFormat="1" ht="17.25">
      <c r="A97" s="20" t="s">
        <v>122</v>
      </c>
      <c r="B97" s="93" t="s">
        <v>121</v>
      </c>
      <c r="C97" s="87">
        <f>'Input data plant-based products'!D45</f>
        <v>0.82</v>
      </c>
      <c r="D97" s="54"/>
      <c r="E97" s="1293" t="s">
        <v>316</v>
      </c>
      <c r="F97" s="872">
        <f>SUMPRODUCT($CE$14:$CE$16,F98:F100)</f>
        <v>7.4053303232021167E-2</v>
      </c>
      <c r="G97" s="872">
        <f>SUMPRODUCT($CE$14:$CE$16,G98:G100)</f>
        <v>0.14041503740566735</v>
      </c>
      <c r="H97" s="873">
        <f>SUMPRODUCT($CE$14:$CE$16,H98:H100)</f>
        <v>0.26305649529259739</v>
      </c>
      <c r="I97" s="888"/>
      <c r="J97" s="888"/>
      <c r="K97" s="888"/>
      <c r="L97" s="888"/>
      <c r="M97" s="888"/>
      <c r="N97" s="888"/>
      <c r="O97" s="888"/>
      <c r="P97" s="888"/>
      <c r="Q97" s="888"/>
      <c r="R97" s="888"/>
      <c r="S97" s="888"/>
      <c r="T97" s="888"/>
      <c r="U97" s="888"/>
      <c r="V97" s="888"/>
      <c r="W97" s="888"/>
      <c r="X97" s="858"/>
      <c r="Y97" s="879">
        <f>1/'Input data plant-based products'!E45*10^4</f>
        <v>0.40134853106437629</v>
      </c>
      <c r="Z97" s="877">
        <f>$Y97*'Input data plant-based products'!Z45</f>
        <v>0.40134853106437629</v>
      </c>
      <c r="AA97" s="877">
        <f>$Y97*'Input data plant-based products'!AA45</f>
        <v>0.40134853106437629</v>
      </c>
      <c r="AB97" s="877">
        <f>$Y97*'Input data plant-based products'!AB45</f>
        <v>0.40134853106437629</v>
      </c>
      <c r="AC97" s="877">
        <f>$Y97*'Input data plant-based products'!AC45</f>
        <v>0.47899335369898111</v>
      </c>
      <c r="AD97" s="886">
        <f>$Y97*'Input data plant-based products'!AD45</f>
        <v>0.59134981938145814</v>
      </c>
      <c r="AE97" s="877"/>
      <c r="AF97" s="879">
        <f>SUM('Input data plant-based products'!F45,'Input data plant-based products'!Q45)/'Input data plant-based products'!E45</f>
        <v>4.1740247230695133E-3</v>
      </c>
      <c r="AG97" s="877">
        <f>$AF97*'Input data plant-based products'!Z45</f>
        <v>4.1740247230695133E-3</v>
      </c>
      <c r="AH97" s="877">
        <f>$AF97*'Input data plant-based products'!AA45</f>
        <v>4.1740247230695133E-3</v>
      </c>
      <c r="AI97" s="877">
        <f>$AF97*'Input data plant-based products'!AB45</f>
        <v>4.1740247230695133E-3</v>
      </c>
      <c r="AJ97" s="877">
        <f>$AF97*'Input data plant-based products'!AC45</f>
        <v>4.9815308784694036E-3</v>
      </c>
      <c r="AK97" s="886">
        <f>$AF97*'Input data plant-based products'!AD45</f>
        <v>6.1500381215671644E-3</v>
      </c>
      <c r="AL97" s="877"/>
      <c r="AM97" s="879">
        <f>'Input data plant-based products'!R45/'Input data plant-based products'!E45</f>
        <v>8.3333333333333339E-4</v>
      </c>
      <c r="AN97" s="877">
        <f>$AM97*'Input data plant-based products'!Z45</f>
        <v>8.3333333333333339E-4</v>
      </c>
      <c r="AO97" s="877">
        <f>$AM97*'Input data plant-based products'!AA45</f>
        <v>8.3333333333333339E-4</v>
      </c>
      <c r="AP97" s="877">
        <f>$AM97*'Input data plant-based products'!AB45</f>
        <v>8.3333333333333339E-4</v>
      </c>
      <c r="AQ97" s="877">
        <f>$AM97*'Input data plant-based products'!AC45</f>
        <v>9.945498667303179E-4</v>
      </c>
      <c r="AR97" s="886">
        <f>$AM97*'Input data plant-based products'!AD45</f>
        <v>1.2278393416423677E-3</v>
      </c>
      <c r="AS97" s="877"/>
      <c r="AT97" s="879">
        <f>'Input data plant-based products'!S45</f>
        <v>1.5167509055686529E-3</v>
      </c>
      <c r="AU97" s="877">
        <f>$AT97*'Input data plant-based products'!Z45</f>
        <v>1.5167509055686529E-3</v>
      </c>
      <c r="AV97" s="877">
        <f>$AT97*'Input data plant-based products'!AA45</f>
        <v>1.5167509055686529E-3</v>
      </c>
      <c r="AW97" s="877">
        <f>$AT97*'Input data plant-based products'!AB45</f>
        <v>1.5167509055686529E-3</v>
      </c>
      <c r="AX97" s="877">
        <f>$AT97*'Input data plant-based products'!AC45</f>
        <v>1.8101812931956712E-3</v>
      </c>
      <c r="AY97" s="886">
        <f>$AT97*'Input data plant-based products'!AD45</f>
        <v>2.2347917199946553E-3</v>
      </c>
      <c r="AZ97" s="877"/>
      <c r="BA97" s="879">
        <f>((SUM('Input data plant-based products'!U45:Y45)*Y97)/('Common input data'!$B$192/10^6))/$BB$3</f>
        <v>2.8390973946335806E-12</v>
      </c>
      <c r="BB97" s="877">
        <f>$BA97*'Input data plant-based products'!Z45</f>
        <v>2.8390973946335806E-12</v>
      </c>
      <c r="BC97" s="877">
        <f>$BA97*'Input data plant-based products'!AA45</f>
        <v>2.8390973946335806E-12</v>
      </c>
      <c r="BD97" s="877">
        <f>$BA97*'Input data plant-based products'!AB45</f>
        <v>2.8390973946335806E-12</v>
      </c>
      <c r="BE97" s="877">
        <f>$BA97*'Input data plant-based products'!AC45</f>
        <v>3.388348722560664E-12</v>
      </c>
      <c r="BF97" s="886">
        <f>$BA97*'Input data plant-based products'!AD45</f>
        <v>4.1831465710625476E-12</v>
      </c>
      <c r="BG97" s="877"/>
      <c r="BH97" s="879">
        <f>'Input data plant-based products'!T45/'Input data plant-based products'!E45</f>
        <v>1.1538770268100819E-4</v>
      </c>
      <c r="BI97" s="877">
        <f>$BH97*'Input data plant-based products'!Z45</f>
        <v>1.1538770268100819E-4</v>
      </c>
      <c r="BJ97" s="877">
        <f>$BH97*'Input data plant-based products'!AA45</f>
        <v>1.1538770268100819E-4</v>
      </c>
      <c r="BK97" s="877">
        <f>$BH97*'Input data plant-based products'!AB45</f>
        <v>1.1538770268100819E-4</v>
      </c>
      <c r="BL97" s="877">
        <f>$BH97*'Input data plant-based products'!AC45</f>
        <v>1.3771058918845706E-4</v>
      </c>
      <c r="BM97" s="886">
        <f>$BH97*'Input data plant-based products'!AD45</f>
        <v>1.7001307307216922E-4</v>
      </c>
      <c r="BN97" s="877"/>
      <c r="BO97" s="879">
        <f>('Input data plant-based products'!F45/'Input data plant-based products'!E45*'Common input data'!$B$195+'Input data plant-based products'!G45/'Input data plant-based products'!E45*'Common input data'!$B$196)/'Common input data'!$B$198</f>
        <v>1.0657843337120972E-4</v>
      </c>
      <c r="BP97" s="877">
        <f>$BO97*'Input data plant-based products'!Z45</f>
        <v>1.0657843337120972E-4</v>
      </c>
      <c r="BQ97" s="877">
        <f>$BO97*'Input data plant-based products'!AA45</f>
        <v>1.0657843337120972E-4</v>
      </c>
      <c r="BR97" s="877">
        <f>$BO97*'Input data plant-based products'!AB45</f>
        <v>1.0657843337120972E-4</v>
      </c>
      <c r="BS97" s="877">
        <f>$BO97*'Input data plant-based products'!AC45</f>
        <v>1.2719708004679524E-4</v>
      </c>
      <c r="BT97" s="886">
        <f>$BO97*'Input data plant-based products'!AD45</f>
        <v>1.5703343215653731E-4</v>
      </c>
      <c r="BU97" s="877"/>
      <c r="BV97" s="879">
        <f>'Common input data'!$C$202*'Input data plant-based products'!AC45</f>
        <v>0.17090344909893782</v>
      </c>
      <c r="BW97" s="886">
        <f>'Common input data'!$C$202*'Input data plant-based products'!AD45</f>
        <v>0.21099191246782442</v>
      </c>
      <c r="BX97" s="406"/>
      <c r="BY97" s="406"/>
      <c r="BZ97" s="406"/>
      <c r="CA97" s="406"/>
      <c r="CB97" s="406"/>
      <c r="CC97" s="406"/>
      <c r="CD97" s="406"/>
      <c r="CE97" s="406"/>
      <c r="CF97" s="406"/>
      <c r="CG97" s="406"/>
      <c r="CH97" s="406"/>
      <c r="CI97" s="406"/>
      <c r="CJ97" s="406"/>
      <c r="CK97" s="406"/>
      <c r="CL97" s="406"/>
      <c r="CM97" s="406"/>
      <c r="CN97" s="406"/>
      <c r="CO97" s="406"/>
      <c r="CP97" s="406"/>
      <c r="CQ97" s="406"/>
      <c r="CR97" s="406"/>
      <c r="CS97" s="406"/>
      <c r="CT97" s="406"/>
      <c r="CU97" s="406"/>
      <c r="CV97" s="406"/>
      <c r="CW97" s="406"/>
      <c r="CX97" s="406"/>
      <c r="CY97" s="406"/>
      <c r="CZ97" s="406"/>
      <c r="DA97" s="406"/>
      <c r="DB97" s="406"/>
      <c r="DC97" s="406"/>
      <c r="DD97" s="406"/>
      <c r="DE97" s="406"/>
      <c r="DF97" s="406"/>
      <c r="DG97" s="406"/>
      <c r="DH97" s="406"/>
      <c r="DI97" s="406"/>
      <c r="DJ97" s="406"/>
      <c r="DK97" s="406"/>
      <c r="DL97" s="406"/>
      <c r="DM97" s="406"/>
      <c r="DN97" s="406"/>
      <c r="DO97" s="406"/>
      <c r="DP97" s="406"/>
      <c r="DQ97" s="406"/>
      <c r="DR97" s="406"/>
      <c r="DS97" s="406"/>
      <c r="DT97" s="406"/>
      <c r="DU97" s="406"/>
      <c r="DV97" s="406"/>
      <c r="DW97" s="406"/>
      <c r="DX97" s="406"/>
      <c r="DY97" s="406"/>
      <c r="DZ97" s="406"/>
      <c r="EA97" s="406"/>
      <c r="EB97" s="406"/>
      <c r="EC97" s="406"/>
      <c r="ED97" s="406"/>
      <c r="EE97" s="406"/>
      <c r="EF97" s="406"/>
      <c r="EG97" s="406"/>
      <c r="EH97" s="406"/>
      <c r="EI97" s="406"/>
      <c r="EJ97" s="406"/>
      <c r="EK97" s="406"/>
      <c r="EL97" s="406"/>
      <c r="EM97" s="406"/>
      <c r="EN97" s="406"/>
      <c r="EO97" s="406"/>
      <c r="EP97" s="406"/>
      <c r="EQ97" s="406"/>
      <c r="ER97" s="406"/>
      <c r="ES97" s="406"/>
      <c r="ET97" s="406"/>
      <c r="EU97" s="406"/>
      <c r="EV97" s="406"/>
      <c r="EW97" s="406"/>
      <c r="EX97" s="406"/>
      <c r="EY97" s="406"/>
      <c r="EZ97" s="406"/>
      <c r="FA97" s="406"/>
      <c r="FB97" s="406"/>
      <c r="FC97" s="406"/>
      <c r="FD97" s="406"/>
      <c r="FE97" s="406"/>
      <c r="FF97" s="406"/>
      <c r="FG97" s="406"/>
      <c r="FH97" s="406"/>
      <c r="FI97" s="406"/>
      <c r="FJ97" s="406"/>
      <c r="FK97" s="406"/>
      <c r="FL97" s="406"/>
      <c r="FM97" s="406"/>
      <c r="FN97" s="406"/>
      <c r="FO97" s="406"/>
      <c r="FP97" s="406"/>
      <c r="FQ97" s="406"/>
      <c r="FR97" s="406"/>
      <c r="FS97" s="406"/>
      <c r="FT97" s="406"/>
      <c r="FU97" s="406"/>
      <c r="FV97" s="406"/>
      <c r="FW97" s="406"/>
      <c r="FX97" s="406"/>
      <c r="FY97" s="406"/>
      <c r="FZ97" s="406"/>
      <c r="GA97" s="406"/>
      <c r="GB97" s="406"/>
      <c r="GC97" s="406"/>
      <c r="GD97" s="406"/>
      <c r="GE97" s="406"/>
      <c r="GF97" s="406"/>
      <c r="GG97" s="406"/>
      <c r="GH97" s="406"/>
      <c r="GI97" s="406"/>
      <c r="GJ97" s="406"/>
      <c r="GK97" s="406"/>
      <c r="GL97" s="406"/>
      <c r="GM97" s="406"/>
      <c r="GN97" s="406"/>
      <c r="GO97" s="406"/>
      <c r="GP97" s="406"/>
      <c r="GQ97" s="406"/>
      <c r="GR97" s="406"/>
      <c r="GS97" s="406"/>
      <c r="GT97" s="406"/>
      <c r="GU97" s="406"/>
      <c r="GV97" s="406"/>
      <c r="GW97" s="406"/>
      <c r="GX97" s="406"/>
      <c r="GY97" s="406"/>
      <c r="GZ97" s="406"/>
      <c r="HA97" s="406"/>
      <c r="HB97" s="406"/>
      <c r="HC97" s="406"/>
      <c r="HD97" s="406"/>
      <c r="HE97" s="406"/>
      <c r="HF97" s="406"/>
      <c r="HG97" s="406"/>
      <c r="HH97" s="406"/>
      <c r="HI97" s="406"/>
      <c r="HJ97" s="406"/>
      <c r="HK97" s="406"/>
      <c r="HL97" s="406"/>
      <c r="HM97" s="406"/>
      <c r="HN97" s="406"/>
      <c r="HO97" s="406"/>
      <c r="HP97" s="406"/>
      <c r="HQ97" s="406"/>
      <c r="HR97" s="406"/>
      <c r="HS97" s="406"/>
      <c r="HT97" s="406"/>
      <c r="HU97" s="406"/>
      <c r="HV97" s="406"/>
      <c r="HW97" s="406"/>
      <c r="HX97" s="406"/>
      <c r="HY97" s="406"/>
      <c r="HZ97" s="406"/>
      <c r="IA97" s="406"/>
      <c r="IB97" s="406"/>
      <c r="IC97" s="406"/>
      <c r="ID97" s="406"/>
      <c r="IE97" s="406"/>
      <c r="IF97" s="406"/>
      <c r="IG97" s="406"/>
      <c r="IH97" s="406"/>
      <c r="II97" s="406"/>
      <c r="IJ97" s="406"/>
      <c r="IK97" s="406"/>
      <c r="IL97" s="406"/>
      <c r="IM97" s="406"/>
      <c r="IN97" s="406"/>
      <c r="IO97" s="406"/>
      <c r="IP97" s="406"/>
      <c r="IQ97" s="406"/>
      <c r="IR97" s="406"/>
      <c r="IS97" s="406"/>
    </row>
    <row r="98" spans="1:253" s="406" customFormat="1" ht="17.25">
      <c r="A98" s="499"/>
      <c r="B98" s="55"/>
      <c r="C98" s="917"/>
      <c r="D98" s="5"/>
      <c r="E98" s="1294" t="s">
        <v>317</v>
      </c>
      <c r="F98" s="877">
        <f>IF(AND($G$2="No",$G$3="No"),SUM(K98:L98),IF(AND($G$2="Yes", $G$3="No"), SUM(K98:L98)+S98, IF(AND($G$2="No", $G$3="Yes"),SUM(K98:L98)+R98, SUM(K98:L98)+S98+R98)))</f>
        <v>3.9989486962957101E-2</v>
      </c>
      <c r="G98" s="877">
        <f>IF(AND($G$2="No",$G$3="No"),SUM(I98:Q98),IF(AND($G$2="Yes", $G$3="No"), SUM(I98:Q98)+S98, IF(AND($G$2="No", $G$3="Yes"),SUM(I98:Q98)+R98, SUM(I98:Q98)+S98+R98)))</f>
        <v>9.8099742562825804E-2</v>
      </c>
      <c r="H98" s="878">
        <f>SUM(U98:W98)/(1-'Common input data'!$B$140)</f>
        <v>0.21255489027667482</v>
      </c>
      <c r="I98" s="877">
        <f>('Input data plant-based products'!$F$45*('Common input data'!$B$93*'Common input data'!B86+'Common input data'!$B$94*'Common input data'!C86))/'Input data plant-based products'!$E$45</f>
        <v>1.3094452100109502E-2</v>
      </c>
      <c r="J98" s="877">
        <f>'Common input data'!$B$98</f>
        <v>0.03</v>
      </c>
      <c r="K98" s="877">
        <v>0</v>
      </c>
      <c r="L98" s="877">
        <v>0</v>
      </c>
      <c r="M98" s="877"/>
      <c r="N98" s="877">
        <f>('Input data plant-based products'!$P$45*'Common input data'!$C$76*'Common input data'!H66)/'Input data plant-based products'!$E$45</f>
        <v>1.501580349975919E-2</v>
      </c>
      <c r="O98" s="877">
        <v>0</v>
      </c>
      <c r="P98" s="877">
        <v>0</v>
      </c>
      <c r="Q98" s="877">
        <v>0</v>
      </c>
      <c r="R98" s="877">
        <f>'Common input data'!$E$19</f>
        <v>3.9989486962957101E-2</v>
      </c>
      <c r="S98" s="877">
        <v>0</v>
      </c>
      <c r="T98" s="877">
        <v>0</v>
      </c>
      <c r="U98" s="877">
        <f>(G98+T98)</f>
        <v>9.8099742562825804E-2</v>
      </c>
      <c r="V98" s="877">
        <f>'Common input data'!$B$105</f>
        <v>0.05</v>
      </c>
      <c r="W98" s="877">
        <f>'Common input data'!C115</f>
        <v>0.03</v>
      </c>
      <c r="X98" s="858"/>
      <c r="Y98" s="879"/>
      <c r="Z98" s="877"/>
      <c r="AA98" s="877"/>
      <c r="AB98" s="877"/>
      <c r="AC98" s="877"/>
      <c r="AD98" s="886"/>
      <c r="AE98" s="877"/>
      <c r="AF98" s="879"/>
      <c r="AG98" s="877"/>
      <c r="AH98" s="877"/>
      <c r="AI98" s="877"/>
      <c r="AJ98" s="877"/>
      <c r="AK98" s="886"/>
      <c r="AL98" s="877"/>
      <c r="AM98" s="879"/>
      <c r="AN98" s="877"/>
      <c r="AO98" s="877"/>
      <c r="AP98" s="877"/>
      <c r="AQ98" s="877"/>
      <c r="AR98" s="886"/>
      <c r="AS98" s="877"/>
      <c r="AT98" s="879"/>
      <c r="AU98" s="877"/>
      <c r="AV98" s="877"/>
      <c r="AW98" s="877"/>
      <c r="AX98" s="877"/>
      <c r="AY98" s="886"/>
      <c r="AZ98" s="877"/>
      <c r="BA98" s="879"/>
      <c r="BB98" s="877"/>
      <c r="BC98" s="877"/>
      <c r="BD98" s="877"/>
      <c r="BE98" s="877"/>
      <c r="BF98" s="886"/>
      <c r="BG98" s="877"/>
      <c r="BH98" s="879"/>
      <c r="BI98" s="877"/>
      <c r="BJ98" s="877"/>
      <c r="BK98" s="877"/>
      <c r="BL98" s="877"/>
      <c r="BM98" s="886"/>
      <c r="BN98" s="877"/>
      <c r="BO98" s="879"/>
      <c r="BP98" s="877"/>
      <c r="BQ98" s="877"/>
      <c r="BR98" s="877"/>
      <c r="BS98" s="877"/>
      <c r="BT98" s="886"/>
      <c r="BU98" s="877"/>
      <c r="BV98" s="879"/>
      <c r="BW98" s="886"/>
    </row>
    <row r="99" spans="1:253" s="406" customFormat="1" ht="17.25">
      <c r="A99" s="18"/>
      <c r="B99" s="55"/>
      <c r="C99" s="595"/>
      <c r="D99" s="50"/>
      <c r="E99" s="1294" t="s">
        <v>367</v>
      </c>
      <c r="F99" s="877">
        <f>SUM(K99:L99)</f>
        <v>0</v>
      </c>
      <c r="G99" s="877">
        <f>SUM(I99:Q99)</f>
        <v>2.3124962144614859E-5</v>
      </c>
      <c r="H99" s="878">
        <f>SUM(U99:W99)/(1-'Common input data'!$B$140)</f>
        <v>2.7598713622884424E-5</v>
      </c>
      <c r="I99" s="877">
        <f>('Input data plant-based products'!$F$45*('Common input data'!$B$93*'Common input data'!B87+'Common input data'!$B$94*'Common input data'!C87))/'Input data plant-based products'!$E$45</f>
        <v>1.6473467522685174E-5</v>
      </c>
      <c r="J99" s="877">
        <v>0</v>
      </c>
      <c r="K99" s="877">
        <v>0</v>
      </c>
      <c r="L99" s="877">
        <v>0</v>
      </c>
      <c r="M99" s="877"/>
      <c r="N99" s="877">
        <f>('Input data plant-based products'!$P$45*'Common input data'!$C$76*'Common input data'!H67)/'Input data plant-based products'!$E$45</f>
        <v>6.6514946219296844E-6</v>
      </c>
      <c r="O99" s="877">
        <v>0</v>
      </c>
      <c r="P99" s="877">
        <v>0</v>
      </c>
      <c r="Q99" s="877">
        <v>0</v>
      </c>
      <c r="R99" s="877">
        <v>0</v>
      </c>
      <c r="S99" s="877">
        <v>0</v>
      </c>
      <c r="T99" s="877">
        <v>0</v>
      </c>
      <c r="U99" s="877">
        <f>(G99+T99)</f>
        <v>2.3124962144614859E-5</v>
      </c>
      <c r="V99" s="877">
        <v>0</v>
      </c>
      <c r="W99" s="877">
        <v>0</v>
      </c>
      <c r="X99" s="858"/>
      <c r="Y99" s="879"/>
      <c r="Z99" s="877"/>
      <c r="AA99" s="877"/>
      <c r="AB99" s="877"/>
      <c r="AC99" s="877"/>
      <c r="AD99" s="886"/>
      <c r="AE99" s="877"/>
      <c r="AF99" s="879"/>
      <c r="AG99" s="877"/>
      <c r="AH99" s="877"/>
      <c r="AI99" s="877"/>
      <c r="AJ99" s="877"/>
      <c r="AK99" s="886"/>
      <c r="AL99" s="877"/>
      <c r="AM99" s="879"/>
      <c r="AN99" s="877"/>
      <c r="AO99" s="877"/>
      <c r="AP99" s="877"/>
      <c r="AQ99" s="877"/>
      <c r="AR99" s="886"/>
      <c r="AS99" s="877"/>
      <c r="AT99" s="879"/>
      <c r="AU99" s="877"/>
      <c r="AV99" s="877"/>
      <c r="AW99" s="877"/>
      <c r="AX99" s="877"/>
      <c r="AY99" s="886"/>
      <c r="AZ99" s="877"/>
      <c r="BA99" s="879"/>
      <c r="BB99" s="877"/>
      <c r="BC99" s="877"/>
      <c r="BD99" s="877"/>
      <c r="BE99" s="877"/>
      <c r="BF99" s="886"/>
      <c r="BG99" s="877"/>
      <c r="BH99" s="879"/>
      <c r="BI99" s="877"/>
      <c r="BJ99" s="877"/>
      <c r="BK99" s="877"/>
      <c r="BL99" s="877"/>
      <c r="BM99" s="886"/>
      <c r="BN99" s="877"/>
      <c r="BO99" s="879"/>
      <c r="BP99" s="877"/>
      <c r="BQ99" s="877"/>
      <c r="BR99" s="877"/>
      <c r="BS99" s="877"/>
      <c r="BT99" s="886"/>
      <c r="BU99" s="877"/>
      <c r="BV99" s="879"/>
      <c r="BW99" s="886"/>
    </row>
    <row r="100" spans="1:253" s="406" customFormat="1" ht="17.25">
      <c r="A100" s="359"/>
      <c r="B100" s="360"/>
      <c r="C100" s="83"/>
      <c r="D100" s="54"/>
      <c r="E100" s="1295" t="s">
        <v>320</v>
      </c>
      <c r="F100" s="877">
        <f>SUM(K100:L100)</f>
        <v>1.2477588376946542E-4</v>
      </c>
      <c r="G100" s="877">
        <f>SUM(I100:Q100)</f>
        <v>1.5271399584225985E-4</v>
      </c>
      <c r="H100" s="878">
        <f>SUM(U100:W100)/(1-'Common input data'!$B$140)</f>
        <v>1.8225802105532863E-4</v>
      </c>
      <c r="I100" s="877">
        <f>('Input data plant-based products'!$F$45*('Common input data'!$B$93*'Common input data'!B88+'Common input data'!$B$94*'Common input data'!C88))/'Input data plant-based products'!$E$45</f>
        <v>2.7534631578333033E-5</v>
      </c>
      <c r="J100" s="877">
        <v>0</v>
      </c>
      <c r="K100" s="877">
        <f>(SUM(('Input data plant-based products'!$F$45*'Input data plant-based products'!$B$258),(('Input data plant-based products'!$G$45+'Input data plant-based products'!$H$45)*'Input data plant-based products'!$B$259))*44/28)/'Input data plant-based products'!$E$45</f>
        <v>1.1343262160860493E-4</v>
      </c>
      <c r="L100" s="877">
        <f>K100*'Input data plant-based products'!$B$261</f>
        <v>1.1343262160860494E-5</v>
      </c>
      <c r="M100" s="877"/>
      <c r="N100" s="877">
        <f>('Input data plant-based products'!$P$45*'Common input data'!$C$76*'Common input data'!H68)/'Input data plant-based products'!$E$45</f>
        <v>4.0348049446139028E-7</v>
      </c>
      <c r="O100" s="877">
        <v>0</v>
      </c>
      <c r="P100" s="877">
        <v>0</v>
      </c>
      <c r="Q100" s="877">
        <v>0</v>
      </c>
      <c r="R100" s="877">
        <v>0</v>
      </c>
      <c r="S100" s="877">
        <v>0</v>
      </c>
      <c r="T100" s="877">
        <v>0</v>
      </c>
      <c r="U100" s="877">
        <f>(G100+T100)</f>
        <v>1.5271399584225985E-4</v>
      </c>
      <c r="V100" s="877">
        <v>0</v>
      </c>
      <c r="W100" s="877">
        <v>0</v>
      </c>
      <c r="X100" s="858"/>
      <c r="Y100" s="879"/>
      <c r="Z100" s="877"/>
      <c r="AA100" s="877"/>
      <c r="AB100" s="877"/>
      <c r="AC100" s="877"/>
      <c r="AD100" s="886"/>
      <c r="AE100" s="877"/>
      <c r="AF100" s="879"/>
      <c r="AG100" s="877"/>
      <c r="AH100" s="877"/>
      <c r="AI100" s="877"/>
      <c r="AJ100" s="877"/>
      <c r="AK100" s="886"/>
      <c r="AL100" s="877"/>
      <c r="AM100" s="879"/>
      <c r="AN100" s="877"/>
      <c r="AO100" s="877"/>
      <c r="AP100" s="877"/>
      <c r="AQ100" s="877"/>
      <c r="AR100" s="886"/>
      <c r="AS100" s="877"/>
      <c r="AT100" s="879"/>
      <c r="AU100" s="877"/>
      <c r="AV100" s="877"/>
      <c r="AW100" s="877"/>
      <c r="AX100" s="877"/>
      <c r="AY100" s="886"/>
      <c r="AZ100" s="877"/>
      <c r="BA100" s="879"/>
      <c r="BB100" s="877"/>
      <c r="BC100" s="877"/>
      <c r="BD100" s="877"/>
      <c r="BE100" s="877"/>
      <c r="BF100" s="886"/>
      <c r="BG100" s="877"/>
      <c r="BH100" s="879"/>
      <c r="BI100" s="877"/>
      <c r="BJ100" s="877"/>
      <c r="BK100" s="877"/>
      <c r="BL100" s="877"/>
      <c r="BM100" s="886"/>
      <c r="BN100" s="877"/>
      <c r="BO100" s="879"/>
      <c r="BP100" s="877"/>
      <c r="BQ100" s="877"/>
      <c r="BR100" s="877"/>
      <c r="BS100" s="877"/>
      <c r="BT100" s="886"/>
      <c r="BU100" s="877"/>
      <c r="BV100" s="879"/>
      <c r="BW100" s="886"/>
    </row>
    <row r="101" spans="1:253" s="502" customFormat="1" ht="17.25">
      <c r="A101" s="20" t="s">
        <v>130</v>
      </c>
      <c r="B101" s="93" t="s">
        <v>121</v>
      </c>
      <c r="C101" s="87">
        <f>'Input data plant-based products'!D46</f>
        <v>0.12</v>
      </c>
      <c r="D101" s="54"/>
      <c r="E101" s="1293" t="s">
        <v>316</v>
      </c>
      <c r="F101" s="872">
        <f>SUMPRODUCT($CE$14:$CE$16,F102:F104)</f>
        <v>5.027505762511926E-2</v>
      </c>
      <c r="G101" s="872">
        <f>SUMPRODUCT($CE$14:$CE$16,G102:G104)</f>
        <v>0.13766708757581014</v>
      </c>
      <c r="H101" s="873">
        <f>SUMPRODUCT($CE$14:$CE$16,H102:H104)</f>
        <v>0.49846889554339441</v>
      </c>
      <c r="I101" s="888"/>
      <c r="J101" s="888"/>
      <c r="K101" s="888"/>
      <c r="L101" s="888"/>
      <c r="M101" s="888"/>
      <c r="N101" s="888"/>
      <c r="O101" s="888"/>
      <c r="P101" s="888"/>
      <c r="Q101" s="888"/>
      <c r="R101" s="888"/>
      <c r="S101" s="888"/>
      <c r="T101" s="888"/>
      <c r="U101" s="888"/>
      <c r="V101" s="888"/>
      <c r="W101" s="888"/>
      <c r="X101" s="858"/>
      <c r="Y101" s="879">
        <f>1/'Input data plant-based products'!E46*10^4</f>
        <v>0.37537537537537535</v>
      </c>
      <c r="Z101" s="877">
        <f>$Y101*'Input data plant-based products'!Z46</f>
        <v>0.37537537537537535</v>
      </c>
      <c r="AA101" s="877">
        <f>$Y101*'Input data plant-based products'!AA46</f>
        <v>0.37537537537537535</v>
      </c>
      <c r="AB101" s="877">
        <f>$Y101*'Input data plant-based products'!AB46</f>
        <v>0.37537537537537535</v>
      </c>
      <c r="AC101" s="877">
        <f>$Y101*'Input data plant-based products'!AC46</f>
        <v>0.44799543546410708</v>
      </c>
      <c r="AD101" s="886">
        <f>$Y101*'Input data plant-based products'!AD46</f>
        <v>0.553080784523589</v>
      </c>
      <c r="AE101" s="877"/>
      <c r="AF101" s="879">
        <f>SUM('Input data plant-based products'!F46,'Input data plant-based products'!Q46)/'Input data plant-based products'!E46</f>
        <v>3.7162162162162164E-3</v>
      </c>
      <c r="AG101" s="877">
        <f>$AF101*'Input data plant-based products'!Z46</f>
        <v>3.7162162162162164E-3</v>
      </c>
      <c r="AH101" s="877">
        <f>$AF101*'Input data plant-based products'!AA46</f>
        <v>3.7162162162162164E-3</v>
      </c>
      <c r="AI101" s="877">
        <f>$AF101*'Input data plant-based products'!AB46</f>
        <v>3.7162162162162164E-3</v>
      </c>
      <c r="AJ101" s="877">
        <f>$AF101*'Input data plant-based products'!AC46</f>
        <v>4.4351548110946612E-3</v>
      </c>
      <c r="AK101" s="886">
        <f>$AF101*'Input data plant-based products'!AD46</f>
        <v>5.4754997667835316E-3</v>
      </c>
      <c r="AL101" s="877"/>
      <c r="AM101" s="879">
        <f>'Input data plant-based products'!R46/'Input data plant-based products'!E46</f>
        <v>1.1428571428571429E-3</v>
      </c>
      <c r="AN101" s="877">
        <f>$AM101*'Input data plant-based products'!Z46</f>
        <v>1.1428571428571429E-3</v>
      </c>
      <c r="AO101" s="877">
        <f>$AM101*'Input data plant-based products'!AA46</f>
        <v>1.1428571428571429E-3</v>
      </c>
      <c r="AP101" s="877">
        <f>$AM101*'Input data plant-based products'!AB46</f>
        <v>1.1428571428571429E-3</v>
      </c>
      <c r="AQ101" s="877">
        <f>$AM101*'Input data plant-based products'!AC46</f>
        <v>1.3639541029444361E-3</v>
      </c>
      <c r="AR101" s="886">
        <f>$AM101*'Input data plant-based products'!AD46</f>
        <v>1.6838939542523899E-3</v>
      </c>
      <c r="AS101" s="877"/>
      <c r="AT101" s="879">
        <f>'Input data plant-based products'!S46</f>
        <v>7.2999999999999995E-2</v>
      </c>
      <c r="AU101" s="877">
        <f>$AT101*'Input data plant-based products'!Z46</f>
        <v>7.2999999999999995E-2</v>
      </c>
      <c r="AV101" s="877">
        <f>$AT101*'Input data plant-based products'!AA46</f>
        <v>7.2999999999999995E-2</v>
      </c>
      <c r="AW101" s="877">
        <f>$AT101*'Input data plant-based products'!AB46</f>
        <v>7.2999999999999995E-2</v>
      </c>
      <c r="AX101" s="877">
        <f>$AT101*'Input data plant-based products'!AC46</f>
        <v>8.7122568325575842E-2</v>
      </c>
      <c r="AY101" s="886">
        <f>$AT101*'Input data plant-based products'!AD46</f>
        <v>0.10755872632787139</v>
      </c>
      <c r="AZ101" s="877"/>
      <c r="BA101" s="879">
        <f>((SUM('Input data plant-based products'!U46:Y46)*Y101)/('Common input data'!$B$192/10^6))/$BB$3</f>
        <v>6.3596688561152895E-10</v>
      </c>
      <c r="BB101" s="877">
        <f>$BA101*'Input data plant-based products'!Z46</f>
        <v>6.3596688561152895E-10</v>
      </c>
      <c r="BC101" s="877">
        <f>$BA101*'Input data plant-based products'!AA46</f>
        <v>6.3596688561152895E-10</v>
      </c>
      <c r="BD101" s="877">
        <f>$BA101*'Input data plant-based products'!AB46</f>
        <v>6.3596688561152895E-10</v>
      </c>
      <c r="BE101" s="877">
        <f>$BA101*'Input data plant-based products'!AC46</f>
        <v>7.590009375958097E-10</v>
      </c>
      <c r="BF101" s="886">
        <f>$BA101*'Input data plant-based products'!AD46</f>
        <v>9.3703819456272795E-10</v>
      </c>
      <c r="BG101" s="877"/>
      <c r="BH101" s="879">
        <f>'Input data plant-based products'!T46/'Input data plant-based products'!E46</f>
        <v>5.9759759759759766E-4</v>
      </c>
      <c r="BI101" s="877">
        <f>$BH101*'Input data plant-based products'!Z46</f>
        <v>5.9759759759759766E-4</v>
      </c>
      <c r="BJ101" s="877">
        <f>$BH101*'Input data plant-based products'!AA46</f>
        <v>5.9759759759759766E-4</v>
      </c>
      <c r="BK101" s="877">
        <f>$BH101*'Input data plant-based products'!AB46</f>
        <v>5.9759759759759766E-4</v>
      </c>
      <c r="BL101" s="877">
        <f>$BH101*'Input data plant-based products'!AC46</f>
        <v>7.1320873325885859E-4</v>
      </c>
      <c r="BM101" s="886">
        <f>$BH101*'Input data plant-based products'!AD46</f>
        <v>8.8050460896155376E-4</v>
      </c>
      <c r="BN101" s="877"/>
      <c r="BO101" s="879">
        <f>('Input data plant-based products'!F46/'Input data plant-based products'!E46*'Common input data'!$B$195+'Input data plant-based products'!G46/'Input data plant-based products'!E46*'Common input data'!$B$196)/'Common input data'!$B$198</f>
        <v>9.4888873131002073E-5</v>
      </c>
      <c r="BP101" s="877">
        <f>$BO101*'Input data plant-based products'!Z46</f>
        <v>9.4888873131002073E-5</v>
      </c>
      <c r="BQ101" s="877">
        <f>$BO101*'Input data plant-based products'!AA46</f>
        <v>9.4888873131002073E-5</v>
      </c>
      <c r="BR101" s="877">
        <f>$BO101*'Input data plant-based products'!AB46</f>
        <v>9.4888873131002073E-5</v>
      </c>
      <c r="BS101" s="877">
        <f>$BO101*'Input data plant-based products'!AC46</f>
        <v>1.1324605935195378E-4</v>
      </c>
      <c r="BT101" s="886">
        <f>$BO101*'Input data plant-based products'!AD46</f>
        <v>1.3980994981722687E-4</v>
      </c>
      <c r="BU101" s="877"/>
      <c r="BV101" s="879">
        <f>('Common input data'!$C$202+'Common input data'!$B$210)*'Input data plant-based products'!AC46</f>
        <v>1.4837092731829575</v>
      </c>
      <c r="BW101" s="886">
        <f>('Common input data'!$C$202+'Common input data'!$B$210)*'Input data plant-based products'!AD46</f>
        <v>1.8317398434357497</v>
      </c>
      <c r="BX101" s="406"/>
      <c r="BY101" s="406"/>
      <c r="BZ101" s="406"/>
      <c r="CA101" s="406"/>
      <c r="CB101" s="406"/>
      <c r="CC101" s="406"/>
      <c r="CD101" s="406"/>
      <c r="CE101" s="406"/>
      <c r="CF101" s="406"/>
      <c r="CG101" s="406"/>
      <c r="CH101" s="406"/>
      <c r="CI101" s="406"/>
      <c r="CJ101" s="406"/>
      <c r="CK101" s="406"/>
      <c r="CL101" s="406"/>
      <c r="CM101" s="406"/>
      <c r="CN101" s="406"/>
      <c r="CO101" s="406"/>
      <c r="CP101" s="406"/>
      <c r="CQ101" s="406"/>
      <c r="CR101" s="406"/>
      <c r="CS101" s="406"/>
      <c r="CT101" s="406"/>
      <c r="CU101" s="406"/>
      <c r="CV101" s="406"/>
      <c r="CW101" s="406"/>
      <c r="CX101" s="406"/>
      <c r="CY101" s="406"/>
      <c r="CZ101" s="406"/>
      <c r="DA101" s="406"/>
      <c r="DB101" s="406"/>
      <c r="DC101" s="406"/>
      <c r="DD101" s="406"/>
      <c r="DE101" s="406"/>
      <c r="DF101" s="406"/>
      <c r="DG101" s="406"/>
      <c r="DH101" s="406"/>
      <c r="DI101" s="406"/>
      <c r="DJ101" s="406"/>
      <c r="DK101" s="406"/>
      <c r="DL101" s="406"/>
      <c r="DM101" s="406"/>
      <c r="DN101" s="406"/>
      <c r="DO101" s="406"/>
      <c r="DP101" s="406"/>
      <c r="DQ101" s="406"/>
      <c r="DR101" s="406"/>
      <c r="DS101" s="406"/>
      <c r="DT101" s="406"/>
      <c r="DU101" s="406"/>
      <c r="DV101" s="406"/>
      <c r="DW101" s="406"/>
      <c r="DX101" s="406"/>
      <c r="DY101" s="406"/>
      <c r="DZ101" s="406"/>
      <c r="EA101" s="406"/>
      <c r="EB101" s="406"/>
      <c r="EC101" s="406"/>
      <c r="ED101" s="406"/>
      <c r="EE101" s="406"/>
      <c r="EF101" s="406"/>
      <c r="EG101" s="406"/>
      <c r="EH101" s="406"/>
      <c r="EI101" s="406"/>
      <c r="EJ101" s="406"/>
      <c r="EK101" s="406"/>
      <c r="EL101" s="406"/>
      <c r="EM101" s="406"/>
      <c r="EN101" s="406"/>
      <c r="EO101" s="406"/>
      <c r="EP101" s="406"/>
      <c r="EQ101" s="406"/>
      <c r="ER101" s="406"/>
      <c r="ES101" s="406"/>
      <c r="ET101" s="406"/>
      <c r="EU101" s="406"/>
      <c r="EV101" s="406"/>
      <c r="EW101" s="406"/>
      <c r="EX101" s="406"/>
      <c r="EY101" s="406"/>
      <c r="EZ101" s="406"/>
      <c r="FA101" s="406"/>
      <c r="FB101" s="406"/>
      <c r="FC101" s="406"/>
      <c r="FD101" s="406"/>
      <c r="FE101" s="406"/>
      <c r="FF101" s="406"/>
      <c r="FG101" s="406"/>
      <c r="FH101" s="406"/>
      <c r="FI101" s="406"/>
      <c r="FJ101" s="406"/>
      <c r="FK101" s="406"/>
      <c r="FL101" s="406"/>
      <c r="FM101" s="406"/>
      <c r="FN101" s="406"/>
      <c r="FO101" s="406"/>
      <c r="FP101" s="406"/>
      <c r="FQ101" s="406"/>
      <c r="FR101" s="406"/>
      <c r="FS101" s="406"/>
      <c r="FT101" s="406"/>
      <c r="FU101" s="406"/>
      <c r="FV101" s="406"/>
      <c r="FW101" s="406"/>
      <c r="FX101" s="406"/>
      <c r="FY101" s="406"/>
      <c r="FZ101" s="406"/>
      <c r="GA101" s="406"/>
      <c r="GB101" s="406"/>
      <c r="GC101" s="406"/>
      <c r="GD101" s="406"/>
      <c r="GE101" s="406"/>
      <c r="GF101" s="406"/>
      <c r="GG101" s="406"/>
      <c r="GH101" s="406"/>
      <c r="GI101" s="406"/>
      <c r="GJ101" s="406"/>
      <c r="GK101" s="406"/>
      <c r="GL101" s="406"/>
      <c r="GM101" s="406"/>
      <c r="GN101" s="406"/>
      <c r="GO101" s="406"/>
      <c r="GP101" s="406"/>
      <c r="GQ101" s="406"/>
      <c r="GR101" s="406"/>
      <c r="GS101" s="406"/>
      <c r="GT101" s="406"/>
      <c r="GU101" s="406"/>
      <c r="GV101" s="406"/>
      <c r="GW101" s="406"/>
      <c r="GX101" s="406"/>
      <c r="GY101" s="406"/>
      <c r="GZ101" s="406"/>
      <c r="HA101" s="406"/>
      <c r="HB101" s="406"/>
      <c r="HC101" s="406"/>
      <c r="HD101" s="406"/>
      <c r="HE101" s="406"/>
      <c r="HF101" s="406"/>
      <c r="HG101" s="406"/>
      <c r="HH101" s="406"/>
      <c r="HI101" s="406"/>
      <c r="HJ101" s="406"/>
      <c r="HK101" s="406"/>
      <c r="HL101" s="406"/>
      <c r="HM101" s="406"/>
      <c r="HN101" s="406"/>
      <c r="HO101" s="406"/>
      <c r="HP101" s="406"/>
      <c r="HQ101" s="406"/>
      <c r="HR101" s="406"/>
      <c r="HS101" s="406"/>
      <c r="HT101" s="406"/>
      <c r="HU101" s="406"/>
      <c r="HV101" s="406"/>
      <c r="HW101" s="406"/>
      <c r="HX101" s="406"/>
      <c r="HY101" s="406"/>
      <c r="HZ101" s="406"/>
      <c r="IA101" s="406"/>
      <c r="IB101" s="406"/>
      <c r="IC101" s="406"/>
      <c r="ID101" s="406"/>
      <c r="IE101" s="406"/>
      <c r="IF101" s="406"/>
      <c r="IG101" s="406"/>
      <c r="IH101" s="406"/>
      <c r="II101" s="406"/>
      <c r="IJ101" s="406"/>
      <c r="IK101" s="406"/>
      <c r="IL101" s="406"/>
      <c r="IM101" s="406"/>
      <c r="IN101" s="406"/>
      <c r="IO101" s="406"/>
      <c r="IP101" s="406"/>
      <c r="IQ101" s="406"/>
      <c r="IR101" s="406"/>
      <c r="IS101" s="406"/>
    </row>
    <row r="102" spans="1:253" s="406" customFormat="1" ht="17.25">
      <c r="A102" s="68"/>
      <c r="B102" s="55"/>
      <c r="C102" s="917"/>
      <c r="D102" s="5"/>
      <c r="E102" s="1294" t="s">
        <v>317</v>
      </c>
      <c r="F102" s="877">
        <f>IF(AND($G$2="No",$G$3="No"),SUM(K102:L102),IF(AND($G$2="Yes", $G$3="No"), SUM(K102:L102)+S102, IF(AND($G$2="No", $G$3="Yes"),SUM(K102:L102)+R102, SUM(K102:L102)+S102+R102)))</f>
        <v>3.9989486962957101E-2</v>
      </c>
      <c r="G102" s="877">
        <f>IF(AND($G$2="No",$G$3="No"),SUM(I102:Q102),IF(AND($G$2="Yes", $G$3="No"), SUM(I102:Q102)+S102, IF(AND($G$2="No", $G$3="Yes"),SUM(I102:Q102)+R102, SUM(I102:Q102)+S102+R102)))</f>
        <v>0.11802500799018134</v>
      </c>
      <c r="H102" s="878">
        <f>SUM(U102:W102)/(1-'Common input data'!$B$140)</f>
        <v>0.4750268623823623</v>
      </c>
      <c r="I102" s="877">
        <f>('Input data plant-based products'!$F$46*('Common input data'!$C$93*'Common input data'!B86+'Common input data'!$C$94*'Common input data'!C86))/'Input data plant-based products'!$E$46</f>
        <v>1.3991460967164179E-2</v>
      </c>
      <c r="J102" s="877">
        <f>'Common input data'!$B$98</f>
        <v>0.03</v>
      </c>
      <c r="K102" s="877">
        <v>0</v>
      </c>
      <c r="L102" s="877">
        <v>0</v>
      </c>
      <c r="M102" s="877"/>
      <c r="N102" s="877">
        <f>('Input data plant-based products'!$P$46*'Common input data'!$C$76*'Common input data'!H66)/'Input data plant-based products'!$E$46</f>
        <v>1.404406006006006E-2</v>
      </c>
      <c r="O102" s="877">
        <v>0</v>
      </c>
      <c r="P102" s="877">
        <f>'Input data plant-based products'!$G$309</f>
        <v>0.02</v>
      </c>
      <c r="Q102" s="877">
        <v>0</v>
      </c>
      <c r="R102" s="877">
        <f>'Common input data'!$E$19</f>
        <v>3.9989486962957101E-2</v>
      </c>
      <c r="S102" s="877">
        <v>0</v>
      </c>
      <c r="T102" s="877">
        <v>0</v>
      </c>
      <c r="U102" s="877">
        <f>(G102+T102)</f>
        <v>0.11802500799018134</v>
      </c>
      <c r="V102" s="877">
        <f>'Common input data'!$B$105</f>
        <v>0.05</v>
      </c>
      <c r="W102" s="877">
        <f>'Common input data'!B117+'Common input data'!C117</f>
        <v>0.23</v>
      </c>
      <c r="X102" s="858"/>
      <c r="Y102" s="879"/>
      <c r="Z102" s="877"/>
      <c r="AA102" s="877"/>
      <c r="AB102" s="877"/>
      <c r="AC102" s="877"/>
      <c r="AD102" s="886"/>
      <c r="AE102" s="877"/>
      <c r="AF102" s="879"/>
      <c r="AG102" s="877"/>
      <c r="AH102" s="877"/>
      <c r="AI102" s="877"/>
      <c r="AJ102" s="877"/>
      <c r="AK102" s="886"/>
      <c r="AL102" s="877"/>
      <c r="AM102" s="879"/>
      <c r="AN102" s="877"/>
      <c r="AO102" s="877"/>
      <c r="AP102" s="877"/>
      <c r="AQ102" s="877"/>
      <c r="AR102" s="886"/>
      <c r="AS102" s="877"/>
      <c r="AT102" s="879"/>
      <c r="AU102" s="877"/>
      <c r="AV102" s="877"/>
      <c r="AW102" s="877"/>
      <c r="AX102" s="877"/>
      <c r="AY102" s="886"/>
      <c r="AZ102" s="877"/>
      <c r="BA102" s="879"/>
      <c r="BB102" s="877"/>
      <c r="BC102" s="877"/>
      <c r="BD102" s="877"/>
      <c r="BE102" s="877"/>
      <c r="BF102" s="886"/>
      <c r="BG102" s="877"/>
      <c r="BH102" s="879"/>
      <c r="BI102" s="877"/>
      <c r="BJ102" s="877"/>
      <c r="BK102" s="877"/>
      <c r="BL102" s="877"/>
      <c r="BM102" s="886"/>
      <c r="BN102" s="877"/>
      <c r="BO102" s="879"/>
      <c r="BP102" s="877"/>
      <c r="BQ102" s="877"/>
      <c r="BR102" s="877"/>
      <c r="BS102" s="877"/>
      <c r="BT102" s="886"/>
      <c r="BU102" s="877"/>
      <c r="BV102" s="879"/>
      <c r="BW102" s="886"/>
    </row>
    <row r="103" spans="1:253" s="406" customFormat="1" ht="17.25">
      <c r="A103" s="18"/>
      <c r="B103" s="55"/>
      <c r="C103" s="595"/>
      <c r="D103" s="50"/>
      <c r="E103" s="1294" t="s">
        <v>367</v>
      </c>
      <c r="F103" s="877">
        <f>SUM(K103:L103)</f>
        <v>0</v>
      </c>
      <c r="G103" s="877">
        <f>SUM(I103:Q103)</f>
        <v>3.1887685664548876E-5</v>
      </c>
      <c r="H103" s="878">
        <f>SUM(U103:W103)/(1-'Common input data'!$B$140)</f>
        <v>3.8056672233618424E-5</v>
      </c>
      <c r="I103" s="877">
        <f>('Input data plant-based products'!$F$46*('Common input data'!$C$93*'Common input data'!B87+'Common input data'!$C$94*'Common input data'!C87))/'Input data plant-based products'!$E$46</f>
        <v>2.566664061950383E-5</v>
      </c>
      <c r="J103" s="877">
        <v>0</v>
      </c>
      <c r="K103" s="877">
        <v>0</v>
      </c>
      <c r="L103" s="877">
        <v>0</v>
      </c>
      <c r="M103" s="877"/>
      <c r="N103" s="877">
        <f>('Input data plant-based products'!$P$46*'Common input data'!$C$76*'Common input data'!H67)/'Input data plant-based products'!$E$46</f>
        <v>6.2210450450450453E-6</v>
      </c>
      <c r="O103" s="877">
        <v>0</v>
      </c>
      <c r="P103" s="877">
        <v>0</v>
      </c>
      <c r="Q103" s="877">
        <v>0</v>
      </c>
      <c r="R103" s="877">
        <v>0</v>
      </c>
      <c r="S103" s="877">
        <v>0</v>
      </c>
      <c r="T103" s="877">
        <v>0</v>
      </c>
      <c r="U103" s="877">
        <f>(G103+T103)</f>
        <v>3.1887685664548876E-5</v>
      </c>
      <c r="V103" s="877">
        <v>0</v>
      </c>
      <c r="W103" s="877">
        <v>0</v>
      </c>
      <c r="X103" s="858"/>
      <c r="Y103" s="879"/>
      <c r="Z103" s="877"/>
      <c r="AA103" s="877"/>
      <c r="AB103" s="877"/>
      <c r="AC103" s="877"/>
      <c r="AD103" s="886"/>
      <c r="AE103" s="877"/>
      <c r="AF103" s="879"/>
      <c r="AG103" s="877"/>
      <c r="AH103" s="877"/>
      <c r="AI103" s="877"/>
      <c r="AJ103" s="877"/>
      <c r="AK103" s="886"/>
      <c r="AL103" s="877"/>
      <c r="AM103" s="879"/>
      <c r="AN103" s="877"/>
      <c r="AO103" s="877"/>
      <c r="AP103" s="877"/>
      <c r="AQ103" s="877"/>
      <c r="AR103" s="886"/>
      <c r="AS103" s="877"/>
      <c r="AT103" s="879"/>
      <c r="AU103" s="877"/>
      <c r="AV103" s="877"/>
      <c r="AW103" s="877"/>
      <c r="AX103" s="877"/>
      <c r="AY103" s="886"/>
      <c r="AZ103" s="877"/>
      <c r="BA103" s="879"/>
      <c r="BB103" s="877"/>
      <c r="BC103" s="877"/>
      <c r="BD103" s="877"/>
      <c r="BE103" s="877"/>
      <c r="BF103" s="886"/>
      <c r="BG103" s="877"/>
      <c r="BH103" s="879"/>
      <c r="BI103" s="877"/>
      <c r="BJ103" s="877"/>
      <c r="BK103" s="877"/>
      <c r="BL103" s="877"/>
      <c r="BM103" s="886"/>
      <c r="BN103" s="877"/>
      <c r="BO103" s="879"/>
      <c r="BP103" s="877"/>
      <c r="BQ103" s="877"/>
      <c r="BR103" s="877"/>
      <c r="BS103" s="877"/>
      <c r="BT103" s="886"/>
      <c r="BU103" s="877"/>
      <c r="BV103" s="879"/>
      <c r="BW103" s="886"/>
    </row>
    <row r="104" spans="1:253" s="406" customFormat="1" ht="17.25">
      <c r="A104" s="359"/>
      <c r="B104" s="360"/>
      <c r="C104" s="83"/>
      <c r="D104" s="54"/>
      <c r="E104" s="1295" t="s">
        <v>320</v>
      </c>
      <c r="F104" s="877">
        <f>SUM(K104:L104)</f>
        <v>3.767608301158301E-5</v>
      </c>
      <c r="G104" s="877">
        <f>SUM(I104:Q104)</f>
        <v>6.8795282317531055E-5</v>
      </c>
      <c r="H104" s="878">
        <f>SUM(U104:W104)/(1-'Common input data'!$B$140)</f>
        <v>8.2104406632690124E-5</v>
      </c>
      <c r="I104" s="877">
        <f>('Input data plant-based products'!$F$46*('Common input data'!$C$93*'Common input data'!B88+'Common input data'!$C$94*'Common input data'!C88))/'Input data plant-based products'!$E$46</f>
        <v>3.0741829936578672E-5</v>
      </c>
      <c r="J104" s="877">
        <v>0</v>
      </c>
      <c r="K104" s="877">
        <f>(SUM('Input data plant-based products'!F46:H46)*'Input data plant-based products'!$B$260*44/28)/'Input data plant-based products'!E46</f>
        <v>3.4250984555984557E-5</v>
      </c>
      <c r="L104" s="877">
        <f>K104*'Input data plant-based products'!$B$261</f>
        <v>3.4250984555984559E-6</v>
      </c>
      <c r="M104" s="877"/>
      <c r="N104" s="877">
        <f>('Input data plant-based products'!$P$46*'Common input data'!$C$76*'Common input data'!H68)/'Input data plant-based products'!$E$46</f>
        <v>3.773693693693694E-7</v>
      </c>
      <c r="O104" s="877">
        <v>0</v>
      </c>
      <c r="P104" s="877">
        <v>0</v>
      </c>
      <c r="Q104" s="877">
        <v>0</v>
      </c>
      <c r="R104" s="877">
        <v>0</v>
      </c>
      <c r="S104" s="877">
        <v>0</v>
      </c>
      <c r="T104" s="877">
        <v>0</v>
      </c>
      <c r="U104" s="877">
        <f>(G104+T104)</f>
        <v>6.8795282317531055E-5</v>
      </c>
      <c r="V104" s="877">
        <v>0</v>
      </c>
      <c r="W104" s="877">
        <v>0</v>
      </c>
      <c r="X104" s="858"/>
      <c r="Y104" s="879"/>
      <c r="Z104" s="877"/>
      <c r="AA104" s="877"/>
      <c r="AB104" s="877"/>
      <c r="AC104" s="877"/>
      <c r="AD104" s="886"/>
      <c r="AE104" s="877"/>
      <c r="AF104" s="879"/>
      <c r="AG104" s="877"/>
      <c r="AH104" s="877"/>
      <c r="AI104" s="877"/>
      <c r="AJ104" s="877"/>
      <c r="AK104" s="886"/>
      <c r="AL104" s="877"/>
      <c r="AM104" s="879"/>
      <c r="AN104" s="877"/>
      <c r="AO104" s="877"/>
      <c r="AP104" s="877"/>
      <c r="AQ104" s="877"/>
      <c r="AR104" s="886"/>
      <c r="AS104" s="877"/>
      <c r="AT104" s="879"/>
      <c r="AU104" s="877"/>
      <c r="AV104" s="877"/>
      <c r="AW104" s="877"/>
      <c r="AX104" s="877"/>
      <c r="AY104" s="886"/>
      <c r="AZ104" s="877"/>
      <c r="BA104" s="879"/>
      <c r="BB104" s="877"/>
      <c r="BC104" s="877"/>
      <c r="BD104" s="877"/>
      <c r="BE104" s="877"/>
      <c r="BF104" s="886"/>
      <c r="BG104" s="877"/>
      <c r="BH104" s="879"/>
      <c r="BI104" s="877"/>
      <c r="BJ104" s="877"/>
      <c r="BK104" s="877"/>
      <c r="BL104" s="877"/>
      <c r="BM104" s="886"/>
      <c r="BN104" s="877"/>
      <c r="BO104" s="879"/>
      <c r="BP104" s="877"/>
      <c r="BQ104" s="877"/>
      <c r="BR104" s="877"/>
      <c r="BS104" s="877"/>
      <c r="BT104" s="886"/>
      <c r="BU104" s="877"/>
      <c r="BV104" s="879"/>
      <c r="BW104" s="886"/>
    </row>
    <row r="105" spans="1:253" s="502" customFormat="1" ht="17.25">
      <c r="A105" s="20" t="s">
        <v>125</v>
      </c>
      <c r="B105" s="93" t="s">
        <v>121</v>
      </c>
      <c r="C105" s="87">
        <f>'Input data plant-based products'!D47</f>
        <v>0.06</v>
      </c>
      <c r="D105" s="54"/>
      <c r="E105" s="1293" t="s">
        <v>316</v>
      </c>
      <c r="F105" s="872">
        <f>SUMPRODUCT($CE$14:$CE$16,F106:F108)</f>
        <v>6.0335668875979284E-2</v>
      </c>
      <c r="G105" s="872">
        <f>SUMPRODUCT($CE$14:$CE$16,G106:G108)</f>
        <v>0.14855819333686238</v>
      </c>
      <c r="H105" s="873">
        <f>SUMPRODUCT($CE$14:$CE$16,H106:H108)</f>
        <v>0.51146699288323483</v>
      </c>
      <c r="I105" s="888"/>
      <c r="J105" s="888"/>
      <c r="K105" s="888"/>
      <c r="L105" s="888"/>
      <c r="M105" s="888"/>
      <c r="N105" s="888"/>
      <c r="O105" s="888"/>
      <c r="P105" s="888"/>
      <c r="Q105" s="888"/>
      <c r="R105" s="888"/>
      <c r="S105" s="888"/>
      <c r="T105" s="888"/>
      <c r="U105" s="888"/>
      <c r="V105" s="888"/>
      <c r="W105" s="888"/>
      <c r="X105" s="858"/>
      <c r="Y105" s="879">
        <f>1/'Input data plant-based products'!E47*10^4</f>
        <v>0.42583996933952223</v>
      </c>
      <c r="Z105" s="877">
        <f>$Y105*'Input data plant-based products'!Z47</f>
        <v>0.42583996933952223</v>
      </c>
      <c r="AA105" s="877">
        <f>$Y105*'Input data plant-based products'!AA47</f>
        <v>0.42583996933952223</v>
      </c>
      <c r="AB105" s="877">
        <f>$Y105*'Input data plant-based products'!AB47</f>
        <v>0.42583996933952223</v>
      </c>
      <c r="AC105" s="877">
        <f>$Y105*'Input data plant-based products'!AC47</f>
        <v>0.50822290170607731</v>
      </c>
      <c r="AD105" s="886">
        <f>$Y105*'Input data plant-based products'!AD47</f>
        <v>0.62743568111861392</v>
      </c>
      <c r="AE105" s="877"/>
      <c r="AF105" s="879">
        <f>SUM('Input data plant-based products'!F47,'Input data plant-based products'!Q47)/'Input data plant-based products'!E47</f>
        <v>3.5400452242047437E-3</v>
      </c>
      <c r="AG105" s="877">
        <f>$AF105*'Input data plant-based products'!Z47</f>
        <v>3.5400452242047437E-3</v>
      </c>
      <c r="AH105" s="877">
        <f>$AF105*'Input data plant-based products'!AA47</f>
        <v>3.5400452242047437E-3</v>
      </c>
      <c r="AI105" s="877">
        <f>$AF105*'Input data plant-based products'!AB47</f>
        <v>3.5400452242047437E-3</v>
      </c>
      <c r="AJ105" s="877">
        <f>$AF105*'Input data plant-based products'!AC47</f>
        <v>4.2249018071425512E-3</v>
      </c>
      <c r="AK105" s="886">
        <f>$AF105*'Input data plant-based products'!AD47</f>
        <v>5.2159281569661119E-3</v>
      </c>
      <c r="AL105" s="877"/>
      <c r="AM105" s="879">
        <f>'Input data plant-based products'!R47/'Input data plant-based products'!E47</f>
        <v>4.4399999999999995E-4</v>
      </c>
      <c r="AN105" s="877">
        <f>$AM105*'Input data plant-based products'!Z47</f>
        <v>4.4399999999999995E-4</v>
      </c>
      <c r="AO105" s="877">
        <f>$AM105*'Input data plant-based products'!AA47</f>
        <v>4.4399999999999995E-4</v>
      </c>
      <c r="AP105" s="877">
        <f>$AM105*'Input data plant-based products'!AB47</f>
        <v>4.4399999999999995E-4</v>
      </c>
      <c r="AQ105" s="877">
        <f>$AM105*'Input data plant-based products'!AC47</f>
        <v>5.2989616899391323E-4</v>
      </c>
      <c r="AR105" s="886">
        <f>$AM105*'Input data plant-based products'!AD47</f>
        <v>6.541928012270534E-4</v>
      </c>
      <c r="AS105" s="877"/>
      <c r="AT105" s="879">
        <f>'Input data plant-based products'!S47</f>
        <v>3.7258375452784327E-2</v>
      </c>
      <c r="AU105" s="877">
        <f>$AT105*'Input data plant-based products'!Z47</f>
        <v>3.7258375452784327E-2</v>
      </c>
      <c r="AV105" s="877">
        <f>$AT105*'Input data plant-based products'!AA47</f>
        <v>3.7258375452784327E-2</v>
      </c>
      <c r="AW105" s="877">
        <f>$AT105*'Input data plant-based products'!AB47</f>
        <v>3.7258375452784327E-2</v>
      </c>
      <c r="AX105" s="877">
        <f>$AT105*'Input data plant-based products'!AC47</f>
        <v>4.4466374809385756E-2</v>
      </c>
      <c r="AY105" s="886">
        <f>$AT105*'Input data plant-based products'!AD47</f>
        <v>5.4896759023933026E-2</v>
      </c>
      <c r="AZ105" s="877"/>
      <c r="BA105" s="879">
        <f>((SUM('Input data plant-based products'!U47:Y47)*Y105)/('Common input data'!$B$192/10^6))/$BB$3</f>
        <v>3.622385722304608E-10</v>
      </c>
      <c r="BB105" s="877">
        <f>$BA105*'Input data plant-based products'!Z47</f>
        <v>3.622385722304608E-10</v>
      </c>
      <c r="BC105" s="877">
        <f>$BA105*'Input data plant-based products'!AA47</f>
        <v>3.622385722304608E-10</v>
      </c>
      <c r="BD105" s="877">
        <f>$BA105*'Input data plant-based products'!AB47</f>
        <v>3.622385722304608E-10</v>
      </c>
      <c r="BE105" s="877">
        <f>$BA105*'Input data plant-based products'!AC47</f>
        <v>4.323171884836625E-10</v>
      </c>
      <c r="BF105" s="886">
        <f>$BA105*'Input data plant-based products'!AD47</f>
        <v>5.3372492405390423E-10</v>
      </c>
      <c r="BG105" s="877"/>
      <c r="BH105" s="879">
        <f>'Input data plant-based products'!T47/'Input data plant-based products'!E47</f>
        <v>2.1556019247966616E-3</v>
      </c>
      <c r="BI105" s="877">
        <f>$BH105*'Input data plant-based products'!Z47</f>
        <v>2.1556019247966616E-3</v>
      </c>
      <c r="BJ105" s="877">
        <f>$BH105*'Input data plant-based products'!AA47</f>
        <v>2.1556019247966616E-3</v>
      </c>
      <c r="BK105" s="877">
        <f>$BH105*'Input data plant-based products'!AB47</f>
        <v>2.1556019247966616E-3</v>
      </c>
      <c r="BL105" s="877">
        <f>$BH105*'Input data plant-based products'!AC47</f>
        <v>2.5726243284361636E-3</v>
      </c>
      <c r="BM105" s="886">
        <f>$BH105*'Input data plant-based products'!AD47</f>
        <v>3.1760794178224238E-3</v>
      </c>
      <c r="BN105" s="877"/>
      <c r="BO105" s="879">
        <f>('Input data plant-based products'!F47/'Input data plant-based products'!E47*'Common input data'!$B$195+'Input data plant-based products'!G47/'Input data plant-based products'!E47*'Common input data'!$B$196)/'Common input data'!$B$198</f>
        <v>9.0390570035128916E-5</v>
      </c>
      <c r="BP105" s="877">
        <f>$BO105*'Input data plant-based products'!Z47</f>
        <v>9.0390570035128916E-5</v>
      </c>
      <c r="BQ105" s="877">
        <f>$BO105*'Input data plant-based products'!AA47</f>
        <v>9.0390570035128916E-5</v>
      </c>
      <c r="BR105" s="877">
        <f>$BO105*'Input data plant-based products'!AB47</f>
        <v>9.0390570035128916E-5</v>
      </c>
      <c r="BS105" s="877">
        <f>$BO105*'Input data plant-based products'!AC47</f>
        <v>1.0787751525853791E-4</v>
      </c>
      <c r="BT105" s="886">
        <f>$BO105*'Input data plant-based products'!AD47</f>
        <v>1.331821176031332E-4</v>
      </c>
      <c r="BU105" s="877"/>
      <c r="BV105" s="879">
        <f>('Common input data'!$C$202+'Common input data'!$B$214)*'Input data plant-based products'!AC47</f>
        <v>1.1339857580459085</v>
      </c>
      <c r="BW105" s="886">
        <f>('Common input data'!$C$202+'Common input data'!$B$214)*'Input data plant-based products'!AD47</f>
        <v>1.3999824173406277</v>
      </c>
      <c r="BX105" s="406"/>
      <c r="BY105" s="406"/>
      <c r="BZ105" s="406"/>
      <c r="CA105" s="406"/>
      <c r="CB105" s="406"/>
      <c r="CC105" s="406"/>
      <c r="CD105" s="406"/>
      <c r="CE105" s="406"/>
      <c r="CF105" s="406"/>
      <c r="CG105" s="406"/>
      <c r="CH105" s="406"/>
      <c r="CI105" s="406"/>
      <c r="CJ105" s="406"/>
      <c r="CK105" s="406"/>
      <c r="CL105" s="406"/>
      <c r="CM105" s="406"/>
      <c r="CN105" s="406"/>
      <c r="CO105" s="406"/>
      <c r="CP105" s="406"/>
      <c r="CQ105" s="406"/>
      <c r="CR105" s="406"/>
      <c r="CS105" s="406"/>
      <c r="CT105" s="406"/>
      <c r="CU105" s="406"/>
      <c r="CV105" s="406"/>
      <c r="CW105" s="406"/>
      <c r="CX105" s="406"/>
      <c r="CY105" s="406"/>
      <c r="CZ105" s="406"/>
      <c r="DA105" s="406"/>
      <c r="DB105" s="406"/>
      <c r="DC105" s="406"/>
      <c r="DD105" s="406"/>
      <c r="DE105" s="406"/>
      <c r="DF105" s="406"/>
      <c r="DG105" s="406"/>
      <c r="DH105" s="406"/>
      <c r="DI105" s="406"/>
      <c r="DJ105" s="406"/>
      <c r="DK105" s="406"/>
      <c r="DL105" s="406"/>
      <c r="DM105" s="406"/>
      <c r="DN105" s="406"/>
      <c r="DO105" s="406"/>
      <c r="DP105" s="406"/>
      <c r="DQ105" s="406"/>
      <c r="DR105" s="406"/>
      <c r="DS105" s="406"/>
      <c r="DT105" s="406"/>
      <c r="DU105" s="406"/>
      <c r="DV105" s="406"/>
      <c r="DW105" s="406"/>
      <c r="DX105" s="406"/>
      <c r="DY105" s="406"/>
      <c r="DZ105" s="406"/>
      <c r="EA105" s="406"/>
      <c r="EB105" s="406"/>
      <c r="EC105" s="406"/>
      <c r="ED105" s="406"/>
      <c r="EE105" s="406"/>
      <c r="EF105" s="406"/>
      <c r="EG105" s="406"/>
      <c r="EH105" s="406"/>
      <c r="EI105" s="406"/>
      <c r="EJ105" s="406"/>
      <c r="EK105" s="406"/>
      <c r="EL105" s="406"/>
      <c r="EM105" s="406"/>
      <c r="EN105" s="406"/>
      <c r="EO105" s="406"/>
      <c r="EP105" s="406"/>
      <c r="EQ105" s="406"/>
      <c r="ER105" s="406"/>
      <c r="ES105" s="406"/>
      <c r="ET105" s="406"/>
      <c r="EU105" s="406"/>
      <c r="EV105" s="406"/>
      <c r="EW105" s="406"/>
      <c r="EX105" s="406"/>
      <c r="EY105" s="406"/>
      <c r="EZ105" s="406"/>
      <c r="FA105" s="406"/>
      <c r="FB105" s="406"/>
      <c r="FC105" s="406"/>
      <c r="FD105" s="406"/>
      <c r="FE105" s="406"/>
      <c r="FF105" s="406"/>
      <c r="FG105" s="406"/>
      <c r="FH105" s="406"/>
      <c r="FI105" s="406"/>
      <c r="FJ105" s="406"/>
      <c r="FK105" s="406"/>
      <c r="FL105" s="406"/>
      <c r="FM105" s="406"/>
      <c r="FN105" s="406"/>
      <c r="FO105" s="406"/>
      <c r="FP105" s="406"/>
      <c r="FQ105" s="406"/>
      <c r="FR105" s="406"/>
      <c r="FS105" s="406"/>
      <c r="FT105" s="406"/>
      <c r="FU105" s="406"/>
      <c r="FV105" s="406"/>
      <c r="FW105" s="406"/>
      <c r="FX105" s="406"/>
      <c r="FY105" s="406"/>
      <c r="FZ105" s="406"/>
      <c r="GA105" s="406"/>
      <c r="GB105" s="406"/>
      <c r="GC105" s="406"/>
      <c r="GD105" s="406"/>
      <c r="GE105" s="406"/>
      <c r="GF105" s="406"/>
      <c r="GG105" s="406"/>
      <c r="GH105" s="406"/>
      <c r="GI105" s="406"/>
      <c r="GJ105" s="406"/>
      <c r="GK105" s="406"/>
      <c r="GL105" s="406"/>
      <c r="GM105" s="406"/>
      <c r="GN105" s="406"/>
      <c r="GO105" s="406"/>
      <c r="GP105" s="406"/>
      <c r="GQ105" s="406"/>
      <c r="GR105" s="406"/>
      <c r="GS105" s="406"/>
      <c r="GT105" s="406"/>
      <c r="GU105" s="406"/>
      <c r="GV105" s="406"/>
      <c r="GW105" s="406"/>
      <c r="GX105" s="406"/>
      <c r="GY105" s="406"/>
      <c r="GZ105" s="406"/>
      <c r="HA105" s="406"/>
      <c r="HB105" s="406"/>
      <c r="HC105" s="406"/>
      <c r="HD105" s="406"/>
      <c r="HE105" s="406"/>
      <c r="HF105" s="406"/>
      <c r="HG105" s="406"/>
      <c r="HH105" s="406"/>
      <c r="HI105" s="406"/>
      <c r="HJ105" s="406"/>
      <c r="HK105" s="406"/>
      <c r="HL105" s="406"/>
      <c r="HM105" s="406"/>
      <c r="HN105" s="406"/>
      <c r="HO105" s="406"/>
      <c r="HP105" s="406"/>
      <c r="HQ105" s="406"/>
      <c r="HR105" s="406"/>
      <c r="HS105" s="406"/>
      <c r="HT105" s="406"/>
      <c r="HU105" s="406"/>
      <c r="HV105" s="406"/>
      <c r="HW105" s="406"/>
      <c r="HX105" s="406"/>
      <c r="HY105" s="406"/>
      <c r="HZ105" s="406"/>
      <c r="IA105" s="406"/>
      <c r="IB105" s="406"/>
      <c r="IC105" s="406"/>
      <c r="ID105" s="406"/>
      <c r="IE105" s="406"/>
      <c r="IF105" s="406"/>
      <c r="IG105" s="406"/>
      <c r="IH105" s="406"/>
      <c r="II105" s="406"/>
      <c r="IJ105" s="406"/>
      <c r="IK105" s="406"/>
      <c r="IL105" s="406"/>
      <c r="IM105" s="406"/>
      <c r="IN105" s="406"/>
      <c r="IO105" s="406"/>
      <c r="IP105" s="406"/>
      <c r="IQ105" s="406"/>
      <c r="IR105" s="406"/>
      <c r="IS105" s="406"/>
    </row>
    <row r="106" spans="1:253" s="406" customFormat="1" ht="17.25">
      <c r="A106" s="68"/>
      <c r="B106" s="55"/>
      <c r="C106" s="917"/>
      <c r="D106" s="5"/>
      <c r="E106" s="1294" t="s">
        <v>317</v>
      </c>
      <c r="F106" s="877">
        <f>IF(AND($G$2="No",$G$3="No"),SUM(K106:L106),IF(AND($G$2="Yes", $G$3="No"), SUM(K106:L106)+S106, IF(AND($G$2="No", $G$3="Yes"),SUM(K106:L106)+R106, SUM(K106:L106)+S106+R106)))</f>
        <v>3.9989486962957101E-2</v>
      </c>
      <c r="G106" s="877">
        <f>IF(AND($G$2="No",$G$3="No"),SUM(I106:Q106),IF(AND($G$2="Yes", $G$3="No"), SUM(I106:Q106)+S106, IF(AND($G$2="No", $G$3="Yes"),SUM(I106:Q106)+R106, SUM(I106:Q106)+S106+R106)))</f>
        <v>0.11924977944680434</v>
      </c>
      <c r="H106" s="878">
        <f>SUM(U106:W106)/(1-'Common input data'!$B$140)</f>
        <v>0.47648857792911375</v>
      </c>
      <c r="I106" s="877">
        <f>('Input data plant-based products'!$F$47*('Common input data'!$C$93*'Common input data'!B86+'Common input data'!$C$94*'Common input data'!C86))/'Input data plant-based products'!$E$47</f>
        <v>1.332818159511924E-2</v>
      </c>
      <c r="J106" s="877">
        <f>'Common input data'!$B$98</f>
        <v>0.03</v>
      </c>
      <c r="K106" s="877">
        <v>0</v>
      </c>
      <c r="L106" s="877">
        <v>0</v>
      </c>
      <c r="M106" s="877"/>
      <c r="N106" s="877">
        <f>('Input data plant-based products'!$P$47*'Common input data'!$C$76*'Common input data'!H66)/'Input data plant-based products'!$E$47</f>
        <v>1.5932110888728014E-2</v>
      </c>
      <c r="O106" s="877">
        <v>0</v>
      </c>
      <c r="P106" s="877">
        <f>'Input data plant-based products'!$G$309</f>
        <v>0.02</v>
      </c>
      <c r="Q106" s="877">
        <v>0</v>
      </c>
      <c r="R106" s="877">
        <f>'Common input data'!$E$19</f>
        <v>3.9989486962957101E-2</v>
      </c>
      <c r="S106" s="877">
        <v>0</v>
      </c>
      <c r="T106" s="877">
        <v>0</v>
      </c>
      <c r="U106" s="877">
        <f>(G106+T106)</f>
        <v>0.11924977944680434</v>
      </c>
      <c r="V106" s="877">
        <f>'Common input data'!$B$105</f>
        <v>0.05</v>
      </c>
      <c r="W106" s="877">
        <f>'Common input data'!B119+'Common input data'!C119</f>
        <v>0.23000000000000004</v>
      </c>
      <c r="X106" s="858"/>
      <c r="Y106" s="879"/>
      <c r="Z106" s="877"/>
      <c r="AA106" s="877"/>
      <c r="AB106" s="877"/>
      <c r="AC106" s="877"/>
      <c r="AD106" s="886"/>
      <c r="AE106" s="877"/>
      <c r="AF106" s="879"/>
      <c r="AG106" s="877"/>
      <c r="AH106" s="877"/>
      <c r="AI106" s="877"/>
      <c r="AJ106" s="877"/>
      <c r="AK106" s="886"/>
      <c r="AL106" s="877"/>
      <c r="AM106" s="879"/>
      <c r="AN106" s="877"/>
      <c r="AO106" s="877"/>
      <c r="AP106" s="877"/>
      <c r="AQ106" s="877"/>
      <c r="AR106" s="886"/>
      <c r="AS106" s="877"/>
      <c r="AT106" s="879"/>
      <c r="AU106" s="877"/>
      <c r="AV106" s="877"/>
      <c r="AW106" s="877"/>
      <c r="AX106" s="877"/>
      <c r="AY106" s="886"/>
      <c r="AZ106" s="877"/>
      <c r="BA106" s="879"/>
      <c r="BB106" s="877"/>
      <c r="BC106" s="877"/>
      <c r="BD106" s="877"/>
      <c r="BE106" s="877"/>
      <c r="BF106" s="886"/>
      <c r="BG106" s="877"/>
      <c r="BH106" s="879"/>
      <c r="BI106" s="877"/>
      <c r="BJ106" s="877"/>
      <c r="BK106" s="877"/>
      <c r="BL106" s="877"/>
      <c r="BM106" s="886"/>
      <c r="BN106" s="877"/>
      <c r="BO106" s="879"/>
      <c r="BP106" s="877"/>
      <c r="BQ106" s="877"/>
      <c r="BR106" s="877"/>
      <c r="BS106" s="877"/>
      <c r="BT106" s="886"/>
      <c r="BU106" s="877"/>
      <c r="BV106" s="879"/>
      <c r="BW106" s="886"/>
    </row>
    <row r="107" spans="1:253" s="406" customFormat="1" ht="17.25">
      <c r="A107" s="18"/>
      <c r="B107" s="55"/>
      <c r="C107" s="595"/>
      <c r="D107" s="50"/>
      <c r="E107" s="1294" t="s">
        <v>367</v>
      </c>
      <c r="F107" s="877">
        <f>SUM(K107:L107)</f>
        <v>0</v>
      </c>
      <c r="G107" s="877">
        <f>SUM(I107:Q107)</f>
        <v>3.1507275433764787E-5</v>
      </c>
      <c r="H107" s="878">
        <f>SUM(U107:W107)/(1-'Common input data'!$B$140)</f>
        <v>3.7602667900423428E-5</v>
      </c>
      <c r="I107" s="877">
        <f>('Input data plant-based products'!$F$47*('Common input data'!$C$93*'Common input data'!B87+'Common input data'!$C$94*'Common input data'!C87))/'Input data plant-based products'!$E$47</f>
        <v>2.4449887536136716E-5</v>
      </c>
      <c r="J107" s="877">
        <v>0</v>
      </c>
      <c r="K107" s="877">
        <v>0</v>
      </c>
      <c r="L107" s="877">
        <v>0</v>
      </c>
      <c r="M107" s="877"/>
      <c r="N107" s="877">
        <f>('Input data plant-based products'!$P$47*'Common input data'!$C$76*'Common input data'!H67)/'Input data plant-based products'!$E$47</f>
        <v>7.0573878976280716E-6</v>
      </c>
      <c r="O107" s="877">
        <v>0</v>
      </c>
      <c r="P107" s="877">
        <v>0</v>
      </c>
      <c r="Q107" s="877">
        <v>0</v>
      </c>
      <c r="R107" s="877">
        <v>0</v>
      </c>
      <c r="S107" s="877">
        <v>0</v>
      </c>
      <c r="T107" s="877">
        <v>0</v>
      </c>
      <c r="U107" s="877">
        <f>(G107+T107)</f>
        <v>3.1507275433764787E-5</v>
      </c>
      <c r="V107" s="877">
        <v>0</v>
      </c>
      <c r="W107" s="877">
        <v>0</v>
      </c>
      <c r="X107" s="858"/>
      <c r="Y107" s="879"/>
      <c r="Z107" s="877"/>
      <c r="AA107" s="877"/>
      <c r="AB107" s="877"/>
      <c r="AC107" s="877"/>
      <c r="AD107" s="886"/>
      <c r="AE107" s="877"/>
      <c r="AF107" s="879"/>
      <c r="AG107" s="877"/>
      <c r="AH107" s="877"/>
      <c r="AI107" s="877"/>
      <c r="AJ107" s="877"/>
      <c r="AK107" s="886"/>
      <c r="AL107" s="877"/>
      <c r="AM107" s="879"/>
      <c r="AN107" s="877"/>
      <c r="AO107" s="877"/>
      <c r="AP107" s="877"/>
      <c r="AQ107" s="877"/>
      <c r="AR107" s="886"/>
      <c r="AS107" s="877"/>
      <c r="AT107" s="879"/>
      <c r="AU107" s="877"/>
      <c r="AV107" s="877"/>
      <c r="AW107" s="877"/>
      <c r="AX107" s="877"/>
      <c r="AY107" s="886"/>
      <c r="AZ107" s="877"/>
      <c r="BA107" s="879"/>
      <c r="BB107" s="877"/>
      <c r="BC107" s="877"/>
      <c r="BD107" s="877"/>
      <c r="BE107" s="877"/>
      <c r="BF107" s="886"/>
      <c r="BG107" s="877"/>
      <c r="BH107" s="879"/>
      <c r="BI107" s="877"/>
      <c r="BJ107" s="877"/>
      <c r="BK107" s="877"/>
      <c r="BL107" s="877"/>
      <c r="BM107" s="886"/>
      <c r="BN107" s="877"/>
      <c r="BO107" s="879"/>
      <c r="BP107" s="877"/>
      <c r="BQ107" s="877"/>
      <c r="BR107" s="877"/>
      <c r="BS107" s="877"/>
      <c r="BT107" s="886"/>
      <c r="BU107" s="877"/>
      <c r="BV107" s="879"/>
      <c r="BW107" s="886"/>
    </row>
    <row r="108" spans="1:253" s="406" customFormat="1" ht="17.25">
      <c r="A108" s="359"/>
      <c r="B108" s="360"/>
      <c r="C108" s="83"/>
      <c r="D108" s="54"/>
      <c r="E108" s="1295" t="s">
        <v>320</v>
      </c>
      <c r="F108" s="896">
        <f>SUM(K108:L108)</f>
        <v>7.4528138875539149E-5</v>
      </c>
      <c r="G108" s="896">
        <f>SUM(I108:Q108)</f>
        <v>1.0424072327233102E-4</v>
      </c>
      <c r="H108" s="933">
        <f>SUM(U108:W108)/(1-'Common input data'!$B$140)</f>
        <v>1.2440711692604251E-4</v>
      </c>
      <c r="I108" s="877">
        <f>('Input data plant-based products'!$F$47*('Common input data'!$C$93*'Common input data'!B88+'Common input data'!$C$94*'Common input data'!C88))/'Input data plant-based products'!$E$47</f>
        <v>2.9284482365535203E-5</v>
      </c>
      <c r="J108" s="877">
        <v>0</v>
      </c>
      <c r="K108" s="877">
        <f>(SUM('Input data plant-based products'!F47:H47)*'Input data plant-based products'!$B$257*44/28)/'Input data plant-based products'!E47</f>
        <v>6.7752853523217406E-5</v>
      </c>
      <c r="L108" s="877">
        <f>K108*'Input data plant-based products'!$B$261</f>
        <v>6.7752853523217408E-6</v>
      </c>
      <c r="M108" s="877"/>
      <c r="N108" s="877">
        <f>('Input data plant-based products'!$P$47*'Common input data'!$C$76*'Common input data'!H68)/'Input data plant-based products'!$E$47</f>
        <v>4.2810203125665377E-7</v>
      </c>
      <c r="O108" s="877">
        <v>0</v>
      </c>
      <c r="P108" s="877">
        <v>0</v>
      </c>
      <c r="Q108" s="877">
        <v>0</v>
      </c>
      <c r="R108" s="877">
        <v>0</v>
      </c>
      <c r="S108" s="877">
        <v>0</v>
      </c>
      <c r="T108" s="877">
        <v>0</v>
      </c>
      <c r="U108" s="877">
        <f>(G108+T108)</f>
        <v>1.0424072327233102E-4</v>
      </c>
      <c r="V108" s="877">
        <v>0</v>
      </c>
      <c r="W108" s="877">
        <v>0</v>
      </c>
      <c r="X108" s="858"/>
      <c r="Y108" s="879"/>
      <c r="Z108" s="877"/>
      <c r="AA108" s="877"/>
      <c r="AB108" s="877"/>
      <c r="AC108" s="877"/>
      <c r="AD108" s="886"/>
      <c r="AE108" s="877"/>
      <c r="AF108" s="879"/>
      <c r="AG108" s="877"/>
      <c r="AH108" s="877"/>
      <c r="AI108" s="877"/>
      <c r="AJ108" s="877"/>
      <c r="AK108" s="886"/>
      <c r="AL108" s="877"/>
      <c r="AM108" s="879"/>
      <c r="AN108" s="877"/>
      <c r="AO108" s="877"/>
      <c r="AP108" s="877"/>
      <c r="AQ108" s="877"/>
      <c r="AR108" s="886"/>
      <c r="AS108" s="877"/>
      <c r="AT108" s="879"/>
      <c r="AU108" s="877"/>
      <c r="AV108" s="877"/>
      <c r="AW108" s="877"/>
      <c r="AX108" s="877"/>
      <c r="AY108" s="886"/>
      <c r="AZ108" s="877"/>
      <c r="BA108" s="879"/>
      <c r="BB108" s="877"/>
      <c r="BC108" s="877"/>
      <c r="BD108" s="877"/>
      <c r="BE108" s="877"/>
      <c r="BF108" s="886"/>
      <c r="BG108" s="877"/>
      <c r="BH108" s="879"/>
      <c r="BI108" s="877"/>
      <c r="BJ108" s="877"/>
      <c r="BK108" s="877"/>
      <c r="BL108" s="877"/>
      <c r="BM108" s="886"/>
      <c r="BN108" s="877"/>
      <c r="BO108" s="879"/>
      <c r="BP108" s="877"/>
      <c r="BQ108" s="877"/>
      <c r="BR108" s="877"/>
      <c r="BS108" s="877"/>
      <c r="BT108" s="886"/>
      <c r="BU108" s="877"/>
      <c r="BV108" s="879"/>
      <c r="BW108" s="886"/>
    </row>
    <row r="109" spans="1:253" s="406" customFormat="1" ht="17.25">
      <c r="A109" s="362" t="s">
        <v>482</v>
      </c>
      <c r="B109" s="363"/>
      <c r="C109" s="770"/>
      <c r="D109" s="54"/>
      <c r="E109" s="1296"/>
      <c r="F109" s="1290" t="s">
        <v>483</v>
      </c>
      <c r="G109" s="1290" t="s">
        <v>483</v>
      </c>
      <c r="H109" s="870" t="s">
        <v>483</v>
      </c>
      <c r="I109" s="889"/>
      <c r="J109" s="889"/>
      <c r="K109" s="889"/>
      <c r="L109" s="890"/>
      <c r="M109" s="890"/>
      <c r="N109" s="890"/>
      <c r="O109" s="891"/>
      <c r="P109" s="890"/>
      <c r="Q109" s="890"/>
      <c r="R109" s="890"/>
      <c r="S109" s="890"/>
      <c r="T109" s="890"/>
      <c r="U109" s="890"/>
      <c r="V109" s="890"/>
      <c r="W109" s="890"/>
      <c r="X109" s="858"/>
      <c r="Y109" s="879"/>
      <c r="Z109" s="877"/>
      <c r="AA109" s="877"/>
      <c r="AB109" s="877"/>
      <c r="AC109" s="877"/>
      <c r="AD109" s="886"/>
      <c r="AE109" s="877"/>
      <c r="AF109" s="879"/>
      <c r="AG109" s="877"/>
      <c r="AH109" s="877"/>
      <c r="AI109" s="877"/>
      <c r="AJ109" s="877"/>
      <c r="AK109" s="886"/>
      <c r="AL109" s="877"/>
      <c r="AM109" s="879"/>
      <c r="AN109" s="877"/>
      <c r="AO109" s="877"/>
      <c r="AP109" s="877"/>
      <c r="AQ109" s="877"/>
      <c r="AR109" s="886"/>
      <c r="AS109" s="877"/>
      <c r="AT109" s="879"/>
      <c r="AU109" s="877"/>
      <c r="AV109" s="877"/>
      <c r="AW109" s="877"/>
      <c r="AX109" s="877"/>
      <c r="AY109" s="886"/>
      <c r="AZ109" s="877"/>
      <c r="BA109" s="879"/>
      <c r="BB109" s="877"/>
      <c r="BC109" s="877"/>
      <c r="BD109" s="877"/>
      <c r="BE109" s="877"/>
      <c r="BF109" s="886"/>
      <c r="BG109" s="877"/>
      <c r="BH109" s="879"/>
      <c r="BI109" s="877"/>
      <c r="BJ109" s="877"/>
      <c r="BK109" s="877"/>
      <c r="BL109" s="877"/>
      <c r="BM109" s="886"/>
      <c r="BN109" s="877"/>
      <c r="BO109" s="879"/>
      <c r="BP109" s="877"/>
      <c r="BQ109" s="877"/>
      <c r="BR109" s="877"/>
      <c r="BS109" s="877"/>
      <c r="BT109" s="886"/>
      <c r="BU109" s="877"/>
      <c r="BV109" s="879"/>
      <c r="BW109" s="886"/>
    </row>
    <row r="110" spans="1:253" s="406" customFormat="1" ht="17.25">
      <c r="A110" s="20" t="s">
        <v>120</v>
      </c>
      <c r="B110" s="93"/>
      <c r="C110" s="903">
        <f>SUM(C114:C121)</f>
        <v>1</v>
      </c>
      <c r="D110" s="26"/>
      <c r="E110" s="1293" t="s">
        <v>316</v>
      </c>
      <c r="F110" s="874">
        <f>SUMPRODUCT($CE$14:$CE$16,F111:F113)</f>
        <v>7.1726472815622083E-2</v>
      </c>
      <c r="G110" s="874">
        <f>SUMPRODUCT($CE$14:$CE$16,G111:G113)</f>
        <v>0.15216105502132612</v>
      </c>
      <c r="H110" s="927">
        <f>SUMPRODUCT($CE$14:$CE$16,H111:H113)</f>
        <v>0.36793123192488569</v>
      </c>
      <c r="I110" s="872"/>
      <c r="J110" s="884"/>
      <c r="K110" s="884"/>
      <c r="L110" s="888"/>
      <c r="M110" s="888"/>
      <c r="N110" s="888"/>
      <c r="O110" s="888"/>
      <c r="P110" s="888"/>
      <c r="Q110" s="888"/>
      <c r="R110" s="888"/>
      <c r="S110" s="888"/>
      <c r="T110" s="888"/>
      <c r="U110" s="888"/>
      <c r="V110" s="888"/>
      <c r="W110" s="893"/>
      <c r="X110" s="188"/>
      <c r="Y110" s="883">
        <f>Y114*$C$114+Y118*$C$118</f>
        <v>0.32063907159456095</v>
      </c>
      <c r="Z110" s="884">
        <f t="shared" ref="Z110:BW110" si="10">Z114*$C$114+Z118*$C$118</f>
        <v>0.32063907159456095</v>
      </c>
      <c r="AA110" s="884">
        <f t="shared" si="10"/>
        <v>0.32063907159456095</v>
      </c>
      <c r="AB110" s="884">
        <f t="shared" si="10"/>
        <v>0.32063907159456095</v>
      </c>
      <c r="AC110" s="884">
        <f t="shared" si="10"/>
        <v>0.44573134487778771</v>
      </c>
      <c r="AD110" s="885">
        <f t="shared" si="10"/>
        <v>0.53702571672022614</v>
      </c>
      <c r="AE110" s="877"/>
      <c r="AF110" s="883">
        <f t="shared" si="10"/>
        <v>3.3839101253414446E-3</v>
      </c>
      <c r="AG110" s="884">
        <f t="shared" si="10"/>
        <v>3.3839101253414446E-3</v>
      </c>
      <c r="AH110" s="884">
        <f t="shared" si="10"/>
        <v>3.3839101253414446E-3</v>
      </c>
      <c r="AI110" s="884">
        <f t="shared" si="10"/>
        <v>3.3839101253414446E-3</v>
      </c>
      <c r="AJ110" s="884">
        <f t="shared" si="10"/>
        <v>4.7040892540420867E-3</v>
      </c>
      <c r="AK110" s="885">
        <f t="shared" si="10"/>
        <v>5.6675774145085386E-3</v>
      </c>
      <c r="AL110" s="877"/>
      <c r="AM110" s="883">
        <f t="shared" si="10"/>
        <v>1.5401798968942967E-3</v>
      </c>
      <c r="AN110" s="884">
        <f t="shared" si="10"/>
        <v>1.5401798968942967E-3</v>
      </c>
      <c r="AO110" s="884">
        <f t="shared" si="10"/>
        <v>1.5401798968942967E-3</v>
      </c>
      <c r="AP110" s="884">
        <f t="shared" si="10"/>
        <v>1.5401798968942967E-3</v>
      </c>
      <c r="AQ110" s="884">
        <f t="shared" si="10"/>
        <v>2.1410567757147677E-3</v>
      </c>
      <c r="AR110" s="885">
        <f t="shared" si="10"/>
        <v>2.5795864767647805E-3</v>
      </c>
      <c r="AS110" s="877"/>
      <c r="AT110" s="883">
        <f t="shared" si="10"/>
        <v>9.6173477065453154E-3</v>
      </c>
      <c r="AU110" s="884">
        <f t="shared" si="10"/>
        <v>9.6173477065453154E-3</v>
      </c>
      <c r="AV110" s="884">
        <f t="shared" si="10"/>
        <v>9.6173477065453154E-3</v>
      </c>
      <c r="AW110" s="884">
        <f t="shared" si="10"/>
        <v>9.6173477065453154E-3</v>
      </c>
      <c r="AX110" s="884">
        <f t="shared" si="10"/>
        <v>1.3369404128066554E-2</v>
      </c>
      <c r="AY110" s="885">
        <f t="shared" si="10"/>
        <v>1.6107715816947657E-2</v>
      </c>
      <c r="AZ110" s="877"/>
      <c r="BA110" s="883">
        <f t="shared" si="10"/>
        <v>3.4753667885779441E-12</v>
      </c>
      <c r="BB110" s="884">
        <f t="shared" si="10"/>
        <v>3.4753667885779441E-12</v>
      </c>
      <c r="BC110" s="884">
        <f t="shared" si="10"/>
        <v>3.4753667885779441E-12</v>
      </c>
      <c r="BD110" s="884">
        <f t="shared" si="10"/>
        <v>3.4753667885779441E-12</v>
      </c>
      <c r="BE110" s="884">
        <f t="shared" si="10"/>
        <v>4.8312262910217409E-12</v>
      </c>
      <c r="BF110" s="885">
        <f t="shared" si="10"/>
        <v>5.8207545674960736E-12</v>
      </c>
      <c r="BG110" s="877"/>
      <c r="BH110" s="883">
        <f t="shared" si="10"/>
        <v>1.2357837154644644E-4</v>
      </c>
      <c r="BI110" s="884">
        <f t="shared" si="10"/>
        <v>1.2357837154644644E-4</v>
      </c>
      <c r="BJ110" s="884">
        <f t="shared" si="10"/>
        <v>1.2357837154644644E-4</v>
      </c>
      <c r="BK110" s="884">
        <f t="shared" si="10"/>
        <v>1.2357837154644644E-4</v>
      </c>
      <c r="BL110" s="884">
        <f t="shared" si="10"/>
        <v>1.7179052282453926E-4</v>
      </c>
      <c r="BM110" s="885">
        <f t="shared" si="10"/>
        <v>2.0697653352354131E-4</v>
      </c>
      <c r="BN110" s="877"/>
      <c r="BO110" s="883">
        <f t="shared" si="10"/>
        <v>1.5919427600987506E-4</v>
      </c>
      <c r="BP110" s="884">
        <f t="shared" si="10"/>
        <v>1.5919427600987506E-4</v>
      </c>
      <c r="BQ110" s="884">
        <f t="shared" si="10"/>
        <v>1.5919427600987506E-4</v>
      </c>
      <c r="BR110" s="884">
        <f t="shared" si="10"/>
        <v>1.5919427600987506E-4</v>
      </c>
      <c r="BS110" s="884">
        <f t="shared" si="10"/>
        <v>2.2130141030489127E-4</v>
      </c>
      <c r="BT110" s="885">
        <f t="shared" si="10"/>
        <v>2.66628205186616E-4</v>
      </c>
      <c r="BU110" s="877"/>
      <c r="BV110" s="883">
        <f t="shared" si="10"/>
        <v>0.38142637594115097</v>
      </c>
      <c r="BW110" s="885">
        <f t="shared" si="10"/>
        <v>0.45954985053150726</v>
      </c>
    </row>
    <row r="111" spans="1:253" s="406" customFormat="1" ht="17.25">
      <c r="A111" s="499"/>
      <c r="B111" s="55"/>
      <c r="C111" s="917"/>
      <c r="D111" s="5"/>
      <c r="E111" s="1294" t="s">
        <v>317</v>
      </c>
      <c r="F111" s="934">
        <f>F115*$C$114+F119*$C$118</f>
        <v>3.9989486962957101E-2</v>
      </c>
      <c r="G111" s="934">
        <f t="shared" ref="G111:W113" si="11">G115*$C$114+G119*$C$118</f>
        <v>0.11321381661482871</v>
      </c>
      <c r="H111" s="945">
        <f t="shared" si="11"/>
        <v>0.31378934314049217</v>
      </c>
      <c r="I111" s="877">
        <f t="shared" si="11"/>
        <v>1.1228139506013389E-2</v>
      </c>
      <c r="J111" s="877">
        <f t="shared" si="11"/>
        <v>0.03</v>
      </c>
      <c r="K111" s="877">
        <f t="shared" si="11"/>
        <v>0</v>
      </c>
      <c r="L111" s="877">
        <f t="shared" si="11"/>
        <v>0</v>
      </c>
      <c r="M111" s="877"/>
      <c r="N111" s="877">
        <f t="shared" si="11"/>
        <v>1.1996190145858229E-2</v>
      </c>
      <c r="O111" s="877">
        <f t="shared" si="11"/>
        <v>0</v>
      </c>
      <c r="P111" s="877">
        <f t="shared" si="11"/>
        <v>2.0000000000000004E-2</v>
      </c>
      <c r="Q111" s="877">
        <f t="shared" si="11"/>
        <v>0</v>
      </c>
      <c r="R111" s="877">
        <f t="shared" si="11"/>
        <v>3.9989486962957101E-2</v>
      </c>
      <c r="S111" s="877">
        <f t="shared" si="11"/>
        <v>0</v>
      </c>
      <c r="T111" s="877">
        <f t="shared" si="11"/>
        <v>0</v>
      </c>
      <c r="U111" s="877">
        <f t="shared" si="11"/>
        <v>0.11321381661482871</v>
      </c>
      <c r="V111" s="877">
        <f t="shared" si="11"/>
        <v>0.05</v>
      </c>
      <c r="W111" s="886">
        <f t="shared" si="11"/>
        <v>6.2512116320000005E-2</v>
      </c>
      <c r="X111" s="188"/>
      <c r="Y111" s="879"/>
      <c r="Z111" s="877"/>
      <c r="AA111" s="877"/>
      <c r="AB111" s="877"/>
      <c r="AC111" s="877"/>
      <c r="AD111" s="886"/>
      <c r="AE111" s="877"/>
      <c r="AF111" s="879"/>
      <c r="AG111" s="877"/>
      <c r="AH111" s="877"/>
      <c r="AI111" s="877"/>
      <c r="AJ111" s="877"/>
      <c r="AK111" s="886"/>
      <c r="AL111" s="877"/>
      <c r="AM111" s="879"/>
      <c r="AN111" s="877"/>
      <c r="AO111" s="877"/>
      <c r="AP111" s="877"/>
      <c r="AQ111" s="877"/>
      <c r="AR111" s="886"/>
      <c r="AS111" s="877"/>
      <c r="AT111" s="879"/>
      <c r="AU111" s="877"/>
      <c r="AV111" s="877"/>
      <c r="AW111" s="877"/>
      <c r="AX111" s="877"/>
      <c r="AY111" s="886"/>
      <c r="AZ111" s="877"/>
      <c r="BA111" s="879"/>
      <c r="BB111" s="877"/>
      <c r="BC111" s="877"/>
      <c r="BD111" s="877"/>
      <c r="BE111" s="877"/>
      <c r="BF111" s="886"/>
      <c r="BG111" s="877"/>
      <c r="BH111" s="879"/>
      <c r="BI111" s="877"/>
      <c r="BJ111" s="877"/>
      <c r="BK111" s="877"/>
      <c r="BL111" s="877"/>
      <c r="BM111" s="886"/>
      <c r="BN111" s="877"/>
      <c r="BO111" s="879"/>
      <c r="BP111" s="877"/>
      <c r="BQ111" s="877"/>
      <c r="BR111" s="877"/>
      <c r="BS111" s="877"/>
      <c r="BT111" s="886"/>
      <c r="BU111" s="877"/>
      <c r="BV111" s="879"/>
      <c r="BW111" s="886"/>
    </row>
    <row r="112" spans="1:253" s="406" customFormat="1" ht="17.25">
      <c r="A112" s="499"/>
      <c r="B112" s="55"/>
      <c r="C112" s="595"/>
      <c r="D112" s="50"/>
      <c r="E112" s="1294" t="s">
        <v>367</v>
      </c>
      <c r="F112" s="877">
        <f t="shared" ref="F112:V113" si="12">F116*$C$114+F120*$C$118</f>
        <v>0</v>
      </c>
      <c r="G112" s="877">
        <f t="shared" si="12"/>
        <v>2.1556132467495071E-5</v>
      </c>
      <c r="H112" s="878">
        <f t="shared" si="12"/>
        <v>2.9965917339137244E-5</v>
      </c>
      <c r="I112" s="877">
        <f t="shared" si="12"/>
        <v>1.6242224740872147E-5</v>
      </c>
      <c r="J112" s="877">
        <f t="shared" si="12"/>
        <v>0</v>
      </c>
      <c r="K112" s="877">
        <f t="shared" si="12"/>
        <v>0</v>
      </c>
      <c r="L112" s="877">
        <f t="shared" si="12"/>
        <v>0</v>
      </c>
      <c r="M112" s="877"/>
      <c r="N112" s="877">
        <f t="shared" si="12"/>
        <v>5.3139077266229219E-6</v>
      </c>
      <c r="O112" s="877">
        <f t="shared" si="12"/>
        <v>0</v>
      </c>
      <c r="P112" s="877">
        <f t="shared" si="12"/>
        <v>0</v>
      </c>
      <c r="Q112" s="877">
        <f t="shared" si="12"/>
        <v>0</v>
      </c>
      <c r="R112" s="877">
        <f t="shared" si="12"/>
        <v>0</v>
      </c>
      <c r="S112" s="877">
        <f t="shared" si="12"/>
        <v>0</v>
      </c>
      <c r="T112" s="877">
        <f t="shared" si="12"/>
        <v>0</v>
      </c>
      <c r="U112" s="877">
        <f t="shared" si="12"/>
        <v>2.1556132467495071E-5</v>
      </c>
      <c r="V112" s="877">
        <f t="shared" si="12"/>
        <v>0</v>
      </c>
      <c r="W112" s="886">
        <f t="shared" si="11"/>
        <v>0</v>
      </c>
      <c r="X112" s="188"/>
      <c r="Y112" s="879"/>
      <c r="Z112" s="877"/>
      <c r="AA112" s="877"/>
      <c r="AB112" s="877"/>
      <c r="AC112" s="877"/>
      <c r="AD112" s="886"/>
      <c r="AE112" s="877"/>
      <c r="AF112" s="879"/>
      <c r="AG112" s="877"/>
      <c r="AH112" s="877"/>
      <c r="AI112" s="877"/>
      <c r="AJ112" s="877"/>
      <c r="AK112" s="886"/>
      <c r="AL112" s="877"/>
      <c r="AM112" s="879"/>
      <c r="AN112" s="877"/>
      <c r="AO112" s="877"/>
      <c r="AP112" s="877"/>
      <c r="AQ112" s="877"/>
      <c r="AR112" s="886"/>
      <c r="AS112" s="877"/>
      <c r="AT112" s="879"/>
      <c r="AU112" s="877"/>
      <c r="AV112" s="877"/>
      <c r="AW112" s="877"/>
      <c r="AX112" s="877"/>
      <c r="AY112" s="886"/>
      <c r="AZ112" s="877"/>
      <c r="BA112" s="879"/>
      <c r="BB112" s="877"/>
      <c r="BC112" s="877"/>
      <c r="BD112" s="877"/>
      <c r="BE112" s="877"/>
      <c r="BF112" s="886"/>
      <c r="BG112" s="877"/>
      <c r="BH112" s="879"/>
      <c r="BI112" s="877"/>
      <c r="BJ112" s="877"/>
      <c r="BK112" s="877"/>
      <c r="BL112" s="877"/>
      <c r="BM112" s="886"/>
      <c r="BN112" s="877"/>
      <c r="BO112" s="879"/>
      <c r="BP112" s="877"/>
      <c r="BQ112" s="877"/>
      <c r="BR112" s="877"/>
      <c r="BS112" s="877"/>
      <c r="BT112" s="886"/>
      <c r="BU112" s="877"/>
      <c r="BV112" s="879"/>
      <c r="BW112" s="886"/>
    </row>
    <row r="113" spans="1:253" s="406" customFormat="1" ht="17.25">
      <c r="A113" s="18"/>
      <c r="B113" s="360"/>
      <c r="C113" s="83"/>
      <c r="D113" s="54"/>
      <c r="E113" s="1295" t="s">
        <v>320</v>
      </c>
      <c r="F113" s="877">
        <f t="shared" si="12"/>
        <v>1.1625269543100724E-4</v>
      </c>
      <c r="G113" s="877">
        <f t="shared" si="11"/>
        <v>1.4053195175778408E-4</v>
      </c>
      <c r="H113" s="878">
        <f t="shared" si="11"/>
        <v>1.9535827478475034E-4</v>
      </c>
      <c r="I113" s="877">
        <f t="shared" si="11"/>
        <v>2.3956914020433964E-5</v>
      </c>
      <c r="J113" s="877">
        <f t="shared" si="11"/>
        <v>0</v>
      </c>
      <c r="K113" s="877">
        <f t="shared" si="11"/>
        <v>1.0568426857364294E-4</v>
      </c>
      <c r="L113" s="877">
        <f t="shared" si="11"/>
        <v>1.0568426857364296E-5</v>
      </c>
      <c r="M113" s="877"/>
      <c r="N113" s="877">
        <f t="shared" si="11"/>
        <v>3.2234230634287122E-7</v>
      </c>
      <c r="O113" s="877">
        <f t="shared" si="11"/>
        <v>0</v>
      </c>
      <c r="P113" s="877">
        <f t="shared" si="11"/>
        <v>0</v>
      </c>
      <c r="Q113" s="877">
        <f t="shared" si="11"/>
        <v>0</v>
      </c>
      <c r="R113" s="877">
        <f t="shared" si="11"/>
        <v>0</v>
      </c>
      <c r="S113" s="877">
        <f t="shared" si="11"/>
        <v>0</v>
      </c>
      <c r="T113" s="877">
        <f t="shared" si="11"/>
        <v>0</v>
      </c>
      <c r="U113" s="877">
        <f t="shared" si="11"/>
        <v>1.4053195175778408E-4</v>
      </c>
      <c r="V113" s="877">
        <f t="shared" si="11"/>
        <v>0</v>
      </c>
      <c r="W113" s="886">
        <f t="shared" si="11"/>
        <v>0</v>
      </c>
      <c r="X113" s="188"/>
      <c r="Y113" s="879"/>
      <c r="Z113" s="877"/>
      <c r="AA113" s="877"/>
      <c r="AB113" s="877"/>
      <c r="AC113" s="877"/>
      <c r="AD113" s="886"/>
      <c r="AE113" s="877"/>
      <c r="AF113" s="879"/>
      <c r="AG113" s="877"/>
      <c r="AH113" s="877"/>
      <c r="AI113" s="877"/>
      <c r="AJ113" s="877"/>
      <c r="AK113" s="886"/>
      <c r="AL113" s="877"/>
      <c r="AM113" s="879"/>
      <c r="AN113" s="877"/>
      <c r="AO113" s="877"/>
      <c r="AP113" s="877"/>
      <c r="AQ113" s="877"/>
      <c r="AR113" s="886"/>
      <c r="AS113" s="877"/>
      <c r="AT113" s="879"/>
      <c r="AU113" s="877"/>
      <c r="AV113" s="877"/>
      <c r="AW113" s="877"/>
      <c r="AX113" s="877"/>
      <c r="AY113" s="886"/>
      <c r="AZ113" s="877"/>
      <c r="BA113" s="879"/>
      <c r="BB113" s="877"/>
      <c r="BC113" s="877"/>
      <c r="BD113" s="877"/>
      <c r="BE113" s="877"/>
      <c r="BF113" s="886"/>
      <c r="BG113" s="877"/>
      <c r="BH113" s="879"/>
      <c r="BI113" s="877"/>
      <c r="BJ113" s="877"/>
      <c r="BK113" s="877"/>
      <c r="BL113" s="877"/>
      <c r="BM113" s="886"/>
      <c r="BN113" s="877"/>
      <c r="BO113" s="879"/>
      <c r="BP113" s="877"/>
      <c r="BQ113" s="877"/>
      <c r="BR113" s="877"/>
      <c r="BS113" s="877"/>
      <c r="BT113" s="886"/>
      <c r="BU113" s="877"/>
      <c r="BV113" s="879"/>
      <c r="BW113" s="886"/>
    </row>
    <row r="114" spans="1:253" s="406" customFormat="1" ht="17.25">
      <c r="A114" s="20" t="s">
        <v>122</v>
      </c>
      <c r="B114" s="93" t="s">
        <v>121</v>
      </c>
      <c r="C114" s="87">
        <f>'Input data plant-based products'!D17</f>
        <v>0.83743941840000002</v>
      </c>
      <c r="D114" s="54"/>
      <c r="E114" s="1293" t="s">
        <v>316</v>
      </c>
      <c r="F114" s="872">
        <f>SUMPRODUCT($CE$14:$CE$16,F115:F117)</f>
        <v>7.0089243052100819E-2</v>
      </c>
      <c r="G114" s="872">
        <f>SUMPRODUCT($CE$14:$CE$16,G115:G117)</f>
        <v>0.14575180610974039</v>
      </c>
      <c r="H114" s="873">
        <f>SUMPRODUCT($CE$14:$CE$16,H115:H117)</f>
        <v>0.31382531032625122</v>
      </c>
      <c r="I114" s="888"/>
      <c r="J114" s="888"/>
      <c r="K114" s="888"/>
      <c r="L114" s="888"/>
      <c r="M114" s="888"/>
      <c r="N114" s="888"/>
      <c r="O114" s="888"/>
      <c r="P114" s="888"/>
      <c r="Q114" s="888"/>
      <c r="R114" s="888"/>
      <c r="S114" s="888"/>
      <c r="T114" s="888"/>
      <c r="U114" s="888"/>
      <c r="V114" s="888"/>
      <c r="W114" s="936"/>
      <c r="X114" s="188"/>
      <c r="Y114" s="879">
        <f>1/'Input data plant-based products'!E17*10^4</f>
        <v>0.29248318221702252</v>
      </c>
      <c r="Z114" s="877">
        <f>$Y114*'Input data plant-based products'!Z17</f>
        <v>0.29248318221702252</v>
      </c>
      <c r="AA114" s="877">
        <f>$Y114*'Input data plant-based products'!AA17</f>
        <v>0.29248318221702252</v>
      </c>
      <c r="AB114" s="877">
        <f>$Y114*'Input data plant-based products'!AB17</f>
        <v>0.29248318221702252</v>
      </c>
      <c r="AC114" s="877">
        <f>$Y114*'Input data plant-based products'!AC17</f>
        <v>0.4065908796310897</v>
      </c>
      <c r="AD114" s="886">
        <f>$Y114*'Input data plant-based products'!AD17</f>
        <v>0.48986852967601169</v>
      </c>
      <c r="AE114" s="877"/>
      <c r="AF114" s="879">
        <f>SUM('Input data plant-based products'!F17,'Input data plant-based products'!Q17)/'Input data plant-based products'!E17</f>
        <v>2.8760846251340549E-3</v>
      </c>
      <c r="AG114" s="877">
        <f>$AF114*'Input data plant-based products'!Z17</f>
        <v>2.8760846251340549E-3</v>
      </c>
      <c r="AH114" s="877">
        <f>$AF114*'Input data plant-based products'!AA17</f>
        <v>2.8760846251340549E-3</v>
      </c>
      <c r="AI114" s="877">
        <f>$AF114*'Input data plant-based products'!AB17</f>
        <v>2.8760846251340549E-3</v>
      </c>
      <c r="AJ114" s="877">
        <f>$AF114*'Input data plant-based products'!AC17</f>
        <v>3.9981436497057155E-3</v>
      </c>
      <c r="AK114" s="886">
        <f>$AF114*'Input data plant-based products'!AD17</f>
        <v>4.8170405418141151E-3</v>
      </c>
      <c r="AL114" s="877"/>
      <c r="AM114" s="879">
        <f>'Input data plant-based products'!R17/'Input data plant-based products'!E17</f>
        <v>1.0626888953885153E-3</v>
      </c>
      <c r="AN114" s="877">
        <f>$AM114*'Input data plant-based products'!Z17</f>
        <v>1.0626888953885153E-3</v>
      </c>
      <c r="AO114" s="877">
        <f>$AM114*'Input data plant-based products'!AA17</f>
        <v>1.0626888953885153E-3</v>
      </c>
      <c r="AP114" s="877">
        <f>$AM114*'Input data plant-based products'!AB17</f>
        <v>1.0626888953885153E-3</v>
      </c>
      <c r="AQ114" s="877">
        <f>$AM114*'Input data plant-based products'!AC17</f>
        <v>1.4772801959929594E-3</v>
      </c>
      <c r="AR114" s="886">
        <f>$AM114*'Input data plant-based products'!AD17</f>
        <v>1.7798556578228427E-3</v>
      </c>
      <c r="AS114" s="877"/>
      <c r="AT114" s="879">
        <f>'Input data plant-based products'!S17</f>
        <v>9.0526664122482451E-3</v>
      </c>
      <c r="AU114" s="877">
        <f>$AT114*'Input data plant-based products'!Z17</f>
        <v>9.0526664122482451E-3</v>
      </c>
      <c r="AV114" s="877">
        <f>$AT114*'Input data plant-based products'!AA17</f>
        <v>9.0526664122482451E-3</v>
      </c>
      <c r="AW114" s="877">
        <f>$AT114*'Input data plant-based products'!AB17</f>
        <v>9.0526664122482451E-3</v>
      </c>
      <c r="AX114" s="877">
        <f>$AT114*'Input data plant-based products'!AC17</f>
        <v>1.2584421338905333E-2</v>
      </c>
      <c r="AY114" s="886">
        <f>$AT114*'Input data plant-based products'!AD17</f>
        <v>1.5161953420367871E-2</v>
      </c>
      <c r="AZ114" s="877"/>
      <c r="BA114" s="879">
        <f>((SUM('Input data plant-based products'!U17:Y17)*Y114)/('Common input data'!$B$192/10^6))/$BB$3</f>
        <v>2.0689953402951244E-12</v>
      </c>
      <c r="BB114" s="877">
        <f>$BA114*'Input data plant-based products'!Z17</f>
        <v>2.0689953402951244E-12</v>
      </c>
      <c r="BC114" s="877">
        <f>$BA114*'Input data plant-based products'!AA17</f>
        <v>2.0689953402951244E-12</v>
      </c>
      <c r="BD114" s="877">
        <f>$BA114*'Input data plant-based products'!AB17</f>
        <v>2.0689953402951244E-12</v>
      </c>
      <c r="BE114" s="877">
        <f>$BA114*'Input data plant-based products'!AC17</f>
        <v>2.8761812183068506E-12</v>
      </c>
      <c r="BF114" s="886">
        <f>$BA114*'Input data plant-based products'!AD17</f>
        <v>3.465278576273314E-12</v>
      </c>
      <c r="BG114" s="877"/>
      <c r="BH114" s="879">
        <f>'Input data plant-based products'!T17/'Input data plant-based products'!E17</f>
        <v>9.2424685580579118E-5</v>
      </c>
      <c r="BI114" s="877">
        <f>$BH114*'Input data plant-based products'!Z17</f>
        <v>9.2424685580579118E-5</v>
      </c>
      <c r="BJ114" s="877">
        <f>$BH114*'Input data plant-based products'!AA17</f>
        <v>9.2424685580579118E-5</v>
      </c>
      <c r="BK114" s="877">
        <f>$BH114*'Input data plant-based products'!AB17</f>
        <v>9.2424685580579118E-5</v>
      </c>
      <c r="BL114" s="877">
        <f>$BH114*'Input data plant-based products'!AC17</f>
        <v>1.2848271796342436E-4</v>
      </c>
      <c r="BM114" s="886">
        <f>$BH114*'Input data plant-based products'!AD17</f>
        <v>1.5479845537761972E-4</v>
      </c>
      <c r="BN114" s="877"/>
      <c r="BO114" s="879">
        <f>('Input data plant-based products'!F17/'Input data plant-based products'!E17*'Common input data'!$B$195+'Input data plant-based products'!G17/'Input data plant-based products'!E17*'Common input data'!$B$196)/'Common input data'!$B$198</f>
        <v>1.6035739661611137E-4</v>
      </c>
      <c r="BP114" s="877">
        <f>$BO114*'Input data plant-based products'!Z17</f>
        <v>1.6035739661611137E-4</v>
      </c>
      <c r="BQ114" s="877">
        <f>$BO114*'Input data plant-based products'!AA17</f>
        <v>1.6035739661611137E-4</v>
      </c>
      <c r="BR114" s="877">
        <f>$BO114*'Input data plant-based products'!AB17</f>
        <v>1.6035739661611137E-4</v>
      </c>
      <c r="BS114" s="877">
        <f>$BO114*'Input data plant-based products'!AC17</f>
        <v>2.2291830405865167E-4</v>
      </c>
      <c r="BT114" s="886">
        <f>$BO114*'Input data plant-based products'!AD17</f>
        <v>2.6857626995018273E-4</v>
      </c>
      <c r="BU114" s="877"/>
      <c r="BV114" s="879">
        <f>'Common input data'!$C$202*'Input data plant-based products'!AC17</f>
        <v>0.19906721994008522</v>
      </c>
      <c r="BW114" s="886">
        <f>'Common input data'!$C$202*'Input data plant-based products'!AD17</f>
        <v>0.23984002402419907</v>
      </c>
    </row>
    <row r="115" spans="1:253" s="406" customFormat="1" ht="17.25">
      <c r="A115" s="499"/>
      <c r="B115" s="55"/>
      <c r="C115" s="917"/>
      <c r="D115" s="5"/>
      <c r="E115" s="1294" t="s">
        <v>317</v>
      </c>
      <c r="F115" s="877">
        <f>IF(AND($G$2="No",$G$3="No"),SUM(K115:L115),IF(AND($G$2="Yes", $G$3="No"), SUM(K115:L115)+S115, IF(AND($G$2="No", $G$3="Yes"),SUM(K115:L115)+R115, SUM(K115:L115)+S115+R115)))</f>
        <v>3.9989486962957101E-2</v>
      </c>
      <c r="G115" s="877">
        <f>IF(AND($G$2="No",$G$3="No"),SUM(I115:Q115),IF(AND($G$2="Yes", $G$3="No"), SUM(I115:Q115)+S115, IF(AND($G$2="No", $G$3="Yes"),SUM(I115:Q115)+R115, SUM(I115:Q115)+S115+R115)))</f>
        <v>0.109954917404013</v>
      </c>
      <c r="H115" s="878">
        <f>SUM(U115:W115)/(1-'Common input data'!$B$142)</f>
        <v>0.26406283045785883</v>
      </c>
      <c r="I115" s="877">
        <f>('Input data plant-based products'!$F$17*('Common input data'!$B$93*'Common input data'!B86+'Common input data'!$B$94*'Common input data'!C86))/'Input data plant-based products'!$E$17</f>
        <v>9.0226471710939306E-3</v>
      </c>
      <c r="J115" s="877">
        <f>'Common input data'!$B$98</f>
        <v>0.03</v>
      </c>
      <c r="K115" s="877">
        <v>0</v>
      </c>
      <c r="L115" s="877">
        <v>0</v>
      </c>
      <c r="M115" s="877"/>
      <c r="N115" s="877">
        <f>('Input data plant-based products'!$P$17*'Common input data'!$C$76*'Common input data'!H66)/'Input data plant-based products'!$E$17</f>
        <v>1.0942783269961977E-2</v>
      </c>
      <c r="O115" s="877">
        <v>0</v>
      </c>
      <c r="P115" s="877">
        <f>'Input data plant-based products'!$G$309</f>
        <v>0.02</v>
      </c>
      <c r="Q115" s="877">
        <v>0</v>
      </c>
      <c r="R115" s="877">
        <f>'Common input data'!$E$19</f>
        <v>3.9989486962957101E-2</v>
      </c>
      <c r="S115" s="877">
        <v>0</v>
      </c>
      <c r="T115" s="877">
        <v>0</v>
      </c>
      <c r="U115" s="877">
        <f>(G115+T115)</f>
        <v>0.109954917404013</v>
      </c>
      <c r="V115" s="877">
        <f>'Common input data'!$B$105</f>
        <v>0.05</v>
      </c>
      <c r="W115" s="886">
        <f>'Common input data'!C115</f>
        <v>0.03</v>
      </c>
      <c r="X115" s="188"/>
      <c r="Y115" s="879"/>
      <c r="Z115" s="877"/>
      <c r="AA115" s="877"/>
      <c r="AB115" s="877"/>
      <c r="AC115" s="877"/>
      <c r="AD115" s="886"/>
      <c r="AE115" s="877"/>
      <c r="AF115" s="879"/>
      <c r="AG115" s="877"/>
      <c r="AH115" s="877"/>
      <c r="AI115" s="877"/>
      <c r="AJ115" s="877"/>
      <c r="AK115" s="886"/>
      <c r="AL115" s="877"/>
      <c r="AM115" s="879"/>
      <c r="AN115" s="877"/>
      <c r="AO115" s="877"/>
      <c r="AP115" s="877"/>
      <c r="AQ115" s="877"/>
      <c r="AR115" s="886"/>
      <c r="AS115" s="877"/>
      <c r="AT115" s="879"/>
      <c r="AU115" s="877"/>
      <c r="AV115" s="877"/>
      <c r="AW115" s="877"/>
      <c r="AX115" s="877"/>
      <c r="AY115" s="886"/>
      <c r="AZ115" s="877"/>
      <c r="BA115" s="879"/>
      <c r="BB115" s="877"/>
      <c r="BC115" s="877"/>
      <c r="BD115" s="877"/>
      <c r="BE115" s="877"/>
      <c r="BF115" s="886"/>
      <c r="BG115" s="877"/>
      <c r="BH115" s="879"/>
      <c r="BI115" s="877"/>
      <c r="BJ115" s="877"/>
      <c r="BK115" s="877"/>
      <c r="BL115" s="877"/>
      <c r="BM115" s="886"/>
      <c r="BN115" s="877"/>
      <c r="BO115" s="879"/>
      <c r="BP115" s="877"/>
      <c r="BQ115" s="877"/>
      <c r="BR115" s="877"/>
      <c r="BS115" s="877"/>
      <c r="BT115" s="886"/>
      <c r="BU115" s="877"/>
      <c r="BV115" s="879"/>
      <c r="BW115" s="886"/>
    </row>
    <row r="116" spans="1:253" s="406" customFormat="1" ht="17.25">
      <c r="A116" s="18"/>
      <c r="B116" s="55"/>
      <c r="C116" s="595"/>
      <c r="D116" s="50"/>
      <c r="E116" s="1294" t="s">
        <v>367</v>
      </c>
      <c r="F116" s="877">
        <f>SUM(K116:L116)</f>
        <v>0</v>
      </c>
      <c r="G116" s="877">
        <f>SUM(I116:Q116)</f>
        <v>1.6198219802479267E-5</v>
      </c>
      <c r="H116" s="878">
        <f>SUM(U116:W116)/(1-'Common input data'!$B$142)</f>
        <v>2.2517699609343464E-5</v>
      </c>
      <c r="I116" s="877">
        <f>('Input data plant-based products'!$F$17*('Common input data'!$B$93*'Common input data'!B87+'Common input data'!$B$94*'Common input data'!C87))/'Input data plant-based products'!$E$17</f>
        <v>1.1350935801309334E-5</v>
      </c>
      <c r="J116" s="877">
        <v>0</v>
      </c>
      <c r="K116" s="877">
        <v>0</v>
      </c>
      <c r="L116" s="877">
        <v>0</v>
      </c>
      <c r="M116" s="877"/>
      <c r="N116" s="877">
        <f>('Input data plant-based products'!$P$17*'Common input data'!$C$76*'Common input data'!H67)/'Input data plant-based products'!$E$17</f>
        <v>4.8472840011699326E-6</v>
      </c>
      <c r="O116" s="877">
        <v>0</v>
      </c>
      <c r="P116" s="877">
        <v>0</v>
      </c>
      <c r="Q116" s="877">
        <v>0</v>
      </c>
      <c r="R116" s="877">
        <v>0</v>
      </c>
      <c r="S116" s="877">
        <v>0</v>
      </c>
      <c r="T116" s="877">
        <v>0</v>
      </c>
      <c r="U116" s="877">
        <f>(G116+T116)</f>
        <v>1.6198219802479267E-5</v>
      </c>
      <c r="V116" s="877">
        <v>0</v>
      </c>
      <c r="W116" s="886">
        <v>0</v>
      </c>
      <c r="X116" s="188"/>
      <c r="Y116" s="879"/>
      <c r="Z116" s="877"/>
      <c r="AA116" s="877"/>
      <c r="AB116" s="877"/>
      <c r="AC116" s="877"/>
      <c r="AD116" s="886"/>
      <c r="AE116" s="877"/>
      <c r="AF116" s="879"/>
      <c r="AG116" s="877"/>
      <c r="AH116" s="877"/>
      <c r="AI116" s="877"/>
      <c r="AJ116" s="877"/>
      <c r="AK116" s="886"/>
      <c r="AL116" s="877"/>
      <c r="AM116" s="879"/>
      <c r="AN116" s="877"/>
      <c r="AO116" s="877"/>
      <c r="AP116" s="877"/>
      <c r="AQ116" s="877"/>
      <c r="AR116" s="886"/>
      <c r="AS116" s="877"/>
      <c r="AT116" s="879"/>
      <c r="AU116" s="877"/>
      <c r="AV116" s="877"/>
      <c r="AW116" s="877"/>
      <c r="AX116" s="877"/>
      <c r="AY116" s="886"/>
      <c r="AZ116" s="877"/>
      <c r="BA116" s="879"/>
      <c r="BB116" s="877"/>
      <c r="BC116" s="877"/>
      <c r="BD116" s="877"/>
      <c r="BE116" s="877"/>
      <c r="BF116" s="886"/>
      <c r="BG116" s="877"/>
      <c r="BH116" s="879"/>
      <c r="BI116" s="877"/>
      <c r="BJ116" s="877"/>
      <c r="BK116" s="877"/>
      <c r="BL116" s="877"/>
      <c r="BM116" s="886"/>
      <c r="BN116" s="877"/>
      <c r="BO116" s="879"/>
      <c r="BP116" s="877"/>
      <c r="BQ116" s="877"/>
      <c r="BR116" s="877"/>
      <c r="BS116" s="877"/>
      <c r="BT116" s="886"/>
      <c r="BU116" s="877"/>
      <c r="BV116" s="879"/>
      <c r="BW116" s="886"/>
    </row>
    <row r="117" spans="1:253" s="406" customFormat="1" ht="17.25">
      <c r="A117" s="359"/>
      <c r="B117" s="360"/>
      <c r="C117" s="83"/>
      <c r="D117" s="54"/>
      <c r="E117" s="1295" t="s">
        <v>320</v>
      </c>
      <c r="F117" s="877">
        <f>SUM(K117:L117)</f>
        <v>1.1025551681005026E-4</v>
      </c>
      <c r="G117" s="877">
        <f>SUM(I117:Q117)</f>
        <v>1.2952211271450716E-4</v>
      </c>
      <c r="H117" s="878">
        <f>SUM(U117:W117)/(1-'Common input data'!$B$142)</f>
        <v>1.800531208019784E-4</v>
      </c>
      <c r="I117" s="877">
        <f>('Input data plant-based products'!$F$17*('Common input data'!$B$93*'Common input data'!B88+'Common input data'!$B$94*'Common input data'!C88))/'Input data plant-based products'!$E$17</f>
        <v>1.8972559051575941E-5</v>
      </c>
      <c r="J117" s="877">
        <v>0</v>
      </c>
      <c r="K117" s="877">
        <f>(SUM(('Input data plant-based products'!$F$17*'Input data plant-based products'!$B$258),(('Input data plant-based products'!$G$17+'Input data plant-based products'!$H$17)*'Input data plant-based products'!$B$259))*44/28)/'Input data plant-based products'!$E$17</f>
        <v>1.002322880091366E-4</v>
      </c>
      <c r="L117" s="877">
        <f>K117*'Input data plant-based products'!$B$261</f>
        <v>1.0023228800913661E-5</v>
      </c>
      <c r="M117" s="877"/>
      <c r="N117" s="877">
        <f>('Input data plant-based products'!$P$17*'Common input data'!$C$76*'Common input data'!H68)/'Input data plant-based products'!$E$17</f>
        <v>2.9403685288095934E-7</v>
      </c>
      <c r="O117" s="877">
        <v>0</v>
      </c>
      <c r="P117" s="877">
        <v>0</v>
      </c>
      <c r="Q117" s="877">
        <v>0</v>
      </c>
      <c r="R117" s="877">
        <v>0</v>
      </c>
      <c r="S117" s="877">
        <v>0</v>
      </c>
      <c r="T117" s="877">
        <v>0</v>
      </c>
      <c r="U117" s="877">
        <f>(G117+T117)</f>
        <v>1.2952211271450716E-4</v>
      </c>
      <c r="V117" s="877">
        <v>0</v>
      </c>
      <c r="W117" s="886">
        <v>0</v>
      </c>
      <c r="X117" s="188"/>
      <c r="Y117" s="879"/>
      <c r="Z117" s="877"/>
      <c r="AA117" s="877"/>
      <c r="AB117" s="877"/>
      <c r="AC117" s="877"/>
      <c r="AD117" s="886"/>
      <c r="AE117" s="877"/>
      <c r="AF117" s="879"/>
      <c r="AG117" s="877"/>
      <c r="AH117" s="877"/>
      <c r="AI117" s="877"/>
      <c r="AJ117" s="877"/>
      <c r="AK117" s="886"/>
      <c r="AL117" s="877"/>
      <c r="AM117" s="879"/>
      <c r="AN117" s="877"/>
      <c r="AO117" s="877"/>
      <c r="AP117" s="877"/>
      <c r="AQ117" s="877"/>
      <c r="AR117" s="886"/>
      <c r="AS117" s="877"/>
      <c r="AT117" s="879"/>
      <c r="AU117" s="877"/>
      <c r="AV117" s="877"/>
      <c r="AW117" s="877"/>
      <c r="AX117" s="877"/>
      <c r="AY117" s="886"/>
      <c r="AZ117" s="877"/>
      <c r="BA117" s="879"/>
      <c r="BB117" s="877"/>
      <c r="BC117" s="877"/>
      <c r="BD117" s="877"/>
      <c r="BE117" s="877"/>
      <c r="BF117" s="886"/>
      <c r="BG117" s="877"/>
      <c r="BH117" s="879"/>
      <c r="BI117" s="877"/>
      <c r="BJ117" s="877"/>
      <c r="BK117" s="877"/>
      <c r="BL117" s="877"/>
      <c r="BM117" s="886"/>
      <c r="BN117" s="877"/>
      <c r="BO117" s="879"/>
      <c r="BP117" s="877"/>
      <c r="BQ117" s="877"/>
      <c r="BR117" s="877"/>
      <c r="BS117" s="877"/>
      <c r="BT117" s="886"/>
      <c r="BU117" s="877"/>
      <c r="BV117" s="879"/>
      <c r="BW117" s="886"/>
    </row>
    <row r="118" spans="1:253" s="406" customFormat="1" ht="17.25">
      <c r="A118" s="20" t="s">
        <v>125</v>
      </c>
      <c r="B118" s="93" t="s">
        <v>121</v>
      </c>
      <c r="C118" s="87">
        <f>'Input data plant-based products'!D19</f>
        <v>0.16256058159999998</v>
      </c>
      <c r="D118" s="54"/>
      <c r="E118" s="1293" t="s">
        <v>316</v>
      </c>
      <c r="F118" s="872">
        <f>SUMPRODUCT($CE$14:$CE$16,F119:F121)</f>
        <v>8.0160748378957106E-2</v>
      </c>
      <c r="G118" s="872">
        <f>SUMPRODUCT($CE$14:$CE$16,G119:G121)</f>
        <v>0.18517863916178048</v>
      </c>
      <c r="H118" s="873">
        <f>SUMPRODUCT($CE$14:$CE$16,H119:H121)</f>
        <v>0.64666074352966285</v>
      </c>
      <c r="I118" s="888"/>
      <c r="J118" s="888"/>
      <c r="K118" s="888"/>
      <c r="L118" s="888"/>
      <c r="M118" s="888"/>
      <c r="N118" s="888"/>
      <c r="O118" s="888"/>
      <c r="P118" s="888"/>
      <c r="Q118" s="888"/>
      <c r="R118" s="888"/>
      <c r="S118" s="888"/>
      <c r="T118" s="888"/>
      <c r="U118" s="888"/>
      <c r="V118" s="888"/>
      <c r="W118" s="936"/>
      <c r="X118" s="188"/>
      <c r="Y118" s="879">
        <f>1/'Input data plant-based products'!E19*10^4</f>
        <v>0.4656856221961031</v>
      </c>
      <c r="Z118" s="877">
        <f>$Y118*'Input data plant-based products'!Z19</f>
        <v>0.4656856221961031</v>
      </c>
      <c r="AA118" s="877">
        <f>$Y118*'Input data plant-based products'!AA19</f>
        <v>0.4656856221961031</v>
      </c>
      <c r="AB118" s="877">
        <f>$Y118*'Input data plant-based products'!AB19</f>
        <v>0.4656856221961031</v>
      </c>
      <c r="AC118" s="877">
        <f>$Y118*'Input data plant-based products'!AC19</f>
        <v>0.64736551799334563</v>
      </c>
      <c r="AD118" s="886">
        <f>$Y118*'Input data plant-based products'!AD19</f>
        <v>0.77995845541366948</v>
      </c>
      <c r="AE118" s="877"/>
      <c r="AF118" s="879">
        <f>SUM('Input data plant-based products'!F19,'Input data plant-based products'!Q19)/'Input data plant-based products'!E19</f>
        <v>6.0000000000000001E-3</v>
      </c>
      <c r="AG118" s="877">
        <f>$AF118*'Input data plant-based products'!Z19</f>
        <v>6.0000000000000001E-3</v>
      </c>
      <c r="AH118" s="877">
        <f>$AF118*'Input data plant-based products'!AA19</f>
        <v>6.0000000000000001E-3</v>
      </c>
      <c r="AI118" s="877">
        <f>$AF118*'Input data plant-based products'!AB19</f>
        <v>6.0000000000000001E-3</v>
      </c>
      <c r="AJ118" s="877">
        <f>$AF118*'Input data plant-based products'!AC19</f>
        <v>8.3408053047521746E-3</v>
      </c>
      <c r="AK118" s="886">
        <f>$AF118*'Input data plant-based products'!AD19</f>
        <v>1.0049163017773704E-2</v>
      </c>
      <c r="AL118" s="877"/>
      <c r="AM118" s="879">
        <f>'Input data plant-based products'!R19/'Input data plant-based products'!E19</f>
        <v>4.0000000000000001E-3</v>
      </c>
      <c r="AN118" s="877">
        <f>$AM118*'Input data plant-based products'!Z19</f>
        <v>4.0000000000000001E-3</v>
      </c>
      <c r="AO118" s="877">
        <f>$AM118*'Input data plant-based products'!AA19</f>
        <v>4.0000000000000001E-3</v>
      </c>
      <c r="AP118" s="877">
        <f>$AM118*'Input data plant-based products'!AB19</f>
        <v>4.0000000000000001E-3</v>
      </c>
      <c r="AQ118" s="877">
        <f>$AM118*'Input data plant-based products'!AC19</f>
        <v>5.5605368698347828E-3</v>
      </c>
      <c r="AR118" s="886">
        <f>$AM118*'Input data plant-based products'!AD19</f>
        <v>6.6994420118491362E-3</v>
      </c>
      <c r="AS118" s="877"/>
      <c r="AT118" s="879">
        <f>'Input data plant-based products'!S19</f>
        <v>1.2526333206124122E-2</v>
      </c>
      <c r="AU118" s="877">
        <f>$AT118*'Input data plant-based products'!Z19</f>
        <v>1.2526333206124122E-2</v>
      </c>
      <c r="AV118" s="877">
        <f>$AT118*'Input data plant-based products'!AA19</f>
        <v>1.2526333206124122E-2</v>
      </c>
      <c r="AW118" s="877">
        <f>$AT118*'Input data plant-based products'!AB19</f>
        <v>1.2526333206124122E-2</v>
      </c>
      <c r="AX118" s="877">
        <f>$AT118*'Input data plant-based products'!AC19</f>
        <v>1.741328440912223E-2</v>
      </c>
      <c r="AY118" s="886">
        <f>$AT118*'Input data plant-based products'!AD19</f>
        <v>2.0979860733882208E-2</v>
      </c>
      <c r="AZ118" s="877"/>
      <c r="BA118" s="879">
        <f>((SUM('Input data plant-based products'!U19:Y19)*Y118)/('Common input data'!$B$192/10^6))/$BB$3</f>
        <v>1.0720363552937025E-11</v>
      </c>
      <c r="BB118" s="877">
        <f>$BA118*'Input data plant-based products'!Z19</f>
        <v>1.0720363552937025E-11</v>
      </c>
      <c r="BC118" s="877">
        <f>$BA118*'Input data plant-based products'!AA19</f>
        <v>1.0720363552937025E-11</v>
      </c>
      <c r="BD118" s="877">
        <f>$BA118*'Input data plant-based products'!AB19</f>
        <v>1.0720363552937025E-11</v>
      </c>
      <c r="BE118" s="877">
        <f>$BA118*'Input data plant-based products'!AC19</f>
        <v>1.4902744198534833E-11</v>
      </c>
      <c r="BF118" s="886">
        <f>$BA118*'Input data plant-based products'!AD19</f>
        <v>1.7955113492210646E-11</v>
      </c>
      <c r="BG118" s="877"/>
      <c r="BH118" s="879">
        <f>'Input data plant-based products'!T19/'Input data plant-based products'!E19</f>
        <v>2.8406822953962288E-4</v>
      </c>
      <c r="BI118" s="877">
        <f>$BH118*'Input data plant-based products'!Z19</f>
        <v>2.8406822953962288E-4</v>
      </c>
      <c r="BJ118" s="877">
        <f>$BH118*'Input data plant-based products'!AA19</f>
        <v>2.8406822953962288E-4</v>
      </c>
      <c r="BK118" s="877">
        <f>$BH118*'Input data plant-based products'!AB19</f>
        <v>2.8406822953962288E-4</v>
      </c>
      <c r="BL118" s="877">
        <f>$BH118*'Input data plant-based products'!AC19</f>
        <v>3.9489296597594082E-4</v>
      </c>
      <c r="BM118" s="886">
        <f>$BH118*'Input data plant-based products'!AD19</f>
        <v>4.7577465780233836E-4</v>
      </c>
      <c r="BN118" s="877"/>
      <c r="BO118" s="879">
        <f>('Input data plant-based products'!F19/'Input data plant-based products'!E19*'Common input data'!$B$195+'Input data plant-based products'!G19/'Input data plant-based products'!E19*'Common input data'!$B$196)/'Common input data'!$B$198</f>
        <v>1.5320239880059968E-4</v>
      </c>
      <c r="BP118" s="877">
        <f>$BO118*'Input data plant-based products'!Z19</f>
        <v>1.5320239880059968E-4</v>
      </c>
      <c r="BQ118" s="877">
        <f>$BO118*'Input data plant-based products'!AA19</f>
        <v>1.5320239880059968E-4</v>
      </c>
      <c r="BR118" s="877">
        <f>$BO118*'Input data plant-based products'!AB19</f>
        <v>1.5320239880059968E-4</v>
      </c>
      <c r="BS118" s="877">
        <f>$BO118*'Input data plant-based products'!AC19</f>
        <v>2.1297189676946666E-4</v>
      </c>
      <c r="BT118" s="886">
        <f>$BO118*'Input data plant-based products'!AD19</f>
        <v>2.5659264671020078E-4</v>
      </c>
      <c r="BU118" s="877"/>
      <c r="BV118" s="879">
        <f>('Common input data'!$C$202+'Common input data'!$B$214)*'Input data plant-based products'!AC18</f>
        <v>1.3208591956220042</v>
      </c>
      <c r="BW118" s="886">
        <f>('Common input data'!$C$202+'Common input data'!$B$214)*'Input data plant-based products'!AD18</f>
        <v>1.5913966212313304</v>
      </c>
    </row>
    <row r="119" spans="1:253" s="406" customFormat="1" ht="17.25">
      <c r="A119" s="68"/>
      <c r="B119" s="55"/>
      <c r="C119" s="917"/>
      <c r="D119" s="5"/>
      <c r="E119" s="1294" t="s">
        <v>317</v>
      </c>
      <c r="F119" s="877">
        <f>IF(AND($G$2="No",$G$3="No"),SUM(K119:L119),IF(AND($G$2="Yes", $G$3="No"), SUM(K119:L119)+S119, IF(AND($G$2="No", $G$3="Yes"),SUM(K119:L119)+R119, SUM(K119:L119)+S119+R119)))</f>
        <v>3.9989486962957101E-2</v>
      </c>
      <c r="G119" s="877">
        <f>IF(AND($G$2="No",$G$3="No"),SUM(I119:Q119),IF(AND($G$2="Yes", $G$3="No"), SUM(I119:Q119)+S119, IF(AND($G$2="No", $G$3="Yes"),SUM(I119:Q119)+R119, SUM(I119:Q119)+S119+R119)))</f>
        <v>0.13000220795095893</v>
      </c>
      <c r="H119" s="878">
        <f>SUM(U119:W119)/(1-'Common input data'!$B$142)</f>
        <v>0.56995809850624379</v>
      </c>
      <c r="I119" s="877">
        <f>('Input data plant-based products'!$F$19*('Common input data'!$C$93*'Common input data'!B86+'Common input data'!$C$94*'Common input data'!C86))/'Input data plant-based products'!$E$19</f>
        <v>2.2589849706985073E-2</v>
      </c>
      <c r="J119" s="877">
        <f>'Common input data'!$B$98</f>
        <v>0.03</v>
      </c>
      <c r="K119" s="877">
        <v>0</v>
      </c>
      <c r="L119" s="877">
        <v>0</v>
      </c>
      <c r="M119" s="877"/>
      <c r="N119" s="877">
        <f>('Input data plant-based products'!$P$19*'Common input data'!$C$76*'Common input data'!H66)/'Input data plant-based products'!$E$19</f>
        <v>1.7422871281016751E-2</v>
      </c>
      <c r="O119" s="877">
        <v>0</v>
      </c>
      <c r="P119" s="877">
        <f>'Input data plant-based products'!$G$309</f>
        <v>0.02</v>
      </c>
      <c r="Q119" s="877">
        <v>0</v>
      </c>
      <c r="R119" s="877">
        <f>'Common input data'!$E$19</f>
        <v>3.9989486962957101E-2</v>
      </c>
      <c r="S119" s="877">
        <v>0</v>
      </c>
      <c r="T119" s="877">
        <v>0</v>
      </c>
      <c r="U119" s="877">
        <f>(G119+T119)</f>
        <v>0.13000220795095893</v>
      </c>
      <c r="V119" s="877">
        <f>'Common input data'!$B$105</f>
        <v>0.05</v>
      </c>
      <c r="W119" s="886">
        <f>'Common input data'!B119+'Common input data'!C119</f>
        <v>0.23000000000000004</v>
      </c>
      <c r="X119" s="188"/>
      <c r="Y119" s="879"/>
      <c r="Z119" s="877"/>
      <c r="AA119" s="877"/>
      <c r="AB119" s="877"/>
      <c r="AC119" s="877"/>
      <c r="AD119" s="886"/>
      <c r="AE119" s="877"/>
      <c r="AF119" s="879"/>
      <c r="AG119" s="877"/>
      <c r="AH119" s="877"/>
      <c r="AI119" s="877"/>
      <c r="AJ119" s="877"/>
      <c r="AK119" s="886"/>
      <c r="AL119" s="877"/>
      <c r="AM119" s="879"/>
      <c r="AN119" s="877"/>
      <c r="AO119" s="877"/>
      <c r="AP119" s="877"/>
      <c r="AQ119" s="877"/>
      <c r="AR119" s="886"/>
      <c r="AS119" s="877"/>
      <c r="AT119" s="879"/>
      <c r="AU119" s="877"/>
      <c r="AV119" s="877"/>
      <c r="AW119" s="877"/>
      <c r="AX119" s="877"/>
      <c r="AY119" s="886"/>
      <c r="AZ119" s="877"/>
      <c r="BA119" s="879"/>
      <c r="BB119" s="877"/>
      <c r="BC119" s="877"/>
      <c r="BD119" s="877"/>
      <c r="BE119" s="877"/>
      <c r="BF119" s="886"/>
      <c r="BG119" s="877"/>
      <c r="BH119" s="879"/>
      <c r="BI119" s="877"/>
      <c r="BJ119" s="877"/>
      <c r="BK119" s="877"/>
      <c r="BL119" s="877"/>
      <c r="BM119" s="886"/>
      <c r="BN119" s="877"/>
      <c r="BO119" s="879"/>
      <c r="BP119" s="877"/>
      <c r="BQ119" s="877"/>
      <c r="BR119" s="877"/>
      <c r="BS119" s="877"/>
      <c r="BT119" s="886"/>
      <c r="BU119" s="877"/>
      <c r="BV119" s="879"/>
      <c r="BW119" s="886"/>
    </row>
    <row r="120" spans="1:253" s="406" customFormat="1" ht="17.25">
      <c r="A120" s="18"/>
      <c r="B120" s="55"/>
      <c r="C120" s="595"/>
      <c r="D120" s="50"/>
      <c r="E120" s="1294" t="s">
        <v>367</v>
      </c>
      <c r="F120" s="877">
        <f>SUM(K120:L120)</f>
        <v>0</v>
      </c>
      <c r="G120" s="877">
        <f>SUM(I120:Q120)</f>
        <v>4.9157702429083029E-5</v>
      </c>
      <c r="H120" s="878">
        <f>SUM(U120:W120)/(1-'Common input data'!$B$142)</f>
        <v>6.8335804198320759E-5</v>
      </c>
      <c r="I120" s="877">
        <f>('Input data plant-based products'!$F$19*('Common input data'!$C$93*'Common input data'!B87+'Common input data'!$C$94*'Common input data'!C87))/'Input data plant-based products'!$E$19</f>
        <v>4.1439957945671633E-5</v>
      </c>
      <c r="J120" s="877">
        <v>0</v>
      </c>
      <c r="K120" s="877">
        <v>0</v>
      </c>
      <c r="L120" s="877">
        <v>0</v>
      </c>
      <c r="M120" s="877"/>
      <c r="N120" s="877">
        <f>('Input data plant-based products'!$P$19*'Common input data'!$C$76*'Common input data'!H67)/'Input data plant-based products'!$E$19</f>
        <v>7.7177444834113975E-6</v>
      </c>
      <c r="O120" s="877">
        <v>0</v>
      </c>
      <c r="P120" s="877">
        <v>0</v>
      </c>
      <c r="Q120" s="877">
        <v>0</v>
      </c>
      <c r="R120" s="877">
        <v>0</v>
      </c>
      <c r="S120" s="877">
        <v>0</v>
      </c>
      <c r="T120" s="877">
        <v>0</v>
      </c>
      <c r="U120" s="877">
        <f>(G120+T120)</f>
        <v>4.9157702429083029E-5</v>
      </c>
      <c r="V120" s="877">
        <v>0</v>
      </c>
      <c r="W120" s="877">
        <v>0</v>
      </c>
      <c r="X120" s="858"/>
      <c r="Y120" s="879"/>
      <c r="Z120" s="877"/>
      <c r="AA120" s="877"/>
      <c r="AB120" s="877"/>
      <c r="AC120" s="877"/>
      <c r="AD120" s="886"/>
      <c r="AE120" s="877"/>
      <c r="AF120" s="879"/>
      <c r="AG120" s="877"/>
      <c r="AH120" s="877"/>
      <c r="AI120" s="877"/>
      <c r="AJ120" s="877"/>
      <c r="AK120" s="886"/>
      <c r="AL120" s="877"/>
      <c r="AM120" s="879"/>
      <c r="AN120" s="877"/>
      <c r="AO120" s="877"/>
      <c r="AP120" s="877"/>
      <c r="AQ120" s="877"/>
      <c r="AR120" s="886"/>
      <c r="AS120" s="877"/>
      <c r="AT120" s="879"/>
      <c r="AU120" s="877"/>
      <c r="AV120" s="877"/>
      <c r="AW120" s="877"/>
      <c r="AX120" s="877"/>
      <c r="AY120" s="886"/>
      <c r="AZ120" s="877"/>
      <c r="BA120" s="879"/>
      <c r="BB120" s="877"/>
      <c r="BC120" s="877"/>
      <c r="BD120" s="877"/>
      <c r="BE120" s="877"/>
      <c r="BF120" s="886"/>
      <c r="BG120" s="877"/>
      <c r="BH120" s="879"/>
      <c r="BI120" s="877"/>
      <c r="BJ120" s="877"/>
      <c r="BK120" s="877"/>
      <c r="BL120" s="877"/>
      <c r="BM120" s="886"/>
      <c r="BN120" s="877"/>
      <c r="BO120" s="879"/>
      <c r="BP120" s="877"/>
      <c r="BQ120" s="877"/>
      <c r="BR120" s="877"/>
      <c r="BS120" s="877"/>
      <c r="BT120" s="886"/>
      <c r="BU120" s="877"/>
      <c r="BV120" s="879"/>
      <c r="BW120" s="886"/>
    </row>
    <row r="121" spans="1:253" s="406" customFormat="1" ht="17.25">
      <c r="A121" s="359"/>
      <c r="B121" s="360"/>
      <c r="C121" s="83"/>
      <c r="D121" s="54"/>
      <c r="E121" s="1295" t="s">
        <v>320</v>
      </c>
      <c r="F121" s="896">
        <f>SUM(K121:L121)</f>
        <v>1.4714747771428572E-4</v>
      </c>
      <c r="G121" s="896">
        <f>SUM(I121:Q121)</f>
        <v>1.9724971884701941E-4</v>
      </c>
      <c r="H121" s="933">
        <f>SUM(U121:W121)/(1-'Common input data'!$B$142)</f>
        <v>2.7420358355334908E-4</v>
      </c>
      <c r="I121" s="877">
        <f>('Input data plant-based products'!$F$19*('Common input data'!$C$93*'Common input data'!B88+'Common input data'!$C$94*'Common input data'!C88))/'Input data plant-based products'!$E$19</f>
        <v>4.9634081788512465E-5</v>
      </c>
      <c r="J121" s="877">
        <v>0</v>
      </c>
      <c r="K121" s="877">
        <f>(SUM('Input data plant-based products'!F19:H19)*'Input data plant-based products'!$B$257*44/28)/'Input data plant-based products'!E19</f>
        <v>1.3377043428571428E-4</v>
      </c>
      <c r="L121" s="877">
        <f>K121*'Input data plant-based products'!$B$261</f>
        <v>1.3377043428571429E-5</v>
      </c>
      <c r="M121" s="877"/>
      <c r="N121" s="877">
        <f>('Input data plant-based products'!$P$19*'Common input data'!$C$76*'Common input data'!H68)/'Input data plant-based products'!$E$19</f>
        <v>4.6815934422120883E-7</v>
      </c>
      <c r="O121" s="877">
        <v>0</v>
      </c>
      <c r="P121" s="877">
        <v>0</v>
      </c>
      <c r="Q121" s="877">
        <v>0</v>
      </c>
      <c r="R121" s="877">
        <v>0</v>
      </c>
      <c r="S121" s="877">
        <v>0</v>
      </c>
      <c r="T121" s="877">
        <v>0</v>
      </c>
      <c r="U121" s="877">
        <f>(G121+T121)</f>
        <v>1.9724971884701941E-4</v>
      </c>
      <c r="V121" s="877">
        <v>0</v>
      </c>
      <c r="W121" s="877">
        <v>0</v>
      </c>
      <c r="X121" s="858"/>
      <c r="Y121" s="879"/>
      <c r="Z121" s="877"/>
      <c r="AA121" s="877"/>
      <c r="AB121" s="877"/>
      <c r="AC121" s="877"/>
      <c r="AD121" s="886"/>
      <c r="AE121" s="877"/>
      <c r="AF121" s="879"/>
      <c r="AG121" s="877"/>
      <c r="AH121" s="877"/>
      <c r="AI121" s="877"/>
      <c r="AJ121" s="877"/>
      <c r="AK121" s="886"/>
      <c r="AL121" s="877"/>
      <c r="AM121" s="879"/>
      <c r="AN121" s="877"/>
      <c r="AO121" s="877"/>
      <c r="AP121" s="877"/>
      <c r="AQ121" s="877"/>
      <c r="AR121" s="886"/>
      <c r="AS121" s="877"/>
      <c r="AT121" s="879"/>
      <c r="AU121" s="877"/>
      <c r="AV121" s="877"/>
      <c r="AW121" s="877"/>
      <c r="AX121" s="877"/>
      <c r="AY121" s="886"/>
      <c r="AZ121" s="877"/>
      <c r="BA121" s="879"/>
      <c r="BB121" s="877"/>
      <c r="BC121" s="877"/>
      <c r="BD121" s="877"/>
      <c r="BE121" s="877"/>
      <c r="BF121" s="886"/>
      <c r="BG121" s="877"/>
      <c r="BH121" s="879"/>
      <c r="BI121" s="877"/>
      <c r="BJ121" s="877"/>
      <c r="BK121" s="877"/>
      <c r="BL121" s="877"/>
      <c r="BM121" s="886"/>
      <c r="BN121" s="877"/>
      <c r="BO121" s="879"/>
      <c r="BP121" s="877"/>
      <c r="BQ121" s="877"/>
      <c r="BR121" s="877"/>
      <c r="BS121" s="877"/>
      <c r="BT121" s="886"/>
      <c r="BU121" s="877"/>
      <c r="BV121" s="879"/>
      <c r="BW121" s="886"/>
    </row>
    <row r="122" spans="1:253" s="503" customFormat="1" ht="17.25">
      <c r="A122" s="362" t="s">
        <v>484</v>
      </c>
      <c r="B122" s="363"/>
      <c r="C122" s="770"/>
      <c r="D122" s="54"/>
      <c r="E122" s="1296"/>
      <c r="F122" s="1290" t="s">
        <v>485</v>
      </c>
      <c r="G122" s="1290" t="s">
        <v>485</v>
      </c>
      <c r="H122" s="870" t="s">
        <v>485</v>
      </c>
      <c r="I122" s="889"/>
      <c r="J122" s="889"/>
      <c r="K122" s="889"/>
      <c r="L122" s="890"/>
      <c r="M122" s="890"/>
      <c r="N122" s="890"/>
      <c r="O122" s="891"/>
      <c r="P122" s="890"/>
      <c r="Q122" s="890"/>
      <c r="R122" s="890"/>
      <c r="S122" s="890"/>
      <c r="T122" s="890"/>
      <c r="U122" s="890"/>
      <c r="V122" s="890"/>
      <c r="W122" s="890"/>
      <c r="X122" s="864"/>
      <c r="Y122" s="879"/>
      <c r="Z122" s="877"/>
      <c r="AA122" s="877"/>
      <c r="AB122" s="877"/>
      <c r="AC122" s="877"/>
      <c r="AD122" s="886"/>
      <c r="AE122" s="877"/>
      <c r="AF122" s="879"/>
      <c r="AG122" s="877"/>
      <c r="AH122" s="877"/>
      <c r="AI122" s="877"/>
      <c r="AJ122" s="877"/>
      <c r="AK122" s="886"/>
      <c r="AL122" s="877"/>
      <c r="AM122" s="879"/>
      <c r="AN122" s="877"/>
      <c r="AO122" s="877"/>
      <c r="AP122" s="877"/>
      <c r="AQ122" s="877"/>
      <c r="AR122" s="886"/>
      <c r="AS122" s="877"/>
      <c r="AT122" s="879"/>
      <c r="AU122" s="877"/>
      <c r="AV122" s="877"/>
      <c r="AW122" s="877"/>
      <c r="AX122" s="877"/>
      <c r="AY122" s="886"/>
      <c r="AZ122" s="877"/>
      <c r="BA122" s="879"/>
      <c r="BB122" s="877"/>
      <c r="BC122" s="877"/>
      <c r="BD122" s="877"/>
      <c r="BE122" s="877"/>
      <c r="BF122" s="886"/>
      <c r="BG122" s="877"/>
      <c r="BH122" s="879"/>
      <c r="BI122" s="877"/>
      <c r="BJ122" s="877"/>
      <c r="BK122" s="877"/>
      <c r="BL122" s="877"/>
      <c r="BM122" s="886"/>
      <c r="BN122" s="877"/>
      <c r="BO122" s="879"/>
      <c r="BP122" s="877"/>
      <c r="BQ122" s="877"/>
      <c r="BR122" s="877"/>
      <c r="BS122" s="877"/>
      <c r="BT122" s="886"/>
      <c r="BU122" s="877"/>
      <c r="BV122" s="879"/>
      <c r="BW122" s="886"/>
      <c r="BX122" s="406"/>
      <c r="BY122" s="406"/>
      <c r="BZ122" s="406"/>
      <c r="CA122" s="406"/>
      <c r="CB122" s="406"/>
      <c r="CC122" s="406"/>
      <c r="CD122" s="406"/>
      <c r="CE122" s="406"/>
      <c r="CF122" s="406"/>
      <c r="CG122" s="406"/>
      <c r="CH122" s="406"/>
      <c r="CI122" s="406"/>
      <c r="CJ122" s="406"/>
      <c r="CK122" s="406"/>
      <c r="CL122" s="406"/>
      <c r="CM122" s="406"/>
      <c r="CN122" s="406"/>
      <c r="CO122" s="406"/>
      <c r="CP122" s="406"/>
      <c r="CQ122" s="406"/>
      <c r="CR122" s="406"/>
      <c r="CS122" s="406"/>
      <c r="CT122" s="406"/>
      <c r="CU122" s="406"/>
      <c r="CV122" s="406"/>
      <c r="CW122" s="406"/>
      <c r="CX122" s="406"/>
      <c r="CY122" s="406"/>
      <c r="CZ122" s="406"/>
      <c r="DA122" s="406"/>
      <c r="DB122" s="406"/>
      <c r="DC122" s="406"/>
      <c r="DD122" s="406"/>
      <c r="DE122" s="406"/>
      <c r="DF122" s="406"/>
      <c r="DG122" s="406"/>
      <c r="DH122" s="406"/>
      <c r="DI122" s="406"/>
      <c r="DJ122" s="406"/>
      <c r="DK122" s="406"/>
      <c r="DL122" s="406"/>
      <c r="DM122" s="406"/>
      <c r="DN122" s="406"/>
      <c r="DO122" s="406"/>
      <c r="DP122" s="406"/>
      <c r="DQ122" s="406"/>
      <c r="DR122" s="406"/>
      <c r="DS122" s="406"/>
      <c r="DT122" s="406"/>
      <c r="DU122" s="406"/>
      <c r="DV122" s="406"/>
      <c r="DW122" s="406"/>
      <c r="DX122" s="406"/>
      <c r="DY122" s="406"/>
      <c r="DZ122" s="406"/>
      <c r="EA122" s="406"/>
      <c r="EB122" s="406"/>
      <c r="EC122" s="406"/>
      <c r="ED122" s="406"/>
      <c r="EE122" s="406"/>
      <c r="EF122" s="406"/>
      <c r="EG122" s="406"/>
      <c r="EH122" s="406"/>
      <c r="EI122" s="406"/>
      <c r="EJ122" s="406"/>
      <c r="EK122" s="406"/>
      <c r="EL122" s="406"/>
      <c r="EM122" s="406"/>
      <c r="EN122" s="406"/>
      <c r="EO122" s="406"/>
      <c r="EP122" s="406"/>
      <c r="EQ122" s="406"/>
      <c r="ER122" s="406"/>
      <c r="ES122" s="406"/>
      <c r="ET122" s="406"/>
      <c r="EU122" s="406"/>
      <c r="EV122" s="406"/>
      <c r="EW122" s="406"/>
      <c r="EX122" s="406"/>
      <c r="EY122" s="406"/>
      <c r="EZ122" s="406"/>
      <c r="FA122" s="406"/>
      <c r="FB122" s="406"/>
      <c r="FC122" s="406"/>
      <c r="FD122" s="406"/>
      <c r="FE122" s="406"/>
      <c r="FF122" s="406"/>
      <c r="FG122" s="406"/>
      <c r="FH122" s="406"/>
      <c r="FI122" s="406"/>
      <c r="FJ122" s="406"/>
      <c r="FK122" s="406"/>
      <c r="FL122" s="406"/>
      <c r="FM122" s="406"/>
      <c r="FN122" s="406"/>
      <c r="FO122" s="406"/>
      <c r="FP122" s="406"/>
      <c r="FQ122" s="406"/>
      <c r="FR122" s="406"/>
      <c r="FS122" s="406"/>
      <c r="FT122" s="406"/>
      <c r="FU122" s="406"/>
      <c r="FV122" s="406"/>
      <c r="FW122" s="406"/>
      <c r="FX122" s="406"/>
      <c r="FY122" s="406"/>
      <c r="FZ122" s="406"/>
      <c r="GA122" s="406"/>
      <c r="GB122" s="406"/>
      <c r="GC122" s="406"/>
      <c r="GD122" s="406"/>
      <c r="GE122" s="406"/>
      <c r="GF122" s="406"/>
      <c r="GG122" s="406"/>
      <c r="GH122" s="406"/>
      <c r="GI122" s="406"/>
      <c r="GJ122" s="406"/>
      <c r="GK122" s="406"/>
      <c r="GL122" s="406"/>
      <c r="GM122" s="406"/>
      <c r="GN122" s="406"/>
      <c r="GO122" s="406"/>
      <c r="GP122" s="406"/>
      <c r="GQ122" s="406"/>
      <c r="GR122" s="406"/>
      <c r="GS122" s="406"/>
      <c r="GT122" s="406"/>
      <c r="GU122" s="406"/>
      <c r="GV122" s="406"/>
      <c r="GW122" s="406"/>
      <c r="GX122" s="406"/>
      <c r="GY122" s="406"/>
      <c r="GZ122" s="406"/>
      <c r="HA122" s="406"/>
      <c r="HB122" s="406"/>
      <c r="HC122" s="406"/>
      <c r="HD122" s="406"/>
      <c r="HE122" s="406"/>
      <c r="HF122" s="406"/>
      <c r="HG122" s="406"/>
      <c r="HH122" s="406"/>
      <c r="HI122" s="406"/>
      <c r="HJ122" s="406"/>
      <c r="HK122" s="406"/>
      <c r="HL122" s="406"/>
      <c r="HM122" s="406"/>
      <c r="HN122" s="406"/>
      <c r="HO122" s="406"/>
      <c r="HP122" s="406"/>
      <c r="HQ122" s="406"/>
      <c r="HR122" s="406"/>
      <c r="HS122" s="406"/>
      <c r="HT122" s="406"/>
      <c r="HU122" s="406"/>
      <c r="HV122" s="406"/>
      <c r="HW122" s="406"/>
      <c r="HX122" s="406"/>
      <c r="HY122" s="406"/>
      <c r="HZ122" s="406"/>
      <c r="IA122" s="406"/>
      <c r="IB122" s="406"/>
      <c r="IC122" s="406"/>
      <c r="ID122" s="406"/>
      <c r="IE122" s="406"/>
      <c r="IF122" s="406"/>
      <c r="IG122" s="406"/>
      <c r="IH122" s="406"/>
      <c r="II122" s="406"/>
      <c r="IJ122" s="406"/>
      <c r="IK122" s="406"/>
      <c r="IL122" s="406"/>
      <c r="IM122" s="406"/>
      <c r="IN122" s="406"/>
      <c r="IO122" s="406"/>
      <c r="IP122" s="406"/>
      <c r="IQ122" s="406"/>
      <c r="IR122" s="406"/>
      <c r="IS122" s="406"/>
    </row>
    <row r="123" spans="1:253" s="502" customFormat="1" ht="17.25">
      <c r="A123" s="20" t="s">
        <v>120</v>
      </c>
      <c r="B123" s="93"/>
      <c r="C123" s="903">
        <f>SUM(C127:C134)</f>
        <v>1</v>
      </c>
      <c r="D123" s="26"/>
      <c r="E123" s="1293" t="s">
        <v>316</v>
      </c>
      <c r="F123" s="874">
        <f>SUMPRODUCT($CE$14:$CE$16,F124:F126)</f>
        <v>5.5129747955759617E-2</v>
      </c>
      <c r="G123" s="874">
        <f>SUMPRODUCT($CE$14:$CE$16,G124:G126)</f>
        <v>0.10007432832616789</v>
      </c>
      <c r="H123" s="927">
        <f>SUMPRODUCT($CE$14:$CE$16,H124:H126)</f>
        <v>0.26978936453651936</v>
      </c>
      <c r="I123" s="874"/>
      <c r="J123" s="875"/>
      <c r="K123" s="875"/>
      <c r="L123" s="876"/>
      <c r="M123" s="876"/>
      <c r="N123" s="876"/>
      <c r="O123" s="876"/>
      <c r="P123" s="876"/>
      <c r="Q123" s="876"/>
      <c r="R123" s="876"/>
      <c r="S123" s="876"/>
      <c r="T123" s="876"/>
      <c r="U123" s="876"/>
      <c r="V123" s="876"/>
      <c r="W123" s="893"/>
      <c r="X123" s="864"/>
      <c r="Y123" s="883">
        <f>Y127*$C$127+Y131*$C$131</f>
        <v>0.17784544552538162</v>
      </c>
      <c r="Z123" s="884">
        <f t="shared" ref="Z123:BW123" si="13">Z127*$C$127+Z131*$C$131</f>
        <v>0.17784544552538162</v>
      </c>
      <c r="AA123" s="884">
        <f t="shared" si="13"/>
        <v>0.17784544552538162</v>
      </c>
      <c r="AB123" s="884">
        <f t="shared" si="13"/>
        <v>0.17784544552538162</v>
      </c>
      <c r="AC123" s="884">
        <f t="shared" si="13"/>
        <v>0.24722903924401946</v>
      </c>
      <c r="AD123" s="885">
        <f t="shared" si="13"/>
        <v>0.30522103610372769</v>
      </c>
      <c r="AE123" s="877"/>
      <c r="AF123" s="883">
        <f t="shared" si="13"/>
        <v>1.5579004415193914E-3</v>
      </c>
      <c r="AG123" s="884">
        <f t="shared" si="13"/>
        <v>1.5579004415193914E-3</v>
      </c>
      <c r="AH123" s="884">
        <f t="shared" si="13"/>
        <v>1.5579004415193914E-3</v>
      </c>
      <c r="AI123" s="884">
        <f t="shared" si="13"/>
        <v>1.5579004415193914E-3</v>
      </c>
      <c r="AJ123" s="884">
        <f t="shared" si="13"/>
        <v>2.1656907111501159E-3</v>
      </c>
      <c r="AK123" s="885">
        <f t="shared" si="13"/>
        <v>2.6736922359877967E-3</v>
      </c>
      <c r="AL123" s="877"/>
      <c r="AM123" s="883">
        <f t="shared" si="13"/>
        <v>5.4500000000000002E-4</v>
      </c>
      <c r="AN123" s="884">
        <f t="shared" si="13"/>
        <v>5.4500000000000002E-4</v>
      </c>
      <c r="AO123" s="884">
        <f t="shared" si="13"/>
        <v>5.4500000000000002E-4</v>
      </c>
      <c r="AP123" s="884">
        <f t="shared" si="13"/>
        <v>5.4500000000000002E-4</v>
      </c>
      <c r="AQ123" s="884">
        <f t="shared" si="13"/>
        <v>7.5762314851498928E-4</v>
      </c>
      <c r="AR123" s="885">
        <f t="shared" si="13"/>
        <v>9.353372203888754E-4</v>
      </c>
      <c r="AS123" s="877"/>
      <c r="AT123" s="883">
        <f t="shared" si="13"/>
        <v>1.9601894363389694E-5</v>
      </c>
      <c r="AU123" s="884">
        <f t="shared" si="13"/>
        <v>1.9601894363389694E-5</v>
      </c>
      <c r="AV123" s="884">
        <f t="shared" si="13"/>
        <v>1.9601894363389694E-5</v>
      </c>
      <c r="AW123" s="884">
        <f t="shared" si="13"/>
        <v>1.9601894363389694E-5</v>
      </c>
      <c r="AX123" s="884">
        <f t="shared" si="13"/>
        <v>2.7249264081558751E-5</v>
      </c>
      <c r="AY123" s="885">
        <f t="shared" si="13"/>
        <v>3.3641066767356481E-5</v>
      </c>
      <c r="AZ123" s="877"/>
      <c r="BA123" s="883">
        <f t="shared" si="13"/>
        <v>1.2580600200516743E-12</v>
      </c>
      <c r="BB123" s="884">
        <f t="shared" si="13"/>
        <v>1.2580600200516743E-12</v>
      </c>
      <c r="BC123" s="884">
        <f t="shared" si="13"/>
        <v>1.2580600200516743E-12</v>
      </c>
      <c r="BD123" s="884">
        <f t="shared" si="13"/>
        <v>1.2580600200516743E-12</v>
      </c>
      <c r="BE123" s="884">
        <f t="shared" si="13"/>
        <v>1.7488722814906053E-12</v>
      </c>
      <c r="BF123" s="885">
        <f t="shared" si="13"/>
        <v>2.1591015820871668E-12</v>
      </c>
      <c r="BG123" s="877"/>
      <c r="BH123" s="883">
        <f t="shared" si="13"/>
        <v>1.4810293591041096E-4</v>
      </c>
      <c r="BI123" s="884">
        <f t="shared" si="13"/>
        <v>1.4810293591041096E-4</v>
      </c>
      <c r="BJ123" s="884">
        <f t="shared" si="13"/>
        <v>1.4810293591041096E-4</v>
      </c>
      <c r="BK123" s="884">
        <f t="shared" si="13"/>
        <v>1.4810293591041096E-4</v>
      </c>
      <c r="BL123" s="884">
        <f t="shared" si="13"/>
        <v>2.0588295891515451E-4</v>
      </c>
      <c r="BM123" s="885">
        <f t="shared" si="13"/>
        <v>2.5417649248784505E-4</v>
      </c>
      <c r="BN123" s="877"/>
      <c r="BO123" s="883">
        <f t="shared" si="13"/>
        <v>6.2720775678023355E-5</v>
      </c>
      <c r="BP123" s="884">
        <f t="shared" si="13"/>
        <v>6.2720775678023355E-5</v>
      </c>
      <c r="BQ123" s="884">
        <f t="shared" si="13"/>
        <v>6.2720775678023355E-5</v>
      </c>
      <c r="BR123" s="884">
        <f t="shared" si="13"/>
        <v>6.2720775678023355E-5</v>
      </c>
      <c r="BS123" s="884">
        <f t="shared" si="13"/>
        <v>8.7190296415571406E-5</v>
      </c>
      <c r="BT123" s="885">
        <f t="shared" si="13"/>
        <v>1.0764234125379184E-4</v>
      </c>
      <c r="BU123" s="877"/>
      <c r="BV123" s="883">
        <f t="shared" si="13"/>
        <v>0.27759265823781953</v>
      </c>
      <c r="BW123" s="885">
        <f t="shared" si="13"/>
        <v>0.34270698547878953</v>
      </c>
      <c r="BX123" s="406"/>
      <c r="BY123" s="406"/>
      <c r="BZ123" s="406"/>
      <c r="CA123" s="406"/>
      <c r="CB123" s="406"/>
      <c r="CC123" s="406"/>
      <c r="CD123" s="406"/>
      <c r="CE123" s="406"/>
      <c r="CF123" s="406"/>
      <c r="CG123" s="406"/>
      <c r="CH123" s="406"/>
      <c r="CI123" s="406"/>
      <c r="CJ123" s="406"/>
      <c r="CK123" s="406"/>
      <c r="CL123" s="406"/>
      <c r="CM123" s="406"/>
      <c r="CN123" s="406"/>
      <c r="CO123" s="406"/>
      <c r="CP123" s="406"/>
      <c r="CQ123" s="406"/>
      <c r="CR123" s="406"/>
      <c r="CS123" s="406"/>
      <c r="CT123" s="406"/>
      <c r="CU123" s="406"/>
      <c r="CV123" s="406"/>
      <c r="CW123" s="406"/>
      <c r="CX123" s="406"/>
      <c r="CY123" s="406"/>
      <c r="CZ123" s="406"/>
      <c r="DA123" s="406"/>
      <c r="DB123" s="406"/>
      <c r="DC123" s="406"/>
      <c r="DD123" s="406"/>
      <c r="DE123" s="406"/>
      <c r="DF123" s="406"/>
      <c r="DG123" s="406"/>
      <c r="DH123" s="406"/>
      <c r="DI123" s="406"/>
      <c r="DJ123" s="406"/>
      <c r="DK123" s="406"/>
      <c r="DL123" s="406"/>
      <c r="DM123" s="406"/>
      <c r="DN123" s="406"/>
      <c r="DO123" s="406"/>
      <c r="DP123" s="406"/>
      <c r="DQ123" s="406"/>
      <c r="DR123" s="406"/>
      <c r="DS123" s="406"/>
      <c r="DT123" s="406"/>
      <c r="DU123" s="406"/>
      <c r="DV123" s="406"/>
      <c r="DW123" s="406"/>
      <c r="DX123" s="406"/>
      <c r="DY123" s="406"/>
      <c r="DZ123" s="406"/>
      <c r="EA123" s="406"/>
      <c r="EB123" s="406"/>
      <c r="EC123" s="406"/>
      <c r="ED123" s="406"/>
      <c r="EE123" s="406"/>
      <c r="EF123" s="406"/>
      <c r="EG123" s="406"/>
      <c r="EH123" s="406"/>
      <c r="EI123" s="406"/>
      <c r="EJ123" s="406"/>
      <c r="EK123" s="406"/>
      <c r="EL123" s="406"/>
      <c r="EM123" s="406"/>
      <c r="EN123" s="406"/>
      <c r="EO123" s="406"/>
      <c r="EP123" s="406"/>
      <c r="EQ123" s="406"/>
      <c r="ER123" s="406"/>
      <c r="ES123" s="406"/>
      <c r="ET123" s="406"/>
      <c r="EU123" s="406"/>
      <c r="EV123" s="406"/>
      <c r="EW123" s="406"/>
      <c r="EX123" s="406"/>
      <c r="EY123" s="406"/>
      <c r="EZ123" s="406"/>
      <c r="FA123" s="406"/>
      <c r="FB123" s="406"/>
      <c r="FC123" s="406"/>
      <c r="FD123" s="406"/>
      <c r="FE123" s="406"/>
      <c r="FF123" s="406"/>
      <c r="FG123" s="406"/>
      <c r="FH123" s="406"/>
      <c r="FI123" s="406"/>
      <c r="FJ123" s="406"/>
      <c r="FK123" s="406"/>
      <c r="FL123" s="406"/>
      <c r="FM123" s="406"/>
      <c r="FN123" s="406"/>
      <c r="FO123" s="406"/>
      <c r="FP123" s="406"/>
      <c r="FQ123" s="406"/>
      <c r="FR123" s="406"/>
      <c r="FS123" s="406"/>
      <c r="FT123" s="406"/>
      <c r="FU123" s="406"/>
      <c r="FV123" s="406"/>
      <c r="FW123" s="406"/>
      <c r="FX123" s="406"/>
      <c r="FY123" s="406"/>
      <c r="FZ123" s="406"/>
      <c r="GA123" s="406"/>
      <c r="GB123" s="406"/>
      <c r="GC123" s="406"/>
      <c r="GD123" s="406"/>
      <c r="GE123" s="406"/>
      <c r="GF123" s="406"/>
      <c r="GG123" s="406"/>
      <c r="GH123" s="406"/>
      <c r="GI123" s="406"/>
      <c r="GJ123" s="406"/>
      <c r="GK123" s="406"/>
      <c r="GL123" s="406"/>
      <c r="GM123" s="406"/>
      <c r="GN123" s="406"/>
      <c r="GO123" s="406"/>
      <c r="GP123" s="406"/>
      <c r="GQ123" s="406"/>
      <c r="GR123" s="406"/>
      <c r="GS123" s="406"/>
      <c r="GT123" s="406"/>
      <c r="GU123" s="406"/>
      <c r="GV123" s="406"/>
      <c r="GW123" s="406"/>
      <c r="GX123" s="406"/>
      <c r="GY123" s="406"/>
      <c r="GZ123" s="406"/>
      <c r="HA123" s="406"/>
      <c r="HB123" s="406"/>
      <c r="HC123" s="406"/>
      <c r="HD123" s="406"/>
      <c r="HE123" s="406"/>
      <c r="HF123" s="406"/>
      <c r="HG123" s="406"/>
      <c r="HH123" s="406"/>
      <c r="HI123" s="406"/>
      <c r="HJ123" s="406"/>
      <c r="HK123" s="406"/>
      <c r="HL123" s="406"/>
      <c r="HM123" s="406"/>
      <c r="HN123" s="406"/>
      <c r="HO123" s="406"/>
      <c r="HP123" s="406"/>
      <c r="HQ123" s="406"/>
      <c r="HR123" s="406"/>
      <c r="HS123" s="406"/>
      <c r="HT123" s="406"/>
      <c r="HU123" s="406"/>
      <c r="HV123" s="406"/>
      <c r="HW123" s="406"/>
      <c r="HX123" s="406"/>
      <c r="HY123" s="406"/>
      <c r="HZ123" s="406"/>
      <c r="IA123" s="406"/>
      <c r="IB123" s="406"/>
      <c r="IC123" s="406"/>
      <c r="ID123" s="406"/>
      <c r="IE123" s="406"/>
      <c r="IF123" s="406"/>
      <c r="IG123" s="406"/>
      <c r="IH123" s="406"/>
      <c r="II123" s="406"/>
      <c r="IJ123" s="406"/>
      <c r="IK123" s="406"/>
      <c r="IL123" s="406"/>
      <c r="IM123" s="406"/>
      <c r="IN123" s="406"/>
      <c r="IO123" s="406"/>
      <c r="IP123" s="406"/>
      <c r="IQ123" s="406"/>
      <c r="IR123" s="406"/>
      <c r="IS123" s="406"/>
    </row>
    <row r="124" spans="1:253" s="406" customFormat="1" ht="17.25">
      <c r="A124" s="499"/>
      <c r="B124" s="55"/>
      <c r="C124" s="917"/>
      <c r="D124" s="5"/>
      <c r="E124" s="1294" t="s">
        <v>317</v>
      </c>
      <c r="F124" s="877">
        <f t="shared" ref="F124:W126" si="14">F128*$C$127+F132*$C$131</f>
        <v>3.9989486962957101E-2</v>
      </c>
      <c r="G124" s="877">
        <f t="shared" si="14"/>
        <v>8.1694120092608319E-2</v>
      </c>
      <c r="H124" s="878">
        <f t="shared" si="14"/>
        <v>0.24423840814703218</v>
      </c>
      <c r="I124" s="877">
        <f t="shared" si="14"/>
        <v>5.0508346063225925E-3</v>
      </c>
      <c r="J124" s="877">
        <f t="shared" si="14"/>
        <v>3.0000000000000002E-2</v>
      </c>
      <c r="K124" s="877">
        <f t="shared" si="14"/>
        <v>0</v>
      </c>
      <c r="L124" s="877">
        <f t="shared" si="14"/>
        <v>0</v>
      </c>
      <c r="M124" s="877"/>
      <c r="N124" s="877">
        <f t="shared" si="14"/>
        <v>6.6537985233286207E-3</v>
      </c>
      <c r="O124" s="877">
        <f t="shared" si="14"/>
        <v>0</v>
      </c>
      <c r="P124" s="877">
        <f t="shared" si="14"/>
        <v>0</v>
      </c>
      <c r="Q124" s="877">
        <f t="shared" si="14"/>
        <v>0</v>
      </c>
      <c r="R124" s="877">
        <f t="shared" si="14"/>
        <v>3.9989486962957101E-2</v>
      </c>
      <c r="S124" s="877">
        <f t="shared" si="14"/>
        <v>0</v>
      </c>
      <c r="T124" s="877">
        <f t="shared" si="14"/>
        <v>0</v>
      </c>
      <c r="U124" s="877">
        <f t="shared" si="14"/>
        <v>8.1694120092608319E-2</v>
      </c>
      <c r="V124" s="877">
        <f t="shared" si="14"/>
        <v>5.000000000000001E-2</v>
      </c>
      <c r="W124" s="886">
        <f t="shared" si="14"/>
        <v>4.4000000000000004E-2</v>
      </c>
      <c r="X124" s="864"/>
      <c r="Y124" s="879"/>
      <c r="Z124" s="877"/>
      <c r="AA124" s="877"/>
      <c r="AB124" s="877"/>
      <c r="AC124" s="877"/>
      <c r="AD124" s="886"/>
      <c r="AE124" s="877"/>
      <c r="AF124" s="879"/>
      <c r="AG124" s="877"/>
      <c r="AH124" s="877"/>
      <c r="AI124" s="877"/>
      <c r="AJ124" s="877"/>
      <c r="AK124" s="886"/>
      <c r="AL124" s="877"/>
      <c r="AM124" s="879"/>
      <c r="AN124" s="877"/>
      <c r="AO124" s="877"/>
      <c r="AP124" s="877"/>
      <c r="AQ124" s="877"/>
      <c r="AR124" s="886"/>
      <c r="AS124" s="877"/>
      <c r="AT124" s="879"/>
      <c r="AU124" s="877"/>
      <c r="AV124" s="877"/>
      <c r="AW124" s="877"/>
      <c r="AX124" s="877"/>
      <c r="AY124" s="886"/>
      <c r="AZ124" s="877"/>
      <c r="BA124" s="879"/>
      <c r="BB124" s="877"/>
      <c r="BC124" s="877"/>
      <c r="BD124" s="877"/>
      <c r="BE124" s="877"/>
      <c r="BF124" s="886"/>
      <c r="BG124" s="877"/>
      <c r="BH124" s="879"/>
      <c r="BI124" s="877"/>
      <c r="BJ124" s="877"/>
      <c r="BK124" s="877"/>
      <c r="BL124" s="877"/>
      <c r="BM124" s="886"/>
      <c r="BN124" s="877"/>
      <c r="BO124" s="879"/>
      <c r="BP124" s="877"/>
      <c r="BQ124" s="877"/>
      <c r="BR124" s="877"/>
      <c r="BS124" s="877"/>
      <c r="BT124" s="886"/>
      <c r="BU124" s="877"/>
      <c r="BV124" s="879"/>
      <c r="BW124" s="886"/>
    </row>
    <row r="125" spans="1:253" s="406" customFormat="1" ht="17.25">
      <c r="A125" s="499"/>
      <c r="B125" s="55"/>
      <c r="C125" s="595"/>
      <c r="D125" s="50"/>
      <c r="E125" s="1294" t="s">
        <v>367</v>
      </c>
      <c r="F125" s="877">
        <f t="shared" si="14"/>
        <v>0</v>
      </c>
      <c r="G125" s="877">
        <f t="shared" si="14"/>
        <v>9.8667436957128194E-6</v>
      </c>
      <c r="H125" s="878">
        <f t="shared" si="14"/>
        <v>1.3716098026305257E-5</v>
      </c>
      <c r="I125" s="877">
        <f t="shared" si="14"/>
        <v>6.9193353140012595E-6</v>
      </c>
      <c r="J125" s="877">
        <f t="shared" si="14"/>
        <v>0</v>
      </c>
      <c r="K125" s="877">
        <f t="shared" si="14"/>
        <v>0</v>
      </c>
      <c r="L125" s="877">
        <f t="shared" si="14"/>
        <v>0</v>
      </c>
      <c r="M125" s="877"/>
      <c r="N125" s="877">
        <f t="shared" si="14"/>
        <v>2.9474083817115587E-6</v>
      </c>
      <c r="O125" s="877">
        <f t="shared" si="14"/>
        <v>0</v>
      </c>
      <c r="P125" s="877">
        <f t="shared" si="14"/>
        <v>0</v>
      </c>
      <c r="Q125" s="877">
        <f t="shared" si="14"/>
        <v>0</v>
      </c>
      <c r="R125" s="877">
        <f t="shared" si="14"/>
        <v>0</v>
      </c>
      <c r="S125" s="877">
        <f t="shared" si="14"/>
        <v>0</v>
      </c>
      <c r="T125" s="877">
        <f t="shared" si="14"/>
        <v>0</v>
      </c>
      <c r="U125" s="877">
        <f t="shared" si="14"/>
        <v>9.8667436957128194E-6</v>
      </c>
      <c r="V125" s="877">
        <f t="shared" si="14"/>
        <v>0</v>
      </c>
      <c r="W125" s="886">
        <f t="shared" si="14"/>
        <v>0</v>
      </c>
      <c r="X125" s="864"/>
      <c r="Y125" s="879"/>
      <c r="Z125" s="877"/>
      <c r="AA125" s="877"/>
      <c r="AB125" s="877"/>
      <c r="AC125" s="877"/>
      <c r="AD125" s="886"/>
      <c r="AE125" s="877"/>
      <c r="AF125" s="879"/>
      <c r="AG125" s="877"/>
      <c r="AH125" s="877"/>
      <c r="AI125" s="877"/>
      <c r="AJ125" s="877"/>
      <c r="AK125" s="886"/>
      <c r="AL125" s="877"/>
      <c r="AM125" s="879"/>
      <c r="AN125" s="877"/>
      <c r="AO125" s="877"/>
      <c r="AP125" s="877"/>
      <c r="AQ125" s="877"/>
      <c r="AR125" s="886"/>
      <c r="AS125" s="877"/>
      <c r="AT125" s="879"/>
      <c r="AU125" s="877"/>
      <c r="AV125" s="877"/>
      <c r="AW125" s="877"/>
      <c r="AX125" s="877"/>
      <c r="AY125" s="886"/>
      <c r="AZ125" s="877"/>
      <c r="BA125" s="879"/>
      <c r="BB125" s="877"/>
      <c r="BC125" s="877"/>
      <c r="BD125" s="877"/>
      <c r="BE125" s="877"/>
      <c r="BF125" s="886"/>
      <c r="BG125" s="877"/>
      <c r="BH125" s="879"/>
      <c r="BI125" s="877"/>
      <c r="BJ125" s="877"/>
      <c r="BK125" s="877"/>
      <c r="BL125" s="877"/>
      <c r="BM125" s="886"/>
      <c r="BN125" s="877"/>
      <c r="BO125" s="879"/>
      <c r="BP125" s="877"/>
      <c r="BQ125" s="877"/>
      <c r="BR125" s="877"/>
      <c r="BS125" s="877"/>
      <c r="BT125" s="886"/>
      <c r="BU125" s="877"/>
      <c r="BV125" s="879"/>
      <c r="BW125" s="886"/>
    </row>
    <row r="126" spans="1:253" s="406" customFormat="1" ht="17.25">
      <c r="A126" s="18"/>
      <c r="B126" s="360"/>
      <c r="C126" s="83"/>
      <c r="D126" s="54"/>
      <c r="E126" s="1295" t="s">
        <v>320</v>
      </c>
      <c r="F126" s="877">
        <f t="shared" si="14"/>
        <v>5.5458831475467081E-5</v>
      </c>
      <c r="G126" s="877">
        <f t="shared" si="14"/>
        <v>6.6350938292217279E-5</v>
      </c>
      <c r="H126" s="878">
        <f t="shared" si="14"/>
        <v>9.2236709680501691E-5</v>
      </c>
      <c r="I126" s="877">
        <f t="shared" si="14"/>
        <v>1.071331665621819E-5</v>
      </c>
      <c r="J126" s="877">
        <f t="shared" si="14"/>
        <v>0</v>
      </c>
      <c r="K126" s="877">
        <f t="shared" si="14"/>
        <v>5.0417119523151889E-5</v>
      </c>
      <c r="L126" s="877">
        <f t="shared" si="14"/>
        <v>5.0417119523151891E-6</v>
      </c>
      <c r="M126" s="877"/>
      <c r="N126" s="877">
        <f t="shared" si="14"/>
        <v>1.7879016053201247E-7</v>
      </c>
      <c r="O126" s="877">
        <f t="shared" si="14"/>
        <v>0</v>
      </c>
      <c r="P126" s="877">
        <f t="shared" si="14"/>
        <v>0</v>
      </c>
      <c r="Q126" s="877">
        <f t="shared" si="14"/>
        <v>0</v>
      </c>
      <c r="R126" s="877">
        <f t="shared" si="14"/>
        <v>0</v>
      </c>
      <c r="S126" s="877">
        <f t="shared" si="14"/>
        <v>0</v>
      </c>
      <c r="T126" s="877">
        <f t="shared" si="14"/>
        <v>0</v>
      </c>
      <c r="U126" s="877">
        <f t="shared" si="14"/>
        <v>6.6350938292217279E-5</v>
      </c>
      <c r="V126" s="877">
        <f t="shared" si="14"/>
        <v>0</v>
      </c>
      <c r="W126" s="886">
        <f t="shared" si="14"/>
        <v>0</v>
      </c>
      <c r="X126" s="864"/>
      <c r="Y126" s="879"/>
      <c r="Z126" s="877"/>
      <c r="AA126" s="877"/>
      <c r="AB126" s="877"/>
      <c r="AC126" s="877"/>
      <c r="AD126" s="886"/>
      <c r="AE126" s="877"/>
      <c r="AF126" s="879"/>
      <c r="AG126" s="877"/>
      <c r="AH126" s="877"/>
      <c r="AI126" s="877"/>
      <c r="AJ126" s="877"/>
      <c r="AK126" s="886"/>
      <c r="AL126" s="877"/>
      <c r="AM126" s="879"/>
      <c r="AN126" s="877"/>
      <c r="AO126" s="877"/>
      <c r="AP126" s="877"/>
      <c r="AQ126" s="877"/>
      <c r="AR126" s="886"/>
      <c r="AS126" s="877"/>
      <c r="AT126" s="879"/>
      <c r="AU126" s="877"/>
      <c r="AV126" s="877"/>
      <c r="AW126" s="877"/>
      <c r="AX126" s="877"/>
      <c r="AY126" s="886"/>
      <c r="AZ126" s="877"/>
      <c r="BA126" s="879"/>
      <c r="BB126" s="877"/>
      <c r="BC126" s="877"/>
      <c r="BD126" s="877"/>
      <c r="BE126" s="877"/>
      <c r="BF126" s="886"/>
      <c r="BG126" s="877"/>
      <c r="BH126" s="879"/>
      <c r="BI126" s="877"/>
      <c r="BJ126" s="877"/>
      <c r="BK126" s="877"/>
      <c r="BL126" s="877"/>
      <c r="BM126" s="886"/>
      <c r="BN126" s="877"/>
      <c r="BO126" s="879"/>
      <c r="BP126" s="877"/>
      <c r="BQ126" s="877"/>
      <c r="BR126" s="877"/>
      <c r="BS126" s="877"/>
      <c r="BT126" s="886"/>
      <c r="BU126" s="877"/>
      <c r="BV126" s="879"/>
      <c r="BW126" s="886"/>
    </row>
    <row r="127" spans="1:253" s="502" customFormat="1" ht="17.25">
      <c r="A127" s="20" t="s">
        <v>122</v>
      </c>
      <c r="B127" s="93" t="s">
        <v>121</v>
      </c>
      <c r="C127" s="87">
        <f>'Input data plant-based products'!D55</f>
        <v>0.93</v>
      </c>
      <c r="D127" s="54"/>
      <c r="E127" s="1293" t="s">
        <v>316</v>
      </c>
      <c r="F127" s="872">
        <f>SUMPRODUCT($CE$14:$CE$16,F128:F130)</f>
        <v>5.3921074042900627E-2</v>
      </c>
      <c r="G127" s="872">
        <f>SUMPRODUCT($CE$14:$CE$16,G128:G130)</f>
        <v>9.7369148515017281E-2</v>
      </c>
      <c r="H127" s="873">
        <f>SUMPRODUCT($CE$14:$CE$16,H128:H130)</f>
        <v>0.24656692247223874</v>
      </c>
      <c r="I127" s="888"/>
      <c r="J127" s="888"/>
      <c r="K127" s="888"/>
      <c r="L127" s="888"/>
      <c r="M127" s="888"/>
      <c r="N127" s="888"/>
      <c r="O127" s="888"/>
      <c r="P127" s="888"/>
      <c r="Q127" s="888"/>
      <c r="R127" s="888"/>
      <c r="S127" s="888"/>
      <c r="T127" s="888"/>
      <c r="U127" s="888"/>
      <c r="V127" s="888"/>
      <c r="W127" s="936"/>
      <c r="X127" s="864"/>
      <c r="Y127" s="879">
        <f>1/'Input data plant-based products'!E55*10^4</f>
        <v>0.16808982720365762</v>
      </c>
      <c r="Z127" s="877">
        <f>$Y127*'Input data plant-based products'!Z55</f>
        <v>0.16808982720365762</v>
      </c>
      <c r="AA127" s="877">
        <f>$Y127*'Input data plant-based products'!AA55</f>
        <v>0.16808982720365762</v>
      </c>
      <c r="AB127" s="877">
        <f>$Y127*'Input data plant-based products'!AB55</f>
        <v>0.16808982720365762</v>
      </c>
      <c r="AC127" s="877">
        <f>$Y127*'Input data plant-based products'!AC55</f>
        <v>0.23366742040252397</v>
      </c>
      <c r="AD127" s="886">
        <f>$Y127*'Input data plant-based products'!AD55</f>
        <v>0.28847829679323944</v>
      </c>
      <c r="AE127" s="877"/>
      <c r="AF127" s="879">
        <f>SUM('Input data plant-based products'!F55,'Input data plant-based products'!Q55)/'Input data plant-based products'!E55</f>
        <v>1.3951455657903583E-3</v>
      </c>
      <c r="AG127" s="877">
        <f>$AF127*'Input data plant-based products'!Z55</f>
        <v>1.3951455657903583E-3</v>
      </c>
      <c r="AH127" s="877">
        <f>$AF127*'Input data plant-based products'!AA55</f>
        <v>1.3951455657903583E-3</v>
      </c>
      <c r="AI127" s="877">
        <f>$AF127*'Input data plant-based products'!AB55</f>
        <v>1.3951455657903583E-3</v>
      </c>
      <c r="AJ127" s="877">
        <f>$AF127*'Input data plant-based products'!AC55</f>
        <v>1.9394395893409491E-3</v>
      </c>
      <c r="AK127" s="886">
        <f>$AF127*'Input data plant-based products'!AD55</f>
        <v>2.3943698633838873E-3</v>
      </c>
      <c r="AL127" s="877"/>
      <c r="AM127" s="879">
        <f>'Input data plant-based products'!R55/'Input data plant-based products'!E55</f>
        <v>5.0000000000000001E-4</v>
      </c>
      <c r="AN127" s="877">
        <f>$AM127*'Input data plant-based products'!Z55</f>
        <v>5.0000000000000001E-4</v>
      </c>
      <c r="AO127" s="877">
        <f>$AM127*'Input data plant-based products'!AA55</f>
        <v>5.0000000000000001E-4</v>
      </c>
      <c r="AP127" s="877">
        <f>$AM127*'Input data plant-based products'!AB55</f>
        <v>5.0000000000000001E-4</v>
      </c>
      <c r="AQ127" s="877">
        <f>$AM127*'Input data plant-based products'!AC55</f>
        <v>6.9506710872934785E-4</v>
      </c>
      <c r="AR127" s="886">
        <f>$AM127*'Input data plant-based products'!AD55</f>
        <v>8.5810754164117006E-4</v>
      </c>
      <c r="AS127" s="877"/>
      <c r="AT127" s="879">
        <f>'Input data plant-based products'!S55</f>
        <v>1.9601894363389694E-5</v>
      </c>
      <c r="AU127" s="877">
        <f>$AT127*'Input data plant-based products'!Z55</f>
        <v>1.9601894363389694E-5</v>
      </c>
      <c r="AV127" s="877">
        <f>$AT127*'Input data plant-based products'!AA55</f>
        <v>1.9601894363389694E-5</v>
      </c>
      <c r="AW127" s="877">
        <f>$AT127*'Input data plant-based products'!AB55</f>
        <v>1.9601894363389694E-5</v>
      </c>
      <c r="AX127" s="877">
        <f>$AT127*'Input data plant-based products'!AC55</f>
        <v>2.7249264081558751E-5</v>
      </c>
      <c r="AY127" s="886">
        <f>$AT127*'Input data plant-based products'!AD55</f>
        <v>3.3641066767356481E-5</v>
      </c>
      <c r="AZ127" s="877"/>
      <c r="BA127" s="879">
        <f>((SUM('Input data plant-based products'!U55:Y55)*Y127)/('Common input data'!$B$192/10^6))/$BB$3</f>
        <v>1.1890497997157649E-12</v>
      </c>
      <c r="BB127" s="877">
        <f>$BA127*'Input data plant-based products'!Z55</f>
        <v>1.1890497997157649E-12</v>
      </c>
      <c r="BC127" s="877">
        <f>$BA127*'Input data plant-based products'!AA55</f>
        <v>1.1890497997157649E-12</v>
      </c>
      <c r="BD127" s="877">
        <f>$BA127*'Input data plant-based products'!AB55</f>
        <v>1.1890497997157649E-12</v>
      </c>
      <c r="BE127" s="877">
        <f>$BA127*'Input data plant-based products'!AC55</f>
        <v>1.6529388128472936E-12</v>
      </c>
      <c r="BF127" s="886">
        <f>$BA127*'Input data plant-based products'!AD55</f>
        <v>2.0406652010460415E-12</v>
      </c>
      <c r="BG127" s="877"/>
      <c r="BH127" s="879">
        <f>'Input data plant-based products'!T55/'Input data plant-based products'!E55</f>
        <v>4.2106501714516239E-5</v>
      </c>
      <c r="BI127" s="877">
        <f>$BH127*'Input data plant-based products'!Z55</f>
        <v>4.2106501714516239E-5</v>
      </c>
      <c r="BJ127" s="877">
        <f>$BH127*'Input data plant-based products'!AA55</f>
        <v>4.2106501714516239E-5</v>
      </c>
      <c r="BK127" s="877">
        <f>$BH127*'Input data plant-based products'!AB55</f>
        <v>4.2106501714516239E-5</v>
      </c>
      <c r="BL127" s="877">
        <f>$BH127*'Input data plant-based products'!AC55</f>
        <v>5.8533688810832262E-5</v>
      </c>
      <c r="BM127" s="886">
        <f>$BH127*'Input data plant-based products'!AD55</f>
        <v>7.2263813346706482E-5</v>
      </c>
      <c r="BN127" s="877"/>
      <c r="BO127" s="879">
        <f>('Input data plant-based products'!F55/'Input data plant-based products'!E55*'Common input data'!$B$195+'Input data plant-based products'!G55/'Input data plant-based products'!E55*'Common input data'!$B$196)/'Common input data'!$B$198</f>
        <v>3.5623274559183793E-5</v>
      </c>
      <c r="BP127" s="877">
        <f>$BO127*'Input data plant-based products'!Z55</f>
        <v>3.5623274559183793E-5</v>
      </c>
      <c r="BQ127" s="877">
        <f>$BO127*'Input data plant-based products'!AA55</f>
        <v>3.5623274559183793E-5</v>
      </c>
      <c r="BR127" s="877">
        <f>$BO127*'Input data plant-based products'!AB55</f>
        <v>3.5623274559183793E-5</v>
      </c>
      <c r="BS127" s="877">
        <f>$BO127*'Input data plant-based products'!AC55</f>
        <v>4.9521132902647223E-5</v>
      </c>
      <c r="BT127" s="886">
        <f>$BO127*'Input data plant-based products'!AD55</f>
        <v>6.1137201114379281E-5</v>
      </c>
      <c r="BU127" s="877"/>
      <c r="BV127" s="879">
        <f>'Common input data'!$C$202*'Input data plant-based products'!AC55</f>
        <v>0.19906721994008522</v>
      </c>
      <c r="BW127" s="886">
        <f>'Common input data'!$C$202*'Input data plant-based products'!AD55</f>
        <v>0.24576199992603109</v>
      </c>
      <c r="BX127" s="406"/>
      <c r="BY127" s="406"/>
      <c r="BZ127" s="406"/>
      <c r="CA127" s="406"/>
      <c r="CB127" s="406"/>
      <c r="CC127" s="406"/>
      <c r="CD127" s="406"/>
      <c r="CE127" s="406"/>
      <c r="CF127" s="406"/>
      <c r="CG127" s="406"/>
      <c r="CH127" s="406"/>
      <c r="CI127" s="406"/>
      <c r="CJ127" s="406"/>
      <c r="CK127" s="406"/>
      <c r="CL127" s="406"/>
      <c r="CM127" s="406"/>
      <c r="CN127" s="406"/>
      <c r="CO127" s="406"/>
      <c r="CP127" s="406"/>
      <c r="CQ127" s="406"/>
      <c r="CR127" s="406"/>
      <c r="CS127" s="406"/>
      <c r="CT127" s="406"/>
      <c r="CU127" s="406"/>
      <c r="CV127" s="406"/>
      <c r="CW127" s="406"/>
      <c r="CX127" s="406"/>
      <c r="CY127" s="406"/>
      <c r="CZ127" s="406"/>
      <c r="DA127" s="406"/>
      <c r="DB127" s="406"/>
      <c r="DC127" s="406"/>
      <c r="DD127" s="406"/>
      <c r="DE127" s="406"/>
      <c r="DF127" s="406"/>
      <c r="DG127" s="406"/>
      <c r="DH127" s="406"/>
      <c r="DI127" s="406"/>
      <c r="DJ127" s="406"/>
      <c r="DK127" s="406"/>
      <c r="DL127" s="406"/>
      <c r="DM127" s="406"/>
      <c r="DN127" s="406"/>
      <c r="DO127" s="406"/>
      <c r="DP127" s="406"/>
      <c r="DQ127" s="406"/>
      <c r="DR127" s="406"/>
      <c r="DS127" s="406"/>
      <c r="DT127" s="406"/>
      <c r="DU127" s="406"/>
      <c r="DV127" s="406"/>
      <c r="DW127" s="406"/>
      <c r="DX127" s="406"/>
      <c r="DY127" s="406"/>
      <c r="DZ127" s="406"/>
      <c r="EA127" s="406"/>
      <c r="EB127" s="406"/>
      <c r="EC127" s="406"/>
      <c r="ED127" s="406"/>
      <c r="EE127" s="406"/>
      <c r="EF127" s="406"/>
      <c r="EG127" s="406"/>
      <c r="EH127" s="406"/>
      <c r="EI127" s="406"/>
      <c r="EJ127" s="406"/>
      <c r="EK127" s="406"/>
      <c r="EL127" s="406"/>
      <c r="EM127" s="406"/>
      <c r="EN127" s="406"/>
      <c r="EO127" s="406"/>
      <c r="EP127" s="406"/>
      <c r="EQ127" s="406"/>
      <c r="ER127" s="406"/>
      <c r="ES127" s="406"/>
      <c r="ET127" s="406"/>
      <c r="EU127" s="406"/>
      <c r="EV127" s="406"/>
      <c r="EW127" s="406"/>
      <c r="EX127" s="406"/>
      <c r="EY127" s="406"/>
      <c r="EZ127" s="406"/>
      <c r="FA127" s="406"/>
      <c r="FB127" s="406"/>
      <c r="FC127" s="406"/>
      <c r="FD127" s="406"/>
      <c r="FE127" s="406"/>
      <c r="FF127" s="406"/>
      <c r="FG127" s="406"/>
      <c r="FH127" s="406"/>
      <c r="FI127" s="406"/>
      <c r="FJ127" s="406"/>
      <c r="FK127" s="406"/>
      <c r="FL127" s="406"/>
      <c r="FM127" s="406"/>
      <c r="FN127" s="406"/>
      <c r="FO127" s="406"/>
      <c r="FP127" s="406"/>
      <c r="FQ127" s="406"/>
      <c r="FR127" s="406"/>
      <c r="FS127" s="406"/>
      <c r="FT127" s="406"/>
      <c r="FU127" s="406"/>
      <c r="FV127" s="406"/>
      <c r="FW127" s="406"/>
      <c r="FX127" s="406"/>
      <c r="FY127" s="406"/>
      <c r="FZ127" s="406"/>
      <c r="GA127" s="406"/>
      <c r="GB127" s="406"/>
      <c r="GC127" s="406"/>
      <c r="GD127" s="406"/>
      <c r="GE127" s="406"/>
      <c r="GF127" s="406"/>
      <c r="GG127" s="406"/>
      <c r="GH127" s="406"/>
      <c r="GI127" s="406"/>
      <c r="GJ127" s="406"/>
      <c r="GK127" s="406"/>
      <c r="GL127" s="406"/>
      <c r="GM127" s="406"/>
      <c r="GN127" s="406"/>
      <c r="GO127" s="406"/>
      <c r="GP127" s="406"/>
      <c r="GQ127" s="406"/>
      <c r="GR127" s="406"/>
      <c r="GS127" s="406"/>
      <c r="GT127" s="406"/>
      <c r="GU127" s="406"/>
      <c r="GV127" s="406"/>
      <c r="GW127" s="406"/>
      <c r="GX127" s="406"/>
      <c r="GY127" s="406"/>
      <c r="GZ127" s="406"/>
      <c r="HA127" s="406"/>
      <c r="HB127" s="406"/>
      <c r="HC127" s="406"/>
      <c r="HD127" s="406"/>
      <c r="HE127" s="406"/>
      <c r="HF127" s="406"/>
      <c r="HG127" s="406"/>
      <c r="HH127" s="406"/>
      <c r="HI127" s="406"/>
      <c r="HJ127" s="406"/>
      <c r="HK127" s="406"/>
      <c r="HL127" s="406"/>
      <c r="HM127" s="406"/>
      <c r="HN127" s="406"/>
      <c r="HO127" s="406"/>
      <c r="HP127" s="406"/>
      <c r="HQ127" s="406"/>
      <c r="HR127" s="406"/>
      <c r="HS127" s="406"/>
      <c r="HT127" s="406"/>
      <c r="HU127" s="406"/>
      <c r="HV127" s="406"/>
      <c r="HW127" s="406"/>
      <c r="HX127" s="406"/>
      <c r="HY127" s="406"/>
      <c r="HZ127" s="406"/>
      <c r="IA127" s="406"/>
      <c r="IB127" s="406"/>
      <c r="IC127" s="406"/>
      <c r="ID127" s="406"/>
      <c r="IE127" s="406"/>
      <c r="IF127" s="406"/>
      <c r="IG127" s="406"/>
      <c r="IH127" s="406"/>
      <c r="II127" s="406"/>
      <c r="IJ127" s="406"/>
      <c r="IK127" s="406"/>
      <c r="IL127" s="406"/>
      <c r="IM127" s="406"/>
      <c r="IN127" s="406"/>
      <c r="IO127" s="406"/>
      <c r="IP127" s="406"/>
      <c r="IQ127" s="406"/>
      <c r="IR127" s="406"/>
      <c r="IS127" s="406"/>
    </row>
    <row r="128" spans="1:253" s="406" customFormat="1" ht="17.25">
      <c r="A128" s="499"/>
      <c r="B128" s="55"/>
      <c r="C128" s="917"/>
      <c r="D128" s="5"/>
      <c r="E128" s="1294" t="s">
        <v>317</v>
      </c>
      <c r="F128" s="877">
        <f>IF(AND($G$2="No",$G$3="No"),SUM(K128:L128),IF(AND($G$2="Yes", $G$3="No"), SUM(K128:L128)+S128, IF(AND($G$2="No", $G$3="Yes"),SUM(K128:L128)+R128, SUM(K128:L128)+S128+R128)))</f>
        <v>3.9989486962957101E-2</v>
      </c>
      <c r="G128" s="877">
        <f>IF(AND($G$2="No",$G$3="No"),SUM(I128:Q128),IF(AND($G$2="Yes", $G$3="No"), SUM(I128:Q128)+S128, IF(AND($G$2="No", $G$3="Yes"),SUM(I128:Q128)+R128, SUM(I128:Q128)+S128+R128)))</f>
        <v>8.0655045846712195E-2</v>
      </c>
      <c r="H128" s="878">
        <f>SUM(U128:W128)/(1-'Common input data'!$B$142)</f>
        <v>0.22333207643891015</v>
      </c>
      <c r="I128" s="877">
        <f>('Input data plant-based products'!$F$55*('Common input data'!$B$93*'Common input data'!B86+'Common input data'!$B$94*'Common input data'!C86))/'Input data plant-based products'!$E$55</f>
        <v>4.3767509768096249E-3</v>
      </c>
      <c r="J128" s="877">
        <f>'Common input data'!$B$98</f>
        <v>0.03</v>
      </c>
      <c r="K128" s="877">
        <v>0</v>
      </c>
      <c r="L128" s="877">
        <v>0</v>
      </c>
      <c r="M128" s="877"/>
      <c r="N128" s="877">
        <f>('Input data plant-based products'!$P$55*'Common input data'!$C$76*'Common input data'!H66)/'Input data plant-based products'!$E$55</f>
        <v>6.2888079069454714E-3</v>
      </c>
      <c r="O128" s="877">
        <v>0</v>
      </c>
      <c r="P128" s="877">
        <v>0</v>
      </c>
      <c r="Q128" s="877">
        <v>0</v>
      </c>
      <c r="R128" s="877">
        <f>'Common input data'!$E$19</f>
        <v>3.9989486962957101E-2</v>
      </c>
      <c r="S128" s="877">
        <v>0</v>
      </c>
      <c r="T128" s="877">
        <v>0</v>
      </c>
      <c r="U128" s="877">
        <f>(G128+T128)</f>
        <v>8.0655045846712195E-2</v>
      </c>
      <c r="V128" s="877">
        <f>'Common input data'!$B$105</f>
        <v>0.05</v>
      </c>
      <c r="W128" s="886">
        <f>'Common input data'!C115</f>
        <v>0.03</v>
      </c>
      <c r="X128" s="864"/>
      <c r="Y128" s="879"/>
      <c r="Z128" s="877"/>
      <c r="AA128" s="877"/>
      <c r="AB128" s="877"/>
      <c r="AC128" s="877"/>
      <c r="AD128" s="886"/>
      <c r="AE128" s="877"/>
      <c r="AF128" s="879"/>
      <c r="AG128" s="877"/>
      <c r="AH128" s="877"/>
      <c r="AI128" s="877"/>
      <c r="AJ128" s="877"/>
      <c r="AK128" s="886"/>
      <c r="AL128" s="877"/>
      <c r="AM128" s="879"/>
      <c r="AN128" s="877"/>
      <c r="AO128" s="877"/>
      <c r="AP128" s="877"/>
      <c r="AQ128" s="877"/>
      <c r="AR128" s="886"/>
      <c r="AS128" s="877"/>
      <c r="AT128" s="879"/>
      <c r="AU128" s="877"/>
      <c r="AV128" s="877"/>
      <c r="AW128" s="877"/>
      <c r="AX128" s="877"/>
      <c r="AY128" s="886"/>
      <c r="AZ128" s="877"/>
      <c r="BA128" s="879"/>
      <c r="BB128" s="877"/>
      <c r="BC128" s="877"/>
      <c r="BD128" s="877"/>
      <c r="BE128" s="877"/>
      <c r="BF128" s="886"/>
      <c r="BG128" s="877"/>
      <c r="BH128" s="879"/>
      <c r="BI128" s="877"/>
      <c r="BJ128" s="877"/>
      <c r="BK128" s="877"/>
      <c r="BL128" s="877"/>
      <c r="BM128" s="886"/>
      <c r="BN128" s="877"/>
      <c r="BO128" s="879"/>
      <c r="BP128" s="877"/>
      <c r="BQ128" s="877"/>
      <c r="BR128" s="877"/>
      <c r="BS128" s="877"/>
      <c r="BT128" s="886"/>
      <c r="BU128" s="877"/>
      <c r="BV128" s="879"/>
      <c r="BW128" s="886"/>
    </row>
    <row r="129" spans="1:253" s="406" customFormat="1" ht="17.25">
      <c r="A129" s="18"/>
      <c r="B129" s="55"/>
      <c r="C129" s="595"/>
      <c r="D129" s="50"/>
      <c r="E129" s="1294" t="s">
        <v>367</v>
      </c>
      <c r="F129" s="877">
        <f>SUM(K129:L129)</f>
        <v>0</v>
      </c>
      <c r="G129" s="877">
        <f>SUM(I129:Q129)</f>
        <v>8.291898757881407E-6</v>
      </c>
      <c r="H129" s="878">
        <f>SUM(U129:W129)/(1-'Common input data'!$B$142)</f>
        <v>1.15268521910342E-5</v>
      </c>
      <c r="I129" s="877">
        <f>('Input data plant-based products'!$F$55*('Common input data'!$B$93*'Common input data'!B87+'Common input data'!$B$94*'Common input data'!C87))/'Input data plant-based products'!$E$55</f>
        <v>5.5061689118516877E-6</v>
      </c>
      <c r="J129" s="877">
        <v>0</v>
      </c>
      <c r="K129" s="877">
        <v>0</v>
      </c>
      <c r="L129" s="877">
        <v>0</v>
      </c>
      <c r="M129" s="877"/>
      <c r="N129" s="877">
        <f>('Input data plant-based products'!$P$55*'Common input data'!$C$76*'Common input data'!H67)/'Input data plant-based products'!$E$55</f>
        <v>2.7857298460297185E-6</v>
      </c>
      <c r="O129" s="877">
        <v>0</v>
      </c>
      <c r="P129" s="877">
        <v>0</v>
      </c>
      <c r="Q129" s="877">
        <v>0</v>
      </c>
      <c r="R129" s="877">
        <v>0</v>
      </c>
      <c r="S129" s="877">
        <v>0</v>
      </c>
      <c r="T129" s="877">
        <v>0</v>
      </c>
      <c r="U129" s="877">
        <f>(G129+T129)</f>
        <v>8.291898757881407E-6</v>
      </c>
      <c r="V129" s="877">
        <v>0</v>
      </c>
      <c r="W129" s="886">
        <v>0</v>
      </c>
      <c r="X129" s="864"/>
      <c r="Y129" s="879"/>
      <c r="Z129" s="877"/>
      <c r="AA129" s="877"/>
      <c r="AB129" s="877"/>
      <c r="AC129" s="877"/>
      <c r="AD129" s="886"/>
      <c r="AE129" s="877"/>
      <c r="AF129" s="879"/>
      <c r="AG129" s="877"/>
      <c r="AH129" s="877"/>
      <c r="AI129" s="877"/>
      <c r="AJ129" s="877"/>
      <c r="AK129" s="886"/>
      <c r="AL129" s="877"/>
      <c r="AM129" s="879"/>
      <c r="AN129" s="877"/>
      <c r="AO129" s="877"/>
      <c r="AP129" s="877"/>
      <c r="AQ129" s="877"/>
      <c r="AR129" s="886"/>
      <c r="AS129" s="877"/>
      <c r="AT129" s="879"/>
      <c r="AU129" s="877"/>
      <c r="AV129" s="877"/>
      <c r="AW129" s="877"/>
      <c r="AX129" s="877"/>
      <c r="AY129" s="886"/>
      <c r="AZ129" s="877"/>
      <c r="BA129" s="879"/>
      <c r="BB129" s="877"/>
      <c r="BC129" s="877"/>
      <c r="BD129" s="877"/>
      <c r="BE129" s="877"/>
      <c r="BF129" s="886"/>
      <c r="BG129" s="877"/>
      <c r="BH129" s="879"/>
      <c r="BI129" s="877"/>
      <c r="BJ129" s="877"/>
      <c r="BK129" s="877"/>
      <c r="BL129" s="877"/>
      <c r="BM129" s="886"/>
      <c r="BN129" s="877"/>
      <c r="BO129" s="879"/>
      <c r="BP129" s="877"/>
      <c r="BQ129" s="877"/>
      <c r="BR129" s="877"/>
      <c r="BS129" s="877"/>
      <c r="BT129" s="886"/>
      <c r="BU129" s="877"/>
      <c r="BV129" s="879"/>
      <c r="BW129" s="886"/>
    </row>
    <row r="130" spans="1:253" s="406" customFormat="1" ht="17.25">
      <c r="A130" s="359"/>
      <c r="B130" s="360"/>
      <c r="C130" s="83"/>
      <c r="D130" s="54"/>
      <c r="E130" s="1295" t="s">
        <v>320</v>
      </c>
      <c r="F130" s="877">
        <f>SUM(K130:L130)</f>
        <v>5.1031454505287633E-5</v>
      </c>
      <c r="G130" s="877">
        <f>SUM(I130:Q130)</f>
        <v>6.0403741398689739E-5</v>
      </c>
      <c r="H130" s="878">
        <f>SUM(U130:W130)/(1-'Common input data'!$B$142)</f>
        <v>8.3969307780844981E-5</v>
      </c>
      <c r="I130" s="877">
        <f>('Input data plant-based products'!$F$55*('Common input data'!$B$93*'Common input data'!B88+'Common input data'!$B$94*'Common input data'!C88))/'Input data plant-based products'!$E$55</f>
        <v>9.2033041730363405E-6</v>
      </c>
      <c r="J130" s="877">
        <v>0</v>
      </c>
      <c r="K130" s="877">
        <f>(SUM(('Input data plant-based products'!$F$55*'Input data plant-based products'!$B$258),(('Input data plant-based products'!$G$55+'Input data plant-based products'!$H$55)*'Input data plant-based products'!$B$259))*44/28)/'Input data plant-based products'!$E$55</f>
        <v>4.6392231368443304E-5</v>
      </c>
      <c r="L130" s="877">
        <f>K130*'Input data plant-based products'!$B$261</f>
        <v>4.6392231368443305E-6</v>
      </c>
      <c r="M130" s="877"/>
      <c r="N130" s="877">
        <f>('Input data plant-based products'!$P$55*'Common input data'!$C$76*'Common input data'!H68)/'Input data plant-based products'!$E$55</f>
        <v>1.6898272036576348E-7</v>
      </c>
      <c r="O130" s="877">
        <v>0</v>
      </c>
      <c r="P130" s="877">
        <v>0</v>
      </c>
      <c r="Q130" s="877">
        <v>0</v>
      </c>
      <c r="R130" s="877">
        <v>0</v>
      </c>
      <c r="S130" s="877">
        <v>0</v>
      </c>
      <c r="T130" s="877">
        <v>0</v>
      </c>
      <c r="U130" s="877">
        <f>(G130+T130)</f>
        <v>6.0403741398689739E-5</v>
      </c>
      <c r="V130" s="877">
        <v>0</v>
      </c>
      <c r="W130" s="886">
        <v>0</v>
      </c>
      <c r="X130" s="864"/>
      <c r="Y130" s="879"/>
      <c r="Z130" s="877"/>
      <c r="AA130" s="877"/>
      <c r="AB130" s="877"/>
      <c r="AC130" s="877"/>
      <c r="AD130" s="886"/>
      <c r="AE130" s="877"/>
      <c r="AF130" s="879"/>
      <c r="AG130" s="877"/>
      <c r="AH130" s="877"/>
      <c r="AI130" s="877"/>
      <c r="AJ130" s="877"/>
      <c r="AK130" s="886"/>
      <c r="AL130" s="877"/>
      <c r="AM130" s="879"/>
      <c r="AN130" s="877"/>
      <c r="AO130" s="877"/>
      <c r="AP130" s="877"/>
      <c r="AQ130" s="877"/>
      <c r="AR130" s="886"/>
      <c r="AS130" s="877"/>
      <c r="AT130" s="879"/>
      <c r="AU130" s="877"/>
      <c r="AV130" s="877"/>
      <c r="AW130" s="877"/>
      <c r="AX130" s="877"/>
      <c r="AY130" s="886"/>
      <c r="AZ130" s="877"/>
      <c r="BA130" s="879"/>
      <c r="BB130" s="877"/>
      <c r="BC130" s="877"/>
      <c r="BD130" s="877"/>
      <c r="BE130" s="877"/>
      <c r="BF130" s="886"/>
      <c r="BG130" s="877"/>
      <c r="BH130" s="879"/>
      <c r="BI130" s="877"/>
      <c r="BJ130" s="877"/>
      <c r="BK130" s="877"/>
      <c r="BL130" s="877"/>
      <c r="BM130" s="886"/>
      <c r="BN130" s="877"/>
      <c r="BO130" s="879"/>
      <c r="BP130" s="877"/>
      <c r="BQ130" s="877"/>
      <c r="BR130" s="877"/>
      <c r="BS130" s="877"/>
      <c r="BT130" s="886"/>
      <c r="BU130" s="877"/>
      <c r="BV130" s="879"/>
      <c r="BW130" s="886"/>
    </row>
    <row r="131" spans="1:253" s="502" customFormat="1" ht="17.25">
      <c r="A131" s="20" t="s">
        <v>125</v>
      </c>
      <c r="B131" s="93" t="s">
        <v>121</v>
      </c>
      <c r="C131" s="87">
        <f>'Input data plant-based products'!D56</f>
        <v>7.0000000000000007E-2</v>
      </c>
      <c r="D131" s="54"/>
      <c r="E131" s="1293" t="s">
        <v>316</v>
      </c>
      <c r="F131" s="872">
        <f>SUMPRODUCT($CE$14:$CE$16,F132:F134)</f>
        <v>7.1187844226600461E-2</v>
      </c>
      <c r="G131" s="872">
        <f>SUMPRODUCT($CE$14:$CE$16,G132:G134)</f>
        <v>0.13601457438859704</v>
      </c>
      <c r="H131" s="873">
        <f>SUMPRODUCT($CE$14:$CE$16,H132:H134)</f>
        <v>0.57831609481910473</v>
      </c>
      <c r="I131" s="888"/>
      <c r="J131" s="888"/>
      <c r="K131" s="888"/>
      <c r="L131" s="888"/>
      <c r="M131" s="888"/>
      <c r="N131" s="888"/>
      <c r="O131" s="888"/>
      <c r="P131" s="888"/>
      <c r="Q131" s="888"/>
      <c r="R131" s="888"/>
      <c r="S131" s="888"/>
      <c r="T131" s="888"/>
      <c r="U131" s="888"/>
      <c r="V131" s="888"/>
      <c r="W131" s="936"/>
      <c r="X131" s="864"/>
      <c r="Y131" s="879">
        <f>1/'Input data plant-based products'!E56*10^4</f>
        <v>0.30745580322828592</v>
      </c>
      <c r="Z131" s="877">
        <f>$Y131*'Input data plant-based products'!Z56</f>
        <v>0.30745580322828592</v>
      </c>
      <c r="AA131" s="877">
        <f>$Y131*'Input data plant-based products'!AA56</f>
        <v>0.30745580322828592</v>
      </c>
      <c r="AB131" s="877">
        <f>$Y131*'Input data plant-based products'!AB56</f>
        <v>0.30745580322828592</v>
      </c>
      <c r="AC131" s="877">
        <f>$Y131*'Input data plant-based products'!AC56</f>
        <v>0.42740483242388799</v>
      </c>
      <c r="AD131" s="886">
        <f>$Y131*'Input data plant-based products'!AD56</f>
        <v>0.52766028694307154</v>
      </c>
      <c r="AE131" s="877"/>
      <c r="AF131" s="879">
        <f>SUM('Input data plant-based products'!F56,'Input data plant-based products'!Q56)/'Input data plant-based products'!E56</f>
        <v>3.7202152190622599E-3</v>
      </c>
      <c r="AG131" s="877">
        <f>$AF131*'Input data plant-based products'!Z56</f>
        <v>3.7202152190622599E-3</v>
      </c>
      <c r="AH131" s="877">
        <f>$AF131*'Input data plant-based products'!AA56</f>
        <v>3.7202152190622599E-3</v>
      </c>
      <c r="AI131" s="877">
        <f>$AF131*'Input data plant-based products'!AB56</f>
        <v>3.7202152190622599E-3</v>
      </c>
      <c r="AJ131" s="877">
        <f>$AF131*'Input data plant-based products'!AC56</f>
        <v>5.1715984723290451E-3</v>
      </c>
      <c r="AK131" s="886">
        <f>$AF131*'Input data plant-based products'!AD56</f>
        <v>6.3846894720111661E-3</v>
      </c>
      <c r="AL131" s="877"/>
      <c r="AM131" s="879">
        <f>'Input data plant-based products'!R56/'Input data plant-based products'!E56</f>
        <v>1.1428571428571429E-3</v>
      </c>
      <c r="AN131" s="877">
        <f>$AM131*'Input data plant-based products'!Z56</f>
        <v>1.1428571428571429E-3</v>
      </c>
      <c r="AO131" s="877">
        <f>$AM131*'Input data plant-based products'!AA56</f>
        <v>1.1428571428571429E-3</v>
      </c>
      <c r="AP131" s="877">
        <f>$AM131*'Input data plant-based products'!AB56</f>
        <v>1.1428571428571429E-3</v>
      </c>
      <c r="AQ131" s="877">
        <f>$AM131*'Input data plant-based products'!AC56</f>
        <v>1.5887248199527952E-3</v>
      </c>
      <c r="AR131" s="886">
        <f>$AM131*'Input data plant-based products'!AD56</f>
        <v>1.9613886666083888E-3</v>
      </c>
      <c r="AS131" s="877"/>
      <c r="AT131" s="879">
        <f>'Input data plant-based products'!S56</f>
        <v>1.9601894363389694E-5</v>
      </c>
      <c r="AU131" s="877">
        <f>$AT131*'Input data plant-based products'!Z56</f>
        <v>1.9601894363389694E-5</v>
      </c>
      <c r="AV131" s="877">
        <f>$AT131*'Input data plant-based products'!AA56</f>
        <v>1.9601894363389694E-5</v>
      </c>
      <c r="AW131" s="877">
        <f>$AT131*'Input data plant-based products'!AB56</f>
        <v>1.9601894363389694E-5</v>
      </c>
      <c r="AX131" s="877">
        <f>$AT131*'Input data plant-based products'!AC56</f>
        <v>2.7249264081558751E-5</v>
      </c>
      <c r="AY131" s="886">
        <f>$AT131*'Input data plant-based products'!AD56</f>
        <v>3.3641066767356481E-5</v>
      </c>
      <c r="AZ131" s="877"/>
      <c r="BA131" s="879">
        <f>((SUM('Input data plant-based products'!U56:Y56)*Y131)/('Common input data'!$B$192/10^6))/$BB$3</f>
        <v>2.1749100902287563E-12</v>
      </c>
      <c r="BB131" s="877">
        <f>$BA131*'Input data plant-based products'!Z56</f>
        <v>2.1749100902287563E-12</v>
      </c>
      <c r="BC131" s="877">
        <f>$BA131*'Input data plant-based products'!AA56</f>
        <v>2.1749100902287563E-12</v>
      </c>
      <c r="BD131" s="877">
        <f>$BA131*'Input data plant-based products'!AB56</f>
        <v>2.1749100902287563E-12</v>
      </c>
      <c r="BE131" s="877">
        <f>$BA131*'Input data plant-based products'!AC56</f>
        <v>3.0234169363231735E-12</v>
      </c>
      <c r="BF131" s="886">
        <f>$BA131*'Input data plant-based products'!AD56</f>
        <v>3.732613501633547E-12</v>
      </c>
      <c r="BG131" s="877"/>
      <c r="BH131" s="879">
        <f>'Input data plant-based products'!T56/'Input data plant-based products'!E56</f>
        <v>1.5563412759415835E-3</v>
      </c>
      <c r="BI131" s="877">
        <f>$BH131*'Input data plant-based products'!Z56</f>
        <v>1.5563412759415835E-3</v>
      </c>
      <c r="BJ131" s="877">
        <f>$BH131*'Input data plant-based products'!AA56</f>
        <v>1.5563412759415835E-3</v>
      </c>
      <c r="BK131" s="877">
        <f>$BH131*'Input data plant-based products'!AB56</f>
        <v>1.5563412759415835E-3</v>
      </c>
      <c r="BL131" s="877">
        <f>$BH131*'Input data plant-based products'!AC56</f>
        <v>2.1635232617297213E-3</v>
      </c>
      <c r="BM131" s="886">
        <f>$BH131*'Input data plant-based products'!AD56</f>
        <v>2.6710163725058283E-3</v>
      </c>
      <c r="BN131" s="877"/>
      <c r="BO131" s="879">
        <f>('Input data plant-based products'!F56/'Input data plant-based products'!E56*'Common input data'!$B$195+'Input data plant-based products'!G56/'Input data plant-based products'!E56*'Common input data'!$B$196)/'Common input data'!$B$198</f>
        <v>4.2273043339974899E-4</v>
      </c>
      <c r="BP131" s="877">
        <f>$BO131*'Input data plant-based products'!Z56</f>
        <v>4.2273043339974899E-4</v>
      </c>
      <c r="BQ131" s="877">
        <f>$BO131*'Input data plant-based products'!AA56</f>
        <v>4.2273043339974899E-4</v>
      </c>
      <c r="BR131" s="877">
        <f>$BO131*'Input data plant-based products'!AB56</f>
        <v>4.2273043339974899E-4</v>
      </c>
      <c r="BS131" s="877">
        <f>$BO131*'Input data plant-based products'!AC56</f>
        <v>5.8765204023013533E-4</v>
      </c>
      <c r="BT131" s="886">
        <f>$BO131*'Input data plant-based products'!AD56</f>
        <v>7.2549634596312995E-4</v>
      </c>
      <c r="BU131" s="877"/>
      <c r="BV131" s="879">
        <f>('Common input data'!$C$202+'Common input data'!$B$214)*'Input data plant-based products'!AC56</f>
        <v>1.3208591956220042</v>
      </c>
      <c r="BW131" s="886">
        <f>('Common input data'!$C$202+'Common input data'!$B$214)*'Input data plant-based products'!AD56</f>
        <v>1.630690364965437</v>
      </c>
      <c r="BX131" s="406"/>
      <c r="BY131" s="406"/>
      <c r="BZ131" s="406"/>
      <c r="CA131" s="406"/>
      <c r="CB131" s="406"/>
      <c r="CC131" s="406"/>
      <c r="CD131" s="406"/>
      <c r="CE131" s="406"/>
      <c r="CF131" s="406"/>
      <c r="CG131" s="406"/>
      <c r="CH131" s="406"/>
      <c r="CI131" s="406"/>
      <c r="CJ131" s="406"/>
      <c r="CK131" s="406"/>
      <c r="CL131" s="406"/>
      <c r="CM131" s="406"/>
      <c r="CN131" s="406"/>
      <c r="CO131" s="406"/>
      <c r="CP131" s="406"/>
      <c r="CQ131" s="406"/>
      <c r="CR131" s="406"/>
      <c r="CS131" s="406"/>
      <c r="CT131" s="406"/>
      <c r="CU131" s="406"/>
      <c r="CV131" s="406"/>
      <c r="CW131" s="406"/>
      <c r="CX131" s="406"/>
      <c r="CY131" s="406"/>
      <c r="CZ131" s="406"/>
      <c r="DA131" s="406"/>
      <c r="DB131" s="406"/>
      <c r="DC131" s="406"/>
      <c r="DD131" s="406"/>
      <c r="DE131" s="406"/>
      <c r="DF131" s="406"/>
      <c r="DG131" s="406"/>
      <c r="DH131" s="406"/>
      <c r="DI131" s="406"/>
      <c r="DJ131" s="406"/>
      <c r="DK131" s="406"/>
      <c r="DL131" s="406"/>
      <c r="DM131" s="406"/>
      <c r="DN131" s="406"/>
      <c r="DO131" s="406"/>
      <c r="DP131" s="406"/>
      <c r="DQ131" s="406"/>
      <c r="DR131" s="406"/>
      <c r="DS131" s="406"/>
      <c r="DT131" s="406"/>
      <c r="DU131" s="406"/>
      <c r="DV131" s="406"/>
      <c r="DW131" s="406"/>
      <c r="DX131" s="406"/>
      <c r="DY131" s="406"/>
      <c r="DZ131" s="406"/>
      <c r="EA131" s="406"/>
      <c r="EB131" s="406"/>
      <c r="EC131" s="406"/>
      <c r="ED131" s="406"/>
      <c r="EE131" s="406"/>
      <c r="EF131" s="406"/>
      <c r="EG131" s="406"/>
      <c r="EH131" s="406"/>
      <c r="EI131" s="406"/>
      <c r="EJ131" s="406"/>
      <c r="EK131" s="406"/>
      <c r="EL131" s="406"/>
      <c r="EM131" s="406"/>
      <c r="EN131" s="406"/>
      <c r="EO131" s="406"/>
      <c r="EP131" s="406"/>
      <c r="EQ131" s="406"/>
      <c r="ER131" s="406"/>
      <c r="ES131" s="406"/>
      <c r="ET131" s="406"/>
      <c r="EU131" s="406"/>
      <c r="EV131" s="406"/>
      <c r="EW131" s="406"/>
      <c r="EX131" s="406"/>
      <c r="EY131" s="406"/>
      <c r="EZ131" s="406"/>
      <c r="FA131" s="406"/>
      <c r="FB131" s="406"/>
      <c r="FC131" s="406"/>
      <c r="FD131" s="406"/>
      <c r="FE131" s="406"/>
      <c r="FF131" s="406"/>
      <c r="FG131" s="406"/>
      <c r="FH131" s="406"/>
      <c r="FI131" s="406"/>
      <c r="FJ131" s="406"/>
      <c r="FK131" s="406"/>
      <c r="FL131" s="406"/>
      <c r="FM131" s="406"/>
      <c r="FN131" s="406"/>
      <c r="FO131" s="406"/>
      <c r="FP131" s="406"/>
      <c r="FQ131" s="406"/>
      <c r="FR131" s="406"/>
      <c r="FS131" s="406"/>
      <c r="FT131" s="406"/>
      <c r="FU131" s="406"/>
      <c r="FV131" s="406"/>
      <c r="FW131" s="406"/>
      <c r="FX131" s="406"/>
      <c r="FY131" s="406"/>
      <c r="FZ131" s="406"/>
      <c r="GA131" s="406"/>
      <c r="GB131" s="406"/>
      <c r="GC131" s="406"/>
      <c r="GD131" s="406"/>
      <c r="GE131" s="406"/>
      <c r="GF131" s="406"/>
      <c r="GG131" s="406"/>
      <c r="GH131" s="406"/>
      <c r="GI131" s="406"/>
      <c r="GJ131" s="406"/>
      <c r="GK131" s="406"/>
      <c r="GL131" s="406"/>
      <c r="GM131" s="406"/>
      <c r="GN131" s="406"/>
      <c r="GO131" s="406"/>
      <c r="GP131" s="406"/>
      <c r="GQ131" s="406"/>
      <c r="GR131" s="406"/>
      <c r="GS131" s="406"/>
      <c r="GT131" s="406"/>
      <c r="GU131" s="406"/>
      <c r="GV131" s="406"/>
      <c r="GW131" s="406"/>
      <c r="GX131" s="406"/>
      <c r="GY131" s="406"/>
      <c r="GZ131" s="406"/>
      <c r="HA131" s="406"/>
      <c r="HB131" s="406"/>
      <c r="HC131" s="406"/>
      <c r="HD131" s="406"/>
      <c r="HE131" s="406"/>
      <c r="HF131" s="406"/>
      <c r="HG131" s="406"/>
      <c r="HH131" s="406"/>
      <c r="HI131" s="406"/>
      <c r="HJ131" s="406"/>
      <c r="HK131" s="406"/>
      <c r="HL131" s="406"/>
      <c r="HM131" s="406"/>
      <c r="HN131" s="406"/>
      <c r="HO131" s="406"/>
      <c r="HP131" s="406"/>
      <c r="HQ131" s="406"/>
      <c r="HR131" s="406"/>
      <c r="HS131" s="406"/>
      <c r="HT131" s="406"/>
      <c r="HU131" s="406"/>
      <c r="HV131" s="406"/>
      <c r="HW131" s="406"/>
      <c r="HX131" s="406"/>
      <c r="HY131" s="406"/>
      <c r="HZ131" s="406"/>
      <c r="IA131" s="406"/>
      <c r="IB131" s="406"/>
      <c r="IC131" s="406"/>
      <c r="ID131" s="406"/>
      <c r="IE131" s="406"/>
      <c r="IF131" s="406"/>
      <c r="IG131" s="406"/>
      <c r="IH131" s="406"/>
      <c r="II131" s="406"/>
      <c r="IJ131" s="406"/>
      <c r="IK131" s="406"/>
      <c r="IL131" s="406"/>
      <c r="IM131" s="406"/>
      <c r="IN131" s="406"/>
      <c r="IO131" s="406"/>
      <c r="IP131" s="406"/>
      <c r="IQ131" s="406"/>
      <c r="IR131" s="406"/>
      <c r="IS131" s="406"/>
    </row>
    <row r="132" spans="1:253" s="406" customFormat="1" ht="17.25">
      <c r="A132" s="68"/>
      <c r="B132" s="55"/>
      <c r="C132" s="917"/>
      <c r="D132" s="5"/>
      <c r="E132" s="1294" t="s">
        <v>317</v>
      </c>
      <c r="F132" s="877">
        <f>IF(AND($G$2="No",$G$3="No"),SUM(K132:L132),IF(AND($G$2="Yes", $G$3="No"), SUM(K132:L132)+S132, IF(AND($G$2="No", $G$3="Yes"),SUM(K132:L132)+R132, SUM(K132:L132)+S132+R132)))</f>
        <v>3.9989486962957101E-2</v>
      </c>
      <c r="G132" s="877">
        <f>IF(AND($G$2="No",$G$3="No"),SUM(I132:Q132),IF(AND($G$2="Yes", $G$3="No"), SUM(I132:Q132)+S132, IF(AND($G$2="No", $G$3="Yes"),SUM(I132:Q132)+R132, SUM(I132:Q132)+S132+R132)))</f>
        <v>9.5498963645228141E-2</v>
      </c>
      <c r="H132" s="878">
        <f>SUM(U132:W132)/(1-'Common input data'!$B$142)</f>
        <v>0.52199395798351045</v>
      </c>
      <c r="I132" s="877">
        <f>('Input data plant-based products'!$F$56*('Common input data'!$C$93*'Common input data'!B86+'Common input data'!$C$94*'Common input data'!C86))/'Input data plant-based products'!$E$56</f>
        <v>1.4006517112709166E-2</v>
      </c>
      <c r="J132" s="877">
        <f>'Common input data'!$B$98</f>
        <v>0.03</v>
      </c>
      <c r="K132" s="877">
        <v>0</v>
      </c>
      <c r="L132" s="877">
        <v>0</v>
      </c>
      <c r="M132" s="877"/>
      <c r="N132" s="877">
        <f>('Input data plant-based products'!$P$56*'Common input data'!$C$76*'Common input data'!H66)/'Input data plant-based products'!$E$56</f>
        <v>1.1502959569561875E-2</v>
      </c>
      <c r="O132" s="877">
        <v>0</v>
      </c>
      <c r="P132" s="877">
        <v>0</v>
      </c>
      <c r="Q132" s="877">
        <v>0</v>
      </c>
      <c r="R132" s="877">
        <f>'Common input data'!$E$19</f>
        <v>3.9989486962957101E-2</v>
      </c>
      <c r="S132" s="877">
        <v>0</v>
      </c>
      <c r="T132" s="877">
        <v>0</v>
      </c>
      <c r="U132" s="877">
        <f>(G132+T132)</f>
        <v>9.5498963645228141E-2</v>
      </c>
      <c r="V132" s="877">
        <f>'Common input data'!$B$105</f>
        <v>0.05</v>
      </c>
      <c r="W132" s="886">
        <f>'Common input data'!B119+'Common input data'!C119</f>
        <v>0.23000000000000004</v>
      </c>
      <c r="X132" s="864"/>
      <c r="Y132" s="879"/>
      <c r="Z132" s="877"/>
      <c r="AA132" s="877"/>
      <c r="AB132" s="877"/>
      <c r="AC132" s="877"/>
      <c r="AD132" s="886"/>
      <c r="AE132" s="877"/>
      <c r="AF132" s="879"/>
      <c r="AG132" s="877"/>
      <c r="AH132" s="877"/>
      <c r="AI132" s="877"/>
      <c r="AJ132" s="877"/>
      <c r="AK132" s="886"/>
      <c r="AL132" s="877"/>
      <c r="AM132" s="879"/>
      <c r="AN132" s="877"/>
      <c r="AO132" s="877"/>
      <c r="AP132" s="877"/>
      <c r="AQ132" s="877"/>
      <c r="AR132" s="886"/>
      <c r="AS132" s="877"/>
      <c r="AT132" s="879"/>
      <c r="AU132" s="877"/>
      <c r="AV132" s="877"/>
      <c r="AW132" s="877"/>
      <c r="AX132" s="877"/>
      <c r="AY132" s="886"/>
      <c r="AZ132" s="877"/>
      <c r="BA132" s="879"/>
      <c r="BB132" s="877"/>
      <c r="BC132" s="877"/>
      <c r="BD132" s="877"/>
      <c r="BE132" s="877"/>
      <c r="BF132" s="886"/>
      <c r="BG132" s="877"/>
      <c r="BH132" s="879"/>
      <c r="BI132" s="877"/>
      <c r="BJ132" s="877"/>
      <c r="BK132" s="877"/>
      <c r="BL132" s="877"/>
      <c r="BM132" s="886"/>
      <c r="BN132" s="877"/>
      <c r="BO132" s="879"/>
      <c r="BP132" s="877"/>
      <c r="BQ132" s="877"/>
      <c r="BR132" s="877"/>
      <c r="BS132" s="877"/>
      <c r="BT132" s="886"/>
      <c r="BU132" s="877"/>
      <c r="BV132" s="879"/>
      <c r="BW132" s="886"/>
    </row>
    <row r="133" spans="1:253" s="406" customFormat="1" ht="17.25">
      <c r="A133" s="68"/>
      <c r="B133" s="55"/>
      <c r="C133" s="595"/>
      <c r="D133" s="50"/>
      <c r="E133" s="1294" t="s">
        <v>367</v>
      </c>
      <c r="F133" s="877">
        <f>SUM(K133:L133)</f>
        <v>0</v>
      </c>
      <c r="G133" s="877">
        <f>SUM(I133:Q133)</f>
        <v>3.0789683584044417E-5</v>
      </c>
      <c r="H133" s="878">
        <f>SUM(U133:W133)/(1-'Common input data'!$B$142)</f>
        <v>4.2801792694906439E-5</v>
      </c>
      <c r="I133" s="877">
        <f>('Input data plant-based products'!$F$56*('Common input data'!$C$93*'Common input data'!B87+'Common input data'!$C$94*'Common input data'!C87))/'Input data plant-based products'!$E$56</f>
        <v>2.5694260371131273E-5</v>
      </c>
      <c r="J133" s="877">
        <v>0</v>
      </c>
      <c r="K133" s="877">
        <v>0</v>
      </c>
      <c r="L133" s="877">
        <v>0</v>
      </c>
      <c r="M133" s="877"/>
      <c r="N133" s="877">
        <f>('Input data plant-based products'!$P$56*'Common input data'!$C$76*'Common input data'!H67)/'Input data plant-based products'!$E$56</f>
        <v>5.0954232129131442E-6</v>
      </c>
      <c r="O133" s="877">
        <v>0</v>
      </c>
      <c r="P133" s="877">
        <v>0</v>
      </c>
      <c r="Q133" s="877">
        <v>0</v>
      </c>
      <c r="R133" s="877">
        <v>0</v>
      </c>
      <c r="S133" s="877">
        <v>0</v>
      </c>
      <c r="T133" s="877">
        <v>0</v>
      </c>
      <c r="U133" s="877">
        <f>(G133+T133)</f>
        <v>3.0789683584044417E-5</v>
      </c>
      <c r="V133" s="877">
        <v>0</v>
      </c>
      <c r="W133" s="886">
        <v>0</v>
      </c>
      <c r="X133" s="864"/>
      <c r="Y133" s="879"/>
      <c r="Z133" s="877"/>
      <c r="AA133" s="877"/>
      <c r="AB133" s="877"/>
      <c r="AC133" s="877"/>
      <c r="AD133" s="886"/>
      <c r="AE133" s="877"/>
      <c r="AF133" s="879"/>
      <c r="AG133" s="877"/>
      <c r="AH133" s="877"/>
      <c r="AI133" s="877"/>
      <c r="AJ133" s="877"/>
      <c r="AK133" s="886"/>
      <c r="AL133" s="877"/>
      <c r="AM133" s="879"/>
      <c r="AN133" s="877"/>
      <c r="AO133" s="877"/>
      <c r="AP133" s="877"/>
      <c r="AQ133" s="877"/>
      <c r="AR133" s="886"/>
      <c r="AS133" s="877"/>
      <c r="AT133" s="879"/>
      <c r="AU133" s="877"/>
      <c r="AV133" s="877"/>
      <c r="AW133" s="877"/>
      <c r="AX133" s="877"/>
      <c r="AY133" s="886"/>
      <c r="AZ133" s="877"/>
      <c r="BA133" s="879"/>
      <c r="BB133" s="877"/>
      <c r="BC133" s="877"/>
      <c r="BD133" s="877"/>
      <c r="BE133" s="877"/>
      <c r="BF133" s="886"/>
      <c r="BG133" s="877"/>
      <c r="BH133" s="879"/>
      <c r="BI133" s="877"/>
      <c r="BJ133" s="877"/>
      <c r="BK133" s="877"/>
      <c r="BL133" s="877"/>
      <c r="BM133" s="886"/>
      <c r="BN133" s="877"/>
      <c r="BO133" s="879"/>
      <c r="BP133" s="877"/>
      <c r="BQ133" s="877"/>
      <c r="BR133" s="877"/>
      <c r="BS133" s="877"/>
      <c r="BT133" s="886"/>
      <c r="BU133" s="877"/>
      <c r="BV133" s="879"/>
      <c r="BW133" s="886"/>
    </row>
    <row r="134" spans="1:253" s="406" customFormat="1" ht="17.25">
      <c r="A134" s="359"/>
      <c r="B134" s="360"/>
      <c r="C134" s="83"/>
      <c r="D134" s="54"/>
      <c r="E134" s="1295" t="s">
        <v>320</v>
      </c>
      <c r="F134" s="896">
        <f>SUM(K134:L134)</f>
        <v>1.1427969693642254E-4</v>
      </c>
      <c r="G134" s="896">
        <f>SUM(I134:Q134)</f>
        <v>1.4536369702051173E-4</v>
      </c>
      <c r="H134" s="933">
        <f>SUM(U134:W134)/(1-'Common input data'!$B$142)</f>
        <v>2.0207504920451201E-4</v>
      </c>
      <c r="I134" s="896">
        <f>('Input data plant-based products'!$F$56*('Common input data'!$C$93*'Common input data'!B88+'Common input data'!$C$94*'Common input data'!C88))/'Input data plant-based products'!$E$56</f>
        <v>3.0774911075634173E-5</v>
      </c>
      <c r="J134" s="896">
        <v>0</v>
      </c>
      <c r="K134" s="896">
        <f>(SUM('Input data plant-based products'!F56:H56)*'Input data plant-based products'!$B$257*44/28)/'Input data plant-based products'!E56</f>
        <v>1.0389063357856594E-4</v>
      </c>
      <c r="L134" s="896">
        <f>K134*'Input data plant-based products'!$B$261</f>
        <v>1.0389063357856594E-5</v>
      </c>
      <c r="M134" s="896"/>
      <c r="N134" s="896">
        <f>('Input data plant-based products'!$P$56*'Common input data'!$C$76*'Common input data'!H68)/'Input data plant-based products'!$E$56</f>
        <v>3.0908900845503459E-7</v>
      </c>
      <c r="O134" s="896">
        <v>0</v>
      </c>
      <c r="P134" s="896">
        <v>0</v>
      </c>
      <c r="Q134" s="896">
        <v>0</v>
      </c>
      <c r="R134" s="896">
        <v>0</v>
      </c>
      <c r="S134" s="896">
        <v>0</v>
      </c>
      <c r="T134" s="896">
        <v>0</v>
      </c>
      <c r="U134" s="896">
        <f>(G134+T134)</f>
        <v>1.4536369702051173E-4</v>
      </c>
      <c r="V134" s="896">
        <v>0</v>
      </c>
      <c r="W134" s="897">
        <v>0</v>
      </c>
      <c r="X134" s="864"/>
      <c r="Y134" s="879"/>
      <c r="Z134" s="877"/>
      <c r="AA134" s="877"/>
      <c r="AB134" s="877"/>
      <c r="AC134" s="877"/>
      <c r="AD134" s="886"/>
      <c r="AE134" s="877"/>
      <c r="AF134" s="879"/>
      <c r="AG134" s="877"/>
      <c r="AH134" s="877"/>
      <c r="AI134" s="877"/>
      <c r="AJ134" s="877"/>
      <c r="AK134" s="886"/>
      <c r="AL134" s="877"/>
      <c r="AM134" s="879"/>
      <c r="AN134" s="877"/>
      <c r="AO134" s="877"/>
      <c r="AP134" s="877"/>
      <c r="AQ134" s="877"/>
      <c r="AR134" s="886"/>
      <c r="AS134" s="877"/>
      <c r="AT134" s="879"/>
      <c r="AU134" s="877"/>
      <c r="AV134" s="877"/>
      <c r="AW134" s="877"/>
      <c r="AX134" s="877"/>
      <c r="AY134" s="886"/>
      <c r="AZ134" s="877"/>
      <c r="BA134" s="879"/>
      <c r="BB134" s="877"/>
      <c r="BC134" s="877"/>
      <c r="BD134" s="877"/>
      <c r="BE134" s="877"/>
      <c r="BF134" s="886"/>
      <c r="BG134" s="877"/>
      <c r="BH134" s="879"/>
      <c r="BI134" s="877"/>
      <c r="BJ134" s="877"/>
      <c r="BK134" s="877"/>
      <c r="BL134" s="877"/>
      <c r="BM134" s="886"/>
      <c r="BN134" s="877"/>
      <c r="BO134" s="879"/>
      <c r="BP134" s="877"/>
      <c r="BQ134" s="877"/>
      <c r="BR134" s="877"/>
      <c r="BS134" s="877"/>
      <c r="BT134" s="886"/>
      <c r="BU134" s="877"/>
      <c r="BV134" s="879"/>
      <c r="BW134" s="886"/>
    </row>
    <row r="135" spans="1:253" s="503" customFormat="1" ht="17.25">
      <c r="A135" s="362" t="s">
        <v>486</v>
      </c>
      <c r="B135" s="363"/>
      <c r="C135" s="770"/>
      <c r="D135" s="54"/>
      <c r="E135" s="1296"/>
      <c r="F135" s="1290" t="s">
        <v>487</v>
      </c>
      <c r="G135" s="1290" t="s">
        <v>487</v>
      </c>
      <c r="H135" s="870" t="s">
        <v>487</v>
      </c>
      <c r="I135" s="889"/>
      <c r="J135" s="889"/>
      <c r="K135" s="889"/>
      <c r="L135" s="890"/>
      <c r="M135" s="890"/>
      <c r="N135" s="890"/>
      <c r="O135" s="891"/>
      <c r="P135" s="890"/>
      <c r="Q135" s="890"/>
      <c r="R135" s="890"/>
      <c r="S135" s="890"/>
      <c r="T135" s="890"/>
      <c r="U135" s="890"/>
      <c r="V135" s="890"/>
      <c r="W135" s="890"/>
      <c r="X135" s="864"/>
      <c r="Y135" s="879"/>
      <c r="Z135" s="877"/>
      <c r="AA135" s="877"/>
      <c r="AB135" s="877"/>
      <c r="AC135" s="877"/>
      <c r="AD135" s="886"/>
      <c r="AE135" s="877"/>
      <c r="AF135" s="879"/>
      <c r="AG135" s="877"/>
      <c r="AH135" s="877"/>
      <c r="AI135" s="877"/>
      <c r="AJ135" s="877"/>
      <c r="AK135" s="886"/>
      <c r="AL135" s="877"/>
      <c r="AM135" s="879"/>
      <c r="AN135" s="877"/>
      <c r="AO135" s="877"/>
      <c r="AP135" s="877"/>
      <c r="AQ135" s="877"/>
      <c r="AR135" s="886"/>
      <c r="AS135" s="877"/>
      <c r="AT135" s="879"/>
      <c r="AU135" s="877"/>
      <c r="AV135" s="877"/>
      <c r="AW135" s="877"/>
      <c r="AX135" s="877"/>
      <c r="AY135" s="886"/>
      <c r="AZ135" s="877"/>
      <c r="BA135" s="879"/>
      <c r="BB135" s="877"/>
      <c r="BC135" s="877"/>
      <c r="BD135" s="877"/>
      <c r="BE135" s="877"/>
      <c r="BF135" s="886"/>
      <c r="BG135" s="877"/>
      <c r="BH135" s="879"/>
      <c r="BI135" s="877"/>
      <c r="BJ135" s="877"/>
      <c r="BK135" s="877"/>
      <c r="BL135" s="877"/>
      <c r="BM135" s="886"/>
      <c r="BN135" s="877"/>
      <c r="BO135" s="879"/>
      <c r="BP135" s="877"/>
      <c r="BQ135" s="877"/>
      <c r="BR135" s="877"/>
      <c r="BS135" s="877"/>
      <c r="BT135" s="886"/>
      <c r="BU135" s="877"/>
      <c r="BV135" s="879"/>
      <c r="BW135" s="886"/>
      <c r="BX135" s="406"/>
      <c r="BY135" s="406"/>
      <c r="BZ135" s="406"/>
      <c r="CA135" s="406"/>
      <c r="CB135" s="406"/>
      <c r="CC135" s="406"/>
      <c r="CD135" s="406"/>
      <c r="CE135" s="406"/>
      <c r="CF135" s="406"/>
      <c r="CG135" s="406"/>
      <c r="CH135" s="406"/>
      <c r="CI135" s="406"/>
      <c r="CJ135" s="406"/>
      <c r="CK135" s="406"/>
      <c r="CL135" s="406"/>
      <c r="CM135" s="406"/>
      <c r="CN135" s="406"/>
      <c r="CO135" s="406"/>
      <c r="CP135" s="406"/>
      <c r="CQ135" s="406"/>
      <c r="CR135" s="406"/>
      <c r="CS135" s="406"/>
      <c r="CT135" s="406"/>
      <c r="CU135" s="406"/>
      <c r="CV135" s="406"/>
      <c r="CW135" s="406"/>
      <c r="CX135" s="406"/>
      <c r="CY135" s="406"/>
      <c r="CZ135" s="406"/>
      <c r="DA135" s="406"/>
      <c r="DB135" s="406"/>
      <c r="DC135" s="406"/>
      <c r="DD135" s="406"/>
      <c r="DE135" s="406"/>
      <c r="DF135" s="406"/>
      <c r="DG135" s="406"/>
      <c r="DH135" s="406"/>
      <c r="DI135" s="406"/>
      <c r="DJ135" s="406"/>
      <c r="DK135" s="406"/>
      <c r="DL135" s="406"/>
      <c r="DM135" s="406"/>
      <c r="DN135" s="406"/>
      <c r="DO135" s="406"/>
      <c r="DP135" s="406"/>
      <c r="DQ135" s="406"/>
      <c r="DR135" s="406"/>
      <c r="DS135" s="406"/>
      <c r="DT135" s="406"/>
      <c r="DU135" s="406"/>
      <c r="DV135" s="406"/>
      <c r="DW135" s="406"/>
      <c r="DX135" s="406"/>
      <c r="DY135" s="406"/>
      <c r="DZ135" s="406"/>
      <c r="EA135" s="406"/>
      <c r="EB135" s="406"/>
      <c r="EC135" s="406"/>
      <c r="ED135" s="406"/>
      <c r="EE135" s="406"/>
      <c r="EF135" s="406"/>
      <c r="EG135" s="406"/>
      <c r="EH135" s="406"/>
      <c r="EI135" s="406"/>
      <c r="EJ135" s="406"/>
      <c r="EK135" s="406"/>
      <c r="EL135" s="406"/>
      <c r="EM135" s="406"/>
      <c r="EN135" s="406"/>
      <c r="EO135" s="406"/>
      <c r="EP135" s="406"/>
      <c r="EQ135" s="406"/>
      <c r="ER135" s="406"/>
      <c r="ES135" s="406"/>
      <c r="ET135" s="406"/>
      <c r="EU135" s="406"/>
      <c r="EV135" s="406"/>
      <c r="EW135" s="406"/>
      <c r="EX135" s="406"/>
      <c r="EY135" s="406"/>
      <c r="EZ135" s="406"/>
      <c r="FA135" s="406"/>
      <c r="FB135" s="406"/>
      <c r="FC135" s="406"/>
      <c r="FD135" s="406"/>
      <c r="FE135" s="406"/>
      <c r="FF135" s="406"/>
      <c r="FG135" s="406"/>
      <c r="FH135" s="406"/>
      <c r="FI135" s="406"/>
      <c r="FJ135" s="406"/>
      <c r="FK135" s="406"/>
      <c r="FL135" s="406"/>
      <c r="FM135" s="406"/>
      <c r="FN135" s="406"/>
      <c r="FO135" s="406"/>
      <c r="FP135" s="406"/>
      <c r="FQ135" s="406"/>
      <c r="FR135" s="406"/>
      <c r="FS135" s="406"/>
      <c r="FT135" s="406"/>
      <c r="FU135" s="406"/>
      <c r="FV135" s="406"/>
      <c r="FW135" s="406"/>
      <c r="FX135" s="406"/>
      <c r="FY135" s="406"/>
      <c r="FZ135" s="406"/>
      <c r="GA135" s="406"/>
      <c r="GB135" s="406"/>
      <c r="GC135" s="406"/>
      <c r="GD135" s="406"/>
      <c r="GE135" s="406"/>
      <c r="GF135" s="406"/>
      <c r="GG135" s="406"/>
      <c r="GH135" s="406"/>
      <c r="GI135" s="406"/>
      <c r="GJ135" s="406"/>
      <c r="GK135" s="406"/>
      <c r="GL135" s="406"/>
      <c r="GM135" s="406"/>
      <c r="GN135" s="406"/>
      <c r="GO135" s="406"/>
      <c r="GP135" s="406"/>
      <c r="GQ135" s="406"/>
      <c r="GR135" s="406"/>
      <c r="GS135" s="406"/>
      <c r="GT135" s="406"/>
      <c r="GU135" s="406"/>
      <c r="GV135" s="406"/>
      <c r="GW135" s="406"/>
      <c r="GX135" s="406"/>
      <c r="GY135" s="406"/>
      <c r="GZ135" s="406"/>
      <c r="HA135" s="406"/>
      <c r="HB135" s="406"/>
      <c r="HC135" s="406"/>
      <c r="HD135" s="406"/>
      <c r="HE135" s="406"/>
      <c r="HF135" s="406"/>
      <c r="HG135" s="406"/>
      <c r="HH135" s="406"/>
      <c r="HI135" s="406"/>
      <c r="HJ135" s="406"/>
      <c r="HK135" s="406"/>
      <c r="HL135" s="406"/>
      <c r="HM135" s="406"/>
      <c r="HN135" s="406"/>
      <c r="HO135" s="406"/>
      <c r="HP135" s="406"/>
      <c r="HQ135" s="406"/>
      <c r="HR135" s="406"/>
      <c r="HS135" s="406"/>
      <c r="HT135" s="406"/>
      <c r="HU135" s="406"/>
      <c r="HV135" s="406"/>
      <c r="HW135" s="406"/>
      <c r="HX135" s="406"/>
      <c r="HY135" s="406"/>
      <c r="HZ135" s="406"/>
      <c r="IA135" s="406"/>
      <c r="IB135" s="406"/>
      <c r="IC135" s="406"/>
      <c r="ID135" s="406"/>
      <c r="IE135" s="406"/>
      <c r="IF135" s="406"/>
      <c r="IG135" s="406"/>
      <c r="IH135" s="406"/>
      <c r="II135" s="406"/>
      <c r="IJ135" s="406"/>
      <c r="IK135" s="406"/>
      <c r="IL135" s="406"/>
      <c r="IM135" s="406"/>
      <c r="IN135" s="406"/>
      <c r="IO135" s="406"/>
      <c r="IP135" s="406"/>
      <c r="IQ135" s="406"/>
      <c r="IR135" s="406"/>
      <c r="IS135" s="406"/>
    </row>
    <row r="136" spans="1:253" s="502" customFormat="1" ht="17.25">
      <c r="A136" s="20" t="s">
        <v>120</v>
      </c>
      <c r="B136" s="93"/>
      <c r="C136" s="771">
        <f>SUM(C140:C151)</f>
        <v>1</v>
      </c>
      <c r="D136" s="50"/>
      <c r="E136" s="1293" t="s">
        <v>316</v>
      </c>
      <c r="F136" s="874">
        <f>SUMPRODUCT($CE$14:$CE$16,F137:F139)</f>
        <v>6.8323105605984646E-2</v>
      </c>
      <c r="G136" s="874">
        <f>SUMPRODUCT($CE$14:$CE$16,G137:G139)</f>
        <v>0.14121197802104907</v>
      </c>
      <c r="H136" s="927">
        <f>SUMPRODUCT($CE$14:$CE$16,H137:H139)</f>
        <v>0.37374952150426072</v>
      </c>
      <c r="I136" s="872"/>
      <c r="J136" s="884"/>
      <c r="K136" s="884"/>
      <c r="L136" s="888"/>
      <c r="M136" s="888"/>
      <c r="N136" s="888"/>
      <c r="O136" s="888"/>
      <c r="P136" s="888"/>
      <c r="Q136" s="888"/>
      <c r="R136" s="888"/>
      <c r="S136" s="888"/>
      <c r="T136" s="888"/>
      <c r="U136" s="888"/>
      <c r="V136" s="888"/>
      <c r="W136" s="888"/>
      <c r="X136" s="864"/>
      <c r="Y136" s="883">
        <f>Y140*$C$140+Y144*$C$144+Y148*$C$148</f>
        <v>0.2356497779080953</v>
      </c>
      <c r="Z136" s="884">
        <f t="shared" ref="Z136:BW136" si="15">Z140*$C$140+Z144*$C$144+Z148*$C$148</f>
        <v>0.2356497779080953</v>
      </c>
      <c r="AA136" s="884">
        <f t="shared" si="15"/>
        <v>0.2356497779080953</v>
      </c>
      <c r="AB136" s="884">
        <f t="shared" si="15"/>
        <v>0.2356497779080953</v>
      </c>
      <c r="AC136" s="884">
        <f t="shared" si="15"/>
        <v>0.28123854625623024</v>
      </c>
      <c r="AD136" s="885">
        <f t="shared" si="15"/>
        <v>0.34720808179781504</v>
      </c>
      <c r="AE136" s="877"/>
      <c r="AF136" s="883">
        <f t="shared" si="15"/>
        <v>3.1607061822564063E-3</v>
      </c>
      <c r="AG136" s="884">
        <f t="shared" si="15"/>
        <v>3.1607061822564063E-3</v>
      </c>
      <c r="AH136" s="884">
        <f t="shared" si="15"/>
        <v>3.1607061822564063E-3</v>
      </c>
      <c r="AI136" s="884">
        <f t="shared" si="15"/>
        <v>3.1607061822564063E-3</v>
      </c>
      <c r="AJ136" s="884">
        <f t="shared" si="15"/>
        <v>3.7721758948041609E-3</v>
      </c>
      <c r="AK136" s="885">
        <f t="shared" si="15"/>
        <v>4.6570072775360006E-3</v>
      </c>
      <c r="AL136" s="877"/>
      <c r="AM136" s="883">
        <f t="shared" si="15"/>
        <v>1.5359044762534805E-3</v>
      </c>
      <c r="AN136" s="884">
        <f t="shared" si="15"/>
        <v>1.5359044762534805E-3</v>
      </c>
      <c r="AO136" s="884">
        <f t="shared" si="15"/>
        <v>1.5359044762534805E-3</v>
      </c>
      <c r="AP136" s="884">
        <f t="shared" si="15"/>
        <v>1.5359044762534805E-3</v>
      </c>
      <c r="AQ136" s="884">
        <f t="shared" si="15"/>
        <v>1.8330403106020772E-3</v>
      </c>
      <c r="AR136" s="885">
        <f t="shared" si="15"/>
        <v>2.2630127291383669E-3</v>
      </c>
      <c r="AS136" s="877"/>
      <c r="AT136" s="883">
        <f t="shared" si="15"/>
        <v>2.3200507906954895E-2</v>
      </c>
      <c r="AU136" s="884">
        <f t="shared" si="15"/>
        <v>2.3200507906954895E-2</v>
      </c>
      <c r="AV136" s="884">
        <f t="shared" si="15"/>
        <v>2.3200507906954895E-2</v>
      </c>
      <c r="AW136" s="884">
        <f t="shared" si="15"/>
        <v>2.3200507906954895E-2</v>
      </c>
      <c r="AX136" s="884">
        <f t="shared" si="15"/>
        <v>2.7688874456325212E-2</v>
      </c>
      <c r="AY136" s="885">
        <f t="shared" si="15"/>
        <v>3.4183795625092848E-2</v>
      </c>
      <c r="AZ136" s="877"/>
      <c r="BA136" s="883">
        <f t="shared" si="15"/>
        <v>2.6211738441480183E-12</v>
      </c>
      <c r="BB136" s="884">
        <f t="shared" si="15"/>
        <v>2.6211738441480183E-12</v>
      </c>
      <c r="BC136" s="884">
        <f t="shared" si="15"/>
        <v>2.6211738441480183E-12</v>
      </c>
      <c r="BD136" s="884">
        <f t="shared" si="15"/>
        <v>2.6211738441480183E-12</v>
      </c>
      <c r="BE136" s="884">
        <f t="shared" si="15"/>
        <v>3.1282657168492877E-12</v>
      </c>
      <c r="BF136" s="885">
        <f t="shared" si="15"/>
        <v>3.8620564405546756E-12</v>
      </c>
      <c r="BG136" s="877"/>
      <c r="BH136" s="883">
        <f t="shared" si="15"/>
        <v>5.041075896184443E-4</v>
      </c>
      <c r="BI136" s="884">
        <f t="shared" si="15"/>
        <v>5.041075896184443E-4</v>
      </c>
      <c r="BJ136" s="884">
        <f t="shared" si="15"/>
        <v>5.041075896184443E-4</v>
      </c>
      <c r="BK136" s="884">
        <f t="shared" si="15"/>
        <v>5.041075896184443E-4</v>
      </c>
      <c r="BL136" s="884">
        <f t="shared" si="15"/>
        <v>6.0163216328731873E-4</v>
      </c>
      <c r="BM136" s="885">
        <f t="shared" si="15"/>
        <v>7.4275575714483782E-4</v>
      </c>
      <c r="BN136" s="877"/>
      <c r="BO136" s="883">
        <f t="shared" si="15"/>
        <v>8.0704628170927823E-5</v>
      </c>
      <c r="BP136" s="884">
        <f t="shared" si="15"/>
        <v>8.0704628170927823E-5</v>
      </c>
      <c r="BQ136" s="884">
        <f t="shared" si="15"/>
        <v>8.0704628170927823E-5</v>
      </c>
      <c r="BR136" s="884">
        <f t="shared" si="15"/>
        <v>8.0704628170927823E-5</v>
      </c>
      <c r="BS136" s="884">
        <f t="shared" si="15"/>
        <v>9.6317732630299329E-5</v>
      </c>
      <c r="BT136" s="885">
        <f t="shared" si="15"/>
        <v>1.1891078102506089E-4</v>
      </c>
      <c r="BU136" s="877"/>
      <c r="BV136" s="883">
        <f t="shared" si="15"/>
        <v>0.4248546812859928</v>
      </c>
      <c r="BW136" s="885">
        <f t="shared" si="15"/>
        <v>0.5245119522049293</v>
      </c>
      <c r="BX136" s="406"/>
      <c r="BY136" s="406"/>
      <c r="BZ136" s="406"/>
      <c r="CA136" s="406"/>
      <c r="CB136" s="406"/>
      <c r="CC136" s="406"/>
      <c r="CD136" s="406"/>
      <c r="CE136" s="406"/>
      <c r="CF136" s="406"/>
      <c r="CG136" s="406"/>
      <c r="CH136" s="406"/>
      <c r="CI136" s="406"/>
      <c r="CJ136" s="406"/>
      <c r="CK136" s="406"/>
      <c r="CL136" s="406"/>
      <c r="CM136" s="406"/>
      <c r="CN136" s="406"/>
      <c r="CO136" s="406"/>
      <c r="CP136" s="406"/>
      <c r="CQ136" s="406"/>
      <c r="CR136" s="406"/>
      <c r="CS136" s="406"/>
      <c r="CT136" s="406"/>
      <c r="CU136" s="406"/>
      <c r="CV136" s="406"/>
      <c r="CW136" s="406"/>
      <c r="CX136" s="406"/>
      <c r="CY136" s="406"/>
      <c r="CZ136" s="406"/>
      <c r="DA136" s="406"/>
      <c r="DB136" s="406"/>
      <c r="DC136" s="406"/>
      <c r="DD136" s="406"/>
      <c r="DE136" s="406"/>
      <c r="DF136" s="406"/>
      <c r="DG136" s="406"/>
      <c r="DH136" s="406"/>
      <c r="DI136" s="406"/>
      <c r="DJ136" s="406"/>
      <c r="DK136" s="406"/>
      <c r="DL136" s="406"/>
      <c r="DM136" s="406"/>
      <c r="DN136" s="406"/>
      <c r="DO136" s="406"/>
      <c r="DP136" s="406"/>
      <c r="DQ136" s="406"/>
      <c r="DR136" s="406"/>
      <c r="DS136" s="406"/>
      <c r="DT136" s="406"/>
      <c r="DU136" s="406"/>
      <c r="DV136" s="406"/>
      <c r="DW136" s="406"/>
      <c r="DX136" s="406"/>
      <c r="DY136" s="406"/>
      <c r="DZ136" s="406"/>
      <c r="EA136" s="406"/>
      <c r="EB136" s="406"/>
      <c r="EC136" s="406"/>
      <c r="ED136" s="406"/>
      <c r="EE136" s="406"/>
      <c r="EF136" s="406"/>
      <c r="EG136" s="406"/>
      <c r="EH136" s="406"/>
      <c r="EI136" s="406"/>
      <c r="EJ136" s="406"/>
      <c r="EK136" s="406"/>
      <c r="EL136" s="406"/>
      <c r="EM136" s="406"/>
      <c r="EN136" s="406"/>
      <c r="EO136" s="406"/>
      <c r="EP136" s="406"/>
      <c r="EQ136" s="406"/>
      <c r="ER136" s="406"/>
      <c r="ES136" s="406"/>
      <c r="ET136" s="406"/>
      <c r="EU136" s="406"/>
      <c r="EV136" s="406"/>
      <c r="EW136" s="406"/>
      <c r="EX136" s="406"/>
      <c r="EY136" s="406"/>
      <c r="EZ136" s="406"/>
      <c r="FA136" s="406"/>
      <c r="FB136" s="406"/>
      <c r="FC136" s="406"/>
      <c r="FD136" s="406"/>
      <c r="FE136" s="406"/>
      <c r="FF136" s="406"/>
      <c r="FG136" s="406"/>
      <c r="FH136" s="406"/>
      <c r="FI136" s="406"/>
      <c r="FJ136" s="406"/>
      <c r="FK136" s="406"/>
      <c r="FL136" s="406"/>
      <c r="FM136" s="406"/>
      <c r="FN136" s="406"/>
      <c r="FO136" s="406"/>
      <c r="FP136" s="406"/>
      <c r="FQ136" s="406"/>
      <c r="FR136" s="406"/>
      <c r="FS136" s="406"/>
      <c r="FT136" s="406"/>
      <c r="FU136" s="406"/>
      <c r="FV136" s="406"/>
      <c r="FW136" s="406"/>
      <c r="FX136" s="406"/>
      <c r="FY136" s="406"/>
      <c r="FZ136" s="406"/>
      <c r="GA136" s="406"/>
      <c r="GB136" s="406"/>
      <c r="GC136" s="406"/>
      <c r="GD136" s="406"/>
      <c r="GE136" s="406"/>
      <c r="GF136" s="406"/>
      <c r="GG136" s="406"/>
      <c r="GH136" s="406"/>
      <c r="GI136" s="406"/>
      <c r="GJ136" s="406"/>
      <c r="GK136" s="406"/>
      <c r="GL136" s="406"/>
      <c r="GM136" s="406"/>
      <c r="GN136" s="406"/>
      <c r="GO136" s="406"/>
      <c r="GP136" s="406"/>
      <c r="GQ136" s="406"/>
      <c r="GR136" s="406"/>
      <c r="GS136" s="406"/>
      <c r="GT136" s="406"/>
      <c r="GU136" s="406"/>
      <c r="GV136" s="406"/>
      <c r="GW136" s="406"/>
      <c r="GX136" s="406"/>
      <c r="GY136" s="406"/>
      <c r="GZ136" s="406"/>
      <c r="HA136" s="406"/>
      <c r="HB136" s="406"/>
      <c r="HC136" s="406"/>
      <c r="HD136" s="406"/>
      <c r="HE136" s="406"/>
      <c r="HF136" s="406"/>
      <c r="HG136" s="406"/>
      <c r="HH136" s="406"/>
      <c r="HI136" s="406"/>
      <c r="HJ136" s="406"/>
      <c r="HK136" s="406"/>
      <c r="HL136" s="406"/>
      <c r="HM136" s="406"/>
      <c r="HN136" s="406"/>
      <c r="HO136" s="406"/>
      <c r="HP136" s="406"/>
      <c r="HQ136" s="406"/>
      <c r="HR136" s="406"/>
      <c r="HS136" s="406"/>
      <c r="HT136" s="406"/>
      <c r="HU136" s="406"/>
      <c r="HV136" s="406"/>
      <c r="HW136" s="406"/>
      <c r="HX136" s="406"/>
      <c r="HY136" s="406"/>
      <c r="HZ136" s="406"/>
      <c r="IA136" s="406"/>
      <c r="IB136" s="406"/>
      <c r="IC136" s="406"/>
      <c r="ID136" s="406"/>
      <c r="IE136" s="406"/>
      <c r="IF136" s="406"/>
      <c r="IG136" s="406"/>
      <c r="IH136" s="406"/>
      <c r="II136" s="406"/>
      <c r="IJ136" s="406"/>
      <c r="IK136" s="406"/>
      <c r="IL136" s="406"/>
      <c r="IM136" s="406"/>
      <c r="IN136" s="406"/>
      <c r="IO136" s="406"/>
      <c r="IP136" s="406"/>
      <c r="IQ136" s="406"/>
      <c r="IR136" s="406"/>
      <c r="IS136" s="406"/>
    </row>
    <row r="137" spans="1:253" s="406" customFormat="1" ht="17.25">
      <c r="A137" s="499"/>
      <c r="B137" s="55"/>
      <c r="C137" s="917"/>
      <c r="D137" s="5"/>
      <c r="E137" s="1294" t="s">
        <v>317</v>
      </c>
      <c r="F137" s="877">
        <f t="shared" ref="F137:W139" si="16">F141*$C$140+F145*$C$144+$C$148*F149</f>
        <v>3.9989486962957101E-2</v>
      </c>
      <c r="G137" s="877">
        <f t="shared" si="16"/>
        <v>0.10609721706926839</v>
      </c>
      <c r="H137" s="878">
        <f t="shared" si="16"/>
        <v>0.32493529076730793</v>
      </c>
      <c r="I137" s="877">
        <f t="shared" si="16"/>
        <v>1.0595678208989563E-2</v>
      </c>
      <c r="J137" s="877">
        <f t="shared" si="16"/>
        <v>0.03</v>
      </c>
      <c r="K137" s="877">
        <f t="shared" si="16"/>
        <v>0</v>
      </c>
      <c r="L137" s="877">
        <f t="shared" si="16"/>
        <v>0</v>
      </c>
      <c r="M137" s="877"/>
      <c r="N137" s="877">
        <f t="shared" si="16"/>
        <v>8.8164537451920627E-3</v>
      </c>
      <c r="O137" s="877">
        <f t="shared" si="16"/>
        <v>0</v>
      </c>
      <c r="P137" s="877">
        <f t="shared" si="16"/>
        <v>1.6695598152129669E-2</v>
      </c>
      <c r="Q137" s="877">
        <f t="shared" si="16"/>
        <v>0</v>
      </c>
      <c r="R137" s="877">
        <f t="shared" si="16"/>
        <v>3.9989486962957101E-2</v>
      </c>
      <c r="S137" s="877">
        <f t="shared" si="16"/>
        <v>0</v>
      </c>
      <c r="T137" s="877">
        <f t="shared" si="16"/>
        <v>0</v>
      </c>
      <c r="U137" s="877">
        <f t="shared" si="16"/>
        <v>0.10609721706926839</v>
      </c>
      <c r="V137" s="877">
        <f t="shared" si="16"/>
        <v>5.000000000000001E-2</v>
      </c>
      <c r="W137" s="877">
        <f t="shared" si="16"/>
        <v>7.7646609020648349E-2</v>
      </c>
      <c r="X137" s="864"/>
      <c r="Y137" s="879"/>
      <c r="Z137" s="877"/>
      <c r="AA137" s="877"/>
      <c r="AB137" s="877"/>
      <c r="AC137" s="877"/>
      <c r="AD137" s="886"/>
      <c r="AE137" s="877"/>
      <c r="AF137" s="879"/>
      <c r="AG137" s="877"/>
      <c r="AH137" s="877"/>
      <c r="AI137" s="877"/>
      <c r="AJ137" s="877"/>
      <c r="AK137" s="886"/>
      <c r="AL137" s="877"/>
      <c r="AM137" s="879"/>
      <c r="AN137" s="877"/>
      <c r="AO137" s="877"/>
      <c r="AP137" s="877"/>
      <c r="AQ137" s="877"/>
      <c r="AR137" s="886"/>
      <c r="AS137" s="877"/>
      <c r="AT137" s="879"/>
      <c r="AU137" s="877"/>
      <c r="AV137" s="877"/>
      <c r="AW137" s="877"/>
      <c r="AX137" s="877"/>
      <c r="AY137" s="886"/>
      <c r="AZ137" s="877"/>
      <c r="BA137" s="879"/>
      <c r="BB137" s="877"/>
      <c r="BC137" s="877"/>
      <c r="BD137" s="877"/>
      <c r="BE137" s="877"/>
      <c r="BF137" s="886"/>
      <c r="BG137" s="877"/>
      <c r="BH137" s="879"/>
      <c r="BI137" s="877"/>
      <c r="BJ137" s="877"/>
      <c r="BK137" s="877"/>
      <c r="BL137" s="877"/>
      <c r="BM137" s="886"/>
      <c r="BN137" s="877"/>
      <c r="BO137" s="879"/>
      <c r="BP137" s="877"/>
      <c r="BQ137" s="877"/>
      <c r="BR137" s="877"/>
      <c r="BS137" s="877"/>
      <c r="BT137" s="886"/>
      <c r="BU137" s="877"/>
      <c r="BV137" s="879"/>
      <c r="BW137" s="886"/>
    </row>
    <row r="138" spans="1:253" s="406" customFormat="1" ht="17.25">
      <c r="A138" s="499"/>
      <c r="B138" s="55"/>
      <c r="C138" s="595"/>
      <c r="D138" s="50"/>
      <c r="E138" s="1294" t="s">
        <v>367</v>
      </c>
      <c r="F138" s="877">
        <f t="shared" si="16"/>
        <v>0</v>
      </c>
      <c r="G138" s="877">
        <f t="shared" si="16"/>
        <v>1.9586153287598491E-5</v>
      </c>
      <c r="H138" s="878">
        <f t="shared" si="16"/>
        <v>2.7227381873481793E-5</v>
      </c>
      <c r="I138" s="877">
        <f t="shared" si="16"/>
        <v>1.5680761566697426E-5</v>
      </c>
      <c r="J138" s="877">
        <f t="shared" si="16"/>
        <v>0</v>
      </c>
      <c r="K138" s="877">
        <f t="shared" si="16"/>
        <v>0</v>
      </c>
      <c r="L138" s="877">
        <f t="shared" si="16"/>
        <v>0</v>
      </c>
      <c r="M138" s="877"/>
      <c r="N138" s="877">
        <f t="shared" si="16"/>
        <v>3.9053917209010681E-6</v>
      </c>
      <c r="O138" s="877">
        <f t="shared" si="16"/>
        <v>0</v>
      </c>
      <c r="P138" s="877">
        <f t="shared" si="16"/>
        <v>0</v>
      </c>
      <c r="Q138" s="877">
        <f t="shared" si="16"/>
        <v>0</v>
      </c>
      <c r="R138" s="877">
        <f t="shared" si="16"/>
        <v>0</v>
      </c>
      <c r="S138" s="877">
        <f t="shared" si="16"/>
        <v>0</v>
      </c>
      <c r="T138" s="877">
        <f t="shared" si="16"/>
        <v>0</v>
      </c>
      <c r="U138" s="877">
        <f t="shared" si="16"/>
        <v>1.9586153287598491E-5</v>
      </c>
      <c r="V138" s="877">
        <f t="shared" si="16"/>
        <v>0</v>
      </c>
      <c r="W138" s="877">
        <f t="shared" si="16"/>
        <v>0</v>
      </c>
      <c r="X138" s="864"/>
      <c r="Y138" s="879"/>
      <c r="Z138" s="877"/>
      <c r="AA138" s="877"/>
      <c r="AB138" s="877"/>
      <c r="AC138" s="877"/>
      <c r="AD138" s="886"/>
      <c r="AE138" s="877"/>
      <c r="AF138" s="879"/>
      <c r="AG138" s="877"/>
      <c r="AH138" s="877"/>
      <c r="AI138" s="877"/>
      <c r="AJ138" s="877"/>
      <c r="AK138" s="886"/>
      <c r="AL138" s="877"/>
      <c r="AM138" s="879"/>
      <c r="AN138" s="877"/>
      <c r="AO138" s="877"/>
      <c r="AP138" s="877"/>
      <c r="AQ138" s="877"/>
      <c r="AR138" s="886"/>
      <c r="AS138" s="877"/>
      <c r="AT138" s="879"/>
      <c r="AU138" s="877"/>
      <c r="AV138" s="877"/>
      <c r="AW138" s="877"/>
      <c r="AX138" s="877"/>
      <c r="AY138" s="886"/>
      <c r="AZ138" s="877"/>
      <c r="BA138" s="879"/>
      <c r="BB138" s="877"/>
      <c r="BC138" s="877"/>
      <c r="BD138" s="877"/>
      <c r="BE138" s="877"/>
      <c r="BF138" s="886"/>
      <c r="BG138" s="877"/>
      <c r="BH138" s="879"/>
      <c r="BI138" s="877"/>
      <c r="BJ138" s="877"/>
      <c r="BK138" s="877"/>
      <c r="BL138" s="877"/>
      <c r="BM138" s="886"/>
      <c r="BN138" s="877"/>
      <c r="BO138" s="879"/>
      <c r="BP138" s="877"/>
      <c r="BQ138" s="877"/>
      <c r="BR138" s="877"/>
      <c r="BS138" s="877"/>
      <c r="BT138" s="886"/>
      <c r="BU138" s="877"/>
      <c r="BV138" s="879"/>
      <c r="BW138" s="886"/>
    </row>
    <row r="139" spans="1:253" s="406" customFormat="1" ht="17.25">
      <c r="A139" s="18"/>
      <c r="B139" s="360"/>
      <c r="C139" s="83"/>
      <c r="D139" s="54"/>
      <c r="E139" s="1295" t="s">
        <v>320</v>
      </c>
      <c r="F139" s="877">
        <f t="shared" si="16"/>
        <v>1.0378614887555878E-4</v>
      </c>
      <c r="G139" s="877">
        <f t="shared" si="16"/>
        <v>1.2668840590848178E-4</v>
      </c>
      <c r="H139" s="878">
        <f t="shared" si="16"/>
        <v>1.7611388800867694E-4</v>
      </c>
      <c r="I139" s="877">
        <f t="shared" si="16"/>
        <v>2.2665355483394647E-5</v>
      </c>
      <c r="J139" s="877">
        <f t="shared" si="16"/>
        <v>0</v>
      </c>
      <c r="K139" s="877">
        <f t="shared" si="16"/>
        <v>9.4351044432326177E-5</v>
      </c>
      <c r="L139" s="877">
        <f t="shared" si="16"/>
        <v>9.4351044432326171E-6</v>
      </c>
      <c r="M139" s="877"/>
      <c r="N139" s="877">
        <f t="shared" si="16"/>
        <v>2.3690154952834312E-7</v>
      </c>
      <c r="O139" s="877">
        <f t="shared" si="16"/>
        <v>0</v>
      </c>
      <c r="P139" s="877">
        <f t="shared" si="16"/>
        <v>0</v>
      </c>
      <c r="Q139" s="877">
        <f t="shared" si="16"/>
        <v>0</v>
      </c>
      <c r="R139" s="877">
        <f t="shared" si="16"/>
        <v>0</v>
      </c>
      <c r="S139" s="877">
        <f t="shared" si="16"/>
        <v>0</v>
      </c>
      <c r="T139" s="877">
        <f t="shared" si="16"/>
        <v>0</v>
      </c>
      <c r="U139" s="877">
        <f t="shared" si="16"/>
        <v>1.2668840590848178E-4</v>
      </c>
      <c r="V139" s="877">
        <f t="shared" si="16"/>
        <v>0</v>
      </c>
      <c r="W139" s="877">
        <f t="shared" si="16"/>
        <v>0</v>
      </c>
      <c r="X139" s="864"/>
      <c r="Y139" s="879"/>
      <c r="Z139" s="877"/>
      <c r="AA139" s="877"/>
      <c r="AB139" s="877"/>
      <c r="AC139" s="877"/>
      <c r="AD139" s="886"/>
      <c r="AE139" s="877"/>
      <c r="AF139" s="879"/>
      <c r="AG139" s="877"/>
      <c r="AH139" s="877"/>
      <c r="AI139" s="877"/>
      <c r="AJ139" s="877"/>
      <c r="AK139" s="886"/>
      <c r="AL139" s="877"/>
      <c r="AM139" s="879"/>
      <c r="AN139" s="877"/>
      <c r="AO139" s="877"/>
      <c r="AP139" s="877"/>
      <c r="AQ139" s="877"/>
      <c r="AR139" s="886"/>
      <c r="AS139" s="877"/>
      <c r="AT139" s="879"/>
      <c r="AU139" s="877"/>
      <c r="AV139" s="877"/>
      <c r="AW139" s="877"/>
      <c r="AX139" s="877"/>
      <c r="AY139" s="886"/>
      <c r="AZ139" s="877"/>
      <c r="BA139" s="879"/>
      <c r="BB139" s="877"/>
      <c r="BC139" s="877"/>
      <c r="BD139" s="877"/>
      <c r="BE139" s="877"/>
      <c r="BF139" s="886"/>
      <c r="BG139" s="877"/>
      <c r="BH139" s="879"/>
      <c r="BI139" s="877"/>
      <c r="BJ139" s="877"/>
      <c r="BK139" s="877"/>
      <c r="BL139" s="877"/>
      <c r="BM139" s="886"/>
      <c r="BN139" s="877"/>
      <c r="BO139" s="879"/>
      <c r="BP139" s="877"/>
      <c r="BQ139" s="877"/>
      <c r="BR139" s="877"/>
      <c r="BS139" s="877"/>
      <c r="BT139" s="886"/>
      <c r="BU139" s="877"/>
      <c r="BV139" s="879"/>
      <c r="BW139" s="886"/>
    </row>
    <row r="140" spans="1:253" s="502" customFormat="1" ht="17.25">
      <c r="A140" s="20" t="s">
        <v>122</v>
      </c>
      <c r="B140" s="93" t="s">
        <v>121</v>
      </c>
      <c r="C140" s="1337">
        <f>'Input data plant-based products'!D58</f>
        <v>0.67915690870000001</v>
      </c>
      <c r="D140" s="54"/>
      <c r="E140" s="1293" t="s">
        <v>316</v>
      </c>
      <c r="F140" s="872">
        <f>SUMPRODUCT($CE$14:$CE$16,F141:F143)</f>
        <v>6.8464488139427654E-2</v>
      </c>
      <c r="G140" s="872">
        <f>SUMPRODUCT($CE$14:$CE$16,G141:G143)</f>
        <v>0.14198810251112248</v>
      </c>
      <c r="H140" s="1341">
        <f>SUMPRODUCT($CE$14:$CE$16,H141:H143)</f>
        <v>0.30859325716943997</v>
      </c>
      <c r="I140" s="888"/>
      <c r="J140" s="888"/>
      <c r="K140" s="888"/>
      <c r="L140" s="888"/>
      <c r="M140" s="888"/>
      <c r="N140" s="888"/>
      <c r="O140" s="888"/>
      <c r="P140" s="888"/>
      <c r="Q140" s="888"/>
      <c r="R140" s="888"/>
      <c r="S140" s="888"/>
      <c r="T140" s="888"/>
      <c r="U140" s="888"/>
      <c r="V140" s="888"/>
      <c r="W140" s="888"/>
      <c r="X140" s="864"/>
      <c r="Y140" s="879">
        <f>1/'Input data plant-based products'!E58*10^4</f>
        <v>0.21222185672902452</v>
      </c>
      <c r="Z140" s="877">
        <f>$Y140*'Input data plant-based products'!Z58</f>
        <v>0.21222185672902452</v>
      </c>
      <c r="AA140" s="877">
        <f>$Y140*'Input data plant-based products'!AA58</f>
        <v>0.21222185672902452</v>
      </c>
      <c r="AB140" s="877">
        <f>$Y140*'Input data plant-based products'!AB58</f>
        <v>0.21222185672902452</v>
      </c>
      <c r="AC140" s="877">
        <f>$Y140*'Input data plant-based products'!AC58</f>
        <v>0.25327826319253433</v>
      </c>
      <c r="AD140" s="886">
        <f>$Y140*'Input data plant-based products'!AD58</f>
        <v>0.31268921381794357</v>
      </c>
      <c r="AE140" s="877"/>
      <c r="AF140" s="879">
        <f>SUM('Input data plant-based products'!F58,'Input data plant-based products'!Q58)/'Input data plant-based products'!E58</f>
        <v>3.0588235294117601E-3</v>
      </c>
      <c r="AG140" s="877">
        <f>$AF140*'Input data plant-based products'!Z58</f>
        <v>3.0588235294117601E-3</v>
      </c>
      <c r="AH140" s="877">
        <f>$AF140*'Input data plant-based products'!AA58</f>
        <v>3.0588235294117601E-3</v>
      </c>
      <c r="AI140" s="877">
        <f>$AF140*'Input data plant-based products'!AB58</f>
        <v>3.0588235294117601E-3</v>
      </c>
      <c r="AJ140" s="877">
        <f>$AF140*'Input data plant-based products'!AC58</f>
        <v>3.6505830402336317E-3</v>
      </c>
      <c r="AK140" s="886">
        <f>$AF140*'Input data plant-based products'!AD58</f>
        <v>4.5068926422637424E-3</v>
      </c>
      <c r="AL140" s="877"/>
      <c r="AM140" s="879">
        <f>'Input data plant-based products'!R58/'Input data plant-based products'!E58</f>
        <v>9.4117647058823489E-4</v>
      </c>
      <c r="AN140" s="877">
        <f>$AM140*'Input data plant-based products'!Z58</f>
        <v>9.4117647058823489E-4</v>
      </c>
      <c r="AO140" s="877">
        <f>$AM140*'Input data plant-based products'!AA58</f>
        <v>9.4117647058823489E-4</v>
      </c>
      <c r="AP140" s="877">
        <f>$AM140*'Input data plant-based products'!AB58</f>
        <v>9.4117647058823489E-4</v>
      </c>
      <c r="AQ140" s="877">
        <f>$AM140*'Input data plant-based products'!AC58</f>
        <v>1.1232563200718878E-3</v>
      </c>
      <c r="AR140" s="886">
        <f>$AM140*'Input data plant-based products'!AD58</f>
        <v>1.3867361976196144E-3</v>
      </c>
      <c r="AS140" s="877"/>
      <c r="AT140" s="879">
        <f>'Input data plant-based products'!S58</f>
        <v>2.9201394321614567E-2</v>
      </c>
      <c r="AU140" s="877">
        <f>$AT140*'Input data plant-based products'!Z58</f>
        <v>2.9201394321614567E-2</v>
      </c>
      <c r="AV140" s="877">
        <f>$AT140*'Input data plant-based products'!AA58</f>
        <v>2.9201394321614567E-2</v>
      </c>
      <c r="AW140" s="877">
        <f>$AT140*'Input data plant-based products'!AB58</f>
        <v>2.9201394321614567E-2</v>
      </c>
      <c r="AX140" s="877">
        <f>$AT140*'Input data plant-based products'!AC58</f>
        <v>3.4850691397081475E-2</v>
      </c>
      <c r="AY140" s="886">
        <f>$AT140*'Input data plant-based products'!AD58</f>
        <v>4.302554493466848E-2</v>
      </c>
      <c r="AZ140" s="877"/>
      <c r="BA140" s="879">
        <f>((SUM('Input data plant-based products'!U58:Y58)*Y140)/('Common input data'!$B$192/10^6))/$BB$3</f>
        <v>1.5012351457367875E-12</v>
      </c>
      <c r="BB140" s="877">
        <f>$BA140*'Input data plant-based products'!Z58</f>
        <v>1.5012351457367875E-12</v>
      </c>
      <c r="BC140" s="877">
        <f>$BA140*'Input data plant-based products'!AA58</f>
        <v>1.5012351457367875E-12</v>
      </c>
      <c r="BD140" s="877">
        <f>$BA140*'Input data plant-based products'!AB58</f>
        <v>1.5012351457367875E-12</v>
      </c>
      <c r="BE140" s="877">
        <f>$BA140*'Input data plant-based products'!AC58</f>
        <v>1.7916638569480694E-12</v>
      </c>
      <c r="BF140" s="886">
        <f>$BA140*'Input data plant-based products'!AD58</f>
        <v>2.211930687590209E-12</v>
      </c>
      <c r="BG140" s="877"/>
      <c r="BH140" s="879">
        <f>'Input data plant-based products'!T58/'Input data plant-based products'!E58</f>
        <v>1.2743922496577924E-4</v>
      </c>
      <c r="BI140" s="877">
        <f>$BH140*'Input data plant-based products'!Z58</f>
        <v>1.2743922496577924E-4</v>
      </c>
      <c r="BJ140" s="877">
        <f>$BH140*'Input data plant-based products'!AA58</f>
        <v>1.2743922496577924E-4</v>
      </c>
      <c r="BK140" s="877">
        <f>$BH140*'Input data plant-based products'!AB58</f>
        <v>1.2743922496577924E-4</v>
      </c>
      <c r="BL140" s="877">
        <f>$BH140*'Input data plant-based products'!AC58</f>
        <v>1.5209359704711689E-4</v>
      </c>
      <c r="BM140" s="886">
        <f>$BH140*'Input data plant-based products'!AD58</f>
        <v>1.8776987289767513E-4</v>
      </c>
      <c r="BN140" s="877"/>
      <c r="BO140" s="879">
        <f>('Input data plant-based products'!F58/'Input data plant-based products'!E58*'Common input data'!$B$195+'Input data plant-based products'!G58/'Input data plant-based products'!E58*'Common input data'!$B$196)/'Common input data'!$B$198</f>
        <v>7.8103183702266392E-5</v>
      </c>
      <c r="BP140" s="877">
        <f>$BO140*'Input data plant-based products'!Z58</f>
        <v>7.8103183702266392E-5</v>
      </c>
      <c r="BQ140" s="877">
        <f>$BO140*'Input data plant-based products'!AA58</f>
        <v>7.8103183702266392E-5</v>
      </c>
      <c r="BR140" s="877">
        <f>$BO140*'Input data plant-based products'!AB58</f>
        <v>7.8103183702266392E-5</v>
      </c>
      <c r="BS140" s="877">
        <f>$BO140*'Input data plant-based products'!AC58</f>
        <v>9.3213013130763082E-5</v>
      </c>
      <c r="BT140" s="886">
        <f>$BO140*'Input data plant-based products'!AD58</f>
        <v>1.1507779398859638E-4</v>
      </c>
      <c r="BU140" s="877"/>
      <c r="BV140" s="879">
        <f>'Common input data'!$C$202*'Input data plant-based products'!AC58</f>
        <v>0.17090344909893782</v>
      </c>
      <c r="BW140" s="886">
        <f>'Common input data'!$C$202*'Input data plant-based products'!AD58</f>
        <v>0.21099191246782442</v>
      </c>
      <c r="BX140" s="406"/>
      <c r="BY140" s="406"/>
      <c r="BZ140" s="406"/>
      <c r="CA140" s="406"/>
      <c r="CB140" s="406"/>
      <c r="CC140" s="406"/>
      <c r="CD140" s="406"/>
      <c r="CE140" s="406"/>
      <c r="CF140" s="406"/>
      <c r="CG140" s="406"/>
      <c r="CH140" s="406"/>
      <c r="CI140" s="406"/>
      <c r="CJ140" s="406"/>
      <c r="CK140" s="406"/>
      <c r="CL140" s="406"/>
      <c r="CM140" s="406"/>
      <c r="CN140" s="406"/>
      <c r="CO140" s="406"/>
      <c r="CP140" s="406"/>
      <c r="CQ140" s="406"/>
      <c r="CR140" s="406"/>
      <c r="CS140" s="406"/>
      <c r="CT140" s="406"/>
      <c r="CU140" s="406"/>
      <c r="CV140" s="406"/>
      <c r="CW140" s="406"/>
      <c r="CX140" s="406"/>
      <c r="CY140" s="406"/>
      <c r="CZ140" s="406"/>
      <c r="DA140" s="406"/>
      <c r="DB140" s="406"/>
      <c r="DC140" s="406"/>
      <c r="DD140" s="406"/>
      <c r="DE140" s="406"/>
      <c r="DF140" s="406"/>
      <c r="DG140" s="406"/>
      <c r="DH140" s="406"/>
      <c r="DI140" s="406"/>
      <c r="DJ140" s="406"/>
      <c r="DK140" s="406"/>
      <c r="DL140" s="406"/>
      <c r="DM140" s="406"/>
      <c r="DN140" s="406"/>
      <c r="DO140" s="406"/>
      <c r="DP140" s="406"/>
      <c r="DQ140" s="406"/>
      <c r="DR140" s="406"/>
      <c r="DS140" s="406"/>
      <c r="DT140" s="406"/>
      <c r="DU140" s="406"/>
      <c r="DV140" s="406"/>
      <c r="DW140" s="406"/>
      <c r="DX140" s="406"/>
      <c r="DY140" s="406"/>
      <c r="DZ140" s="406"/>
      <c r="EA140" s="406"/>
      <c r="EB140" s="406"/>
      <c r="EC140" s="406"/>
      <c r="ED140" s="406"/>
      <c r="EE140" s="406"/>
      <c r="EF140" s="406"/>
      <c r="EG140" s="406"/>
      <c r="EH140" s="406"/>
      <c r="EI140" s="406"/>
      <c r="EJ140" s="406"/>
      <c r="EK140" s="406"/>
      <c r="EL140" s="406"/>
      <c r="EM140" s="406"/>
      <c r="EN140" s="406"/>
      <c r="EO140" s="406"/>
      <c r="EP140" s="406"/>
      <c r="EQ140" s="406"/>
      <c r="ER140" s="406"/>
      <c r="ES140" s="406"/>
      <c r="ET140" s="406"/>
      <c r="EU140" s="406"/>
      <c r="EV140" s="406"/>
      <c r="EW140" s="406"/>
      <c r="EX140" s="406"/>
      <c r="EY140" s="406"/>
      <c r="EZ140" s="406"/>
      <c r="FA140" s="406"/>
      <c r="FB140" s="406"/>
      <c r="FC140" s="406"/>
      <c r="FD140" s="406"/>
      <c r="FE140" s="406"/>
      <c r="FF140" s="406"/>
      <c r="FG140" s="406"/>
      <c r="FH140" s="406"/>
      <c r="FI140" s="406"/>
      <c r="FJ140" s="406"/>
      <c r="FK140" s="406"/>
      <c r="FL140" s="406"/>
      <c r="FM140" s="406"/>
      <c r="FN140" s="406"/>
      <c r="FO140" s="406"/>
      <c r="FP140" s="406"/>
      <c r="FQ140" s="406"/>
      <c r="FR140" s="406"/>
      <c r="FS140" s="406"/>
      <c r="FT140" s="406"/>
      <c r="FU140" s="406"/>
      <c r="FV140" s="406"/>
      <c r="FW140" s="406"/>
      <c r="FX140" s="406"/>
      <c r="FY140" s="406"/>
      <c r="FZ140" s="406"/>
      <c r="GA140" s="406"/>
      <c r="GB140" s="406"/>
      <c r="GC140" s="406"/>
      <c r="GD140" s="406"/>
      <c r="GE140" s="406"/>
      <c r="GF140" s="406"/>
      <c r="GG140" s="406"/>
      <c r="GH140" s="406"/>
      <c r="GI140" s="406"/>
      <c r="GJ140" s="406"/>
      <c r="GK140" s="406"/>
      <c r="GL140" s="406"/>
      <c r="GM140" s="406"/>
      <c r="GN140" s="406"/>
      <c r="GO140" s="406"/>
      <c r="GP140" s="406"/>
      <c r="GQ140" s="406"/>
      <c r="GR140" s="406"/>
      <c r="GS140" s="406"/>
      <c r="GT140" s="406"/>
      <c r="GU140" s="406"/>
      <c r="GV140" s="406"/>
      <c r="GW140" s="406"/>
      <c r="GX140" s="406"/>
      <c r="GY140" s="406"/>
      <c r="GZ140" s="406"/>
      <c r="HA140" s="406"/>
      <c r="HB140" s="406"/>
      <c r="HC140" s="406"/>
      <c r="HD140" s="406"/>
      <c r="HE140" s="406"/>
      <c r="HF140" s="406"/>
      <c r="HG140" s="406"/>
      <c r="HH140" s="406"/>
      <c r="HI140" s="406"/>
      <c r="HJ140" s="406"/>
      <c r="HK140" s="406"/>
      <c r="HL140" s="406"/>
      <c r="HM140" s="406"/>
      <c r="HN140" s="406"/>
      <c r="HO140" s="406"/>
      <c r="HP140" s="406"/>
      <c r="HQ140" s="406"/>
      <c r="HR140" s="406"/>
      <c r="HS140" s="406"/>
      <c r="HT140" s="406"/>
      <c r="HU140" s="406"/>
      <c r="HV140" s="406"/>
      <c r="HW140" s="406"/>
      <c r="HX140" s="406"/>
      <c r="HY140" s="406"/>
      <c r="HZ140" s="406"/>
      <c r="IA140" s="406"/>
      <c r="IB140" s="406"/>
      <c r="IC140" s="406"/>
      <c r="ID140" s="406"/>
      <c r="IE140" s="406"/>
      <c r="IF140" s="406"/>
      <c r="IG140" s="406"/>
      <c r="IH140" s="406"/>
      <c r="II140" s="406"/>
      <c r="IJ140" s="406"/>
      <c r="IK140" s="406"/>
      <c r="IL140" s="406"/>
      <c r="IM140" s="406"/>
      <c r="IN140" s="406"/>
      <c r="IO140" s="406"/>
      <c r="IP140" s="406"/>
      <c r="IQ140" s="406"/>
      <c r="IR140" s="406"/>
      <c r="IS140" s="406"/>
    </row>
    <row r="141" spans="1:253" s="406" customFormat="1" ht="17.25">
      <c r="A141" s="499"/>
      <c r="B141" s="55"/>
      <c r="C141" s="1338"/>
      <c r="D141" s="5"/>
      <c r="E141" s="1294" t="s">
        <v>317</v>
      </c>
      <c r="F141" s="877">
        <f>IF(AND($G$2="No",$G$3="No"),SUM(K141:L141),IF(AND($G$2="Yes", $G$3="No"), SUM(K141:L141)+S141, IF(AND($G$2="No", $G$3="Yes"),SUM(K141:L141)+R141, SUM(K141:L141)+S141+R141)))</f>
        <v>3.9989486962957101E-2</v>
      </c>
      <c r="G141" s="877">
        <f>IF(AND($G$2="No",$G$3="No"),SUM(I141:Q141),IF(AND($G$2="Yes", $G$3="No"), SUM(I141:Q141)+S141, IF(AND($G$2="No", $G$3="Yes"),SUM(I141:Q141)+R141, SUM(I141:Q141)+S141+R141)))</f>
        <v>0.10752534568789376</v>
      </c>
      <c r="H141" s="878">
        <f>SUM(U141:W141)/(1-'Common input data'!$B$142)</f>
        <v>0.26068539968151161</v>
      </c>
      <c r="I141" s="877">
        <f>('Input data plant-based products'!$F$58*('Common input data'!$B$93*'Common input data'!B86+'Common input data'!$B$94*'Common input data'!C86))/'Input data plant-based products'!$E$58</f>
        <v>9.5959226037155253E-3</v>
      </c>
      <c r="J141" s="877">
        <f>'Common input data'!$B$98</f>
        <v>0.03</v>
      </c>
      <c r="K141" s="877">
        <v>0</v>
      </c>
      <c r="L141" s="877">
        <v>0</v>
      </c>
      <c r="M141" s="877"/>
      <c r="N141" s="877">
        <f>('Input data plant-based products'!$P$58*'Common input data'!$C$76*'Common input data'!H66)/'Input data plant-based products'!$E$58</f>
        <v>7.939936121221125E-3</v>
      </c>
      <c r="O141" s="877">
        <v>0</v>
      </c>
      <c r="P141" s="877">
        <f>'Input data plant-based products'!$G$309</f>
        <v>0.02</v>
      </c>
      <c r="Q141" s="877">
        <v>0</v>
      </c>
      <c r="R141" s="877">
        <f>'Common input data'!$E$19</f>
        <v>3.9989486962957101E-2</v>
      </c>
      <c r="S141" s="877">
        <v>0</v>
      </c>
      <c r="T141" s="877">
        <v>0</v>
      </c>
      <c r="U141" s="877">
        <f>(G141+T141)</f>
        <v>0.10752534568789376</v>
      </c>
      <c r="V141" s="877">
        <f>'Common input data'!$B$105</f>
        <v>0.05</v>
      </c>
      <c r="W141" s="877">
        <f>'Common input data'!C115</f>
        <v>0.03</v>
      </c>
      <c r="X141" s="864"/>
      <c r="Y141" s="879"/>
      <c r="Z141" s="877"/>
      <c r="AA141" s="877"/>
      <c r="AB141" s="877"/>
      <c r="AC141" s="877"/>
      <c r="AD141" s="886"/>
      <c r="AE141" s="877"/>
      <c r="AF141" s="879"/>
      <c r="AG141" s="877"/>
      <c r="AH141" s="877"/>
      <c r="AI141" s="877"/>
      <c r="AJ141" s="877"/>
      <c r="AK141" s="886"/>
      <c r="AL141" s="877"/>
      <c r="AM141" s="879"/>
      <c r="AN141" s="877"/>
      <c r="AO141" s="877"/>
      <c r="AP141" s="877"/>
      <c r="AQ141" s="877"/>
      <c r="AR141" s="886"/>
      <c r="AS141" s="877"/>
      <c r="AT141" s="879"/>
      <c r="AU141" s="877"/>
      <c r="AV141" s="877"/>
      <c r="AW141" s="877"/>
      <c r="AX141" s="877"/>
      <c r="AY141" s="886"/>
      <c r="AZ141" s="877"/>
      <c r="BA141" s="879"/>
      <c r="BB141" s="877"/>
      <c r="BC141" s="877"/>
      <c r="BD141" s="877"/>
      <c r="BE141" s="877"/>
      <c r="BF141" s="886"/>
      <c r="BG141" s="877"/>
      <c r="BH141" s="879"/>
      <c r="BI141" s="877"/>
      <c r="BJ141" s="877"/>
      <c r="BK141" s="877"/>
      <c r="BL141" s="877"/>
      <c r="BM141" s="886"/>
      <c r="BN141" s="877"/>
      <c r="BO141" s="879"/>
      <c r="BP141" s="877"/>
      <c r="BQ141" s="877"/>
      <c r="BR141" s="877"/>
      <c r="BS141" s="877"/>
      <c r="BT141" s="886"/>
      <c r="BU141" s="877"/>
      <c r="BV141" s="879"/>
      <c r="BW141" s="886"/>
    </row>
    <row r="142" spans="1:253" s="406" customFormat="1" ht="17.25">
      <c r="A142" s="18"/>
      <c r="B142" s="55"/>
      <c r="C142" s="1339"/>
      <c r="D142" s="50"/>
      <c r="E142" s="1294" t="s">
        <v>367</v>
      </c>
      <c r="F142" s="877">
        <f>SUM(K142:L142)</f>
        <v>0</v>
      </c>
      <c r="G142" s="877">
        <f>SUM(I142:Q142)</f>
        <v>1.5589268581021819E-5</v>
      </c>
      <c r="H142" s="878">
        <f>SUM(U142:W142)/(1-'Common input data'!$B$142)</f>
        <v>2.1671175679632198E-5</v>
      </c>
      <c r="I142" s="877">
        <f>('Input data plant-based products'!$F$58*('Common input data'!$B$93*'Common input data'!B87+'Common input data'!$B$94*'Common input data'!C87))/'Input data plant-based products'!$E$58</f>
        <v>1.2072144611624212E-5</v>
      </c>
      <c r="J142" s="877">
        <v>0</v>
      </c>
      <c r="K142" s="877">
        <v>0</v>
      </c>
      <c r="L142" s="877">
        <v>0</v>
      </c>
      <c r="M142" s="877"/>
      <c r="N142" s="877">
        <f>('Input data plant-based products'!$P$58*'Common input data'!$C$76*'Common input data'!H67)/'Input data plant-based products'!$E$58</f>
        <v>3.5171239693976085E-6</v>
      </c>
      <c r="O142" s="877">
        <v>0</v>
      </c>
      <c r="P142" s="877">
        <v>0</v>
      </c>
      <c r="Q142" s="877">
        <v>0</v>
      </c>
      <c r="R142" s="877">
        <v>0</v>
      </c>
      <c r="S142" s="877">
        <v>0</v>
      </c>
      <c r="T142" s="877">
        <v>0</v>
      </c>
      <c r="U142" s="877">
        <f>(G142+T142)</f>
        <v>1.5589268581021819E-5</v>
      </c>
      <c r="V142" s="877">
        <v>0</v>
      </c>
      <c r="W142" s="877">
        <v>0</v>
      </c>
      <c r="X142" s="864"/>
      <c r="Y142" s="879"/>
      <c r="Z142" s="877"/>
      <c r="AA142" s="877"/>
      <c r="AB142" s="877"/>
      <c r="AC142" s="877"/>
      <c r="AD142" s="886"/>
      <c r="AE142" s="877"/>
      <c r="AF142" s="879"/>
      <c r="AG142" s="877"/>
      <c r="AH142" s="877"/>
      <c r="AI142" s="877"/>
      <c r="AJ142" s="877"/>
      <c r="AK142" s="886"/>
      <c r="AL142" s="877"/>
      <c r="AM142" s="879"/>
      <c r="AN142" s="877"/>
      <c r="AO142" s="877"/>
      <c r="AP142" s="877"/>
      <c r="AQ142" s="877"/>
      <c r="AR142" s="886"/>
      <c r="AS142" s="877"/>
      <c r="AT142" s="879"/>
      <c r="AU142" s="877"/>
      <c r="AV142" s="877"/>
      <c r="AW142" s="877"/>
      <c r="AX142" s="877"/>
      <c r="AY142" s="886"/>
      <c r="AZ142" s="877"/>
      <c r="BA142" s="879"/>
      <c r="BB142" s="877"/>
      <c r="BC142" s="877"/>
      <c r="BD142" s="877"/>
      <c r="BE142" s="877"/>
      <c r="BF142" s="886"/>
      <c r="BG142" s="877"/>
      <c r="BH142" s="879"/>
      <c r="BI142" s="877"/>
      <c r="BJ142" s="877"/>
      <c r="BK142" s="877"/>
      <c r="BL142" s="877"/>
      <c r="BM142" s="886"/>
      <c r="BN142" s="877"/>
      <c r="BO142" s="879"/>
      <c r="BP142" s="877"/>
      <c r="BQ142" s="877"/>
      <c r="BR142" s="877"/>
      <c r="BS142" s="877"/>
      <c r="BT142" s="886"/>
      <c r="BU142" s="877"/>
      <c r="BV142" s="879"/>
      <c r="BW142" s="886"/>
    </row>
    <row r="143" spans="1:253" s="406" customFormat="1" ht="17.25">
      <c r="A143" s="359"/>
      <c r="B143" s="360"/>
      <c r="C143" s="1340"/>
      <c r="D143" s="54"/>
      <c r="E143" s="1295" t="s">
        <v>320</v>
      </c>
      <c r="F143" s="877">
        <f>SUM(K143:L143)</f>
        <v>1.0430403361344523E-4</v>
      </c>
      <c r="G143" s="877">
        <f>SUM(I143:Q143)</f>
        <v>1.2469540868696383E-4</v>
      </c>
      <c r="H143" s="878">
        <f>SUM(U143:W143)/(1-'Common input data'!$B$142)</f>
        <v>1.7334335437574472E-4</v>
      </c>
      <c r="I143" s="877">
        <f>('Input data plant-based products'!$F$58*('Common input data'!$B$93*'Common input data'!B88+'Common input data'!$B$94*'Common input data'!C88))/'Input data plant-based products'!$E$58</f>
        <v>2.0178025894286612E-5</v>
      </c>
      <c r="J143" s="877">
        <v>0</v>
      </c>
      <c r="K143" s="877">
        <f>(SUM(('Input data plant-based products'!$F$58*'Input data plant-based products'!$B$258),(('Input data plant-based products'!$G$58+'Input data plant-based products'!$H$58)*'Input data plant-based products'!$B$259))*44/28)/'Input data plant-based products'!$E$58</f>
        <v>9.4821848739495669E-5</v>
      </c>
      <c r="L143" s="877">
        <f>K143*'Input data plant-based products'!$B$261</f>
        <v>9.4821848739495672E-6</v>
      </c>
      <c r="M143" s="877"/>
      <c r="N143" s="877">
        <f>('Input data plant-based products'!$P$58*'Common input data'!$C$76*'Common input data'!H68)/'Input data plant-based products'!$E$58</f>
        <v>2.1334917923196911E-7</v>
      </c>
      <c r="O143" s="877">
        <v>0</v>
      </c>
      <c r="P143" s="877">
        <v>0</v>
      </c>
      <c r="Q143" s="877">
        <v>0</v>
      </c>
      <c r="R143" s="877">
        <v>0</v>
      </c>
      <c r="S143" s="877">
        <v>0</v>
      </c>
      <c r="T143" s="877">
        <v>0</v>
      </c>
      <c r="U143" s="877">
        <f>(G143+T143)</f>
        <v>1.2469540868696383E-4</v>
      </c>
      <c r="V143" s="877">
        <v>0</v>
      </c>
      <c r="W143" s="877">
        <v>0</v>
      </c>
      <c r="X143" s="864"/>
      <c r="Y143" s="879"/>
      <c r="Z143" s="877"/>
      <c r="AA143" s="877"/>
      <c r="AB143" s="877"/>
      <c r="AC143" s="877"/>
      <c r="AD143" s="886"/>
      <c r="AE143" s="877"/>
      <c r="AF143" s="879"/>
      <c r="AG143" s="877"/>
      <c r="AH143" s="877"/>
      <c r="AI143" s="877"/>
      <c r="AJ143" s="877"/>
      <c r="AK143" s="886"/>
      <c r="AL143" s="877"/>
      <c r="AM143" s="879"/>
      <c r="AN143" s="877"/>
      <c r="AO143" s="877"/>
      <c r="AP143" s="877"/>
      <c r="AQ143" s="877"/>
      <c r="AR143" s="886"/>
      <c r="AS143" s="877"/>
      <c r="AT143" s="879"/>
      <c r="AU143" s="877"/>
      <c r="AV143" s="877"/>
      <c r="AW143" s="877"/>
      <c r="AX143" s="877"/>
      <c r="AY143" s="886"/>
      <c r="AZ143" s="877"/>
      <c r="BA143" s="879"/>
      <c r="BB143" s="877"/>
      <c r="BC143" s="877"/>
      <c r="BD143" s="877"/>
      <c r="BE143" s="877"/>
      <c r="BF143" s="886"/>
      <c r="BG143" s="877"/>
      <c r="BH143" s="879"/>
      <c r="BI143" s="877"/>
      <c r="BJ143" s="877"/>
      <c r="BK143" s="877"/>
      <c r="BL143" s="877"/>
      <c r="BM143" s="886"/>
      <c r="BN143" s="877"/>
      <c r="BO143" s="879"/>
      <c r="BP143" s="877"/>
      <c r="BQ143" s="877"/>
      <c r="BR143" s="877"/>
      <c r="BS143" s="877"/>
      <c r="BT143" s="886"/>
      <c r="BU143" s="877"/>
      <c r="BV143" s="879"/>
      <c r="BW143" s="886"/>
    </row>
    <row r="144" spans="1:253" s="502" customFormat="1" ht="17.25">
      <c r="A144" s="20" t="s">
        <v>148</v>
      </c>
      <c r="B144" s="93" t="s">
        <v>121</v>
      </c>
      <c r="C144" s="1337">
        <f>'Input data plant-based products'!D59</f>
        <v>0.16522009239351659</v>
      </c>
      <c r="D144" s="54"/>
      <c r="E144" s="1293" t="s">
        <v>316</v>
      </c>
      <c r="F144" s="872">
        <f>SUMPRODUCT($CE$14:$CE$16,F145:F147)</f>
        <v>7.1168162939140536E-2</v>
      </c>
      <c r="G144" s="872">
        <f>SUMPRODUCT($CE$14:$CE$16,G145:G147)</f>
        <v>0.13052340986648958</v>
      </c>
      <c r="H144" s="873">
        <f>SUMPRODUCT($CE$14:$CE$16,H145:H147)</f>
        <v>0.43166921737735842</v>
      </c>
      <c r="I144" s="888"/>
      <c r="J144" s="888"/>
      <c r="K144" s="888"/>
      <c r="L144" s="888"/>
      <c r="M144" s="888"/>
      <c r="N144" s="888"/>
      <c r="O144" s="888"/>
      <c r="P144" s="888"/>
      <c r="Q144" s="888"/>
      <c r="R144" s="888"/>
      <c r="S144" s="888"/>
      <c r="T144" s="888"/>
      <c r="U144" s="888"/>
      <c r="V144" s="888"/>
      <c r="W144" s="888"/>
      <c r="X144" s="864"/>
      <c r="Y144" s="879">
        <f>1/'Input data plant-based products'!E59*10^4</f>
        <v>0.2133697484370666</v>
      </c>
      <c r="Z144" s="877">
        <f>$Y144*'Input data plant-based products'!Z59</f>
        <v>0.2133697484370666</v>
      </c>
      <c r="AA144" s="877">
        <f>$Y144*'Input data plant-based products'!AA59</f>
        <v>0.2133697484370666</v>
      </c>
      <c r="AB144" s="877">
        <f>$Y144*'Input data plant-based products'!AB59</f>
        <v>0.2133697484370666</v>
      </c>
      <c r="AC144" s="877">
        <f>$Y144*'Input data plant-based products'!AC59</f>
        <v>0.25464822584683922</v>
      </c>
      <c r="AD144" s="886">
        <f>$Y144*'Input data plant-based products'!AD59</f>
        <v>0.31438052573683856</v>
      </c>
      <c r="AE144" s="877"/>
      <c r="AF144" s="879">
        <f>SUM('Input data plant-based products'!F59,'Input data plant-based products'!Q59)/'Input data plant-based products'!E59</f>
        <v>3.4169071805710194E-3</v>
      </c>
      <c r="AG144" s="877">
        <f>$AF144*'Input data plant-based products'!Z59</f>
        <v>3.4169071805710194E-3</v>
      </c>
      <c r="AH144" s="877">
        <f>$AF144*'Input data plant-based products'!AA59</f>
        <v>3.4169071805710194E-3</v>
      </c>
      <c r="AI144" s="877">
        <f>$AF144*'Input data plant-based products'!AB59</f>
        <v>3.4169071805710194E-3</v>
      </c>
      <c r="AJ144" s="877">
        <f>$AF144*'Input data plant-based products'!AC59</f>
        <v>4.0779414972801284E-3</v>
      </c>
      <c r="AK144" s="886">
        <f>$AF144*'Input data plant-based products'!AD59</f>
        <v>5.0344956756544785E-3</v>
      </c>
      <c r="AL144" s="877"/>
      <c r="AM144" s="879">
        <f>'Input data plant-based products'!R59/'Input data plant-based products'!E59</f>
        <v>1.6596406305630701E-3</v>
      </c>
      <c r="AN144" s="877">
        <f>$AM144*'Input data plant-based products'!Z59</f>
        <v>1.6596406305630701E-3</v>
      </c>
      <c r="AO144" s="877">
        <f>$AM144*'Input data plant-based products'!AA59</f>
        <v>1.6596406305630701E-3</v>
      </c>
      <c r="AP144" s="877">
        <f>$AM144*'Input data plant-based products'!AB59</f>
        <v>1.6596406305630701E-3</v>
      </c>
      <c r="AQ144" s="877">
        <f>$AM144*'Input data plant-based products'!AC59</f>
        <v>1.9807144415360666E-3</v>
      </c>
      <c r="AR144" s="886">
        <f>$AM144*'Input data plant-based products'!AD59</f>
        <v>2.4453264710321805E-3</v>
      </c>
      <c r="AS144" s="877"/>
      <c r="AT144" s="879">
        <f>'Input data plant-based products'!S59</f>
        <v>4.5095986210643034E-3</v>
      </c>
      <c r="AU144" s="877">
        <f>$AT144*'Input data plant-based products'!Z59</f>
        <v>4.5095986210643034E-3</v>
      </c>
      <c r="AV144" s="877">
        <f>$AT144*'Input data plant-based products'!AA59</f>
        <v>4.5095986210643034E-3</v>
      </c>
      <c r="AW144" s="877">
        <f>$AT144*'Input data plant-based products'!AB59</f>
        <v>4.5095986210643034E-3</v>
      </c>
      <c r="AX144" s="877">
        <f>$AT144*'Input data plant-based products'!AC59</f>
        <v>5.3820248491040735E-3</v>
      </c>
      <c r="AY144" s="886">
        <f>$AT144*'Input data plant-based products'!AD59</f>
        <v>6.6444751223507072E-3</v>
      </c>
      <c r="AZ144" s="877"/>
      <c r="BA144" s="879">
        <f>((SUM('Input data plant-based products'!U59:Y59)*Y144)/('Common input data'!$B$192/10^6))/$BB$3</f>
        <v>4.7214509261145556E-12</v>
      </c>
      <c r="BB144" s="877">
        <f>$BA144*'Input data plant-based products'!Z59</f>
        <v>4.7214509261145556E-12</v>
      </c>
      <c r="BC144" s="877">
        <f>$BA144*'Input data plant-based products'!AA59</f>
        <v>4.7214509261145556E-12</v>
      </c>
      <c r="BD144" s="877">
        <f>$BA144*'Input data plant-based products'!AB59</f>
        <v>4.7214509261145556E-12</v>
      </c>
      <c r="BE144" s="877">
        <f>$BA144*'Input data plant-based products'!AC59</f>
        <v>5.6348620672091603E-12</v>
      </c>
      <c r="BF144" s="886">
        <f>$BA144*'Input data plant-based products'!AD59</f>
        <v>6.9566198360606914E-12</v>
      </c>
      <c r="BG144" s="877"/>
      <c r="BH144" s="879">
        <f>'Input data plant-based products'!T59/'Input data plant-based products'!E59</f>
        <v>8.0343495079674971E-4</v>
      </c>
      <c r="BI144" s="877">
        <f>$BH144*'Input data plant-based products'!Z59</f>
        <v>8.0343495079674971E-4</v>
      </c>
      <c r="BJ144" s="877">
        <f>$BH144*'Input data plant-based products'!AA59</f>
        <v>8.0343495079674971E-4</v>
      </c>
      <c r="BK144" s="877">
        <f>$BH144*'Input data plant-based products'!AB59</f>
        <v>8.0343495079674971E-4</v>
      </c>
      <c r="BL144" s="877">
        <f>$BH144*'Input data plant-based products'!AC59</f>
        <v>9.5886734788966431E-4</v>
      </c>
      <c r="BM144" s="886">
        <f>$BH144*'Input data plant-based products'!AD59</f>
        <v>1.1837868492464989E-3</v>
      </c>
      <c r="BN144" s="877"/>
      <c r="BO144" s="879">
        <f>('Input data plant-based products'!F59/'Input data plant-based products'!E59*'Common input data'!$B$195+'Input data plant-based products'!G59/'Input data plant-based products'!E59*'Common input data'!$B$196)/'Common input data'!$B$198</f>
        <v>8.7246396090412339E-5</v>
      </c>
      <c r="BP144" s="877">
        <f>$BO144*'Input data plant-based products'!Z59</f>
        <v>8.7246396090412339E-5</v>
      </c>
      <c r="BQ144" s="877">
        <f>$BO144*'Input data plant-based products'!AA59</f>
        <v>8.7246396090412339E-5</v>
      </c>
      <c r="BR144" s="877">
        <f>$BO144*'Input data plant-based products'!AB59</f>
        <v>8.7246396090412339E-5</v>
      </c>
      <c r="BS144" s="877">
        <f>$BO144*'Input data plant-based products'!AC59</f>
        <v>1.0412506992530414E-4</v>
      </c>
      <c r="BT144" s="886">
        <f>$BO144*'Input data plant-based products'!AD59</f>
        <v>1.2854946904358535E-4</v>
      </c>
      <c r="BU144" s="877"/>
      <c r="BV144" s="879">
        <f>('Common input data'!$C$202+'Common input data'!$B$209)*'Input data plant-based products'!AC59</f>
        <v>0.80081155269125193</v>
      </c>
      <c r="BW144" s="886">
        <f>('Common input data'!$C$202+'Common input data'!$B$209)*'Input data plant-based products'!AD59</f>
        <v>0.98865623789043444</v>
      </c>
      <c r="BX144" s="406"/>
      <c r="BY144" s="406"/>
      <c r="BZ144" s="406"/>
      <c r="CA144" s="406"/>
      <c r="CB144" s="406"/>
      <c r="CC144" s="406"/>
      <c r="CD144" s="406"/>
      <c r="CE144" s="406"/>
      <c r="CF144" s="406"/>
      <c r="CG144" s="406"/>
      <c r="CH144" s="406"/>
      <c r="CI144" s="406"/>
      <c r="CJ144" s="406"/>
      <c r="CK144" s="406"/>
      <c r="CL144" s="406"/>
      <c r="CM144" s="406"/>
      <c r="CN144" s="406"/>
      <c r="CO144" s="406"/>
      <c r="CP144" s="406"/>
      <c r="CQ144" s="406"/>
      <c r="CR144" s="406"/>
      <c r="CS144" s="406"/>
      <c r="CT144" s="406"/>
      <c r="CU144" s="406"/>
      <c r="CV144" s="406"/>
      <c r="CW144" s="406"/>
      <c r="CX144" s="406"/>
      <c r="CY144" s="406"/>
      <c r="CZ144" s="406"/>
      <c r="DA144" s="406"/>
      <c r="DB144" s="406"/>
      <c r="DC144" s="406"/>
      <c r="DD144" s="406"/>
      <c r="DE144" s="406"/>
      <c r="DF144" s="406"/>
      <c r="DG144" s="406"/>
      <c r="DH144" s="406"/>
      <c r="DI144" s="406"/>
      <c r="DJ144" s="406"/>
      <c r="DK144" s="406"/>
      <c r="DL144" s="406"/>
      <c r="DM144" s="406"/>
      <c r="DN144" s="406"/>
      <c r="DO144" s="406"/>
      <c r="DP144" s="406"/>
      <c r="DQ144" s="406"/>
      <c r="DR144" s="406"/>
      <c r="DS144" s="406"/>
      <c r="DT144" s="406"/>
      <c r="DU144" s="406"/>
      <c r="DV144" s="406"/>
      <c r="DW144" s="406"/>
      <c r="DX144" s="406"/>
      <c r="DY144" s="406"/>
      <c r="DZ144" s="406"/>
      <c r="EA144" s="406"/>
      <c r="EB144" s="406"/>
      <c r="EC144" s="406"/>
      <c r="ED144" s="406"/>
      <c r="EE144" s="406"/>
      <c r="EF144" s="406"/>
      <c r="EG144" s="406"/>
      <c r="EH144" s="406"/>
      <c r="EI144" s="406"/>
      <c r="EJ144" s="406"/>
      <c r="EK144" s="406"/>
      <c r="EL144" s="406"/>
      <c r="EM144" s="406"/>
      <c r="EN144" s="406"/>
      <c r="EO144" s="406"/>
      <c r="EP144" s="406"/>
      <c r="EQ144" s="406"/>
      <c r="ER144" s="406"/>
      <c r="ES144" s="406"/>
      <c r="ET144" s="406"/>
      <c r="EU144" s="406"/>
      <c r="EV144" s="406"/>
      <c r="EW144" s="406"/>
      <c r="EX144" s="406"/>
      <c r="EY144" s="406"/>
      <c r="EZ144" s="406"/>
      <c r="FA144" s="406"/>
      <c r="FB144" s="406"/>
      <c r="FC144" s="406"/>
      <c r="FD144" s="406"/>
      <c r="FE144" s="406"/>
      <c r="FF144" s="406"/>
      <c r="FG144" s="406"/>
      <c r="FH144" s="406"/>
      <c r="FI144" s="406"/>
      <c r="FJ144" s="406"/>
      <c r="FK144" s="406"/>
      <c r="FL144" s="406"/>
      <c r="FM144" s="406"/>
      <c r="FN144" s="406"/>
      <c r="FO144" s="406"/>
      <c r="FP144" s="406"/>
      <c r="FQ144" s="406"/>
      <c r="FR144" s="406"/>
      <c r="FS144" s="406"/>
      <c r="FT144" s="406"/>
      <c r="FU144" s="406"/>
      <c r="FV144" s="406"/>
      <c r="FW144" s="406"/>
      <c r="FX144" s="406"/>
      <c r="FY144" s="406"/>
      <c r="FZ144" s="406"/>
      <c r="GA144" s="406"/>
      <c r="GB144" s="406"/>
      <c r="GC144" s="406"/>
      <c r="GD144" s="406"/>
      <c r="GE144" s="406"/>
      <c r="GF144" s="406"/>
      <c r="GG144" s="406"/>
      <c r="GH144" s="406"/>
      <c r="GI144" s="406"/>
      <c r="GJ144" s="406"/>
      <c r="GK144" s="406"/>
      <c r="GL144" s="406"/>
      <c r="GM144" s="406"/>
      <c r="GN144" s="406"/>
      <c r="GO144" s="406"/>
      <c r="GP144" s="406"/>
      <c r="GQ144" s="406"/>
      <c r="GR144" s="406"/>
      <c r="GS144" s="406"/>
      <c r="GT144" s="406"/>
      <c r="GU144" s="406"/>
      <c r="GV144" s="406"/>
      <c r="GW144" s="406"/>
      <c r="GX144" s="406"/>
      <c r="GY144" s="406"/>
      <c r="GZ144" s="406"/>
      <c r="HA144" s="406"/>
      <c r="HB144" s="406"/>
      <c r="HC144" s="406"/>
      <c r="HD144" s="406"/>
      <c r="HE144" s="406"/>
      <c r="HF144" s="406"/>
      <c r="HG144" s="406"/>
      <c r="HH144" s="406"/>
      <c r="HI144" s="406"/>
      <c r="HJ144" s="406"/>
      <c r="HK144" s="406"/>
      <c r="HL144" s="406"/>
      <c r="HM144" s="406"/>
      <c r="HN144" s="406"/>
      <c r="HO144" s="406"/>
      <c r="HP144" s="406"/>
      <c r="HQ144" s="406"/>
      <c r="HR144" s="406"/>
      <c r="HS144" s="406"/>
      <c r="HT144" s="406"/>
      <c r="HU144" s="406"/>
      <c r="HV144" s="406"/>
      <c r="HW144" s="406"/>
      <c r="HX144" s="406"/>
      <c r="HY144" s="406"/>
      <c r="HZ144" s="406"/>
      <c r="IA144" s="406"/>
      <c r="IB144" s="406"/>
      <c r="IC144" s="406"/>
      <c r="ID144" s="406"/>
      <c r="IE144" s="406"/>
      <c r="IF144" s="406"/>
      <c r="IG144" s="406"/>
      <c r="IH144" s="406"/>
      <c r="II144" s="406"/>
      <c r="IJ144" s="406"/>
      <c r="IK144" s="406"/>
      <c r="IL144" s="406"/>
      <c r="IM144" s="406"/>
      <c r="IN144" s="406"/>
      <c r="IO144" s="406"/>
      <c r="IP144" s="406"/>
      <c r="IQ144" s="406"/>
      <c r="IR144" s="406"/>
      <c r="IS144" s="406"/>
    </row>
    <row r="145" spans="1:253" s="406" customFormat="1" ht="17.25">
      <c r="A145" s="68"/>
      <c r="B145" s="55"/>
      <c r="C145" s="1338"/>
      <c r="D145" s="5"/>
      <c r="E145" s="1294" t="s">
        <v>317</v>
      </c>
      <c r="F145" s="877">
        <f>IF(AND($G$2="No",$G$3="No"),SUM(K145:L145),IF(AND($G$2="Yes", $G$3="No"), SUM(K145:L145)+S145, IF(AND($G$2="No", $G$3="Yes"),SUM(K145:L145)+R145, SUM(K145:L145)+S145+R145)))</f>
        <v>3.9989486962957101E-2</v>
      </c>
      <c r="G145" s="877">
        <f>IF(AND($G$2="No",$G$3="No"),SUM(I145:Q145),IF(AND($G$2="Yes", $G$3="No"), SUM(I145:Q145)+S145, IF(AND($G$2="No", $G$3="Yes"),SUM(I145:Q145)+R145, SUM(I145:Q145)+S145+R145)))</f>
        <v>9.0836939533561395E-2</v>
      </c>
      <c r="H145" s="878">
        <f>SUM(U145:W145)/(1-'Common input data'!$B$142)</f>
        <v>0.37649969699739549</v>
      </c>
      <c r="I145" s="877">
        <f>('Input data plant-based products'!$F$59*('Common input data'!$C$93*'Common input data'!B86+'Common input data'!$C$94*'Common input data'!C86))/'Input data plant-based products'!$E$59</f>
        <v>1.2864569945302908E-2</v>
      </c>
      <c r="J145" s="877">
        <f>'Common input data'!$B$98</f>
        <v>0.03</v>
      </c>
      <c r="K145" s="877">
        <v>0</v>
      </c>
      <c r="L145" s="877">
        <v>0</v>
      </c>
      <c r="M145" s="877"/>
      <c r="N145" s="877">
        <f>('Input data plant-based products'!$P$59*'Common input data'!$C$76*'Common input data'!H66)/'Input data plant-based products'!$E$59</f>
        <v>7.9828826253013855E-3</v>
      </c>
      <c r="O145" s="877">
        <v>0</v>
      </c>
      <c r="P145" s="877">
        <v>0</v>
      </c>
      <c r="Q145" s="877">
        <v>0</v>
      </c>
      <c r="R145" s="877">
        <f>'Common input data'!$E$19</f>
        <v>3.9989486962957101E-2</v>
      </c>
      <c r="S145" s="877">
        <v>0</v>
      </c>
      <c r="T145" s="877">
        <v>0</v>
      </c>
      <c r="U145" s="877">
        <f>(G145+T145)</f>
        <v>9.0836939533561395E-2</v>
      </c>
      <c r="V145" s="877">
        <f>'Common input data'!$B$105</f>
        <v>0.05</v>
      </c>
      <c r="W145" s="877">
        <f>'Common input data'!B116+'Common input data'!C116</f>
        <v>0.13</v>
      </c>
      <c r="X145" s="864"/>
      <c r="Y145" s="879"/>
      <c r="Z145" s="877"/>
      <c r="AA145" s="877"/>
      <c r="AB145" s="877"/>
      <c r="AC145" s="877"/>
      <c r="AD145" s="886"/>
      <c r="AE145" s="877"/>
      <c r="AF145" s="879"/>
      <c r="AG145" s="877"/>
      <c r="AH145" s="877"/>
      <c r="AI145" s="877"/>
      <c r="AJ145" s="877"/>
      <c r="AK145" s="886"/>
      <c r="AL145" s="877"/>
      <c r="AM145" s="879"/>
      <c r="AN145" s="877"/>
      <c r="AO145" s="877"/>
      <c r="AP145" s="877"/>
      <c r="AQ145" s="877"/>
      <c r="AR145" s="886"/>
      <c r="AS145" s="877"/>
      <c r="AT145" s="879"/>
      <c r="AU145" s="877"/>
      <c r="AV145" s="877"/>
      <c r="AW145" s="877"/>
      <c r="AX145" s="877"/>
      <c r="AY145" s="886"/>
      <c r="AZ145" s="877"/>
      <c r="BA145" s="879"/>
      <c r="BB145" s="877"/>
      <c r="BC145" s="877"/>
      <c r="BD145" s="877"/>
      <c r="BE145" s="877"/>
      <c r="BF145" s="886"/>
      <c r="BG145" s="877"/>
      <c r="BH145" s="879"/>
      <c r="BI145" s="877"/>
      <c r="BJ145" s="877"/>
      <c r="BK145" s="877"/>
      <c r="BL145" s="877"/>
      <c r="BM145" s="886"/>
      <c r="BN145" s="877"/>
      <c r="BO145" s="879"/>
      <c r="BP145" s="877"/>
      <c r="BQ145" s="877"/>
      <c r="BR145" s="877"/>
      <c r="BS145" s="877"/>
      <c r="BT145" s="886"/>
      <c r="BU145" s="877"/>
      <c r="BV145" s="879"/>
      <c r="BW145" s="886"/>
    </row>
    <row r="146" spans="1:253" s="406" customFormat="1" ht="17.25">
      <c r="A146" s="18"/>
      <c r="B146" s="55"/>
      <c r="C146" s="1339"/>
      <c r="D146" s="50"/>
      <c r="E146" s="1294" t="s">
        <v>367</v>
      </c>
      <c r="F146" s="877">
        <f>SUM(K146:L146)</f>
        <v>0</v>
      </c>
      <c r="G146" s="877">
        <f>SUM(I146:Q146)</f>
        <v>2.7135562800416134E-5</v>
      </c>
      <c r="H146" s="878">
        <f>SUM(U146:W146)/(1-'Common input data'!$B$142)</f>
        <v>3.7722074358857778E-5</v>
      </c>
      <c r="I146" s="877">
        <f>('Input data plant-based products'!$F$59*('Common input data'!$C$93*'Common input data'!B87+'Common input data'!$C$94*'Common input data'!C87))/'Input data plant-based products'!$E$59</f>
        <v>2.3599414977854416E-5</v>
      </c>
      <c r="J146" s="877">
        <v>0</v>
      </c>
      <c r="K146" s="877">
        <v>0</v>
      </c>
      <c r="L146" s="877">
        <v>0</v>
      </c>
      <c r="M146" s="877"/>
      <c r="N146" s="877">
        <f>('Input data plant-based products'!$P$59*'Common input data'!$C$76*'Common input data'!H67)/'Input data plant-based products'!$E$59</f>
        <v>3.5361478225617175E-6</v>
      </c>
      <c r="O146" s="877">
        <v>0</v>
      </c>
      <c r="P146" s="877">
        <v>0</v>
      </c>
      <c r="Q146" s="877">
        <v>0</v>
      </c>
      <c r="R146" s="877">
        <v>0</v>
      </c>
      <c r="S146" s="877">
        <v>0</v>
      </c>
      <c r="T146" s="877">
        <v>0</v>
      </c>
      <c r="U146" s="877">
        <f>(G146+T146)</f>
        <v>2.7135562800416134E-5</v>
      </c>
      <c r="V146" s="877">
        <v>0</v>
      </c>
      <c r="W146" s="877">
        <v>0</v>
      </c>
      <c r="X146" s="864"/>
      <c r="Y146" s="879"/>
      <c r="Z146" s="877"/>
      <c r="AA146" s="877"/>
      <c r="AB146" s="877"/>
      <c r="AC146" s="877"/>
      <c r="AD146" s="886"/>
      <c r="AE146" s="877"/>
      <c r="AF146" s="879"/>
      <c r="AG146" s="877"/>
      <c r="AH146" s="877"/>
      <c r="AI146" s="877"/>
      <c r="AJ146" s="877"/>
      <c r="AK146" s="886"/>
      <c r="AL146" s="877"/>
      <c r="AM146" s="879"/>
      <c r="AN146" s="877"/>
      <c r="AO146" s="877"/>
      <c r="AP146" s="877"/>
      <c r="AQ146" s="877"/>
      <c r="AR146" s="886"/>
      <c r="AS146" s="877"/>
      <c r="AT146" s="879"/>
      <c r="AU146" s="877"/>
      <c r="AV146" s="877"/>
      <c r="AW146" s="877"/>
      <c r="AX146" s="877"/>
      <c r="AY146" s="886"/>
      <c r="AZ146" s="877"/>
      <c r="BA146" s="879"/>
      <c r="BB146" s="877"/>
      <c r="BC146" s="877"/>
      <c r="BD146" s="877"/>
      <c r="BE146" s="877"/>
      <c r="BF146" s="886"/>
      <c r="BG146" s="877"/>
      <c r="BH146" s="879"/>
      <c r="BI146" s="877"/>
      <c r="BJ146" s="877"/>
      <c r="BK146" s="877"/>
      <c r="BL146" s="877"/>
      <c r="BM146" s="886"/>
      <c r="BN146" s="877"/>
      <c r="BO146" s="879"/>
      <c r="BP146" s="877"/>
      <c r="BQ146" s="877"/>
      <c r="BR146" s="877"/>
      <c r="BS146" s="877"/>
      <c r="BT146" s="886"/>
      <c r="BU146" s="877"/>
      <c r="BV146" s="879"/>
      <c r="BW146" s="886"/>
    </row>
    <row r="147" spans="1:253" s="406" customFormat="1" ht="17.25">
      <c r="A147" s="359"/>
      <c r="B147" s="360"/>
      <c r="C147" s="1340"/>
      <c r="D147" s="54"/>
      <c r="E147" s="1295" t="s">
        <v>320</v>
      </c>
      <c r="F147" s="877">
        <f>SUM(K147:L147)</f>
        <v>1.1420760430836424E-4</v>
      </c>
      <c r="G147" s="877">
        <f>SUM(I147:Q147)</f>
        <v>1.4268794922094128E-4</v>
      </c>
      <c r="H147" s="878">
        <f>SUM(U147:W147)/(1-'Common input data'!$B$142)</f>
        <v>1.9835540063103932E-4</v>
      </c>
      <c r="I147" s="877">
        <f>('Input data plant-based products'!$F$59*('Common input data'!$C$93*'Common input data'!B88+'Common input data'!$C$94*'Common input data'!C88))/'Input data plant-based products'!$E$59</f>
        <v>2.8265841744036257E-5</v>
      </c>
      <c r="J147" s="877">
        <v>0</v>
      </c>
      <c r="K147" s="877">
        <f>(SUM(('Input data plant-based products'!$F$59*'Input data plant-based products'!$B$258),(('Input data plant-based products'!$G$59+'Input data plant-based products'!$H$59)*'Input data plant-based products'!$B$259))*44/28)/'Input data plant-based products'!$E$59</f>
        <v>1.0382509482578567E-4</v>
      </c>
      <c r="L147" s="877">
        <f>K147*'Input data plant-based products'!$B$261</f>
        <v>1.0382509482578567E-5</v>
      </c>
      <c r="M147" s="877"/>
      <c r="N147" s="877">
        <f>('Input data plant-based products'!$P$59*'Common input data'!$C$76*'Common input data'!H68)/'Input data plant-based products'!$E$59</f>
        <v>2.1450316854076431E-7</v>
      </c>
      <c r="O147" s="877">
        <v>0</v>
      </c>
      <c r="P147" s="877">
        <v>0</v>
      </c>
      <c r="Q147" s="877">
        <v>0</v>
      </c>
      <c r="R147" s="877">
        <v>0</v>
      </c>
      <c r="S147" s="877">
        <v>0</v>
      </c>
      <c r="T147" s="877">
        <v>0</v>
      </c>
      <c r="U147" s="877">
        <f>(G147+T147)</f>
        <v>1.4268794922094128E-4</v>
      </c>
      <c r="V147" s="877">
        <v>0</v>
      </c>
      <c r="W147" s="877">
        <v>0</v>
      </c>
      <c r="X147" s="864"/>
      <c r="Y147" s="879"/>
      <c r="Z147" s="877"/>
      <c r="AA147" s="877"/>
      <c r="AB147" s="877"/>
      <c r="AC147" s="877"/>
      <c r="AD147" s="886"/>
      <c r="AE147" s="877"/>
      <c r="AF147" s="879"/>
      <c r="AG147" s="877"/>
      <c r="AH147" s="877"/>
      <c r="AI147" s="877"/>
      <c r="AJ147" s="877"/>
      <c r="AK147" s="886"/>
      <c r="AL147" s="877"/>
      <c r="AM147" s="879"/>
      <c r="AN147" s="877"/>
      <c r="AO147" s="877"/>
      <c r="AP147" s="877"/>
      <c r="AQ147" s="877"/>
      <c r="AR147" s="886"/>
      <c r="AS147" s="877"/>
      <c r="AT147" s="879"/>
      <c r="AU147" s="877"/>
      <c r="AV147" s="877"/>
      <c r="AW147" s="877"/>
      <c r="AX147" s="877"/>
      <c r="AY147" s="886"/>
      <c r="AZ147" s="877"/>
      <c r="BA147" s="879"/>
      <c r="BB147" s="877"/>
      <c r="BC147" s="877"/>
      <c r="BD147" s="877"/>
      <c r="BE147" s="877"/>
      <c r="BF147" s="886"/>
      <c r="BG147" s="877"/>
      <c r="BH147" s="879"/>
      <c r="BI147" s="877"/>
      <c r="BJ147" s="877"/>
      <c r="BK147" s="877"/>
      <c r="BL147" s="877"/>
      <c r="BM147" s="886"/>
      <c r="BN147" s="877"/>
      <c r="BO147" s="879"/>
      <c r="BP147" s="877"/>
      <c r="BQ147" s="877"/>
      <c r="BR147" s="877"/>
      <c r="BS147" s="877"/>
      <c r="BT147" s="886"/>
      <c r="BU147" s="877"/>
      <c r="BV147" s="879"/>
      <c r="BW147" s="886"/>
    </row>
    <row r="148" spans="1:253" s="502" customFormat="1" ht="17.25">
      <c r="A148" s="20" t="s">
        <v>125</v>
      </c>
      <c r="B148" s="93" t="s">
        <v>121</v>
      </c>
      <c r="C148" s="1337">
        <f>'Input data plant-based products'!D60</f>
        <v>0.15562299890648346</v>
      </c>
      <c r="D148" s="54"/>
      <c r="E148" s="1293" t="s">
        <v>316</v>
      </c>
      <c r="F148" s="872">
        <f>SUMPRODUCT($CE$14:$CE$16,F149:F151)</f>
        <v>6.4685586962957092E-2</v>
      </c>
      <c r="G148" s="872">
        <f>SUMPRODUCT($CE$14:$CE$16,G149:G151)</f>
        <v>0.14917260027682866</v>
      </c>
      <c r="H148" s="873">
        <f>SUMPRODUCT($CE$14:$CE$16,H149:H151)</f>
        <v>0.59660751684054281</v>
      </c>
      <c r="I148" s="888"/>
      <c r="J148" s="888"/>
      <c r="K148" s="888"/>
      <c r="L148" s="888"/>
      <c r="M148" s="888"/>
      <c r="N148" s="888"/>
      <c r="O148" s="888"/>
      <c r="P148" s="888"/>
      <c r="Q148" s="888"/>
      <c r="R148" s="888"/>
      <c r="S148" s="888"/>
      <c r="T148" s="888"/>
      <c r="U148" s="888"/>
      <c r="V148" s="888"/>
      <c r="W148" s="888"/>
      <c r="X148" s="864"/>
      <c r="Y148" s="879">
        <f>1/'Input data plant-based products'!E60*10^4</f>
        <v>0.36154597057015797</v>
      </c>
      <c r="Z148" s="877">
        <f>$Y148*'Input data plant-based products'!Z60</f>
        <v>0.36154597057015797</v>
      </c>
      <c r="AA148" s="877">
        <f>$Y148*'Input data plant-based products'!AA60</f>
        <v>0.36154597057015797</v>
      </c>
      <c r="AB148" s="877">
        <f>$Y148*'Input data plant-based products'!AB60</f>
        <v>0.36154597057015797</v>
      </c>
      <c r="AC148" s="877">
        <f>$Y148*'Input data plant-based products'!AC60</f>
        <v>0.43149059621692082</v>
      </c>
      <c r="AD148" s="886">
        <f>$Y148*'Input data plant-based products'!AD60</f>
        <v>0.5327044397739763</v>
      </c>
      <c r="AE148" s="877"/>
      <c r="AF148" s="879">
        <f>SUM('Input data plant-based products'!F60,'Input data plant-based products'!Q60)/'Input data plant-based products'!E60</f>
        <v>3.3333333333333301E-3</v>
      </c>
      <c r="AG148" s="877">
        <f>$AF148*'Input data plant-based products'!Z60</f>
        <v>3.3333333333333301E-3</v>
      </c>
      <c r="AH148" s="877">
        <f>$AF148*'Input data plant-based products'!AA60</f>
        <v>3.3333333333333301E-3</v>
      </c>
      <c r="AI148" s="877">
        <f>$AF148*'Input data plant-based products'!AB60</f>
        <v>3.3333333333333301E-3</v>
      </c>
      <c r="AJ148" s="877">
        <f>$AF148*'Input data plant-based products'!AC60</f>
        <v>3.9781994669212672E-3</v>
      </c>
      <c r="AK148" s="886">
        <f>$AF148*'Input data plant-based products'!AD60</f>
        <v>4.9113573665694656E-3</v>
      </c>
      <c r="AL148" s="877"/>
      <c r="AM148" s="879">
        <f>'Input data plant-based products'!R60/'Input data plant-based products'!E60</f>
        <v>4.0000000000000001E-3</v>
      </c>
      <c r="AN148" s="877">
        <f>$AM148*'Input data plant-based products'!Z60</f>
        <v>4.0000000000000001E-3</v>
      </c>
      <c r="AO148" s="877">
        <f>$AM148*'Input data plant-based products'!AA60</f>
        <v>4.0000000000000001E-3</v>
      </c>
      <c r="AP148" s="877">
        <f>$AM148*'Input data plant-based products'!AB60</f>
        <v>4.0000000000000001E-3</v>
      </c>
      <c r="AQ148" s="877">
        <f>$AM148*'Input data plant-based products'!AC60</f>
        <v>4.7738393603055261E-3</v>
      </c>
      <c r="AR148" s="886">
        <f>$AM148*'Input data plant-based products'!AD60</f>
        <v>5.8936288398833648E-3</v>
      </c>
      <c r="AS148" s="877"/>
      <c r="AT148" s="879">
        <f>'Input data plant-based products'!S60</f>
        <v>1.6855496471339434E-2</v>
      </c>
      <c r="AU148" s="877">
        <f>$AT148*'Input data plant-based products'!Z60</f>
        <v>1.6855496471339434E-2</v>
      </c>
      <c r="AV148" s="877">
        <f>$AT148*'Input data plant-based products'!AA60</f>
        <v>1.6855496471339434E-2</v>
      </c>
      <c r="AW148" s="877">
        <f>$AT148*'Input data plant-based products'!AB60</f>
        <v>1.6855496471339434E-2</v>
      </c>
      <c r="AX148" s="877">
        <f>$AT148*'Input data plant-based products'!AC60</f>
        <v>2.0116358123092773E-2</v>
      </c>
      <c r="AY148" s="886">
        <f>$AT148*'Input data plant-based products'!AD60</f>
        <v>2.4835010028509592E-2</v>
      </c>
      <c r="AZ148" s="877"/>
      <c r="BA148" s="879">
        <f>((SUM('Input data plant-based products'!U60:Y60)*Y148)/('Common input data'!$B$192/10^6))/$BB$3</f>
        <v>5.2789180960790532E-12</v>
      </c>
      <c r="BB148" s="877">
        <f>$BA148*'Input data plant-based products'!Z60</f>
        <v>5.2789180960790532E-12</v>
      </c>
      <c r="BC148" s="877">
        <f>$BA148*'Input data plant-based products'!AA60</f>
        <v>5.2789180960790532E-12</v>
      </c>
      <c r="BD148" s="877">
        <f>$BA148*'Input data plant-based products'!AB60</f>
        <v>5.2789180960790532E-12</v>
      </c>
      <c r="BE148" s="877">
        <f>$BA148*'Input data plant-based products'!AC60</f>
        <v>6.3001767467228224E-12</v>
      </c>
      <c r="BF148" s="886">
        <f>$BA148*'Input data plant-based products'!AD60</f>
        <v>7.7779959836084221E-12</v>
      </c>
      <c r="BG148" s="877"/>
      <c r="BH148" s="879">
        <f>'Input data plant-based products'!T60/'Input data plant-based products'!E60</f>
        <v>1.8301457030261399E-3</v>
      </c>
      <c r="BI148" s="877">
        <f>$BH148*'Input data plant-based products'!Z60</f>
        <v>1.8301457030261399E-3</v>
      </c>
      <c r="BJ148" s="877">
        <f>$BH148*'Input data plant-based products'!AA60</f>
        <v>1.8301457030261399E-3</v>
      </c>
      <c r="BK148" s="877">
        <f>$BH148*'Input data plant-based products'!AB60</f>
        <v>1.8301457030261399E-3</v>
      </c>
      <c r="BL148" s="877">
        <f>$BH148*'Input data plant-based products'!AC60</f>
        <v>2.1842053980500537E-3</v>
      </c>
      <c r="BM148" s="886">
        <f>$BH148*'Input data plant-based products'!AD60</f>
        <v>2.6965498741358682E-3</v>
      </c>
      <c r="BN148" s="877"/>
      <c r="BO148" s="879">
        <f>('Input data plant-based products'!F60/'Input data plant-based products'!E60*'Common input data'!$B$195+'Input data plant-based products'!G60/'Input data plant-based products'!E60*'Common input data'!$B$196)/'Common input data'!$B$198</f>
        <v>8.5112443778110865E-5</v>
      </c>
      <c r="BP148" s="877">
        <f>$BO148*'Input data plant-based products'!Z60</f>
        <v>8.5112443778110865E-5</v>
      </c>
      <c r="BQ148" s="877">
        <f>$BO148*'Input data plant-based products'!AA60</f>
        <v>8.5112443778110865E-5</v>
      </c>
      <c r="BR148" s="877">
        <f>$BO148*'Input data plant-based products'!AB60</f>
        <v>8.5112443778110865E-5</v>
      </c>
      <c r="BS148" s="877">
        <f>$BO148*'Input data plant-based products'!AC60</f>
        <v>1.0157828353993419E-4</v>
      </c>
      <c r="BT148" s="886">
        <f>$BO148*'Input data plant-based products'!AD60</f>
        <v>1.2540528832090641E-4</v>
      </c>
      <c r="BU148" s="877"/>
      <c r="BV148" s="879">
        <f>('Common input data'!$C$202+'Common input data'!$B$214)*'Input data plant-based products'!AC60</f>
        <v>1.1339857580459085</v>
      </c>
      <c r="BW148" s="886">
        <f>('Common input data'!$C$202+'Common input data'!$B$214)*'Input data plant-based products'!AD60</f>
        <v>1.3999824173406277</v>
      </c>
      <c r="BX148" s="406"/>
      <c r="BY148" s="406"/>
      <c r="BZ148" s="406"/>
      <c r="CA148" s="406"/>
      <c r="CB148" s="406"/>
      <c r="CC148" s="406"/>
      <c r="CD148" s="406"/>
      <c r="CE148" s="406"/>
      <c r="CF148" s="406"/>
      <c r="CG148" s="406"/>
      <c r="CH148" s="406"/>
      <c r="CI148" s="406"/>
      <c r="CJ148" s="406"/>
      <c r="CK148" s="406"/>
      <c r="CL148" s="406"/>
      <c r="CM148" s="406"/>
      <c r="CN148" s="406"/>
      <c r="CO148" s="406"/>
      <c r="CP148" s="406"/>
      <c r="CQ148" s="406"/>
      <c r="CR148" s="406"/>
      <c r="CS148" s="406"/>
      <c r="CT148" s="406"/>
      <c r="CU148" s="406"/>
      <c r="CV148" s="406"/>
      <c r="CW148" s="406"/>
      <c r="CX148" s="406"/>
      <c r="CY148" s="406"/>
      <c r="CZ148" s="406"/>
      <c r="DA148" s="406"/>
      <c r="DB148" s="406"/>
      <c r="DC148" s="406"/>
      <c r="DD148" s="406"/>
      <c r="DE148" s="406"/>
      <c r="DF148" s="406"/>
      <c r="DG148" s="406"/>
      <c r="DH148" s="406"/>
      <c r="DI148" s="406"/>
      <c r="DJ148" s="406"/>
      <c r="DK148" s="406"/>
      <c r="DL148" s="406"/>
      <c r="DM148" s="406"/>
      <c r="DN148" s="406"/>
      <c r="DO148" s="406"/>
      <c r="DP148" s="406"/>
      <c r="DQ148" s="406"/>
      <c r="DR148" s="406"/>
      <c r="DS148" s="406"/>
      <c r="DT148" s="406"/>
      <c r="DU148" s="406"/>
      <c r="DV148" s="406"/>
      <c r="DW148" s="406"/>
      <c r="DX148" s="406"/>
      <c r="DY148" s="406"/>
      <c r="DZ148" s="406"/>
      <c r="EA148" s="406"/>
      <c r="EB148" s="406"/>
      <c r="EC148" s="406"/>
      <c r="ED148" s="406"/>
      <c r="EE148" s="406"/>
      <c r="EF148" s="406"/>
      <c r="EG148" s="406"/>
      <c r="EH148" s="406"/>
      <c r="EI148" s="406"/>
      <c r="EJ148" s="406"/>
      <c r="EK148" s="406"/>
      <c r="EL148" s="406"/>
      <c r="EM148" s="406"/>
      <c r="EN148" s="406"/>
      <c r="EO148" s="406"/>
      <c r="EP148" s="406"/>
      <c r="EQ148" s="406"/>
      <c r="ER148" s="406"/>
      <c r="ES148" s="406"/>
      <c r="ET148" s="406"/>
      <c r="EU148" s="406"/>
      <c r="EV148" s="406"/>
      <c r="EW148" s="406"/>
      <c r="EX148" s="406"/>
      <c r="EY148" s="406"/>
      <c r="EZ148" s="406"/>
      <c r="FA148" s="406"/>
      <c r="FB148" s="406"/>
      <c r="FC148" s="406"/>
      <c r="FD148" s="406"/>
      <c r="FE148" s="406"/>
      <c r="FF148" s="406"/>
      <c r="FG148" s="406"/>
      <c r="FH148" s="406"/>
      <c r="FI148" s="406"/>
      <c r="FJ148" s="406"/>
      <c r="FK148" s="406"/>
      <c r="FL148" s="406"/>
      <c r="FM148" s="406"/>
      <c r="FN148" s="406"/>
      <c r="FO148" s="406"/>
      <c r="FP148" s="406"/>
      <c r="FQ148" s="406"/>
      <c r="FR148" s="406"/>
      <c r="FS148" s="406"/>
      <c r="FT148" s="406"/>
      <c r="FU148" s="406"/>
      <c r="FV148" s="406"/>
      <c r="FW148" s="406"/>
      <c r="FX148" s="406"/>
      <c r="FY148" s="406"/>
      <c r="FZ148" s="406"/>
      <c r="GA148" s="406"/>
      <c r="GB148" s="406"/>
      <c r="GC148" s="406"/>
      <c r="GD148" s="406"/>
      <c r="GE148" s="406"/>
      <c r="GF148" s="406"/>
      <c r="GG148" s="406"/>
      <c r="GH148" s="406"/>
      <c r="GI148" s="406"/>
      <c r="GJ148" s="406"/>
      <c r="GK148" s="406"/>
      <c r="GL148" s="406"/>
      <c r="GM148" s="406"/>
      <c r="GN148" s="406"/>
      <c r="GO148" s="406"/>
      <c r="GP148" s="406"/>
      <c r="GQ148" s="406"/>
      <c r="GR148" s="406"/>
      <c r="GS148" s="406"/>
      <c r="GT148" s="406"/>
      <c r="GU148" s="406"/>
      <c r="GV148" s="406"/>
      <c r="GW148" s="406"/>
      <c r="GX148" s="406"/>
      <c r="GY148" s="406"/>
      <c r="GZ148" s="406"/>
      <c r="HA148" s="406"/>
      <c r="HB148" s="406"/>
      <c r="HC148" s="406"/>
      <c r="HD148" s="406"/>
      <c r="HE148" s="406"/>
      <c r="HF148" s="406"/>
      <c r="HG148" s="406"/>
      <c r="HH148" s="406"/>
      <c r="HI148" s="406"/>
      <c r="HJ148" s="406"/>
      <c r="HK148" s="406"/>
      <c r="HL148" s="406"/>
      <c r="HM148" s="406"/>
      <c r="HN148" s="406"/>
      <c r="HO148" s="406"/>
      <c r="HP148" s="406"/>
      <c r="HQ148" s="406"/>
      <c r="HR148" s="406"/>
      <c r="HS148" s="406"/>
      <c r="HT148" s="406"/>
      <c r="HU148" s="406"/>
      <c r="HV148" s="406"/>
      <c r="HW148" s="406"/>
      <c r="HX148" s="406"/>
      <c r="HY148" s="406"/>
      <c r="HZ148" s="406"/>
      <c r="IA148" s="406"/>
      <c r="IB148" s="406"/>
      <c r="IC148" s="406"/>
      <c r="ID148" s="406"/>
      <c r="IE148" s="406"/>
      <c r="IF148" s="406"/>
      <c r="IG148" s="406"/>
      <c r="IH148" s="406"/>
      <c r="II148" s="406"/>
      <c r="IJ148" s="406"/>
      <c r="IK148" s="406"/>
      <c r="IL148" s="406"/>
      <c r="IM148" s="406"/>
      <c r="IN148" s="406"/>
      <c r="IO148" s="406"/>
      <c r="IP148" s="406"/>
      <c r="IQ148" s="406"/>
      <c r="IR148" s="406"/>
      <c r="IS148" s="406"/>
    </row>
    <row r="149" spans="1:253" s="406" customFormat="1" ht="17.25">
      <c r="A149" s="68"/>
      <c r="B149" s="55"/>
      <c r="C149" s="917"/>
      <c r="D149" s="5"/>
      <c r="E149" s="1294" t="s">
        <v>317</v>
      </c>
      <c r="F149" s="877">
        <f>IF(AND($G$2="No",$G$3="No"),SUM(K149:L149),IF(AND($G$2="Yes", $G$3="No"), SUM(K149:L149)+S149, IF(AND($G$2="No", $G$3="Yes"),SUM(K149:L149)+R149, SUM(K149:L149)+S149+R149)))</f>
        <v>3.9989486962957101E-2</v>
      </c>
      <c r="G149" s="877">
        <f>IF(AND($G$2="No",$G$3="No"),SUM(I149:Q149),IF(AND($G$2="Yes", $G$3="No"), SUM(I149:Q149)+S149, IF(AND($G$2="No", $G$3="Yes"),SUM(I149:Q149)+R149, SUM(I149:Q149)+S149+R149)))</f>
        <v>0.11606605880506393</v>
      </c>
      <c r="H149" s="878">
        <f>SUM(U149:W149)/(1-'Common input data'!$B$142)</f>
        <v>0.55058498071892736</v>
      </c>
      <c r="I149" s="877">
        <f>('Input data plant-based products'!$F$60*('Common input data'!$C$93*'Common input data'!B86+'Common input data'!$C$94*'Common input data'!C86))/'Input data plant-based products'!$E$60</f>
        <v>1.2549916503880584E-2</v>
      </c>
      <c r="J149" s="877">
        <f>'Common input data'!$B$98</f>
        <v>0.03</v>
      </c>
      <c r="K149" s="877">
        <v>0</v>
      </c>
      <c r="L149" s="877">
        <v>0</v>
      </c>
      <c r="M149" s="877"/>
      <c r="N149" s="877">
        <f>('Input data plant-based products'!$P$60*'Common input data'!$C$76*'Common input data'!H66)/'Input data plant-based products'!$E$60</f>
        <v>1.3526655338226255E-2</v>
      </c>
      <c r="O149" s="877">
        <v>0</v>
      </c>
      <c r="P149" s="877">
        <f>'Input data plant-based products'!$G$309</f>
        <v>0.02</v>
      </c>
      <c r="Q149" s="877">
        <v>0</v>
      </c>
      <c r="R149" s="877">
        <f>'Common input data'!$E$19</f>
        <v>3.9989486962957101E-2</v>
      </c>
      <c r="S149" s="877">
        <v>0</v>
      </c>
      <c r="T149" s="877">
        <v>0</v>
      </c>
      <c r="U149" s="877">
        <f>(G149+T149)</f>
        <v>0.11606605880506393</v>
      </c>
      <c r="V149" s="877">
        <f>'Common input data'!$B$105</f>
        <v>0.05</v>
      </c>
      <c r="W149" s="877">
        <f>'Common input data'!B119+'Common input data'!C119</f>
        <v>0.23000000000000004</v>
      </c>
      <c r="X149" s="864"/>
      <c r="Y149" s="879"/>
      <c r="Z149" s="877"/>
      <c r="AA149" s="877"/>
      <c r="AB149" s="877"/>
      <c r="AC149" s="877"/>
      <c r="AD149" s="886"/>
      <c r="AE149" s="877"/>
      <c r="AF149" s="879"/>
      <c r="AG149" s="877"/>
      <c r="AH149" s="877"/>
      <c r="AI149" s="877"/>
      <c r="AJ149" s="877"/>
      <c r="AK149" s="886"/>
      <c r="AL149" s="877"/>
      <c r="AM149" s="879"/>
      <c r="AN149" s="877"/>
      <c r="AO149" s="877"/>
      <c r="AP149" s="877"/>
      <c r="AQ149" s="877"/>
      <c r="AR149" s="886"/>
      <c r="AS149" s="877"/>
      <c r="AT149" s="879"/>
      <c r="AU149" s="877"/>
      <c r="AV149" s="877"/>
      <c r="AW149" s="877"/>
      <c r="AX149" s="877"/>
      <c r="AY149" s="886"/>
      <c r="AZ149" s="877"/>
      <c r="BA149" s="879"/>
      <c r="BB149" s="877"/>
      <c r="BC149" s="877"/>
      <c r="BD149" s="877"/>
      <c r="BE149" s="877"/>
      <c r="BF149" s="886"/>
      <c r="BG149" s="877"/>
      <c r="BH149" s="879"/>
      <c r="BI149" s="877"/>
      <c r="BJ149" s="877"/>
      <c r="BK149" s="877"/>
      <c r="BL149" s="877"/>
      <c r="BM149" s="886"/>
      <c r="BN149" s="877"/>
      <c r="BO149" s="879"/>
      <c r="BP149" s="877"/>
      <c r="BQ149" s="877"/>
      <c r="BR149" s="877"/>
      <c r="BS149" s="877"/>
      <c r="BT149" s="886"/>
      <c r="BU149" s="877"/>
      <c r="BV149" s="879"/>
      <c r="BW149" s="886"/>
    </row>
    <row r="150" spans="1:253" s="406" customFormat="1" ht="17.25">
      <c r="A150" s="18"/>
      <c r="B150" s="55"/>
      <c r="C150" s="595"/>
      <c r="D150" s="50"/>
      <c r="E150" s="1294" t="s">
        <v>367</v>
      </c>
      <c r="F150" s="877">
        <f>SUM(K150:L150)</f>
        <v>0</v>
      </c>
      <c r="G150" s="877">
        <f>SUM(I150:Q150)</f>
        <v>2.9014051058713674E-5</v>
      </c>
      <c r="H150" s="878">
        <f>SUM(U150:W150)/(1-'Common input data'!$B$142)</f>
        <v>4.0333425163811575E-5</v>
      </c>
      <c r="I150" s="877">
        <f>('Input data plant-based products'!$F$60*('Common input data'!$C$93*'Common input data'!B87+'Common input data'!$C$94*'Common input data'!C87))/'Input data plant-based products'!$E$60</f>
        <v>2.3022198858706443E-5</v>
      </c>
      <c r="J150" s="877">
        <v>0</v>
      </c>
      <c r="K150" s="877">
        <v>0</v>
      </c>
      <c r="L150" s="877">
        <v>0</v>
      </c>
      <c r="M150" s="877"/>
      <c r="N150" s="877">
        <f>('Input data plant-based products'!$P$60*'Common input data'!$C$76*'Common input data'!H67)/'Input data plant-based products'!$E$60</f>
        <v>5.9918522000072315E-6</v>
      </c>
      <c r="O150" s="877">
        <v>0</v>
      </c>
      <c r="P150" s="877">
        <v>0</v>
      </c>
      <c r="Q150" s="877">
        <v>0</v>
      </c>
      <c r="R150" s="877">
        <v>0</v>
      </c>
      <c r="S150" s="877">
        <v>0</v>
      </c>
      <c r="T150" s="877">
        <v>0</v>
      </c>
      <c r="U150" s="877">
        <f>(G150+T150)</f>
        <v>2.9014051058713674E-5</v>
      </c>
      <c r="V150" s="877">
        <v>0</v>
      </c>
      <c r="W150" s="877">
        <v>0</v>
      </c>
      <c r="X150" s="864"/>
      <c r="Y150" s="879"/>
      <c r="Z150" s="877"/>
      <c r="AA150" s="877"/>
      <c r="AB150" s="877"/>
      <c r="AC150" s="877"/>
      <c r="AD150" s="886"/>
      <c r="AE150" s="877"/>
      <c r="AF150" s="879"/>
      <c r="AG150" s="877"/>
      <c r="AH150" s="877"/>
      <c r="AI150" s="877"/>
      <c r="AJ150" s="877"/>
      <c r="AK150" s="886"/>
      <c r="AL150" s="877"/>
      <c r="AM150" s="879"/>
      <c r="AN150" s="877"/>
      <c r="AO150" s="877"/>
      <c r="AP150" s="877"/>
      <c r="AQ150" s="877"/>
      <c r="AR150" s="886"/>
      <c r="AS150" s="877"/>
      <c r="AT150" s="879"/>
      <c r="AU150" s="877"/>
      <c r="AV150" s="877"/>
      <c r="AW150" s="877"/>
      <c r="AX150" s="877"/>
      <c r="AY150" s="886"/>
      <c r="AZ150" s="877"/>
      <c r="BA150" s="879"/>
      <c r="BB150" s="877"/>
      <c r="BC150" s="877"/>
      <c r="BD150" s="877"/>
      <c r="BE150" s="877"/>
      <c r="BF150" s="886"/>
      <c r="BG150" s="877"/>
      <c r="BH150" s="879"/>
      <c r="BI150" s="877"/>
      <c r="BJ150" s="877"/>
      <c r="BK150" s="877"/>
      <c r="BL150" s="877"/>
      <c r="BM150" s="886"/>
      <c r="BN150" s="877"/>
      <c r="BO150" s="879"/>
      <c r="BP150" s="877"/>
      <c r="BQ150" s="877"/>
      <c r="BR150" s="877"/>
      <c r="BS150" s="877"/>
      <c r="BT150" s="886"/>
      <c r="BU150" s="877"/>
      <c r="BV150" s="879"/>
      <c r="BW150" s="886"/>
    </row>
    <row r="151" spans="1:253" s="406" customFormat="1" ht="17.25">
      <c r="A151" s="359"/>
      <c r="B151" s="360"/>
      <c r="C151" s="83"/>
      <c r="D151" s="54"/>
      <c r="E151" s="1295" t="s">
        <v>320</v>
      </c>
      <c r="F151" s="896">
        <f>SUM(K151:L151)</f>
        <v>9.0461904761904706E-5</v>
      </c>
      <c r="G151" s="896">
        <f>SUM(I151:Q151)</f>
        <v>1.1839986114717743E-4</v>
      </c>
      <c r="H151" s="933">
        <f>SUM(U151:W151)/(1-'Common input data'!$B$142)</f>
        <v>1.6459169832304973E-4</v>
      </c>
      <c r="I151" s="877">
        <f>('Input data plant-based products'!$F$60*('Common input data'!$C$93*'Common input data'!B88+'Common input data'!$C$94*'Common input data'!C88))/'Input data plant-based products'!$E$60</f>
        <v>2.7574489882506899E-5</v>
      </c>
      <c r="J151" s="877">
        <v>0</v>
      </c>
      <c r="K151" s="877">
        <f>(SUM('Input data plant-based products'!F60:H60)*'Input data plant-based products'!$B$257*44/28)/'Input data plant-based products'!E60</f>
        <v>8.2238095238095182E-5</v>
      </c>
      <c r="L151" s="877">
        <f>K151*'Input data plant-based products'!$B$261</f>
        <v>8.2238095238095186E-6</v>
      </c>
      <c r="M151" s="877"/>
      <c r="N151" s="877">
        <f>('Input data plant-based products'!$P$60*'Common input data'!$C$76*'Common input data'!H68)/'Input data plant-based products'!$E$60</f>
        <v>3.6346650276582671E-7</v>
      </c>
      <c r="O151" s="877">
        <v>0</v>
      </c>
      <c r="P151" s="877">
        <v>0</v>
      </c>
      <c r="Q151" s="877">
        <v>0</v>
      </c>
      <c r="R151" s="877">
        <v>0</v>
      </c>
      <c r="S151" s="877">
        <v>0</v>
      </c>
      <c r="T151" s="877">
        <v>0</v>
      </c>
      <c r="U151" s="877">
        <f>(G151+T151)</f>
        <v>1.1839986114717743E-4</v>
      </c>
      <c r="V151" s="877">
        <v>0</v>
      </c>
      <c r="W151" s="877">
        <v>0</v>
      </c>
      <c r="X151" s="864"/>
      <c r="Y151" s="879"/>
      <c r="Z151" s="877"/>
      <c r="AA151" s="877"/>
      <c r="AB151" s="877"/>
      <c r="AC151" s="877"/>
      <c r="AD151" s="886"/>
      <c r="AE151" s="877"/>
      <c r="AF151" s="879"/>
      <c r="AG151" s="877"/>
      <c r="AH151" s="877"/>
      <c r="AI151" s="877"/>
      <c r="AJ151" s="877"/>
      <c r="AK151" s="886"/>
      <c r="AL151" s="877"/>
      <c r="AM151" s="879"/>
      <c r="AN151" s="877"/>
      <c r="AO151" s="877"/>
      <c r="AP151" s="877"/>
      <c r="AQ151" s="877"/>
      <c r="AR151" s="886"/>
      <c r="AS151" s="877"/>
      <c r="AT151" s="879"/>
      <c r="AU151" s="877"/>
      <c r="AV151" s="877"/>
      <c r="AW151" s="877"/>
      <c r="AX151" s="877"/>
      <c r="AY151" s="886"/>
      <c r="AZ151" s="877"/>
      <c r="BA151" s="879"/>
      <c r="BB151" s="877"/>
      <c r="BC151" s="877"/>
      <c r="BD151" s="877"/>
      <c r="BE151" s="877"/>
      <c r="BF151" s="886"/>
      <c r="BG151" s="877"/>
      <c r="BH151" s="879"/>
      <c r="BI151" s="877"/>
      <c r="BJ151" s="877"/>
      <c r="BK151" s="877"/>
      <c r="BL151" s="877"/>
      <c r="BM151" s="886"/>
      <c r="BN151" s="877"/>
      <c r="BO151" s="879"/>
      <c r="BP151" s="877"/>
      <c r="BQ151" s="877"/>
      <c r="BR151" s="877"/>
      <c r="BS151" s="877"/>
      <c r="BT151" s="886"/>
      <c r="BU151" s="877"/>
      <c r="BV151" s="879"/>
      <c r="BW151" s="886"/>
    </row>
    <row r="152" spans="1:253" s="503" customFormat="1" ht="17.25">
      <c r="A152" s="362" t="s">
        <v>488</v>
      </c>
      <c r="B152" s="363"/>
      <c r="C152" s="770"/>
      <c r="D152" s="54"/>
      <c r="E152" s="1296"/>
      <c r="F152" s="1290" t="s">
        <v>489</v>
      </c>
      <c r="G152" s="1290" t="s">
        <v>489</v>
      </c>
      <c r="H152" s="870" t="s">
        <v>489</v>
      </c>
      <c r="I152" s="889"/>
      <c r="J152" s="889"/>
      <c r="K152" s="889"/>
      <c r="L152" s="890"/>
      <c r="M152" s="890"/>
      <c r="N152" s="890"/>
      <c r="O152" s="891"/>
      <c r="P152" s="890"/>
      <c r="Q152" s="890"/>
      <c r="R152" s="890"/>
      <c r="S152" s="890"/>
      <c r="T152" s="890"/>
      <c r="U152" s="890"/>
      <c r="V152" s="890"/>
      <c r="W152" s="890"/>
      <c r="X152" s="864"/>
      <c r="Y152" s="879"/>
      <c r="Z152" s="877"/>
      <c r="AA152" s="877"/>
      <c r="AB152" s="877"/>
      <c r="AC152" s="877"/>
      <c r="AD152" s="886"/>
      <c r="AE152" s="877"/>
      <c r="AF152" s="879"/>
      <c r="AG152" s="877"/>
      <c r="AH152" s="877"/>
      <c r="AI152" s="877"/>
      <c r="AJ152" s="877"/>
      <c r="AK152" s="886"/>
      <c r="AL152" s="877"/>
      <c r="AM152" s="879"/>
      <c r="AN152" s="877"/>
      <c r="AO152" s="877"/>
      <c r="AP152" s="877"/>
      <c r="AQ152" s="877"/>
      <c r="AR152" s="886"/>
      <c r="AS152" s="877"/>
      <c r="AT152" s="879"/>
      <c r="AU152" s="877"/>
      <c r="AV152" s="877"/>
      <c r="AW152" s="877"/>
      <c r="AX152" s="877"/>
      <c r="AY152" s="886"/>
      <c r="AZ152" s="877"/>
      <c r="BA152" s="879"/>
      <c r="BB152" s="877"/>
      <c r="BC152" s="877"/>
      <c r="BD152" s="877"/>
      <c r="BE152" s="877"/>
      <c r="BF152" s="886"/>
      <c r="BG152" s="877"/>
      <c r="BH152" s="879"/>
      <c r="BI152" s="877"/>
      <c r="BJ152" s="877"/>
      <c r="BK152" s="877"/>
      <c r="BL152" s="877"/>
      <c r="BM152" s="886"/>
      <c r="BN152" s="877"/>
      <c r="BO152" s="879"/>
      <c r="BP152" s="877"/>
      <c r="BQ152" s="877"/>
      <c r="BR152" s="877"/>
      <c r="BS152" s="877"/>
      <c r="BT152" s="886"/>
      <c r="BU152" s="877"/>
      <c r="BV152" s="879"/>
      <c r="BW152" s="886"/>
      <c r="BX152" s="406"/>
      <c r="BY152" s="406"/>
      <c r="BZ152" s="406"/>
      <c r="CA152" s="406"/>
      <c r="CB152" s="406"/>
      <c r="CC152" s="406"/>
      <c r="CD152" s="406"/>
      <c r="CE152" s="406"/>
      <c r="CF152" s="406"/>
      <c r="CG152" s="406"/>
      <c r="CH152" s="406"/>
      <c r="CI152" s="406"/>
      <c r="CJ152" s="406"/>
      <c r="CK152" s="406"/>
      <c r="CL152" s="406"/>
      <c r="CM152" s="406"/>
      <c r="CN152" s="406"/>
      <c r="CO152" s="406"/>
      <c r="CP152" s="406"/>
      <c r="CQ152" s="406"/>
      <c r="CR152" s="406"/>
      <c r="CS152" s="406"/>
      <c r="CT152" s="406"/>
      <c r="CU152" s="406"/>
      <c r="CV152" s="406"/>
      <c r="CW152" s="406"/>
      <c r="CX152" s="406"/>
      <c r="CY152" s="406"/>
      <c r="CZ152" s="406"/>
      <c r="DA152" s="406"/>
      <c r="DB152" s="406"/>
      <c r="DC152" s="406"/>
      <c r="DD152" s="406"/>
      <c r="DE152" s="406"/>
      <c r="DF152" s="406"/>
      <c r="DG152" s="406"/>
      <c r="DH152" s="406"/>
      <c r="DI152" s="406"/>
      <c r="DJ152" s="406"/>
      <c r="DK152" s="406"/>
      <c r="DL152" s="406"/>
      <c r="DM152" s="406"/>
      <c r="DN152" s="406"/>
      <c r="DO152" s="406"/>
      <c r="DP152" s="406"/>
      <c r="DQ152" s="406"/>
      <c r="DR152" s="406"/>
      <c r="DS152" s="406"/>
      <c r="DT152" s="406"/>
      <c r="DU152" s="406"/>
      <c r="DV152" s="406"/>
      <c r="DW152" s="406"/>
      <c r="DX152" s="406"/>
      <c r="DY152" s="406"/>
      <c r="DZ152" s="406"/>
      <c r="EA152" s="406"/>
      <c r="EB152" s="406"/>
      <c r="EC152" s="406"/>
      <c r="ED152" s="406"/>
      <c r="EE152" s="406"/>
      <c r="EF152" s="406"/>
      <c r="EG152" s="406"/>
      <c r="EH152" s="406"/>
      <c r="EI152" s="406"/>
      <c r="EJ152" s="406"/>
      <c r="EK152" s="406"/>
      <c r="EL152" s="406"/>
      <c r="EM152" s="406"/>
      <c r="EN152" s="406"/>
      <c r="EO152" s="406"/>
      <c r="EP152" s="406"/>
      <c r="EQ152" s="406"/>
      <c r="ER152" s="406"/>
      <c r="ES152" s="406"/>
      <c r="ET152" s="406"/>
      <c r="EU152" s="406"/>
      <c r="EV152" s="406"/>
      <c r="EW152" s="406"/>
      <c r="EX152" s="406"/>
      <c r="EY152" s="406"/>
      <c r="EZ152" s="406"/>
      <c r="FA152" s="406"/>
      <c r="FB152" s="406"/>
      <c r="FC152" s="406"/>
      <c r="FD152" s="406"/>
      <c r="FE152" s="406"/>
      <c r="FF152" s="406"/>
      <c r="FG152" s="406"/>
      <c r="FH152" s="406"/>
      <c r="FI152" s="406"/>
      <c r="FJ152" s="406"/>
      <c r="FK152" s="406"/>
      <c r="FL152" s="406"/>
      <c r="FM152" s="406"/>
      <c r="FN152" s="406"/>
      <c r="FO152" s="406"/>
      <c r="FP152" s="406"/>
      <c r="FQ152" s="406"/>
      <c r="FR152" s="406"/>
      <c r="FS152" s="406"/>
      <c r="FT152" s="406"/>
      <c r="FU152" s="406"/>
      <c r="FV152" s="406"/>
      <c r="FW152" s="406"/>
      <c r="FX152" s="406"/>
      <c r="FY152" s="406"/>
      <c r="FZ152" s="406"/>
      <c r="GA152" s="406"/>
      <c r="GB152" s="406"/>
      <c r="GC152" s="406"/>
      <c r="GD152" s="406"/>
      <c r="GE152" s="406"/>
      <c r="GF152" s="406"/>
      <c r="GG152" s="406"/>
      <c r="GH152" s="406"/>
      <c r="GI152" s="406"/>
      <c r="GJ152" s="406"/>
      <c r="GK152" s="406"/>
      <c r="GL152" s="406"/>
      <c r="GM152" s="406"/>
      <c r="GN152" s="406"/>
      <c r="GO152" s="406"/>
      <c r="GP152" s="406"/>
      <c r="GQ152" s="406"/>
      <c r="GR152" s="406"/>
      <c r="GS152" s="406"/>
      <c r="GT152" s="406"/>
      <c r="GU152" s="406"/>
      <c r="GV152" s="406"/>
      <c r="GW152" s="406"/>
      <c r="GX152" s="406"/>
      <c r="GY152" s="406"/>
      <c r="GZ152" s="406"/>
      <c r="HA152" s="406"/>
      <c r="HB152" s="406"/>
      <c r="HC152" s="406"/>
      <c r="HD152" s="406"/>
      <c r="HE152" s="406"/>
      <c r="HF152" s="406"/>
      <c r="HG152" s="406"/>
      <c r="HH152" s="406"/>
      <c r="HI152" s="406"/>
      <c r="HJ152" s="406"/>
      <c r="HK152" s="406"/>
      <c r="HL152" s="406"/>
      <c r="HM152" s="406"/>
      <c r="HN152" s="406"/>
      <c r="HO152" s="406"/>
      <c r="HP152" s="406"/>
      <c r="HQ152" s="406"/>
      <c r="HR152" s="406"/>
      <c r="HS152" s="406"/>
      <c r="HT152" s="406"/>
      <c r="HU152" s="406"/>
      <c r="HV152" s="406"/>
      <c r="HW152" s="406"/>
      <c r="HX152" s="406"/>
      <c r="HY152" s="406"/>
      <c r="HZ152" s="406"/>
      <c r="IA152" s="406"/>
      <c r="IB152" s="406"/>
      <c r="IC152" s="406"/>
      <c r="ID152" s="406"/>
      <c r="IE152" s="406"/>
      <c r="IF152" s="406"/>
      <c r="IG152" s="406"/>
      <c r="IH152" s="406"/>
      <c r="II152" s="406"/>
      <c r="IJ152" s="406"/>
      <c r="IK152" s="406"/>
      <c r="IL152" s="406"/>
      <c r="IM152" s="406"/>
      <c r="IN152" s="406"/>
      <c r="IO152" s="406"/>
      <c r="IP152" s="406"/>
      <c r="IQ152" s="406"/>
      <c r="IR152" s="406"/>
      <c r="IS152" s="406"/>
    </row>
    <row r="153" spans="1:253" s="502" customFormat="1" ht="17.25">
      <c r="A153" s="20" t="s">
        <v>120</v>
      </c>
      <c r="B153" s="93"/>
      <c r="C153" s="771">
        <f>SUM(C157:C168)</f>
        <v>1</v>
      </c>
      <c r="D153" s="50"/>
      <c r="E153" s="1293" t="s">
        <v>316</v>
      </c>
      <c r="F153" s="874">
        <f>SUMPRODUCT($CE$14:$CE$16,F154:F156)</f>
        <v>8.5981134686946764E-2</v>
      </c>
      <c r="G153" s="874">
        <f>SUMPRODUCT($CE$14:$CE$16,G154:G156)</f>
        <v>0.17032286929961299</v>
      </c>
      <c r="H153" s="927">
        <f>SUMPRODUCT($CE$14:$CE$16,H154:H156)</f>
        <v>0.38945323940758209</v>
      </c>
      <c r="I153" s="872"/>
      <c r="J153" s="884"/>
      <c r="K153" s="884"/>
      <c r="L153" s="888"/>
      <c r="M153" s="888"/>
      <c r="N153" s="888"/>
      <c r="O153" s="888"/>
      <c r="P153" s="888"/>
      <c r="Q153" s="888"/>
      <c r="R153" s="888"/>
      <c r="S153" s="888"/>
      <c r="T153" s="888"/>
      <c r="U153" s="888"/>
      <c r="V153" s="888"/>
      <c r="W153" s="888"/>
      <c r="X153" s="864"/>
      <c r="Y153" s="883">
        <f>Y157*$C$157+Y161*$C$161+Y165*$C$165</f>
        <v>0.30979602132255485</v>
      </c>
      <c r="Z153" s="884">
        <f t="shared" ref="Z153:BW153" si="17">Z157*$C$157+Z161*$C$161+Z165*$C$165</f>
        <v>0.30979602132255485</v>
      </c>
      <c r="AA153" s="884">
        <f t="shared" si="17"/>
        <v>0.30979602132255485</v>
      </c>
      <c r="AB153" s="884">
        <f t="shared" si="17"/>
        <v>0.30979602132255485</v>
      </c>
      <c r="AC153" s="884">
        <f t="shared" si="17"/>
        <v>0.36972911006391557</v>
      </c>
      <c r="AD153" s="885">
        <f t="shared" si="17"/>
        <v>0.45645569143693276</v>
      </c>
      <c r="AE153" s="877"/>
      <c r="AF153" s="883">
        <f t="shared" si="17"/>
        <v>5.8605057499415397E-3</v>
      </c>
      <c r="AG153" s="884">
        <f t="shared" si="17"/>
        <v>5.8605057499415397E-3</v>
      </c>
      <c r="AH153" s="884">
        <f t="shared" si="17"/>
        <v>5.8605057499415397E-3</v>
      </c>
      <c r="AI153" s="884">
        <f t="shared" si="17"/>
        <v>5.8605057499415397E-3</v>
      </c>
      <c r="AJ153" s="884">
        <f t="shared" si="17"/>
        <v>6.9942782550919437E-3</v>
      </c>
      <c r="AK153" s="885">
        <f t="shared" si="17"/>
        <v>8.634911426039435E-3</v>
      </c>
      <c r="AL153" s="877"/>
      <c r="AM153" s="883">
        <f t="shared" si="17"/>
        <v>6.0842622979135003E-4</v>
      </c>
      <c r="AN153" s="884">
        <f t="shared" si="17"/>
        <v>6.0842622979135003E-4</v>
      </c>
      <c r="AO153" s="884">
        <f t="shared" si="17"/>
        <v>6.0842622979135003E-4</v>
      </c>
      <c r="AP153" s="884">
        <f t="shared" si="17"/>
        <v>6.0842622979135003E-4</v>
      </c>
      <c r="AQ153" s="884">
        <f t="shared" si="17"/>
        <v>7.261322709050602E-4</v>
      </c>
      <c r="AR153" s="885">
        <f t="shared" si="17"/>
        <v>8.9645959370995083E-4</v>
      </c>
      <c r="AS153" s="877"/>
      <c r="AT153" s="883">
        <f t="shared" si="17"/>
        <v>1.4509775879787159E-2</v>
      </c>
      <c r="AU153" s="884">
        <f t="shared" si="17"/>
        <v>1.4509775879787159E-2</v>
      </c>
      <c r="AV153" s="884">
        <f t="shared" si="17"/>
        <v>1.4509775879787159E-2</v>
      </c>
      <c r="AW153" s="884">
        <f t="shared" si="17"/>
        <v>1.4509775879787159E-2</v>
      </c>
      <c r="AX153" s="884">
        <f t="shared" si="17"/>
        <v>1.7316834801034919E-2</v>
      </c>
      <c r="AY153" s="885">
        <f t="shared" si="17"/>
        <v>2.1378808396339405E-2</v>
      </c>
      <c r="AZ153" s="877"/>
      <c r="BA153" s="883">
        <f t="shared" si="17"/>
        <v>4.7692181664362463E-12</v>
      </c>
      <c r="BB153" s="884">
        <f t="shared" si="17"/>
        <v>4.7692181664362463E-12</v>
      </c>
      <c r="BC153" s="884">
        <f t="shared" si="17"/>
        <v>4.7692181664362463E-12</v>
      </c>
      <c r="BD153" s="884">
        <f t="shared" si="17"/>
        <v>4.7692181664362463E-12</v>
      </c>
      <c r="BE153" s="884">
        <f t="shared" si="17"/>
        <v>5.6918703502043757E-12</v>
      </c>
      <c r="BF153" s="885">
        <f t="shared" si="17"/>
        <v>7.0270004323510807E-12</v>
      </c>
      <c r="BG153" s="877"/>
      <c r="BH153" s="883">
        <f t="shared" si="17"/>
        <v>3.9240148297239267E-4</v>
      </c>
      <c r="BI153" s="884">
        <f t="shared" si="17"/>
        <v>3.9240148297239267E-4</v>
      </c>
      <c r="BJ153" s="884">
        <f t="shared" si="17"/>
        <v>3.9240148297239267E-4</v>
      </c>
      <c r="BK153" s="884">
        <f t="shared" si="17"/>
        <v>3.9240148297239267E-4</v>
      </c>
      <c r="BL153" s="884">
        <f t="shared" si="17"/>
        <v>4.6831541111396662E-4</v>
      </c>
      <c r="BM153" s="885">
        <f t="shared" si="17"/>
        <v>5.7816717421477356E-4</v>
      </c>
      <c r="BN153" s="877"/>
      <c r="BO153" s="883">
        <f t="shared" si="17"/>
        <v>1.4964058984595857E-4</v>
      </c>
      <c r="BP153" s="884">
        <f t="shared" si="17"/>
        <v>1.4964058984595857E-4</v>
      </c>
      <c r="BQ153" s="884">
        <f t="shared" si="17"/>
        <v>1.4964058984595857E-4</v>
      </c>
      <c r="BR153" s="884">
        <f t="shared" si="17"/>
        <v>1.4964058984595857E-4</v>
      </c>
      <c r="BS153" s="884">
        <f t="shared" si="17"/>
        <v>1.7859003442649311E-4</v>
      </c>
      <c r="BT153" s="885">
        <f t="shared" si="17"/>
        <v>2.2048152398332479E-4</v>
      </c>
      <c r="BU153" s="877"/>
      <c r="BV153" s="883">
        <f t="shared" si="17"/>
        <v>0.98575764808847532</v>
      </c>
      <c r="BW153" s="885">
        <f t="shared" si="17"/>
        <v>1.2169847507265126</v>
      </c>
      <c r="BX153" s="406"/>
      <c r="BY153" s="406"/>
      <c r="BZ153" s="406"/>
      <c r="CA153" s="406"/>
      <c r="CB153" s="406"/>
      <c r="CC153" s="406"/>
      <c r="CD153" s="406"/>
      <c r="CE153" s="406"/>
      <c r="CF153" s="406"/>
      <c r="CG153" s="406"/>
      <c r="CH153" s="406"/>
      <c r="CI153" s="406"/>
      <c r="CJ153" s="406"/>
      <c r="CK153" s="406"/>
      <c r="CL153" s="406"/>
      <c r="CM153" s="406"/>
      <c r="CN153" s="406"/>
      <c r="CO153" s="406"/>
      <c r="CP153" s="406"/>
      <c r="CQ153" s="406"/>
      <c r="CR153" s="406"/>
      <c r="CS153" s="406"/>
      <c r="CT153" s="406"/>
      <c r="CU153" s="406"/>
      <c r="CV153" s="406"/>
      <c r="CW153" s="406"/>
      <c r="CX153" s="406"/>
      <c r="CY153" s="406"/>
      <c r="CZ153" s="406"/>
      <c r="DA153" s="406"/>
      <c r="DB153" s="406"/>
      <c r="DC153" s="406"/>
      <c r="DD153" s="406"/>
      <c r="DE153" s="406"/>
      <c r="DF153" s="406"/>
      <c r="DG153" s="406"/>
      <c r="DH153" s="406"/>
      <c r="DI153" s="406"/>
      <c r="DJ153" s="406"/>
      <c r="DK153" s="406"/>
      <c r="DL153" s="406"/>
      <c r="DM153" s="406"/>
      <c r="DN153" s="406"/>
      <c r="DO153" s="406"/>
      <c r="DP153" s="406"/>
      <c r="DQ153" s="406"/>
      <c r="DR153" s="406"/>
      <c r="DS153" s="406"/>
      <c r="DT153" s="406"/>
      <c r="DU153" s="406"/>
      <c r="DV153" s="406"/>
      <c r="DW153" s="406"/>
      <c r="DX153" s="406"/>
      <c r="DY153" s="406"/>
      <c r="DZ153" s="406"/>
      <c r="EA153" s="406"/>
      <c r="EB153" s="406"/>
      <c r="EC153" s="406"/>
      <c r="ED153" s="406"/>
      <c r="EE153" s="406"/>
      <c r="EF153" s="406"/>
      <c r="EG153" s="406"/>
      <c r="EH153" s="406"/>
      <c r="EI153" s="406"/>
      <c r="EJ153" s="406"/>
      <c r="EK153" s="406"/>
      <c r="EL153" s="406"/>
      <c r="EM153" s="406"/>
      <c r="EN153" s="406"/>
      <c r="EO153" s="406"/>
      <c r="EP153" s="406"/>
      <c r="EQ153" s="406"/>
      <c r="ER153" s="406"/>
      <c r="ES153" s="406"/>
      <c r="ET153" s="406"/>
      <c r="EU153" s="406"/>
      <c r="EV153" s="406"/>
      <c r="EW153" s="406"/>
      <c r="EX153" s="406"/>
      <c r="EY153" s="406"/>
      <c r="EZ153" s="406"/>
      <c r="FA153" s="406"/>
      <c r="FB153" s="406"/>
      <c r="FC153" s="406"/>
      <c r="FD153" s="406"/>
      <c r="FE153" s="406"/>
      <c r="FF153" s="406"/>
      <c r="FG153" s="406"/>
      <c r="FH153" s="406"/>
      <c r="FI153" s="406"/>
      <c r="FJ153" s="406"/>
      <c r="FK153" s="406"/>
      <c r="FL153" s="406"/>
      <c r="FM153" s="406"/>
      <c r="FN153" s="406"/>
      <c r="FO153" s="406"/>
      <c r="FP153" s="406"/>
      <c r="FQ153" s="406"/>
      <c r="FR153" s="406"/>
      <c r="FS153" s="406"/>
      <c r="FT153" s="406"/>
      <c r="FU153" s="406"/>
      <c r="FV153" s="406"/>
      <c r="FW153" s="406"/>
      <c r="FX153" s="406"/>
      <c r="FY153" s="406"/>
      <c r="FZ153" s="406"/>
      <c r="GA153" s="406"/>
      <c r="GB153" s="406"/>
      <c r="GC153" s="406"/>
      <c r="GD153" s="406"/>
      <c r="GE153" s="406"/>
      <c r="GF153" s="406"/>
      <c r="GG153" s="406"/>
      <c r="GH153" s="406"/>
      <c r="GI153" s="406"/>
      <c r="GJ153" s="406"/>
      <c r="GK153" s="406"/>
      <c r="GL153" s="406"/>
      <c r="GM153" s="406"/>
      <c r="GN153" s="406"/>
      <c r="GO153" s="406"/>
      <c r="GP153" s="406"/>
      <c r="GQ153" s="406"/>
      <c r="GR153" s="406"/>
      <c r="GS153" s="406"/>
      <c r="GT153" s="406"/>
      <c r="GU153" s="406"/>
      <c r="GV153" s="406"/>
      <c r="GW153" s="406"/>
      <c r="GX153" s="406"/>
      <c r="GY153" s="406"/>
      <c r="GZ153" s="406"/>
      <c r="HA153" s="406"/>
      <c r="HB153" s="406"/>
      <c r="HC153" s="406"/>
      <c r="HD153" s="406"/>
      <c r="HE153" s="406"/>
      <c r="HF153" s="406"/>
      <c r="HG153" s="406"/>
      <c r="HH153" s="406"/>
      <c r="HI153" s="406"/>
      <c r="HJ153" s="406"/>
      <c r="HK153" s="406"/>
      <c r="HL153" s="406"/>
      <c r="HM153" s="406"/>
      <c r="HN153" s="406"/>
      <c r="HO153" s="406"/>
      <c r="HP153" s="406"/>
      <c r="HQ153" s="406"/>
      <c r="HR153" s="406"/>
      <c r="HS153" s="406"/>
      <c r="HT153" s="406"/>
      <c r="HU153" s="406"/>
      <c r="HV153" s="406"/>
      <c r="HW153" s="406"/>
      <c r="HX153" s="406"/>
      <c r="HY153" s="406"/>
      <c r="HZ153" s="406"/>
      <c r="IA153" s="406"/>
      <c r="IB153" s="406"/>
      <c r="IC153" s="406"/>
      <c r="ID153" s="406"/>
      <c r="IE153" s="406"/>
      <c r="IF153" s="406"/>
      <c r="IG153" s="406"/>
      <c r="IH153" s="406"/>
      <c r="II153" s="406"/>
      <c r="IJ153" s="406"/>
      <c r="IK153" s="406"/>
      <c r="IL153" s="406"/>
      <c r="IM153" s="406"/>
      <c r="IN153" s="406"/>
      <c r="IO153" s="406"/>
      <c r="IP153" s="406"/>
      <c r="IQ153" s="406"/>
      <c r="IR153" s="406"/>
      <c r="IS153" s="406"/>
    </row>
    <row r="154" spans="1:253" s="406" customFormat="1" ht="17.25">
      <c r="A154" s="499"/>
      <c r="B154" s="55"/>
      <c r="C154" s="917"/>
      <c r="D154" s="5"/>
      <c r="E154" s="1294" t="s">
        <v>317</v>
      </c>
      <c r="F154" s="877">
        <f t="shared" ref="F154:W156" si="18">F158*$C$157+F162*$C$161+$C$165*F166</f>
        <v>3.9989486962957094E-2</v>
      </c>
      <c r="G154" s="877">
        <f t="shared" si="18"/>
        <v>0.11119316569947525</v>
      </c>
      <c r="H154" s="878">
        <f t="shared" si="18"/>
        <v>0.31888431280519786</v>
      </c>
      <c r="I154" s="877">
        <f t="shared" si="18"/>
        <v>2.0413163707473383E-2</v>
      </c>
      <c r="J154" s="877">
        <f t="shared" si="18"/>
        <v>0.03</v>
      </c>
      <c r="K154" s="877">
        <f t="shared" si="18"/>
        <v>0</v>
      </c>
      <c r="L154" s="877">
        <f t="shared" si="18"/>
        <v>0</v>
      </c>
      <c r="M154" s="877"/>
      <c r="N154" s="877">
        <f t="shared" si="18"/>
        <v>1.1590515029044762E-2</v>
      </c>
      <c r="O154" s="877">
        <f t="shared" si="18"/>
        <v>0</v>
      </c>
      <c r="P154" s="877">
        <f t="shared" si="18"/>
        <v>9.1999999999999998E-3</v>
      </c>
      <c r="Q154" s="877">
        <f t="shared" si="18"/>
        <v>0</v>
      </c>
      <c r="R154" s="877">
        <f t="shared" si="18"/>
        <v>3.9989486962957094E-2</v>
      </c>
      <c r="S154" s="877">
        <f t="shared" si="18"/>
        <v>0</v>
      </c>
      <c r="T154" s="877">
        <f t="shared" si="18"/>
        <v>0</v>
      </c>
      <c r="U154" s="877">
        <f t="shared" si="18"/>
        <v>0.11119316569947525</v>
      </c>
      <c r="V154" s="877">
        <f t="shared" si="18"/>
        <v>4.9999999999999996E-2</v>
      </c>
      <c r="W154" s="877">
        <f t="shared" si="18"/>
        <v>0.10600000000000001</v>
      </c>
      <c r="X154" s="864"/>
      <c r="Y154" s="879"/>
      <c r="Z154" s="877"/>
      <c r="AA154" s="877"/>
      <c r="AB154" s="877"/>
      <c r="AC154" s="877"/>
      <c r="AD154" s="886"/>
      <c r="AE154" s="877"/>
      <c r="AF154" s="879"/>
      <c r="AG154" s="877"/>
      <c r="AH154" s="877"/>
      <c r="AI154" s="877"/>
      <c r="AJ154" s="877"/>
      <c r="AK154" s="886"/>
      <c r="AL154" s="877"/>
      <c r="AM154" s="879"/>
      <c r="AN154" s="877"/>
      <c r="AO154" s="877"/>
      <c r="AP154" s="877"/>
      <c r="AQ154" s="877"/>
      <c r="AR154" s="886"/>
      <c r="AS154" s="877"/>
      <c r="AT154" s="879"/>
      <c r="AU154" s="877"/>
      <c r="AV154" s="877"/>
      <c r="AW154" s="877"/>
      <c r="AX154" s="877"/>
      <c r="AY154" s="886"/>
      <c r="AZ154" s="877"/>
      <c r="BA154" s="879"/>
      <c r="BB154" s="877"/>
      <c r="BC154" s="877"/>
      <c r="BD154" s="877"/>
      <c r="BE154" s="877"/>
      <c r="BF154" s="886"/>
      <c r="BG154" s="877"/>
      <c r="BH154" s="879"/>
      <c r="BI154" s="877"/>
      <c r="BJ154" s="877"/>
      <c r="BK154" s="877"/>
      <c r="BL154" s="877"/>
      <c r="BM154" s="886"/>
      <c r="BN154" s="877"/>
      <c r="BO154" s="879"/>
      <c r="BP154" s="877"/>
      <c r="BQ154" s="877"/>
      <c r="BR154" s="877"/>
      <c r="BS154" s="877"/>
      <c r="BT154" s="886"/>
      <c r="BU154" s="877"/>
      <c r="BV154" s="879"/>
      <c r="BW154" s="886"/>
    </row>
    <row r="155" spans="1:253" s="406" customFormat="1" ht="17.25">
      <c r="A155" s="499"/>
      <c r="B155" s="55"/>
      <c r="C155" s="595"/>
      <c r="D155" s="50"/>
      <c r="E155" s="1294" t="s">
        <v>367</v>
      </c>
      <c r="F155" s="877">
        <f t="shared" si="18"/>
        <v>0</v>
      </c>
      <c r="G155" s="877">
        <f t="shared" si="18"/>
        <v>3.7824719450867482E-5</v>
      </c>
      <c r="H155" s="878">
        <f t="shared" si="18"/>
        <v>4.5142283626766295E-5</v>
      </c>
      <c r="I155" s="877">
        <f t="shared" si="18"/>
        <v>3.2690512121747679E-5</v>
      </c>
      <c r="J155" s="877">
        <f t="shared" si="18"/>
        <v>0</v>
      </c>
      <c r="K155" s="877">
        <f t="shared" si="18"/>
        <v>0</v>
      </c>
      <c r="L155" s="877">
        <f t="shared" si="18"/>
        <v>0</v>
      </c>
      <c r="M155" s="877"/>
      <c r="N155" s="877">
        <f t="shared" si="18"/>
        <v>5.1342073291198032E-6</v>
      </c>
      <c r="O155" s="877">
        <f t="shared" si="18"/>
        <v>0</v>
      </c>
      <c r="P155" s="877">
        <f t="shared" si="18"/>
        <v>0</v>
      </c>
      <c r="Q155" s="877">
        <f t="shared" si="18"/>
        <v>0</v>
      </c>
      <c r="R155" s="877">
        <f t="shared" si="18"/>
        <v>0</v>
      </c>
      <c r="S155" s="877">
        <f t="shared" si="18"/>
        <v>0</v>
      </c>
      <c r="T155" s="877">
        <f t="shared" si="18"/>
        <v>0</v>
      </c>
      <c r="U155" s="877">
        <f t="shared" si="18"/>
        <v>3.7824719450867482E-5</v>
      </c>
      <c r="V155" s="877">
        <f t="shared" si="18"/>
        <v>0</v>
      </c>
      <c r="W155" s="877">
        <f t="shared" si="18"/>
        <v>0</v>
      </c>
      <c r="X155" s="864"/>
      <c r="Y155" s="879"/>
      <c r="Z155" s="877"/>
      <c r="AA155" s="877"/>
      <c r="AB155" s="877"/>
      <c r="AC155" s="877"/>
      <c r="AD155" s="886"/>
      <c r="AE155" s="877"/>
      <c r="AF155" s="879"/>
      <c r="AG155" s="877"/>
      <c r="AH155" s="877"/>
      <c r="AI155" s="877"/>
      <c r="AJ155" s="877"/>
      <c r="AK155" s="886"/>
      <c r="AL155" s="877"/>
      <c r="AM155" s="879"/>
      <c r="AN155" s="877"/>
      <c r="AO155" s="877"/>
      <c r="AP155" s="877"/>
      <c r="AQ155" s="877"/>
      <c r="AR155" s="886"/>
      <c r="AS155" s="877"/>
      <c r="AT155" s="879"/>
      <c r="AU155" s="877"/>
      <c r="AV155" s="877"/>
      <c r="AW155" s="877"/>
      <c r="AX155" s="877"/>
      <c r="AY155" s="886"/>
      <c r="AZ155" s="877"/>
      <c r="BA155" s="879"/>
      <c r="BB155" s="877"/>
      <c r="BC155" s="877"/>
      <c r="BD155" s="877"/>
      <c r="BE155" s="877"/>
      <c r="BF155" s="886"/>
      <c r="BG155" s="877"/>
      <c r="BH155" s="879"/>
      <c r="BI155" s="877"/>
      <c r="BJ155" s="877"/>
      <c r="BK155" s="877"/>
      <c r="BL155" s="877"/>
      <c r="BM155" s="886"/>
      <c r="BN155" s="877"/>
      <c r="BO155" s="879"/>
      <c r="BP155" s="877"/>
      <c r="BQ155" s="877"/>
      <c r="BR155" s="877"/>
      <c r="BS155" s="877"/>
      <c r="BT155" s="886"/>
      <c r="BU155" s="877"/>
      <c r="BV155" s="879"/>
      <c r="BW155" s="886"/>
    </row>
    <row r="156" spans="1:253" s="406" customFormat="1" ht="17.25">
      <c r="A156" s="18"/>
      <c r="B156" s="360"/>
      <c r="C156" s="83"/>
      <c r="D156" s="54"/>
      <c r="E156" s="1295" t="s">
        <v>320</v>
      </c>
      <c r="F156" s="877">
        <f t="shared" si="18"/>
        <v>1.6846757408054823E-4</v>
      </c>
      <c r="G156" s="877">
        <f t="shared" si="18"/>
        <v>2.1285141456030886E-4</v>
      </c>
      <c r="H156" s="878">
        <f t="shared" si="18"/>
        <v>2.5402961518117783E-4</v>
      </c>
      <c r="I156" s="877">
        <f t="shared" si="18"/>
        <v>4.407239882197285E-5</v>
      </c>
      <c r="J156" s="877">
        <f t="shared" si="18"/>
        <v>0</v>
      </c>
      <c r="K156" s="877">
        <f t="shared" si="18"/>
        <v>1.5315234007322567E-4</v>
      </c>
      <c r="L156" s="877">
        <f t="shared" si="18"/>
        <v>1.5315234007322568E-5</v>
      </c>
      <c r="M156" s="877"/>
      <c r="N156" s="877">
        <f t="shared" si="18"/>
        <v>3.1144165778782028E-7</v>
      </c>
      <c r="O156" s="877">
        <f t="shared" si="18"/>
        <v>0</v>
      </c>
      <c r="P156" s="877">
        <f t="shared" si="18"/>
        <v>0</v>
      </c>
      <c r="Q156" s="877">
        <f t="shared" si="18"/>
        <v>0</v>
      </c>
      <c r="R156" s="877">
        <f t="shared" si="18"/>
        <v>0</v>
      </c>
      <c r="S156" s="877">
        <f t="shared" si="18"/>
        <v>0</v>
      </c>
      <c r="T156" s="877">
        <f t="shared" si="18"/>
        <v>0</v>
      </c>
      <c r="U156" s="877">
        <f t="shared" si="18"/>
        <v>2.1285141456030886E-4</v>
      </c>
      <c r="V156" s="877">
        <f t="shared" si="18"/>
        <v>0</v>
      </c>
      <c r="W156" s="877">
        <f t="shared" si="18"/>
        <v>0</v>
      </c>
      <c r="X156" s="864"/>
      <c r="Y156" s="879"/>
      <c r="Z156" s="877"/>
      <c r="AA156" s="877"/>
      <c r="AB156" s="877"/>
      <c r="AC156" s="877"/>
      <c r="AD156" s="886"/>
      <c r="AE156" s="877"/>
      <c r="AF156" s="879"/>
      <c r="AG156" s="877"/>
      <c r="AH156" s="877"/>
      <c r="AI156" s="877"/>
      <c r="AJ156" s="877"/>
      <c r="AK156" s="886"/>
      <c r="AL156" s="877"/>
      <c r="AM156" s="879"/>
      <c r="AN156" s="877"/>
      <c r="AO156" s="877"/>
      <c r="AP156" s="877"/>
      <c r="AQ156" s="877"/>
      <c r="AR156" s="886"/>
      <c r="AS156" s="877"/>
      <c r="AT156" s="879"/>
      <c r="AU156" s="877"/>
      <c r="AV156" s="877"/>
      <c r="AW156" s="877"/>
      <c r="AX156" s="877"/>
      <c r="AY156" s="886"/>
      <c r="AZ156" s="877"/>
      <c r="BA156" s="879"/>
      <c r="BB156" s="877"/>
      <c r="BC156" s="877"/>
      <c r="BD156" s="877"/>
      <c r="BE156" s="877"/>
      <c r="BF156" s="886"/>
      <c r="BG156" s="877"/>
      <c r="BH156" s="879"/>
      <c r="BI156" s="877"/>
      <c r="BJ156" s="877"/>
      <c r="BK156" s="877"/>
      <c r="BL156" s="877"/>
      <c r="BM156" s="886"/>
      <c r="BN156" s="877"/>
      <c r="BO156" s="879"/>
      <c r="BP156" s="877"/>
      <c r="BQ156" s="877"/>
      <c r="BR156" s="877"/>
      <c r="BS156" s="877"/>
      <c r="BT156" s="886"/>
      <c r="BU156" s="877"/>
      <c r="BV156" s="879"/>
      <c r="BW156" s="886"/>
    </row>
    <row r="157" spans="1:253" s="502" customFormat="1" ht="17.25">
      <c r="A157" s="20" t="s">
        <v>122</v>
      </c>
      <c r="B157" s="93" t="s">
        <v>121</v>
      </c>
      <c r="C157" s="87">
        <f>'Input data plant-based products'!D62</f>
        <v>0.35</v>
      </c>
      <c r="D157" s="54"/>
      <c r="E157" s="1293" t="s">
        <v>316</v>
      </c>
      <c r="F157" s="872">
        <f>SUMPRODUCT($CE$14:$CE$16,F158:F160)</f>
        <v>0.10013188052152643</v>
      </c>
      <c r="G157" s="872">
        <f>SUMPRODUCT($CE$14:$CE$16,G158:G160)</f>
        <v>0.20107165195795279</v>
      </c>
      <c r="H157" s="873">
        <f>SUMPRODUCT($CE$14:$CE$16,H158:H160)</f>
        <v>0.33544772879574269</v>
      </c>
      <c r="I157" s="888"/>
      <c r="J157" s="888"/>
      <c r="K157" s="888"/>
      <c r="L157" s="888"/>
      <c r="M157" s="888"/>
      <c r="N157" s="888"/>
      <c r="O157" s="888"/>
      <c r="P157" s="888"/>
      <c r="Q157" s="888"/>
      <c r="R157" s="888"/>
      <c r="S157" s="888"/>
      <c r="T157" s="888"/>
      <c r="U157" s="888"/>
      <c r="V157" s="888"/>
      <c r="W157" s="888"/>
      <c r="X157" s="864"/>
      <c r="Y157" s="879">
        <f>1/'Input data plant-based products'!E62*10^4</f>
        <v>0.34161172411437157</v>
      </c>
      <c r="Z157" s="877">
        <f>$Y157*'Input data plant-based products'!Z62</f>
        <v>0.34161172411437157</v>
      </c>
      <c r="AA157" s="877">
        <f>$Y157*'Input data plant-based products'!AA62</f>
        <v>0.34161172411437157</v>
      </c>
      <c r="AB157" s="877">
        <f>$Y157*'Input data plant-based products'!AB62</f>
        <v>0.34161172411437157</v>
      </c>
      <c r="AC157" s="877">
        <f>$Y157*'Input data plant-based products'!AC62</f>
        <v>0.40769987362975479</v>
      </c>
      <c r="AD157" s="886">
        <f>$Y157*'Input data plant-based products'!AD62</f>
        <v>0.50333317732068494</v>
      </c>
      <c r="AE157" s="877"/>
      <c r="AF157" s="879">
        <f>SUM('Input data plant-based products'!F62,'Input data plant-based products'!Q62)/'Input data plant-based products'!E62</f>
        <v>7.5154579305161751E-3</v>
      </c>
      <c r="AG157" s="877">
        <f>$AF157*'Input data plant-based products'!Z62</f>
        <v>7.5154579305161751E-3</v>
      </c>
      <c r="AH157" s="877">
        <f>$AF157*'Input data plant-based products'!AA62</f>
        <v>7.5154579305161751E-3</v>
      </c>
      <c r="AI157" s="877">
        <f>$AF157*'Input data plant-based products'!AB62</f>
        <v>7.5154579305161751E-3</v>
      </c>
      <c r="AJ157" s="877">
        <f>$AF157*'Input data plant-based products'!AC62</f>
        <v>8.9693972198546072E-3</v>
      </c>
      <c r="AK157" s="886">
        <f>$AF157*'Input data plant-based products'!AD62</f>
        <v>1.1073329901055069E-2</v>
      </c>
      <c r="AL157" s="877"/>
      <c r="AM157" s="879">
        <f>'Input data plant-based products'!R62/'Input data plant-based products'!E62</f>
        <v>1.5E-3</v>
      </c>
      <c r="AN157" s="877">
        <f>$AM157*'Input data plant-based products'!Z62</f>
        <v>1.5E-3</v>
      </c>
      <c r="AO157" s="877">
        <f>$AM157*'Input data plant-based products'!AA62</f>
        <v>1.5E-3</v>
      </c>
      <c r="AP157" s="877">
        <f>$AM157*'Input data plant-based products'!AB62</f>
        <v>1.5E-3</v>
      </c>
      <c r="AQ157" s="877">
        <f>$AM157*'Input data plant-based products'!AC62</f>
        <v>1.7901897601145722E-3</v>
      </c>
      <c r="AR157" s="886">
        <f>$AM157*'Input data plant-based products'!AD62</f>
        <v>2.2101108149562617E-3</v>
      </c>
      <c r="AS157" s="877"/>
      <c r="AT157" s="879">
        <f>'Input data plant-based products'!S62</f>
        <v>2.9201394321614567E-2</v>
      </c>
      <c r="AU157" s="877">
        <f>$AT157*'Input data plant-based products'!Z62</f>
        <v>2.9201394321614567E-2</v>
      </c>
      <c r="AV157" s="877">
        <f>$AT157*'Input data plant-based products'!AA62</f>
        <v>2.9201394321614567E-2</v>
      </c>
      <c r="AW157" s="877">
        <f>$AT157*'Input data plant-based products'!AB62</f>
        <v>2.9201394321614567E-2</v>
      </c>
      <c r="AX157" s="877">
        <f>$AT157*'Input data plant-based products'!AC62</f>
        <v>3.4850691397081475E-2</v>
      </c>
      <c r="AY157" s="886">
        <f>$AT157*'Input data plant-based products'!AD62</f>
        <v>4.302554493466848E-2</v>
      </c>
      <c r="AZ157" s="877"/>
      <c r="BA157" s="879">
        <f>((SUM('Input data plant-based products'!U62:Y62)*Y157)/('Common input data'!$B$192/10^6))/$BB$3</f>
        <v>2.4165254905438556E-12</v>
      </c>
      <c r="BB157" s="877">
        <f>$BA157*'Input data plant-based products'!Z62</f>
        <v>2.4165254905438556E-12</v>
      </c>
      <c r="BC157" s="877">
        <f>$BA157*'Input data plant-based products'!AA62</f>
        <v>2.4165254905438556E-12</v>
      </c>
      <c r="BD157" s="877">
        <f>$BA157*'Input data plant-based products'!AB62</f>
        <v>2.4165254905438556E-12</v>
      </c>
      <c r="BE157" s="877">
        <f>$BA157*'Input data plant-based products'!AC62</f>
        <v>2.8840261254849689E-12</v>
      </c>
      <c r="BF157" s="886">
        <f>$BA157*'Input data plant-based products'!AD62</f>
        <v>3.5605260808456403E-12</v>
      </c>
      <c r="BG157" s="877"/>
      <c r="BH157" s="879">
        <f>'Input data plant-based products'!T62/'Input data plant-based products'!E62</f>
        <v>9.821337068288184E-5</v>
      </c>
      <c r="BI157" s="877">
        <f>$BH157*'Input data plant-based products'!Z62</f>
        <v>9.821337068288184E-5</v>
      </c>
      <c r="BJ157" s="877">
        <f>$BH157*'Input data plant-based products'!AA62</f>
        <v>9.821337068288184E-5</v>
      </c>
      <c r="BK157" s="877">
        <f>$BH157*'Input data plant-based products'!AB62</f>
        <v>9.821337068288184E-5</v>
      </c>
      <c r="BL157" s="877">
        <f>$BH157*'Input data plant-based products'!AC62</f>
        <v>1.1721371366855453E-4</v>
      </c>
      <c r="BM157" s="886">
        <f>$BH157*'Input data plant-based products'!AD62</f>
        <v>1.4470828847969693E-4</v>
      </c>
      <c r="BN157" s="877"/>
      <c r="BO157" s="879">
        <f>('Input data plant-based products'!F62/'Input data plant-based products'!E62*'Common input data'!$B$195+'Input data plant-based products'!G62/'Input data plant-based products'!E62*'Common input data'!$B$196)/'Common input data'!$B$198</f>
        <v>1.9189769717334478E-4</v>
      </c>
      <c r="BP157" s="877">
        <f>$BO157*'Input data plant-based products'!Z62</f>
        <v>1.9189769717334478E-4</v>
      </c>
      <c r="BQ157" s="877">
        <f>$BO157*'Input data plant-based products'!AA62</f>
        <v>1.9189769717334478E-4</v>
      </c>
      <c r="BR157" s="877">
        <f>$BO157*'Input data plant-based products'!AB62</f>
        <v>1.9189769717334478E-4</v>
      </c>
      <c r="BS157" s="877">
        <f>$BO157*'Input data plant-based products'!AC62</f>
        <v>2.2902219497952594E-4</v>
      </c>
      <c r="BT157" s="886">
        <f>$BO157*'Input data plant-based products'!AD62</f>
        <v>2.827434505920073E-4</v>
      </c>
      <c r="BU157" s="877"/>
      <c r="BV157" s="879">
        <f>'Common input data'!$C$202*'Input data plant-based products'!AC62</f>
        <v>0.17090344909893782</v>
      </c>
      <c r="BW157" s="886">
        <f>'Common input data'!$C$202*'Input data plant-based products'!AD62</f>
        <v>0.21099191246782442</v>
      </c>
      <c r="BX157" s="406"/>
      <c r="BY157" s="406"/>
      <c r="BZ157" s="406"/>
      <c r="CA157" s="406"/>
      <c r="CB157" s="406"/>
      <c r="CC157" s="406"/>
      <c r="CD157" s="406"/>
      <c r="CE157" s="406"/>
      <c r="CF157" s="406"/>
      <c r="CG157" s="406"/>
      <c r="CH157" s="406"/>
      <c r="CI157" s="406"/>
      <c r="CJ157" s="406"/>
      <c r="CK157" s="406"/>
      <c r="CL157" s="406"/>
      <c r="CM157" s="406"/>
      <c r="CN157" s="406"/>
      <c r="CO157" s="406"/>
      <c r="CP157" s="406"/>
      <c r="CQ157" s="406"/>
      <c r="CR157" s="406"/>
      <c r="CS157" s="406"/>
      <c r="CT157" s="406"/>
      <c r="CU157" s="406"/>
      <c r="CV157" s="406"/>
      <c r="CW157" s="406"/>
      <c r="CX157" s="406"/>
      <c r="CY157" s="406"/>
      <c r="CZ157" s="406"/>
      <c r="DA157" s="406"/>
      <c r="DB157" s="406"/>
      <c r="DC157" s="406"/>
      <c r="DD157" s="406"/>
      <c r="DE157" s="406"/>
      <c r="DF157" s="406"/>
      <c r="DG157" s="406"/>
      <c r="DH157" s="406"/>
      <c r="DI157" s="406"/>
      <c r="DJ157" s="406"/>
      <c r="DK157" s="406"/>
      <c r="DL157" s="406"/>
      <c r="DM157" s="406"/>
      <c r="DN157" s="406"/>
      <c r="DO157" s="406"/>
      <c r="DP157" s="406"/>
      <c r="DQ157" s="406"/>
      <c r="DR157" s="406"/>
      <c r="DS157" s="406"/>
      <c r="DT157" s="406"/>
      <c r="DU157" s="406"/>
      <c r="DV157" s="406"/>
      <c r="DW157" s="406"/>
      <c r="DX157" s="406"/>
      <c r="DY157" s="406"/>
      <c r="DZ157" s="406"/>
      <c r="EA157" s="406"/>
      <c r="EB157" s="406"/>
      <c r="EC157" s="406"/>
      <c r="ED157" s="406"/>
      <c r="EE157" s="406"/>
      <c r="EF157" s="406"/>
      <c r="EG157" s="406"/>
      <c r="EH157" s="406"/>
      <c r="EI157" s="406"/>
      <c r="EJ157" s="406"/>
      <c r="EK157" s="406"/>
      <c r="EL157" s="406"/>
      <c r="EM157" s="406"/>
      <c r="EN157" s="406"/>
      <c r="EO157" s="406"/>
      <c r="EP157" s="406"/>
      <c r="EQ157" s="406"/>
      <c r="ER157" s="406"/>
      <c r="ES157" s="406"/>
      <c r="ET157" s="406"/>
      <c r="EU157" s="406"/>
      <c r="EV157" s="406"/>
      <c r="EW157" s="406"/>
      <c r="EX157" s="406"/>
      <c r="EY157" s="406"/>
      <c r="EZ157" s="406"/>
      <c r="FA157" s="406"/>
      <c r="FB157" s="406"/>
      <c r="FC157" s="406"/>
      <c r="FD157" s="406"/>
      <c r="FE157" s="406"/>
      <c r="FF157" s="406"/>
      <c r="FG157" s="406"/>
      <c r="FH157" s="406"/>
      <c r="FI157" s="406"/>
      <c r="FJ157" s="406"/>
      <c r="FK157" s="406"/>
      <c r="FL157" s="406"/>
      <c r="FM157" s="406"/>
      <c r="FN157" s="406"/>
      <c r="FO157" s="406"/>
      <c r="FP157" s="406"/>
      <c r="FQ157" s="406"/>
      <c r="FR157" s="406"/>
      <c r="FS157" s="406"/>
      <c r="FT157" s="406"/>
      <c r="FU157" s="406"/>
      <c r="FV157" s="406"/>
      <c r="FW157" s="406"/>
      <c r="FX157" s="406"/>
      <c r="FY157" s="406"/>
      <c r="FZ157" s="406"/>
      <c r="GA157" s="406"/>
      <c r="GB157" s="406"/>
      <c r="GC157" s="406"/>
      <c r="GD157" s="406"/>
      <c r="GE157" s="406"/>
      <c r="GF157" s="406"/>
      <c r="GG157" s="406"/>
      <c r="GH157" s="406"/>
      <c r="GI157" s="406"/>
      <c r="GJ157" s="406"/>
      <c r="GK157" s="406"/>
      <c r="GL157" s="406"/>
      <c r="GM157" s="406"/>
      <c r="GN157" s="406"/>
      <c r="GO157" s="406"/>
      <c r="GP157" s="406"/>
      <c r="GQ157" s="406"/>
      <c r="GR157" s="406"/>
      <c r="GS157" s="406"/>
      <c r="GT157" s="406"/>
      <c r="GU157" s="406"/>
      <c r="GV157" s="406"/>
      <c r="GW157" s="406"/>
      <c r="GX157" s="406"/>
      <c r="GY157" s="406"/>
      <c r="GZ157" s="406"/>
      <c r="HA157" s="406"/>
      <c r="HB157" s="406"/>
      <c r="HC157" s="406"/>
      <c r="HD157" s="406"/>
      <c r="HE157" s="406"/>
      <c r="HF157" s="406"/>
      <c r="HG157" s="406"/>
      <c r="HH157" s="406"/>
      <c r="HI157" s="406"/>
      <c r="HJ157" s="406"/>
      <c r="HK157" s="406"/>
      <c r="HL157" s="406"/>
      <c r="HM157" s="406"/>
      <c r="HN157" s="406"/>
      <c r="HO157" s="406"/>
      <c r="HP157" s="406"/>
      <c r="HQ157" s="406"/>
      <c r="HR157" s="406"/>
      <c r="HS157" s="406"/>
      <c r="HT157" s="406"/>
      <c r="HU157" s="406"/>
      <c r="HV157" s="406"/>
      <c r="HW157" s="406"/>
      <c r="HX157" s="406"/>
      <c r="HY157" s="406"/>
      <c r="HZ157" s="406"/>
      <c r="IA157" s="406"/>
      <c r="IB157" s="406"/>
      <c r="IC157" s="406"/>
      <c r="ID157" s="406"/>
      <c r="IE157" s="406"/>
      <c r="IF157" s="406"/>
      <c r="IG157" s="406"/>
      <c r="IH157" s="406"/>
      <c r="II157" s="406"/>
      <c r="IJ157" s="406"/>
      <c r="IK157" s="406"/>
      <c r="IL157" s="406"/>
      <c r="IM157" s="406"/>
      <c r="IN157" s="406"/>
      <c r="IO157" s="406"/>
      <c r="IP157" s="406"/>
      <c r="IQ157" s="406"/>
      <c r="IR157" s="406"/>
      <c r="IS157" s="406"/>
    </row>
    <row r="158" spans="1:253" s="406" customFormat="1" ht="17.25">
      <c r="A158" s="499"/>
      <c r="B158" s="55"/>
      <c r="C158" s="917"/>
      <c r="D158" s="5"/>
      <c r="E158" s="1294" t="s">
        <v>317</v>
      </c>
      <c r="F158" s="877">
        <f>IF(AND($G$2="No",$G$3="No"),SUM(K158:L158),IF(AND($G$2="Yes", $G$3="No"), SUM(K158:L158)+S158, IF(AND($G$2="No", $G$3="Yes"),SUM(K158:L158)+R158, SUM(K158:L158)+S158+R158)))</f>
        <v>3.9989486962957101E-2</v>
      </c>
      <c r="G158" s="877">
        <f>IF(AND($G$2="No",$G$3="No"),SUM(I158:Q158),IF(AND($G$2="Yes", $G$3="No"), SUM(I158:Q158)+S158, IF(AND($G$2="No", $G$3="Yes"),SUM(I158:Q158)+R158, SUM(I158:Q158)+S158+R158)))</f>
        <v>0.12634729243472034</v>
      </c>
      <c r="H158" s="878">
        <f>SUM(U158:W158)/(1-'Common input data'!$B$140)</f>
        <v>0.24626720662933568</v>
      </c>
      <c r="I158" s="877">
        <f>('Input data plant-based products'!$F$62*('Common input data'!$B$93*'Common input data'!B86+'Common input data'!$B$94*'Common input data'!C86))/'Input data plant-based products'!$E$62</f>
        <v>2.3576957591463988E-2</v>
      </c>
      <c r="J158" s="877">
        <f>'Common input data'!$B$98</f>
        <v>0.03</v>
      </c>
      <c r="K158" s="877">
        <v>0</v>
      </c>
      <c r="L158" s="877">
        <v>0</v>
      </c>
      <c r="M158" s="877"/>
      <c r="N158" s="877">
        <f>('Input data plant-based products'!$P$62*'Common input data'!$C$76*'Common input data'!H66)/'Input data plant-based products'!$E$62</f>
        <v>1.2780847880299252E-2</v>
      </c>
      <c r="O158" s="877">
        <v>0</v>
      </c>
      <c r="P158" s="877">
        <f>'Input data plant-based products'!$G$309</f>
        <v>0.02</v>
      </c>
      <c r="Q158" s="877">
        <v>0</v>
      </c>
      <c r="R158" s="877">
        <f>'Common input data'!$E$19</f>
        <v>3.9989486962957101E-2</v>
      </c>
      <c r="S158" s="877">
        <v>0</v>
      </c>
      <c r="T158" s="877">
        <v>0</v>
      </c>
      <c r="U158" s="877">
        <f>(G158+T158)</f>
        <v>0.12634729243472034</v>
      </c>
      <c r="V158" s="877">
        <f>'Common input data'!$B$105</f>
        <v>0.05</v>
      </c>
      <c r="W158" s="877">
        <f>'Common input data'!C115</f>
        <v>0.03</v>
      </c>
      <c r="X158" s="864"/>
      <c r="Y158" s="879"/>
      <c r="Z158" s="877"/>
      <c r="AA158" s="877"/>
      <c r="AB158" s="877"/>
      <c r="AC158" s="877"/>
      <c r="AD158" s="886"/>
      <c r="AE158" s="877"/>
      <c r="AF158" s="879"/>
      <c r="AG158" s="877"/>
      <c r="AH158" s="877"/>
      <c r="AI158" s="877"/>
      <c r="AJ158" s="877"/>
      <c r="AK158" s="886"/>
      <c r="AL158" s="877"/>
      <c r="AM158" s="879"/>
      <c r="AN158" s="877"/>
      <c r="AO158" s="877"/>
      <c r="AP158" s="877"/>
      <c r="AQ158" s="877"/>
      <c r="AR158" s="886"/>
      <c r="AS158" s="877"/>
      <c r="AT158" s="879"/>
      <c r="AU158" s="877"/>
      <c r="AV158" s="877"/>
      <c r="AW158" s="877"/>
      <c r="AX158" s="877"/>
      <c r="AY158" s="886"/>
      <c r="AZ158" s="877"/>
      <c r="BA158" s="879"/>
      <c r="BB158" s="877"/>
      <c r="BC158" s="877"/>
      <c r="BD158" s="877"/>
      <c r="BE158" s="877"/>
      <c r="BF158" s="886"/>
      <c r="BG158" s="877"/>
      <c r="BH158" s="879"/>
      <c r="BI158" s="877"/>
      <c r="BJ158" s="877"/>
      <c r="BK158" s="877"/>
      <c r="BL158" s="877"/>
      <c r="BM158" s="886"/>
      <c r="BN158" s="877"/>
      <c r="BO158" s="879"/>
      <c r="BP158" s="877"/>
      <c r="BQ158" s="877"/>
      <c r="BR158" s="877"/>
      <c r="BS158" s="877"/>
      <c r="BT158" s="886"/>
      <c r="BU158" s="877"/>
      <c r="BV158" s="879"/>
      <c r="BW158" s="886"/>
    </row>
    <row r="159" spans="1:253" s="406" customFormat="1" ht="17.25">
      <c r="A159" s="18"/>
      <c r="B159" s="55"/>
      <c r="C159" s="595"/>
      <c r="D159" s="50"/>
      <c r="E159" s="1294" t="s">
        <v>367</v>
      </c>
      <c r="F159" s="877">
        <f>SUM(K159:L159)</f>
        <v>0</v>
      </c>
      <c r="G159" s="877">
        <f>SUM(I159:Q159)</f>
        <v>3.5322461842939169E-5</v>
      </c>
      <c r="H159" s="878">
        <f>SUM(U159:W159)/(1-'Common input data'!$B$140)</f>
        <v>4.2155939662178267E-5</v>
      </c>
      <c r="I159" s="877">
        <f>('Input data plant-based products'!$F$62*('Common input data'!$B$93*'Common input data'!B87+'Common input data'!$B$94*'Common input data'!C87))/'Input data plant-based products'!$E$62</f>
        <v>2.9660977198386165E-5</v>
      </c>
      <c r="J159" s="877">
        <v>0</v>
      </c>
      <c r="K159" s="877">
        <v>0</v>
      </c>
      <c r="L159" s="877">
        <v>0</v>
      </c>
      <c r="M159" s="877"/>
      <c r="N159" s="877">
        <f>('Input data plant-based products'!$P$62*'Common input data'!$C$76*'Common input data'!H67)/'Input data plant-based products'!$E$62</f>
        <v>5.6614846445530013E-6</v>
      </c>
      <c r="O159" s="877">
        <v>0</v>
      </c>
      <c r="P159" s="877">
        <v>0</v>
      </c>
      <c r="Q159" s="877">
        <v>0</v>
      </c>
      <c r="R159" s="877">
        <v>0</v>
      </c>
      <c r="S159" s="877">
        <v>0</v>
      </c>
      <c r="T159" s="877">
        <v>0</v>
      </c>
      <c r="U159" s="877">
        <f>(G159+T159)</f>
        <v>3.5322461842939169E-5</v>
      </c>
      <c r="V159" s="877">
        <v>0</v>
      </c>
      <c r="W159" s="877">
        <v>0</v>
      </c>
      <c r="X159" s="864"/>
      <c r="Y159" s="879"/>
      <c r="Z159" s="877"/>
      <c r="AA159" s="877"/>
      <c r="AB159" s="877"/>
      <c r="AC159" s="877"/>
      <c r="AD159" s="886"/>
      <c r="AE159" s="877"/>
      <c r="AF159" s="879"/>
      <c r="AG159" s="877"/>
      <c r="AH159" s="877"/>
      <c r="AI159" s="877"/>
      <c r="AJ159" s="877"/>
      <c r="AK159" s="886"/>
      <c r="AL159" s="877"/>
      <c r="AM159" s="879"/>
      <c r="AN159" s="877"/>
      <c r="AO159" s="877"/>
      <c r="AP159" s="877"/>
      <c r="AQ159" s="877"/>
      <c r="AR159" s="886"/>
      <c r="AS159" s="877"/>
      <c r="AT159" s="879"/>
      <c r="AU159" s="877"/>
      <c r="AV159" s="877"/>
      <c r="AW159" s="877"/>
      <c r="AX159" s="877"/>
      <c r="AY159" s="886"/>
      <c r="AZ159" s="877"/>
      <c r="BA159" s="879"/>
      <c r="BB159" s="877"/>
      <c r="BC159" s="877"/>
      <c r="BD159" s="877"/>
      <c r="BE159" s="877"/>
      <c r="BF159" s="886"/>
      <c r="BG159" s="877"/>
      <c r="BH159" s="879"/>
      <c r="BI159" s="877"/>
      <c r="BJ159" s="877"/>
      <c r="BK159" s="877"/>
      <c r="BL159" s="877"/>
      <c r="BM159" s="886"/>
      <c r="BN159" s="877"/>
      <c r="BO159" s="879"/>
      <c r="BP159" s="877"/>
      <c r="BQ159" s="877"/>
      <c r="BR159" s="877"/>
      <c r="BS159" s="877"/>
      <c r="BT159" s="886"/>
      <c r="BU159" s="877"/>
      <c r="BV159" s="879"/>
      <c r="BW159" s="886"/>
    </row>
    <row r="160" spans="1:253" s="406" customFormat="1" ht="17.25">
      <c r="A160" s="359"/>
      <c r="B160" s="360"/>
      <c r="C160" s="83"/>
      <c r="D160" s="54"/>
      <c r="E160" s="1295" t="s">
        <v>320</v>
      </c>
      <c r="F160" s="877">
        <f>SUM(K160:L160)</f>
        <v>2.2030180790684736E-4</v>
      </c>
      <c r="G160" s="877">
        <f>SUM(I160:Q160)</f>
        <v>2.702221723570443E-4</v>
      </c>
      <c r="H160" s="878">
        <f>SUM(U160:W160)/(1-'Common input data'!$B$140)</f>
        <v>3.2249931060633049E-4</v>
      </c>
      <c r="I160" s="877">
        <f>('Input data plant-based products'!$F$62*('Common input data'!$B$93*'Common input data'!B88+'Common input data'!$B$94*'Common input data'!C88))/'Input data plant-based products'!$E$62</f>
        <v>4.9576938084604111E-5</v>
      </c>
      <c r="J160" s="877">
        <v>0</v>
      </c>
      <c r="K160" s="877">
        <f>(SUM(('Input data plant-based products'!$F$62*'Input data plant-based products'!$B$258),(('Input data plant-based products'!$G$62+'Input data plant-based products'!$H$62)*'Input data plant-based products'!$B$259))*44/28)/'Input data plant-based products'!$E$62</f>
        <v>2.0027437082440668E-4</v>
      </c>
      <c r="L160" s="877">
        <f>K160*'Input data plant-based products'!$B$261</f>
        <v>2.0027437082440668E-5</v>
      </c>
      <c r="M160" s="877"/>
      <c r="N160" s="877">
        <f>('Input data plant-based products'!$P$62*'Common input data'!$C$76*'Common input data'!H68)/'Input data plant-based products'!$E$62</f>
        <v>3.4342636559286715E-7</v>
      </c>
      <c r="O160" s="877">
        <v>0</v>
      </c>
      <c r="P160" s="877">
        <v>0</v>
      </c>
      <c r="Q160" s="877">
        <v>0</v>
      </c>
      <c r="R160" s="877">
        <v>0</v>
      </c>
      <c r="S160" s="877">
        <v>0</v>
      </c>
      <c r="T160" s="877">
        <v>0</v>
      </c>
      <c r="U160" s="877">
        <f>(G160+T160)</f>
        <v>2.702221723570443E-4</v>
      </c>
      <c r="V160" s="877">
        <v>0</v>
      </c>
      <c r="W160" s="877">
        <v>0</v>
      </c>
      <c r="X160" s="864"/>
      <c r="Y160" s="879"/>
      <c r="Z160" s="877"/>
      <c r="AA160" s="877"/>
      <c r="AB160" s="877"/>
      <c r="AC160" s="877"/>
      <c r="AD160" s="886"/>
      <c r="AE160" s="877"/>
      <c r="AF160" s="879"/>
      <c r="AG160" s="877"/>
      <c r="AH160" s="877"/>
      <c r="AI160" s="877"/>
      <c r="AJ160" s="877"/>
      <c r="AK160" s="886"/>
      <c r="AL160" s="877"/>
      <c r="AM160" s="879"/>
      <c r="AN160" s="877"/>
      <c r="AO160" s="877"/>
      <c r="AP160" s="877"/>
      <c r="AQ160" s="877"/>
      <c r="AR160" s="886"/>
      <c r="AS160" s="877"/>
      <c r="AT160" s="879"/>
      <c r="AU160" s="877"/>
      <c r="AV160" s="877"/>
      <c r="AW160" s="877"/>
      <c r="AX160" s="877"/>
      <c r="AY160" s="886"/>
      <c r="AZ160" s="877"/>
      <c r="BA160" s="879"/>
      <c r="BB160" s="877"/>
      <c r="BC160" s="877"/>
      <c r="BD160" s="877"/>
      <c r="BE160" s="877"/>
      <c r="BF160" s="886"/>
      <c r="BG160" s="877"/>
      <c r="BH160" s="879"/>
      <c r="BI160" s="877"/>
      <c r="BJ160" s="877"/>
      <c r="BK160" s="877"/>
      <c r="BL160" s="877"/>
      <c r="BM160" s="886"/>
      <c r="BN160" s="877"/>
      <c r="BO160" s="879"/>
      <c r="BP160" s="877"/>
      <c r="BQ160" s="877"/>
      <c r="BR160" s="877"/>
      <c r="BS160" s="877"/>
      <c r="BT160" s="886"/>
      <c r="BU160" s="877"/>
      <c r="BV160" s="879"/>
      <c r="BW160" s="886"/>
    </row>
    <row r="161" spans="1:253" s="502" customFormat="1" ht="17.25">
      <c r="A161" s="20" t="s">
        <v>148</v>
      </c>
      <c r="B161" s="93" t="s">
        <v>121</v>
      </c>
      <c r="C161" s="87">
        <f>'Input data plant-based products'!D63</f>
        <v>0.54</v>
      </c>
      <c r="D161" s="54"/>
      <c r="E161" s="1293" t="s">
        <v>316</v>
      </c>
      <c r="F161" s="872">
        <f>SUMPRODUCT($CE$14:$CE$16,F162:F164)</f>
        <v>7.914684219976359E-2</v>
      </c>
      <c r="G161" s="872">
        <f>SUMPRODUCT($CE$14:$CE$16,G162:G164)</f>
        <v>0.14930810337009229</v>
      </c>
      <c r="H161" s="873">
        <f>SUMPRODUCT($CE$14:$CE$16,H162:H164)</f>
        <v>0.39301599638392681</v>
      </c>
      <c r="I161" s="888"/>
      <c r="J161" s="888"/>
      <c r="K161" s="888"/>
      <c r="L161" s="888"/>
      <c r="M161" s="888"/>
      <c r="N161" s="888"/>
      <c r="O161" s="888"/>
      <c r="P161" s="888"/>
      <c r="Q161" s="888"/>
      <c r="R161" s="888"/>
      <c r="S161" s="888"/>
      <c r="T161" s="888"/>
      <c r="U161" s="888"/>
      <c r="V161" s="888"/>
      <c r="W161" s="888"/>
      <c r="X161" s="864"/>
      <c r="Y161" s="879">
        <f>1/'Input data plant-based products'!E63*10^4</f>
        <v>0.28191249436175009</v>
      </c>
      <c r="Z161" s="877">
        <f>$Y161*'Input data plant-based products'!Z63</f>
        <v>0.28191249436175009</v>
      </c>
      <c r="AA161" s="877">
        <f>$Y161*'Input data plant-based products'!AA63</f>
        <v>0.28191249436175009</v>
      </c>
      <c r="AB161" s="877">
        <f>$Y161*'Input data plant-based products'!AB63</f>
        <v>0.28191249436175009</v>
      </c>
      <c r="AC161" s="877">
        <f>$Y161*'Input data plant-based products'!AC63</f>
        <v>0.33645124043650804</v>
      </c>
      <c r="AD161" s="886">
        <f>$Y161*'Input data plant-based products'!AD63</f>
        <v>0.41537190177346667</v>
      </c>
      <c r="AE161" s="877"/>
      <c r="AF161" s="879">
        <f>SUM('Input data plant-based products'!F63,'Input data plant-based products'!Q63)/'Input data plant-based products'!E63</f>
        <v>4.736129905277402E-3</v>
      </c>
      <c r="AG161" s="877">
        <f>$AF161*'Input data plant-based products'!Z63</f>
        <v>4.736129905277402E-3</v>
      </c>
      <c r="AH161" s="877">
        <f>$AF161*'Input data plant-based products'!AA63</f>
        <v>4.736129905277402E-3</v>
      </c>
      <c r="AI161" s="877">
        <f>$AF161*'Input data plant-based products'!AB63</f>
        <v>4.736129905277402E-3</v>
      </c>
      <c r="AJ161" s="877">
        <f>$AF161*'Input data plant-based products'!AC63</f>
        <v>5.6523808393333357E-3</v>
      </c>
      <c r="AK161" s="886">
        <f>$AF161*'Input data plant-based products'!AD63</f>
        <v>6.9782479497942406E-3</v>
      </c>
      <c r="AL161" s="877"/>
      <c r="AM161" s="879">
        <f>'Input data plant-based products'!R63/'Input data plant-based products'!E63</f>
        <v>0</v>
      </c>
      <c r="AN161" s="877">
        <f>$AM161*'Input data plant-based products'!Z63</f>
        <v>0</v>
      </c>
      <c r="AO161" s="877">
        <f>$AM161*'Input data plant-based products'!AA63</f>
        <v>0</v>
      </c>
      <c r="AP161" s="877">
        <f>$AM161*'Input data plant-based products'!AB63</f>
        <v>0</v>
      </c>
      <c r="AQ161" s="877">
        <f>$AM161*'Input data plant-based products'!AC63</f>
        <v>0</v>
      </c>
      <c r="AR161" s="886">
        <f>$AM161*'Input data plant-based products'!AD63</f>
        <v>0</v>
      </c>
      <c r="AS161" s="877"/>
      <c r="AT161" s="879">
        <f>'Input data plant-based products'!S63</f>
        <v>4.5095986210643034E-3</v>
      </c>
      <c r="AU161" s="877">
        <f>$AT161*'Input data plant-based products'!Z63</f>
        <v>4.5095986210643034E-3</v>
      </c>
      <c r="AV161" s="877">
        <f>$AT161*'Input data plant-based products'!AA63</f>
        <v>4.5095986210643034E-3</v>
      </c>
      <c r="AW161" s="877">
        <f>$AT161*'Input data plant-based products'!AB63</f>
        <v>4.5095986210643034E-3</v>
      </c>
      <c r="AX161" s="877">
        <f>$AT161*'Input data plant-based products'!AC63</f>
        <v>5.3820248491040735E-3</v>
      </c>
      <c r="AY161" s="886">
        <f>$AT161*'Input data plant-based products'!AD63</f>
        <v>6.6444751223507072E-3</v>
      </c>
      <c r="AZ161" s="877"/>
      <c r="BA161" s="879">
        <f>((SUM('Input data plant-based products'!U63:Y63)*Y161)/('Common input data'!$B$192/10^6))/$BB$3</f>
        <v>6.2381664567605672E-12</v>
      </c>
      <c r="BB161" s="877">
        <f>$BA161*'Input data plant-based products'!Z63</f>
        <v>6.2381664567605672E-12</v>
      </c>
      <c r="BC161" s="877">
        <f>$BA161*'Input data plant-based products'!AA63</f>
        <v>6.2381664567605672E-12</v>
      </c>
      <c r="BD161" s="877">
        <f>$BA161*'Input data plant-based products'!AB63</f>
        <v>6.2381664567605672E-12</v>
      </c>
      <c r="BE161" s="877">
        <f>$BA161*'Input data plant-based products'!AC63</f>
        <v>7.4450011418553137E-12</v>
      </c>
      <c r="BF161" s="886">
        <f>$BA161*'Input data plant-based products'!AD63</f>
        <v>9.1913594343892752E-12</v>
      </c>
      <c r="BG161" s="877"/>
      <c r="BH161" s="879">
        <f>'Input data plant-based products'!T63/'Input data plant-based products'!E63</f>
        <v>3.0680555555555555E-4</v>
      </c>
      <c r="BI161" s="877">
        <f>$BH161*'Input data plant-based products'!Z63</f>
        <v>3.0680555555555555E-4</v>
      </c>
      <c r="BJ161" s="877">
        <f>$BH161*'Input data plant-based products'!AA63</f>
        <v>3.0680555555555555E-4</v>
      </c>
      <c r="BK161" s="877">
        <f>$BH161*'Input data plant-based products'!AB63</f>
        <v>3.0680555555555555E-4</v>
      </c>
      <c r="BL161" s="877">
        <f>$BH161*'Input data plant-based products'!AC63</f>
        <v>3.6616010926787869E-4</v>
      </c>
      <c r="BM161" s="886">
        <f>$BH161*'Input data plant-based products'!AD63</f>
        <v>4.5204951761466499E-4</v>
      </c>
      <c r="BN161" s="877"/>
      <c r="BO161" s="879">
        <f>('Input data plant-based products'!F63/'Input data plant-based products'!E63*'Common input data'!$B$195+'Input data plant-based products'!G63/'Input data plant-based products'!E63*'Common input data'!$B$196)/'Common input data'!$B$198</f>
        <v>1.2093107708662583E-4</v>
      </c>
      <c r="BP161" s="877">
        <f>$BO161*'Input data plant-based products'!Z63</f>
        <v>1.2093107708662583E-4</v>
      </c>
      <c r="BQ161" s="877">
        <f>$BO161*'Input data plant-based products'!AA63</f>
        <v>1.2093107708662583E-4</v>
      </c>
      <c r="BR161" s="877">
        <f>$BO161*'Input data plant-based products'!AB63</f>
        <v>1.2093107708662583E-4</v>
      </c>
      <c r="BS161" s="877">
        <f>$BO161*'Input data plant-based products'!AC63</f>
        <v>1.4432638392006901E-4</v>
      </c>
      <c r="BT161" s="886">
        <f>$BO161*'Input data plant-based products'!AD63</f>
        <v>1.7818072088897406E-4</v>
      </c>
      <c r="BU161" s="877"/>
      <c r="BV161" s="879">
        <f>('Common input data'!$C$202+'Common input data'!$B$210)*'Input data plant-based products'!AC63</f>
        <v>1.4837092731829575</v>
      </c>
      <c r="BW161" s="886">
        <f>('Common input data'!$C$202+'Common input data'!$B$210)*'Input data plant-based products'!AD63</f>
        <v>1.8317398434357497</v>
      </c>
      <c r="BX161" s="406"/>
      <c r="BY161" s="406"/>
      <c r="BZ161" s="406"/>
      <c r="CA161" s="406"/>
      <c r="CB161" s="406"/>
      <c r="CC161" s="406"/>
      <c r="CD161" s="406"/>
      <c r="CE161" s="406"/>
      <c r="CF161" s="406"/>
      <c r="CG161" s="406"/>
      <c r="CH161" s="406"/>
      <c r="CI161" s="406"/>
      <c r="CJ161" s="406"/>
      <c r="CK161" s="406"/>
      <c r="CL161" s="406"/>
      <c r="CM161" s="406"/>
      <c r="CN161" s="406"/>
      <c r="CO161" s="406"/>
      <c r="CP161" s="406"/>
      <c r="CQ161" s="406"/>
      <c r="CR161" s="406"/>
      <c r="CS161" s="406"/>
      <c r="CT161" s="406"/>
      <c r="CU161" s="406"/>
      <c r="CV161" s="406"/>
      <c r="CW161" s="406"/>
      <c r="CX161" s="406"/>
      <c r="CY161" s="406"/>
      <c r="CZ161" s="406"/>
      <c r="DA161" s="406"/>
      <c r="DB161" s="406"/>
      <c r="DC161" s="406"/>
      <c r="DD161" s="406"/>
      <c r="DE161" s="406"/>
      <c r="DF161" s="406"/>
      <c r="DG161" s="406"/>
      <c r="DH161" s="406"/>
      <c r="DI161" s="406"/>
      <c r="DJ161" s="406"/>
      <c r="DK161" s="406"/>
      <c r="DL161" s="406"/>
      <c r="DM161" s="406"/>
      <c r="DN161" s="406"/>
      <c r="DO161" s="406"/>
      <c r="DP161" s="406"/>
      <c r="DQ161" s="406"/>
      <c r="DR161" s="406"/>
      <c r="DS161" s="406"/>
      <c r="DT161" s="406"/>
      <c r="DU161" s="406"/>
      <c r="DV161" s="406"/>
      <c r="DW161" s="406"/>
      <c r="DX161" s="406"/>
      <c r="DY161" s="406"/>
      <c r="DZ161" s="406"/>
      <c r="EA161" s="406"/>
      <c r="EB161" s="406"/>
      <c r="EC161" s="406"/>
      <c r="ED161" s="406"/>
      <c r="EE161" s="406"/>
      <c r="EF161" s="406"/>
      <c r="EG161" s="406"/>
      <c r="EH161" s="406"/>
      <c r="EI161" s="406"/>
      <c r="EJ161" s="406"/>
      <c r="EK161" s="406"/>
      <c r="EL161" s="406"/>
      <c r="EM161" s="406"/>
      <c r="EN161" s="406"/>
      <c r="EO161" s="406"/>
      <c r="EP161" s="406"/>
      <c r="EQ161" s="406"/>
      <c r="ER161" s="406"/>
      <c r="ES161" s="406"/>
      <c r="ET161" s="406"/>
      <c r="EU161" s="406"/>
      <c r="EV161" s="406"/>
      <c r="EW161" s="406"/>
      <c r="EX161" s="406"/>
      <c r="EY161" s="406"/>
      <c r="EZ161" s="406"/>
      <c r="FA161" s="406"/>
      <c r="FB161" s="406"/>
      <c r="FC161" s="406"/>
      <c r="FD161" s="406"/>
      <c r="FE161" s="406"/>
      <c r="FF161" s="406"/>
      <c r="FG161" s="406"/>
      <c r="FH161" s="406"/>
      <c r="FI161" s="406"/>
      <c r="FJ161" s="406"/>
      <c r="FK161" s="406"/>
      <c r="FL161" s="406"/>
      <c r="FM161" s="406"/>
      <c r="FN161" s="406"/>
      <c r="FO161" s="406"/>
      <c r="FP161" s="406"/>
      <c r="FQ161" s="406"/>
      <c r="FR161" s="406"/>
      <c r="FS161" s="406"/>
      <c r="FT161" s="406"/>
      <c r="FU161" s="406"/>
      <c r="FV161" s="406"/>
      <c r="FW161" s="406"/>
      <c r="FX161" s="406"/>
      <c r="FY161" s="406"/>
      <c r="FZ161" s="406"/>
      <c r="GA161" s="406"/>
      <c r="GB161" s="406"/>
      <c r="GC161" s="406"/>
      <c r="GD161" s="406"/>
      <c r="GE161" s="406"/>
      <c r="GF161" s="406"/>
      <c r="GG161" s="406"/>
      <c r="GH161" s="406"/>
      <c r="GI161" s="406"/>
      <c r="GJ161" s="406"/>
      <c r="GK161" s="406"/>
      <c r="GL161" s="406"/>
      <c r="GM161" s="406"/>
      <c r="GN161" s="406"/>
      <c r="GO161" s="406"/>
      <c r="GP161" s="406"/>
      <c r="GQ161" s="406"/>
      <c r="GR161" s="406"/>
      <c r="GS161" s="406"/>
      <c r="GT161" s="406"/>
      <c r="GU161" s="406"/>
      <c r="GV161" s="406"/>
      <c r="GW161" s="406"/>
      <c r="GX161" s="406"/>
      <c r="GY161" s="406"/>
      <c r="GZ161" s="406"/>
      <c r="HA161" s="406"/>
      <c r="HB161" s="406"/>
      <c r="HC161" s="406"/>
      <c r="HD161" s="406"/>
      <c r="HE161" s="406"/>
      <c r="HF161" s="406"/>
      <c r="HG161" s="406"/>
      <c r="HH161" s="406"/>
      <c r="HI161" s="406"/>
      <c r="HJ161" s="406"/>
      <c r="HK161" s="406"/>
      <c r="HL161" s="406"/>
      <c r="HM161" s="406"/>
      <c r="HN161" s="406"/>
      <c r="HO161" s="406"/>
      <c r="HP161" s="406"/>
      <c r="HQ161" s="406"/>
      <c r="HR161" s="406"/>
      <c r="HS161" s="406"/>
      <c r="HT161" s="406"/>
      <c r="HU161" s="406"/>
      <c r="HV161" s="406"/>
      <c r="HW161" s="406"/>
      <c r="HX161" s="406"/>
      <c r="HY161" s="406"/>
      <c r="HZ161" s="406"/>
      <c r="IA161" s="406"/>
      <c r="IB161" s="406"/>
      <c r="IC161" s="406"/>
      <c r="ID161" s="406"/>
      <c r="IE161" s="406"/>
      <c r="IF161" s="406"/>
      <c r="IG161" s="406"/>
      <c r="IH161" s="406"/>
      <c r="II161" s="406"/>
      <c r="IJ161" s="406"/>
      <c r="IK161" s="406"/>
      <c r="IL161" s="406"/>
      <c r="IM161" s="406"/>
      <c r="IN161" s="406"/>
      <c r="IO161" s="406"/>
      <c r="IP161" s="406"/>
      <c r="IQ161" s="406"/>
      <c r="IR161" s="406"/>
      <c r="IS161" s="406"/>
    </row>
    <row r="162" spans="1:253" s="406" customFormat="1" ht="17.25">
      <c r="A162" s="68"/>
      <c r="B162" s="55"/>
      <c r="C162" s="917"/>
      <c r="D162" s="5"/>
      <c r="E162" s="1294" t="s">
        <v>317</v>
      </c>
      <c r="F162" s="877">
        <f>IF(AND($G$2="No",$G$3="No"),SUM(K162:L162),IF(AND($G$2="Yes", $G$3="No"), SUM(K162:L162)+S162, IF(AND($G$2="No", $G$3="Yes"),SUM(K162:L162)+R162, SUM(K162:L162)+S162+R162)))</f>
        <v>3.9989486962957101E-2</v>
      </c>
      <c r="G162" s="877">
        <f>IF(AND($G$2="No",$G$3="No"),SUM(I162:Q162),IF(AND($G$2="Yes", $G$3="No"), SUM(I162:Q162)+S162, IF(AND($G$2="No", $G$3="Yes"),SUM(I162:Q162)+R162, SUM(I162:Q162)+S162+R162)))</f>
        <v>9.8368195572440129E-2</v>
      </c>
      <c r="H162" s="878">
        <f>SUM(U162:W162)/(1-'Common input data'!$B$140)</f>
        <v>0.33222126217023529</v>
      </c>
      <c r="I162" s="877">
        <f>('Input data plant-based products'!$F$63*('Common input data'!$C$93*'Common input data'!B86+'Common input data'!$C$94*'Common input data'!C86))/'Input data plant-based products'!$E$63</f>
        <v>1.7831410458828995E-2</v>
      </c>
      <c r="J162" s="877">
        <f>'Common input data'!$B$98</f>
        <v>0.03</v>
      </c>
      <c r="K162" s="877">
        <v>0</v>
      </c>
      <c r="L162" s="877">
        <v>0</v>
      </c>
      <c r="M162" s="877"/>
      <c r="N162" s="877">
        <f>('Input data plant-based products'!$P$63*'Common input data'!$C$76*'Common input data'!H66)/'Input data plant-based products'!$E$63</f>
        <v>1.0547298150654036E-2</v>
      </c>
      <c r="O162" s="877">
        <v>0</v>
      </c>
      <c r="P162" s="877">
        <v>0</v>
      </c>
      <c r="Q162" s="877">
        <v>0</v>
      </c>
      <c r="R162" s="877">
        <f>'Common input data'!$E$19</f>
        <v>3.9989486962957101E-2</v>
      </c>
      <c r="S162" s="877">
        <v>0</v>
      </c>
      <c r="T162" s="877">
        <v>0</v>
      </c>
      <c r="U162" s="877">
        <f>(G162+T162)</f>
        <v>9.8368195572440129E-2</v>
      </c>
      <c r="V162" s="877">
        <f>'Common input data'!$B$105</f>
        <v>0.05</v>
      </c>
      <c r="W162" s="877">
        <f>'Common input data'!B116+'Common input data'!C116</f>
        <v>0.13</v>
      </c>
      <c r="X162" s="864"/>
      <c r="Y162" s="879"/>
      <c r="Z162" s="877"/>
      <c r="AA162" s="877"/>
      <c r="AB162" s="877"/>
      <c r="AC162" s="877"/>
      <c r="AD162" s="886"/>
      <c r="AE162" s="877"/>
      <c r="AF162" s="879"/>
      <c r="AG162" s="877"/>
      <c r="AH162" s="877"/>
      <c r="AI162" s="877"/>
      <c r="AJ162" s="877"/>
      <c r="AK162" s="886"/>
      <c r="AL162" s="877"/>
      <c r="AM162" s="879"/>
      <c r="AN162" s="877"/>
      <c r="AO162" s="877"/>
      <c r="AP162" s="877"/>
      <c r="AQ162" s="877"/>
      <c r="AR162" s="886"/>
      <c r="AS162" s="877"/>
      <c r="AT162" s="879"/>
      <c r="AU162" s="877"/>
      <c r="AV162" s="877"/>
      <c r="AW162" s="877"/>
      <c r="AX162" s="877"/>
      <c r="AY162" s="886"/>
      <c r="AZ162" s="877"/>
      <c r="BA162" s="879"/>
      <c r="BB162" s="877"/>
      <c r="BC162" s="877"/>
      <c r="BD162" s="877"/>
      <c r="BE162" s="877"/>
      <c r="BF162" s="886"/>
      <c r="BG162" s="877"/>
      <c r="BH162" s="879"/>
      <c r="BI162" s="877"/>
      <c r="BJ162" s="877"/>
      <c r="BK162" s="877"/>
      <c r="BL162" s="877"/>
      <c r="BM162" s="886"/>
      <c r="BN162" s="877"/>
      <c r="BO162" s="879"/>
      <c r="BP162" s="877"/>
      <c r="BQ162" s="877"/>
      <c r="BR162" s="877"/>
      <c r="BS162" s="877"/>
      <c r="BT162" s="886"/>
      <c r="BU162" s="877"/>
      <c r="BV162" s="879"/>
      <c r="BW162" s="886"/>
    </row>
    <row r="163" spans="1:253" s="406" customFormat="1" ht="17.25">
      <c r="A163" s="18"/>
      <c r="B163" s="55"/>
      <c r="C163" s="595"/>
      <c r="D163" s="50"/>
      <c r="E163" s="1294" t="s">
        <v>367</v>
      </c>
      <c r="F163" s="877">
        <f>SUM(K163:L163)</f>
        <v>0</v>
      </c>
      <c r="G163" s="877">
        <f>SUM(I163:Q163)</f>
        <v>3.7382934778946945E-5</v>
      </c>
      <c r="H163" s="878">
        <f>SUM(U163:W163)/(1-'Common input data'!$B$140)</f>
        <v>4.4615031362867821E-5</v>
      </c>
      <c r="I163" s="877">
        <f>('Input data plant-based products'!$F$63*('Common input data'!$C$93*'Common input data'!B87+'Common input data'!$C$94*'Common input data'!C87))/'Input data plant-based products'!$E$63</f>
        <v>3.2710837349988891E-5</v>
      </c>
      <c r="J163" s="877">
        <v>0</v>
      </c>
      <c r="K163" s="877">
        <v>0</v>
      </c>
      <c r="L163" s="877">
        <v>0</v>
      </c>
      <c r="M163" s="877"/>
      <c r="N163" s="877">
        <f>('Input data plant-based products'!$P$63*'Common input data'!$C$76*'Common input data'!H67)/'Input data plant-based products'!$E$63</f>
        <v>4.672097428958052E-6</v>
      </c>
      <c r="O163" s="877">
        <v>0</v>
      </c>
      <c r="P163" s="877">
        <v>0</v>
      </c>
      <c r="Q163" s="877">
        <v>0</v>
      </c>
      <c r="R163" s="877">
        <v>0</v>
      </c>
      <c r="S163" s="877">
        <v>0</v>
      </c>
      <c r="T163" s="877">
        <v>0</v>
      </c>
      <c r="U163" s="877">
        <f>(G163+T163)</f>
        <v>3.7382934778946945E-5</v>
      </c>
      <c r="V163" s="877">
        <v>0</v>
      </c>
      <c r="W163" s="877">
        <v>0</v>
      </c>
      <c r="X163" s="864"/>
      <c r="Y163" s="879"/>
      <c r="Z163" s="877"/>
      <c r="AA163" s="877"/>
      <c r="AB163" s="877"/>
      <c r="AC163" s="877"/>
      <c r="AD163" s="886"/>
      <c r="AE163" s="877"/>
      <c r="AF163" s="879"/>
      <c r="AG163" s="877"/>
      <c r="AH163" s="877"/>
      <c r="AI163" s="877"/>
      <c r="AJ163" s="877"/>
      <c r="AK163" s="886"/>
      <c r="AL163" s="877"/>
      <c r="AM163" s="879"/>
      <c r="AN163" s="877"/>
      <c r="AO163" s="877"/>
      <c r="AP163" s="877"/>
      <c r="AQ163" s="877"/>
      <c r="AR163" s="886"/>
      <c r="AS163" s="877"/>
      <c r="AT163" s="879"/>
      <c r="AU163" s="877"/>
      <c r="AV163" s="877"/>
      <c r="AW163" s="877"/>
      <c r="AX163" s="877"/>
      <c r="AY163" s="886"/>
      <c r="AZ163" s="877"/>
      <c r="BA163" s="879"/>
      <c r="BB163" s="877"/>
      <c r="BC163" s="877"/>
      <c r="BD163" s="877"/>
      <c r="BE163" s="877"/>
      <c r="BF163" s="886"/>
      <c r="BG163" s="877"/>
      <c r="BH163" s="879"/>
      <c r="BI163" s="877"/>
      <c r="BJ163" s="877"/>
      <c r="BK163" s="877"/>
      <c r="BL163" s="877"/>
      <c r="BM163" s="886"/>
      <c r="BN163" s="877"/>
      <c r="BO163" s="879"/>
      <c r="BP163" s="877"/>
      <c r="BQ163" s="877"/>
      <c r="BR163" s="877"/>
      <c r="BS163" s="877"/>
      <c r="BT163" s="886"/>
      <c r="BU163" s="877"/>
      <c r="BV163" s="879"/>
      <c r="BW163" s="886"/>
    </row>
    <row r="164" spans="1:253" s="406" customFormat="1" ht="17.25">
      <c r="A164" s="359"/>
      <c r="B164" s="360"/>
      <c r="C164" s="83"/>
      <c r="D164" s="54"/>
      <c r="E164" s="1295" t="s">
        <v>320</v>
      </c>
      <c r="F164" s="877">
        <f>SUM(K164:L164)</f>
        <v>1.4343353566595787E-4</v>
      </c>
      <c r="G164" s="877">
        <f>SUM(I164:Q164)</f>
        <v>1.8289585552608271E-4</v>
      </c>
      <c r="H164" s="878">
        <f>SUM(U164:W164)/(1-'Common input data'!$B$140)</f>
        <v>2.1827885848679164E-4</v>
      </c>
      <c r="I164" s="877">
        <f>('Input data plant-based products'!$F$63*('Common input data'!$C$93*'Common input data'!B88+'Common input data'!$C$94*'Common input data'!C88))/'Input data plant-based products'!$E$63</f>
        <v>3.9178909846593069E-5</v>
      </c>
      <c r="J164" s="877">
        <v>0</v>
      </c>
      <c r="K164" s="877">
        <f>(SUM(('Input data plant-based products'!$F$63*'Input data plant-based products'!$B$258),(('Input data plant-based products'!$G$63+'Input data plant-based products'!$H$63)*'Input data plant-based products'!$B$259))*44/28)/'Input data plant-based products'!$E$63</f>
        <v>1.3039412333268896E-4</v>
      </c>
      <c r="L164" s="877">
        <f>K164*'Input data plant-based products'!$B$261</f>
        <v>1.3039412333268896E-5</v>
      </c>
      <c r="M164" s="877"/>
      <c r="N164" s="877">
        <f>('Input data plant-based products'!$P$63*'Common input data'!$C$76*'Common input data'!H68)/'Input data plant-based products'!$E$63</f>
        <v>2.8341001353179975E-7</v>
      </c>
      <c r="O164" s="877">
        <v>0</v>
      </c>
      <c r="P164" s="877">
        <v>0</v>
      </c>
      <c r="Q164" s="877">
        <v>0</v>
      </c>
      <c r="R164" s="877">
        <v>0</v>
      </c>
      <c r="S164" s="877">
        <v>0</v>
      </c>
      <c r="T164" s="877">
        <v>0</v>
      </c>
      <c r="U164" s="877">
        <f>(G164+T164)</f>
        <v>1.8289585552608271E-4</v>
      </c>
      <c r="V164" s="877">
        <v>0</v>
      </c>
      <c r="W164" s="877">
        <v>0</v>
      </c>
      <c r="X164" s="864"/>
      <c r="Y164" s="879"/>
      <c r="Z164" s="877"/>
      <c r="AA164" s="877"/>
      <c r="AB164" s="877"/>
      <c r="AC164" s="877"/>
      <c r="AD164" s="886"/>
      <c r="AE164" s="877"/>
      <c r="AF164" s="879"/>
      <c r="AG164" s="877"/>
      <c r="AH164" s="877"/>
      <c r="AI164" s="877"/>
      <c r="AJ164" s="877"/>
      <c r="AK164" s="886"/>
      <c r="AL164" s="877"/>
      <c r="AM164" s="879"/>
      <c r="AN164" s="877"/>
      <c r="AO164" s="877"/>
      <c r="AP164" s="877"/>
      <c r="AQ164" s="877"/>
      <c r="AR164" s="886"/>
      <c r="AS164" s="877"/>
      <c r="AT164" s="879"/>
      <c r="AU164" s="877"/>
      <c r="AV164" s="877"/>
      <c r="AW164" s="877"/>
      <c r="AX164" s="877"/>
      <c r="AY164" s="886"/>
      <c r="AZ164" s="877"/>
      <c r="BA164" s="879"/>
      <c r="BB164" s="877"/>
      <c r="BC164" s="877"/>
      <c r="BD164" s="877"/>
      <c r="BE164" s="877"/>
      <c r="BF164" s="886"/>
      <c r="BG164" s="877"/>
      <c r="BH164" s="879"/>
      <c r="BI164" s="877"/>
      <c r="BJ164" s="877"/>
      <c r="BK164" s="877"/>
      <c r="BL164" s="877"/>
      <c r="BM164" s="886"/>
      <c r="BN164" s="877"/>
      <c r="BO164" s="879"/>
      <c r="BP164" s="877"/>
      <c r="BQ164" s="877"/>
      <c r="BR164" s="877"/>
      <c r="BS164" s="877"/>
      <c r="BT164" s="886"/>
      <c r="BU164" s="877"/>
      <c r="BV164" s="879"/>
      <c r="BW164" s="886"/>
    </row>
    <row r="165" spans="1:253" s="502" customFormat="1" ht="17.25">
      <c r="A165" s="20" t="s">
        <v>125</v>
      </c>
      <c r="B165" s="93" t="s">
        <v>121</v>
      </c>
      <c r="C165" s="87">
        <f>'Input data plant-based products'!D64</f>
        <v>0.11</v>
      </c>
      <c r="D165" s="54"/>
      <c r="E165" s="1293" t="s">
        <v>316</v>
      </c>
      <c r="F165" s="872">
        <f>SUMPRODUCT($CE$14:$CE$16,F166:F168)</f>
        <v>7.4506197423092516E-2</v>
      </c>
      <c r="G165" s="872">
        <f>SUMPRODUCT($CE$14:$CE$16,G166:G168)</f>
        <v>0.17564922994981533</v>
      </c>
      <c r="H165" s="873">
        <f>SUMPRODUCT($CE$14:$CE$16,H166:H168)</f>
        <v>0.54379905710683307</v>
      </c>
      <c r="I165" s="888"/>
      <c r="J165" s="888"/>
      <c r="K165" s="888"/>
      <c r="L165" s="888"/>
      <c r="M165" s="888"/>
      <c r="N165" s="888"/>
      <c r="O165" s="888"/>
      <c r="P165" s="888"/>
      <c r="Q165" s="888"/>
      <c r="R165" s="888"/>
      <c r="S165" s="888"/>
      <c r="T165" s="888"/>
      <c r="U165" s="888"/>
      <c r="V165" s="888"/>
      <c r="W165" s="888"/>
      <c r="X165" s="864"/>
      <c r="Y165" s="879">
        <f>1/'Input data plant-based products'!E64*10^4</f>
        <v>0.34544700842890702</v>
      </c>
      <c r="Z165" s="877">
        <f>$Y165*'Input data plant-based products'!Z64</f>
        <v>0.34544700842890702</v>
      </c>
      <c r="AA165" s="877">
        <f>$Y165*'Input data plant-based products'!AA64</f>
        <v>0.34544700842890702</v>
      </c>
      <c r="AB165" s="877">
        <f>$Y165*'Input data plant-based products'!AB64</f>
        <v>0.34544700842890702</v>
      </c>
      <c r="AC165" s="877">
        <f>$Y165*'Input data plant-based products'!AC64</f>
        <v>0.41227713143442773</v>
      </c>
      <c r="AD165" s="886">
        <f>$Y165*'Input data plant-based products'!AD64</f>
        <v>0.50898411288200951</v>
      </c>
      <c r="AE165" s="877"/>
      <c r="AF165" s="879">
        <f>SUM('Input data plant-based products'!F64,'Input data plant-based products'!Q64)/'Input data plant-based products'!E64</f>
        <v>6.1144120491916538E-3</v>
      </c>
      <c r="AG165" s="877">
        <f>$AF165*'Input data plant-based products'!Z64</f>
        <v>6.1144120491916538E-3</v>
      </c>
      <c r="AH165" s="877">
        <f>$AF165*'Input data plant-based products'!AA64</f>
        <v>6.1144120491916538E-3</v>
      </c>
      <c r="AI165" s="877">
        <f>$AF165*'Input data plant-based products'!AB64</f>
        <v>6.1144120491916538E-3</v>
      </c>
      <c r="AJ165" s="877">
        <f>$AF165*'Input data plant-based products'!AC64</f>
        <v>7.2973052263893704E-3</v>
      </c>
      <c r="AK165" s="886">
        <f>$AF165*'Input data plant-based products'!AD64</f>
        <v>9.0090187980115671E-3</v>
      </c>
      <c r="AL165" s="877"/>
      <c r="AM165" s="879">
        <f>'Input data plant-based products'!R64/'Input data plant-based products'!E64</f>
        <v>7.5842027083045463E-4</v>
      </c>
      <c r="AN165" s="877">
        <f>$AM165*'Input data plant-based products'!Z64</f>
        <v>7.5842027083045463E-4</v>
      </c>
      <c r="AO165" s="877">
        <f>$AM165*'Input data plant-based products'!AA64</f>
        <v>7.5842027083045463E-4</v>
      </c>
      <c r="AP165" s="877">
        <f>$AM165*'Input data plant-based products'!AB64</f>
        <v>7.5842027083045463E-4</v>
      </c>
      <c r="AQ165" s="877">
        <f>$AM165*'Input data plant-based products'!AC64</f>
        <v>9.0514413513600024E-4</v>
      </c>
      <c r="AR165" s="886">
        <f>$AM165*'Input data plant-based products'!AD64</f>
        <v>1.1174618952296297E-3</v>
      </c>
      <c r="AS165" s="877"/>
      <c r="AT165" s="879">
        <f>'Input data plant-based products'!S64</f>
        <v>1.6855496471339434E-2</v>
      </c>
      <c r="AU165" s="877">
        <f>$AT165*'Input data plant-based products'!Z64</f>
        <v>1.6855496471339434E-2</v>
      </c>
      <c r="AV165" s="877">
        <f>$AT165*'Input data plant-based products'!AA64</f>
        <v>1.6855496471339434E-2</v>
      </c>
      <c r="AW165" s="877">
        <f>$AT165*'Input data plant-based products'!AB64</f>
        <v>1.6855496471339434E-2</v>
      </c>
      <c r="AX165" s="877">
        <f>$AT165*'Input data plant-based products'!AC64</f>
        <v>2.0116358123092773E-2</v>
      </c>
      <c r="AY165" s="886">
        <f>$AT165*'Input data plant-based products'!AD64</f>
        <v>2.4835010028509592E-2</v>
      </c>
      <c r="AZ165" s="877"/>
      <c r="BA165" s="879">
        <f>((SUM('Input data plant-based products'!U64:Y64)*Y165)/('Common input data'!$B$192/10^6))/$BB$3</f>
        <v>5.0438578008653644E-12</v>
      </c>
      <c r="BB165" s="877">
        <f>$BA165*'Input data plant-based products'!Z64</f>
        <v>5.0438578008653644E-12</v>
      </c>
      <c r="BC165" s="877">
        <f>$BA165*'Input data plant-based products'!AA64</f>
        <v>5.0438578008653644E-12</v>
      </c>
      <c r="BD165" s="877">
        <f>$BA165*'Input data plant-based products'!AB64</f>
        <v>5.0438578008653644E-12</v>
      </c>
      <c r="BE165" s="877">
        <f>$BA165*'Input data plant-based products'!AC64</f>
        <v>6.0196417243887868E-12</v>
      </c>
      <c r="BF165" s="886">
        <f>$BA165*'Input data plant-based products'!AD64</f>
        <v>7.4316564498626979E-12</v>
      </c>
      <c r="BG165" s="877"/>
      <c r="BH165" s="879">
        <f>'Input data plant-based products'!T64/'Input data plant-based products'!E64</f>
        <v>1.7486527566671275E-3</v>
      </c>
      <c r="BI165" s="877">
        <f>$BH165*'Input data plant-based products'!Z64</f>
        <v>1.7486527566671275E-3</v>
      </c>
      <c r="BJ165" s="877">
        <f>$BH165*'Input data plant-based products'!AA64</f>
        <v>1.7486527566671275E-3</v>
      </c>
      <c r="BK165" s="877">
        <f>$BH165*'Input data plant-based products'!AB64</f>
        <v>1.7486527566671275E-3</v>
      </c>
      <c r="BL165" s="877">
        <f>$BH165*'Input data plant-based products'!AC64</f>
        <v>2.0869468393210733E-3</v>
      </c>
      <c r="BM165" s="886">
        <f>$BH165*'Input data plant-based products'!AD64</f>
        <v>2.5764775794087321E-3</v>
      </c>
      <c r="BN165" s="877"/>
      <c r="BO165" s="879">
        <f>('Input data plant-based products'!F64/'Input data plant-based products'!E64*'Common input data'!$B$195+'Input data plant-based products'!G64/'Input data plant-based products'!E64*'Common input data'!$B$196)/'Common input data'!$B$198</f>
        <v>1.5612376553190863E-4</v>
      </c>
      <c r="BP165" s="877">
        <f>$BO165*'Input data plant-based products'!Z64</f>
        <v>1.5612376553190863E-4</v>
      </c>
      <c r="BQ165" s="877">
        <f>$BO165*'Input data plant-based products'!AA64</f>
        <v>1.5612376553190863E-4</v>
      </c>
      <c r="BR165" s="877">
        <f>$BO165*'Input data plant-based products'!AB64</f>
        <v>1.5612376553190863E-4</v>
      </c>
      <c r="BS165" s="877">
        <f>$BO165*'Input data plant-based products'!AC64</f>
        <v>1.8632744424383412E-4</v>
      </c>
      <c r="BT165" s="886">
        <f>$BO165*'Input data plant-based products'!AD64</f>
        <v>2.3003388178251125E-4</v>
      </c>
      <c r="BU165" s="877"/>
      <c r="BV165" s="879">
        <f>('Common input data'!$C$202+'Common input data'!$B$214)*'Input data plant-based products'!AC64</f>
        <v>1.1339857580459085</v>
      </c>
      <c r="BW165" s="886">
        <f>('Common input data'!$C$202+'Common input data'!$B$214)*'Input data plant-based products'!AD64</f>
        <v>1.3999824173406277</v>
      </c>
      <c r="BX165" s="406"/>
      <c r="BY165" s="406"/>
      <c r="BZ165" s="406"/>
      <c r="CA165" s="406"/>
      <c r="CB165" s="406"/>
      <c r="CC165" s="406"/>
      <c r="CD165" s="406"/>
      <c r="CE165" s="406"/>
      <c r="CF165" s="406"/>
      <c r="CG165" s="406"/>
      <c r="CH165" s="406"/>
      <c r="CI165" s="406"/>
      <c r="CJ165" s="406"/>
      <c r="CK165" s="406"/>
      <c r="CL165" s="406"/>
      <c r="CM165" s="406"/>
      <c r="CN165" s="406"/>
      <c r="CO165" s="406"/>
      <c r="CP165" s="406"/>
      <c r="CQ165" s="406"/>
      <c r="CR165" s="406"/>
      <c r="CS165" s="406"/>
      <c r="CT165" s="406"/>
      <c r="CU165" s="406"/>
      <c r="CV165" s="406"/>
      <c r="CW165" s="406"/>
      <c r="CX165" s="406"/>
      <c r="CY165" s="406"/>
      <c r="CZ165" s="406"/>
      <c r="DA165" s="406"/>
      <c r="DB165" s="406"/>
      <c r="DC165" s="406"/>
      <c r="DD165" s="406"/>
      <c r="DE165" s="406"/>
      <c r="DF165" s="406"/>
      <c r="DG165" s="406"/>
      <c r="DH165" s="406"/>
      <c r="DI165" s="406"/>
      <c r="DJ165" s="406"/>
      <c r="DK165" s="406"/>
      <c r="DL165" s="406"/>
      <c r="DM165" s="406"/>
      <c r="DN165" s="406"/>
      <c r="DO165" s="406"/>
      <c r="DP165" s="406"/>
      <c r="DQ165" s="406"/>
      <c r="DR165" s="406"/>
      <c r="DS165" s="406"/>
      <c r="DT165" s="406"/>
      <c r="DU165" s="406"/>
      <c r="DV165" s="406"/>
      <c r="DW165" s="406"/>
      <c r="DX165" s="406"/>
      <c r="DY165" s="406"/>
      <c r="DZ165" s="406"/>
      <c r="EA165" s="406"/>
      <c r="EB165" s="406"/>
      <c r="EC165" s="406"/>
      <c r="ED165" s="406"/>
      <c r="EE165" s="406"/>
      <c r="EF165" s="406"/>
      <c r="EG165" s="406"/>
      <c r="EH165" s="406"/>
      <c r="EI165" s="406"/>
      <c r="EJ165" s="406"/>
      <c r="EK165" s="406"/>
      <c r="EL165" s="406"/>
      <c r="EM165" s="406"/>
      <c r="EN165" s="406"/>
      <c r="EO165" s="406"/>
      <c r="EP165" s="406"/>
      <c r="EQ165" s="406"/>
      <c r="ER165" s="406"/>
      <c r="ES165" s="406"/>
      <c r="ET165" s="406"/>
      <c r="EU165" s="406"/>
      <c r="EV165" s="406"/>
      <c r="EW165" s="406"/>
      <c r="EX165" s="406"/>
      <c r="EY165" s="406"/>
      <c r="EZ165" s="406"/>
      <c r="FA165" s="406"/>
      <c r="FB165" s="406"/>
      <c r="FC165" s="406"/>
      <c r="FD165" s="406"/>
      <c r="FE165" s="406"/>
      <c r="FF165" s="406"/>
      <c r="FG165" s="406"/>
      <c r="FH165" s="406"/>
      <c r="FI165" s="406"/>
      <c r="FJ165" s="406"/>
      <c r="FK165" s="406"/>
      <c r="FL165" s="406"/>
      <c r="FM165" s="406"/>
      <c r="FN165" s="406"/>
      <c r="FO165" s="406"/>
      <c r="FP165" s="406"/>
      <c r="FQ165" s="406"/>
      <c r="FR165" s="406"/>
      <c r="FS165" s="406"/>
      <c r="FT165" s="406"/>
      <c r="FU165" s="406"/>
      <c r="FV165" s="406"/>
      <c r="FW165" s="406"/>
      <c r="FX165" s="406"/>
      <c r="FY165" s="406"/>
      <c r="FZ165" s="406"/>
      <c r="GA165" s="406"/>
      <c r="GB165" s="406"/>
      <c r="GC165" s="406"/>
      <c r="GD165" s="406"/>
      <c r="GE165" s="406"/>
      <c r="GF165" s="406"/>
      <c r="GG165" s="406"/>
      <c r="GH165" s="406"/>
      <c r="GI165" s="406"/>
      <c r="GJ165" s="406"/>
      <c r="GK165" s="406"/>
      <c r="GL165" s="406"/>
      <c r="GM165" s="406"/>
      <c r="GN165" s="406"/>
      <c r="GO165" s="406"/>
      <c r="GP165" s="406"/>
      <c r="GQ165" s="406"/>
      <c r="GR165" s="406"/>
      <c r="GS165" s="406"/>
      <c r="GT165" s="406"/>
      <c r="GU165" s="406"/>
      <c r="GV165" s="406"/>
      <c r="GW165" s="406"/>
      <c r="GX165" s="406"/>
      <c r="GY165" s="406"/>
      <c r="GZ165" s="406"/>
      <c r="HA165" s="406"/>
      <c r="HB165" s="406"/>
      <c r="HC165" s="406"/>
      <c r="HD165" s="406"/>
      <c r="HE165" s="406"/>
      <c r="HF165" s="406"/>
      <c r="HG165" s="406"/>
      <c r="HH165" s="406"/>
      <c r="HI165" s="406"/>
      <c r="HJ165" s="406"/>
      <c r="HK165" s="406"/>
      <c r="HL165" s="406"/>
      <c r="HM165" s="406"/>
      <c r="HN165" s="406"/>
      <c r="HO165" s="406"/>
      <c r="HP165" s="406"/>
      <c r="HQ165" s="406"/>
      <c r="HR165" s="406"/>
      <c r="HS165" s="406"/>
      <c r="HT165" s="406"/>
      <c r="HU165" s="406"/>
      <c r="HV165" s="406"/>
      <c r="HW165" s="406"/>
      <c r="HX165" s="406"/>
      <c r="HY165" s="406"/>
      <c r="HZ165" s="406"/>
      <c r="IA165" s="406"/>
      <c r="IB165" s="406"/>
      <c r="IC165" s="406"/>
      <c r="ID165" s="406"/>
      <c r="IE165" s="406"/>
      <c r="IF165" s="406"/>
      <c r="IG165" s="406"/>
      <c r="IH165" s="406"/>
      <c r="II165" s="406"/>
      <c r="IJ165" s="406"/>
      <c r="IK165" s="406"/>
      <c r="IL165" s="406"/>
      <c r="IM165" s="406"/>
      <c r="IN165" s="406"/>
      <c r="IO165" s="406"/>
      <c r="IP165" s="406"/>
      <c r="IQ165" s="406"/>
      <c r="IR165" s="406"/>
      <c r="IS165" s="406"/>
    </row>
    <row r="166" spans="1:253" s="406" customFormat="1" ht="17.25">
      <c r="A166" s="68"/>
      <c r="B166" s="55"/>
      <c r="C166" s="917"/>
      <c r="D166" s="5"/>
      <c r="E166" s="1294" t="s">
        <v>317</v>
      </c>
      <c r="F166" s="877">
        <f>IF(AND($G$2="No",$G$3="No"),SUM(K166:L166),IF(AND($G$2="Yes", $G$3="No"), SUM(K166:L166)+S166, IF(AND($G$2="No", $G$3="Yes"),SUM(K166:L166)+R166, SUM(K166:L166)+S166+R166)))</f>
        <v>3.9989486962957101E-2</v>
      </c>
      <c r="G166" s="877">
        <f>IF(AND($G$2="No",$G$3="No"),SUM(I166:Q166),IF(AND($G$2="Yes", $G$3="No"), SUM(I166:Q166)+S166, IF(AND($G$2="No", $G$3="Yes"),SUM(I166:Q166)+R166, SUM(I166:Q166)+S166+R166)))</f>
        <v>0.12593443398368598</v>
      </c>
      <c r="H166" s="878">
        <f>SUM(U166:W166)/(1-'Common input data'!$B$140)</f>
        <v>0.48446644466366634</v>
      </c>
      <c r="I166" s="877">
        <f>('Input data plant-based products'!$F$64*('Common input data'!$C$93*'Common input data'!B86+'Common input data'!$C$94*'Common input data'!C86))/'Input data plant-based products'!$E$64</f>
        <v>2.3020608206303014E-2</v>
      </c>
      <c r="J166" s="877">
        <f>'Common input data'!$B$98</f>
        <v>0.03</v>
      </c>
      <c r="K166" s="877">
        <v>0</v>
      </c>
      <c r="L166" s="877">
        <v>0</v>
      </c>
      <c r="M166" s="877"/>
      <c r="N166" s="877">
        <f>('Input data plant-based products'!$P$64*'Common input data'!$C$76*'Common input data'!H66)/'Input data plant-based products'!$E$64</f>
        <v>1.2924338814425868E-2</v>
      </c>
      <c r="O166" s="877">
        <v>0</v>
      </c>
      <c r="P166" s="877">
        <f>'Input data plant-based products'!$G$309</f>
        <v>0.02</v>
      </c>
      <c r="Q166" s="877">
        <v>0</v>
      </c>
      <c r="R166" s="877">
        <f>'Common input data'!$E$19</f>
        <v>3.9989486962957101E-2</v>
      </c>
      <c r="S166" s="877">
        <v>0</v>
      </c>
      <c r="T166" s="877">
        <v>0</v>
      </c>
      <c r="U166" s="877">
        <f>(G166+T166)</f>
        <v>0.12593443398368598</v>
      </c>
      <c r="V166" s="877">
        <f>'Common input data'!$B$105</f>
        <v>0.05</v>
      </c>
      <c r="W166" s="877">
        <f>'Common input data'!B119+'Common input data'!C119</f>
        <v>0.23000000000000004</v>
      </c>
      <c r="X166" s="864"/>
      <c r="Y166" s="879"/>
      <c r="Z166" s="877"/>
      <c r="AA166" s="877"/>
      <c r="AB166" s="877"/>
      <c r="AC166" s="877"/>
      <c r="AD166" s="886"/>
      <c r="AE166" s="877"/>
      <c r="AF166" s="879"/>
      <c r="AG166" s="877"/>
      <c r="AH166" s="877"/>
      <c r="AI166" s="877"/>
      <c r="AJ166" s="877"/>
      <c r="AK166" s="886"/>
      <c r="AL166" s="877"/>
      <c r="AM166" s="879"/>
      <c r="AN166" s="877"/>
      <c r="AO166" s="877"/>
      <c r="AP166" s="877"/>
      <c r="AQ166" s="877"/>
      <c r="AR166" s="886"/>
      <c r="AS166" s="877"/>
      <c r="AT166" s="879"/>
      <c r="AU166" s="877"/>
      <c r="AV166" s="877"/>
      <c r="AW166" s="877"/>
      <c r="AX166" s="877"/>
      <c r="AY166" s="886"/>
      <c r="AZ166" s="877"/>
      <c r="BA166" s="879"/>
      <c r="BB166" s="877"/>
      <c r="BC166" s="877"/>
      <c r="BD166" s="877"/>
      <c r="BE166" s="877"/>
      <c r="BF166" s="886"/>
      <c r="BG166" s="877"/>
      <c r="BH166" s="879"/>
      <c r="BI166" s="877"/>
      <c r="BJ166" s="877"/>
      <c r="BK166" s="877"/>
      <c r="BL166" s="877"/>
      <c r="BM166" s="886"/>
      <c r="BN166" s="877"/>
      <c r="BO166" s="879"/>
      <c r="BP166" s="877"/>
      <c r="BQ166" s="877"/>
      <c r="BR166" s="877"/>
      <c r="BS166" s="877"/>
      <c r="BT166" s="886"/>
      <c r="BU166" s="877"/>
      <c r="BV166" s="879"/>
      <c r="BW166" s="886"/>
    </row>
    <row r="167" spans="1:253" s="406" customFormat="1" ht="17.25">
      <c r="A167" s="18"/>
      <c r="B167" s="55"/>
      <c r="C167" s="595"/>
      <c r="D167" s="50"/>
      <c r="E167" s="1294" t="s">
        <v>367</v>
      </c>
      <c r="F167" s="877">
        <f>SUM(K167:L167)</f>
        <v>0</v>
      </c>
      <c r="G167" s="877">
        <f>SUM(I167:Q167)</f>
        <v>4.7955209320067475E-5</v>
      </c>
      <c r="H167" s="878">
        <f>SUM(U167:W167)/(1-'Common input data'!$B$140)</f>
        <v>5.723261644595713E-5</v>
      </c>
      <c r="I167" s="877">
        <f>('Input data plant-based products'!$F$64*('Common input data'!$C$93*'Common input data'!B87+'Common input data'!$C$94*'Common input data'!C87))/'Input data plant-based products'!$E$64</f>
        <v>4.2230163030168345E-5</v>
      </c>
      <c r="J167" s="877">
        <v>0</v>
      </c>
      <c r="K167" s="877">
        <v>0</v>
      </c>
      <c r="L167" s="877">
        <v>0</v>
      </c>
      <c r="M167" s="877"/>
      <c r="N167" s="877">
        <f>('Input data plant-based products'!$P$64*'Common input data'!$C$76*'Common input data'!H67)/'Input data plant-based products'!$E$64</f>
        <v>5.7250462898991296E-6</v>
      </c>
      <c r="O167" s="877">
        <v>0</v>
      </c>
      <c r="P167" s="877">
        <v>0</v>
      </c>
      <c r="Q167" s="877">
        <v>0</v>
      </c>
      <c r="R167" s="877">
        <v>0</v>
      </c>
      <c r="S167" s="877">
        <v>0</v>
      </c>
      <c r="T167" s="877">
        <v>0</v>
      </c>
      <c r="U167" s="877">
        <f>(G167+T167)</f>
        <v>4.7955209320067475E-5</v>
      </c>
      <c r="V167" s="877">
        <v>0</v>
      </c>
      <c r="W167" s="877">
        <v>0</v>
      </c>
      <c r="X167" s="864"/>
      <c r="Y167" s="879"/>
      <c r="Z167" s="877"/>
      <c r="AA167" s="877"/>
      <c r="AB167" s="877"/>
      <c r="AC167" s="877"/>
      <c r="AD167" s="886"/>
      <c r="AE167" s="877"/>
      <c r="AF167" s="879"/>
      <c r="AG167" s="877"/>
      <c r="AH167" s="877"/>
      <c r="AI167" s="877"/>
      <c r="AJ167" s="877"/>
      <c r="AK167" s="886"/>
      <c r="AL167" s="877"/>
      <c r="AM167" s="879"/>
      <c r="AN167" s="877"/>
      <c r="AO167" s="877"/>
      <c r="AP167" s="877"/>
      <c r="AQ167" s="877"/>
      <c r="AR167" s="886"/>
      <c r="AS167" s="877"/>
      <c r="AT167" s="879"/>
      <c r="AU167" s="877"/>
      <c r="AV167" s="877"/>
      <c r="AW167" s="877"/>
      <c r="AX167" s="877"/>
      <c r="AY167" s="886"/>
      <c r="AZ167" s="877"/>
      <c r="BA167" s="879"/>
      <c r="BB167" s="877"/>
      <c r="BC167" s="877"/>
      <c r="BD167" s="877"/>
      <c r="BE167" s="877"/>
      <c r="BF167" s="886"/>
      <c r="BG167" s="877"/>
      <c r="BH167" s="879"/>
      <c r="BI167" s="877"/>
      <c r="BJ167" s="877"/>
      <c r="BK167" s="877"/>
      <c r="BL167" s="877"/>
      <c r="BM167" s="886"/>
      <c r="BN167" s="877"/>
      <c r="BO167" s="879"/>
      <c r="BP167" s="877"/>
      <c r="BQ167" s="877"/>
      <c r="BR167" s="877"/>
      <c r="BS167" s="877"/>
      <c r="BT167" s="886"/>
      <c r="BU167" s="877"/>
      <c r="BV167" s="879"/>
      <c r="BW167" s="886"/>
    </row>
    <row r="168" spans="1:253" s="406" customFormat="1" ht="17.25">
      <c r="A168" s="359"/>
      <c r="B168" s="360"/>
      <c r="C168" s="83"/>
      <c r="D168" s="54"/>
      <c r="E168" s="1295" t="s">
        <v>320</v>
      </c>
      <c r="F168" s="896">
        <f>SUM(K168:L168)</f>
        <v>1.2643483685031287E-4</v>
      </c>
      <c r="G168" s="896">
        <f>SUM(I168:Q168)</f>
        <v>1.7736265682962465E-4</v>
      </c>
      <c r="H168" s="933">
        <f>SUM(U168:W168)/(1-'Common input data'!$B$140)</f>
        <v>2.1167520805540597E-4</v>
      </c>
      <c r="I168" s="877">
        <f>('Input data plant-based products'!$F$64*('Common input data'!$C$93*'Common input data'!B88+'Common input data'!$C$94*'Common input data'!C88))/'Input data plant-based products'!$E$64</f>
        <v>5.0580537956374115E-5</v>
      </c>
      <c r="J168" s="877">
        <v>0</v>
      </c>
      <c r="K168" s="877">
        <f>(SUM('Input data plant-based products'!F64:H64)*'Input data plant-based products'!$B$257*44/28)/'Input data plant-based products'!E64</f>
        <v>1.1494076077301169E-4</v>
      </c>
      <c r="L168" s="877">
        <f>K168*'Input data plant-based products'!$B$261</f>
        <v>1.149407607730117E-5</v>
      </c>
      <c r="M168" s="877"/>
      <c r="N168" s="877">
        <f>('Input data plant-based products'!$P$64*'Common input data'!$C$76*'Common input data'!H68)/'Input data plant-based products'!$E$64</f>
        <v>3.4728202293768135E-7</v>
      </c>
      <c r="O168" s="877">
        <v>0</v>
      </c>
      <c r="P168" s="877">
        <v>0</v>
      </c>
      <c r="Q168" s="877">
        <v>0</v>
      </c>
      <c r="R168" s="877">
        <v>0</v>
      </c>
      <c r="S168" s="877">
        <v>0</v>
      </c>
      <c r="T168" s="877">
        <v>0</v>
      </c>
      <c r="U168" s="877">
        <f>(G168+T168)</f>
        <v>1.7736265682962465E-4</v>
      </c>
      <c r="V168" s="877">
        <v>0</v>
      </c>
      <c r="W168" s="877">
        <v>0</v>
      </c>
      <c r="X168" s="864"/>
      <c r="Y168" s="879"/>
      <c r="Z168" s="877"/>
      <c r="AA168" s="877"/>
      <c r="AB168" s="877"/>
      <c r="AC168" s="877"/>
      <c r="AD168" s="886"/>
      <c r="AE168" s="877"/>
      <c r="AF168" s="879"/>
      <c r="AG168" s="877"/>
      <c r="AH168" s="877"/>
      <c r="AI168" s="877"/>
      <c r="AJ168" s="877"/>
      <c r="AK168" s="886"/>
      <c r="AL168" s="877"/>
      <c r="AM168" s="879"/>
      <c r="AN168" s="877"/>
      <c r="AO168" s="877"/>
      <c r="AP168" s="877"/>
      <c r="AQ168" s="877"/>
      <c r="AR168" s="886"/>
      <c r="AS168" s="877"/>
      <c r="AT168" s="879"/>
      <c r="AU168" s="877"/>
      <c r="AV168" s="877"/>
      <c r="AW168" s="877"/>
      <c r="AX168" s="877"/>
      <c r="AY168" s="886"/>
      <c r="AZ168" s="877"/>
      <c r="BA168" s="879"/>
      <c r="BB168" s="877"/>
      <c r="BC168" s="877"/>
      <c r="BD168" s="877"/>
      <c r="BE168" s="877"/>
      <c r="BF168" s="886"/>
      <c r="BG168" s="877"/>
      <c r="BH168" s="879"/>
      <c r="BI168" s="877"/>
      <c r="BJ168" s="877"/>
      <c r="BK168" s="877"/>
      <c r="BL168" s="877"/>
      <c r="BM168" s="886"/>
      <c r="BN168" s="877"/>
      <c r="BO168" s="879"/>
      <c r="BP168" s="877"/>
      <c r="BQ168" s="877"/>
      <c r="BR168" s="877"/>
      <c r="BS168" s="877"/>
      <c r="BT168" s="886"/>
      <c r="BU168" s="877"/>
      <c r="BV168" s="879"/>
      <c r="BW168" s="886"/>
    </row>
    <row r="169" spans="1:253" s="503" customFormat="1" ht="17.25">
      <c r="A169" s="362" t="s">
        <v>490</v>
      </c>
      <c r="B169" s="363"/>
      <c r="C169" s="770"/>
      <c r="D169" s="54"/>
      <c r="E169" s="1296"/>
      <c r="F169" s="1290" t="s">
        <v>491</v>
      </c>
      <c r="G169" s="1290" t="s">
        <v>491</v>
      </c>
      <c r="H169" s="870" t="s">
        <v>491</v>
      </c>
      <c r="I169" s="889"/>
      <c r="J169" s="889"/>
      <c r="K169" s="889"/>
      <c r="L169" s="890"/>
      <c r="M169" s="890"/>
      <c r="N169" s="890"/>
      <c r="O169" s="891"/>
      <c r="P169" s="890"/>
      <c r="Q169" s="890"/>
      <c r="R169" s="890"/>
      <c r="S169" s="890"/>
      <c r="T169" s="890"/>
      <c r="U169" s="890"/>
      <c r="V169" s="890"/>
      <c r="W169" s="890"/>
      <c r="X169" s="864"/>
      <c r="Y169" s="879"/>
      <c r="Z169" s="877"/>
      <c r="AA169" s="877"/>
      <c r="AB169" s="877"/>
      <c r="AC169" s="877"/>
      <c r="AD169" s="886"/>
      <c r="AE169" s="877"/>
      <c r="AF169" s="879"/>
      <c r="AG169" s="877"/>
      <c r="AH169" s="877"/>
      <c r="AI169" s="877"/>
      <c r="AJ169" s="877"/>
      <c r="AK169" s="886"/>
      <c r="AL169" s="877"/>
      <c r="AM169" s="879"/>
      <c r="AN169" s="877"/>
      <c r="AO169" s="877"/>
      <c r="AP169" s="877"/>
      <c r="AQ169" s="877"/>
      <c r="AR169" s="886"/>
      <c r="AS169" s="877"/>
      <c r="AT169" s="879"/>
      <c r="AU169" s="877"/>
      <c r="AV169" s="877"/>
      <c r="AW169" s="877"/>
      <c r="AX169" s="877"/>
      <c r="AY169" s="886"/>
      <c r="AZ169" s="877"/>
      <c r="BA169" s="879"/>
      <c r="BB169" s="877"/>
      <c r="BC169" s="877"/>
      <c r="BD169" s="877"/>
      <c r="BE169" s="877"/>
      <c r="BF169" s="886"/>
      <c r="BG169" s="877"/>
      <c r="BH169" s="879"/>
      <c r="BI169" s="877"/>
      <c r="BJ169" s="877"/>
      <c r="BK169" s="877"/>
      <c r="BL169" s="877"/>
      <c r="BM169" s="886"/>
      <c r="BN169" s="877"/>
      <c r="BO169" s="879"/>
      <c r="BP169" s="877"/>
      <c r="BQ169" s="877"/>
      <c r="BR169" s="877"/>
      <c r="BS169" s="877"/>
      <c r="BT169" s="886"/>
      <c r="BU169" s="877"/>
      <c r="BV169" s="879"/>
      <c r="BW169" s="886"/>
      <c r="BX169" s="406"/>
      <c r="BY169" s="406"/>
      <c r="BZ169" s="406"/>
      <c r="CA169" s="406"/>
      <c r="CB169" s="406"/>
      <c r="CC169" s="406"/>
      <c r="CD169" s="406"/>
      <c r="CE169" s="406"/>
      <c r="CF169" s="406"/>
      <c r="CG169" s="406"/>
      <c r="CH169" s="406"/>
      <c r="CI169" s="406"/>
      <c r="CJ169" s="406"/>
      <c r="CK169" s="406"/>
      <c r="CL169" s="406"/>
      <c r="CM169" s="406"/>
      <c r="CN169" s="406"/>
      <c r="CO169" s="406"/>
      <c r="CP169" s="406"/>
      <c r="CQ169" s="406"/>
      <c r="CR169" s="406"/>
      <c r="CS169" s="406"/>
      <c r="CT169" s="406"/>
      <c r="CU169" s="406"/>
      <c r="CV169" s="406"/>
      <c r="CW169" s="406"/>
      <c r="CX169" s="406"/>
      <c r="CY169" s="406"/>
      <c r="CZ169" s="406"/>
      <c r="DA169" s="406"/>
      <c r="DB169" s="406"/>
      <c r="DC169" s="406"/>
      <c r="DD169" s="406"/>
      <c r="DE169" s="406"/>
      <c r="DF169" s="406"/>
      <c r="DG169" s="406"/>
      <c r="DH169" s="406"/>
      <c r="DI169" s="406"/>
      <c r="DJ169" s="406"/>
      <c r="DK169" s="406"/>
      <c r="DL169" s="406"/>
      <c r="DM169" s="406"/>
      <c r="DN169" s="406"/>
      <c r="DO169" s="406"/>
      <c r="DP169" s="406"/>
      <c r="DQ169" s="406"/>
      <c r="DR169" s="406"/>
      <c r="DS169" s="406"/>
      <c r="DT169" s="406"/>
      <c r="DU169" s="406"/>
      <c r="DV169" s="406"/>
      <c r="DW169" s="406"/>
      <c r="DX169" s="406"/>
      <c r="DY169" s="406"/>
      <c r="DZ169" s="406"/>
      <c r="EA169" s="406"/>
      <c r="EB169" s="406"/>
      <c r="EC169" s="406"/>
      <c r="ED169" s="406"/>
      <c r="EE169" s="406"/>
      <c r="EF169" s="406"/>
      <c r="EG169" s="406"/>
      <c r="EH169" s="406"/>
      <c r="EI169" s="406"/>
      <c r="EJ169" s="406"/>
      <c r="EK169" s="406"/>
      <c r="EL169" s="406"/>
      <c r="EM169" s="406"/>
      <c r="EN169" s="406"/>
      <c r="EO169" s="406"/>
      <c r="EP169" s="406"/>
      <c r="EQ169" s="406"/>
      <c r="ER169" s="406"/>
      <c r="ES169" s="406"/>
      <c r="ET169" s="406"/>
      <c r="EU169" s="406"/>
      <c r="EV169" s="406"/>
      <c r="EW169" s="406"/>
      <c r="EX169" s="406"/>
      <c r="EY169" s="406"/>
      <c r="EZ169" s="406"/>
      <c r="FA169" s="406"/>
      <c r="FB169" s="406"/>
      <c r="FC169" s="406"/>
      <c r="FD169" s="406"/>
      <c r="FE169" s="406"/>
      <c r="FF169" s="406"/>
      <c r="FG169" s="406"/>
      <c r="FH169" s="406"/>
      <c r="FI169" s="406"/>
      <c r="FJ169" s="406"/>
      <c r="FK169" s="406"/>
      <c r="FL169" s="406"/>
      <c r="FM169" s="406"/>
      <c r="FN169" s="406"/>
      <c r="FO169" s="406"/>
      <c r="FP169" s="406"/>
      <c r="FQ169" s="406"/>
      <c r="FR169" s="406"/>
      <c r="FS169" s="406"/>
      <c r="FT169" s="406"/>
      <c r="FU169" s="406"/>
      <c r="FV169" s="406"/>
      <c r="FW169" s="406"/>
      <c r="FX169" s="406"/>
      <c r="FY169" s="406"/>
      <c r="FZ169" s="406"/>
      <c r="GA169" s="406"/>
      <c r="GB169" s="406"/>
      <c r="GC169" s="406"/>
      <c r="GD169" s="406"/>
      <c r="GE169" s="406"/>
      <c r="GF169" s="406"/>
      <c r="GG169" s="406"/>
      <c r="GH169" s="406"/>
      <c r="GI169" s="406"/>
      <c r="GJ169" s="406"/>
      <c r="GK169" s="406"/>
      <c r="GL169" s="406"/>
      <c r="GM169" s="406"/>
      <c r="GN169" s="406"/>
      <c r="GO169" s="406"/>
      <c r="GP169" s="406"/>
      <c r="GQ169" s="406"/>
      <c r="GR169" s="406"/>
      <c r="GS169" s="406"/>
      <c r="GT169" s="406"/>
      <c r="GU169" s="406"/>
      <c r="GV169" s="406"/>
      <c r="GW169" s="406"/>
      <c r="GX169" s="406"/>
      <c r="GY169" s="406"/>
      <c r="GZ169" s="406"/>
      <c r="HA169" s="406"/>
      <c r="HB169" s="406"/>
      <c r="HC169" s="406"/>
      <c r="HD169" s="406"/>
      <c r="HE169" s="406"/>
      <c r="HF169" s="406"/>
      <c r="HG169" s="406"/>
      <c r="HH169" s="406"/>
      <c r="HI169" s="406"/>
      <c r="HJ169" s="406"/>
      <c r="HK169" s="406"/>
      <c r="HL169" s="406"/>
      <c r="HM169" s="406"/>
      <c r="HN169" s="406"/>
      <c r="HO169" s="406"/>
      <c r="HP169" s="406"/>
      <c r="HQ169" s="406"/>
      <c r="HR169" s="406"/>
      <c r="HS169" s="406"/>
      <c r="HT169" s="406"/>
      <c r="HU169" s="406"/>
      <c r="HV169" s="406"/>
      <c r="HW169" s="406"/>
      <c r="HX169" s="406"/>
      <c r="HY169" s="406"/>
      <c r="HZ169" s="406"/>
      <c r="IA169" s="406"/>
      <c r="IB169" s="406"/>
      <c r="IC169" s="406"/>
      <c r="ID169" s="406"/>
      <c r="IE169" s="406"/>
      <c r="IF169" s="406"/>
      <c r="IG169" s="406"/>
      <c r="IH169" s="406"/>
      <c r="II169" s="406"/>
      <c r="IJ169" s="406"/>
      <c r="IK169" s="406"/>
      <c r="IL169" s="406"/>
      <c r="IM169" s="406"/>
      <c r="IN169" s="406"/>
      <c r="IO169" s="406"/>
      <c r="IP169" s="406"/>
      <c r="IQ169" s="406"/>
      <c r="IR169" s="406"/>
      <c r="IS169" s="406"/>
    </row>
    <row r="170" spans="1:253" s="502" customFormat="1" ht="17.25">
      <c r="A170" s="20" t="s">
        <v>120</v>
      </c>
      <c r="B170" s="93"/>
      <c r="C170" s="903">
        <f>SUM(C174:C185)</f>
        <v>1</v>
      </c>
      <c r="D170" s="26"/>
      <c r="E170" s="1293" t="s">
        <v>316</v>
      </c>
      <c r="F170" s="874">
        <f>SUMPRODUCT($CE$14:$CE$16,F171:F173)</f>
        <v>0.1862041036102848</v>
      </c>
      <c r="G170" s="874">
        <f>SUMPRODUCT($CE$14:$CE$16,G171:G173)</f>
        <v>0.36262422766977864</v>
      </c>
      <c r="H170" s="927">
        <f>SUMPRODUCT($CE$14:$CE$16,H171:H173)</f>
        <v>0.60940950909389979</v>
      </c>
      <c r="I170" s="872"/>
      <c r="J170" s="884"/>
      <c r="K170" s="884"/>
      <c r="L170" s="888"/>
      <c r="M170" s="888"/>
      <c r="N170" s="888"/>
      <c r="O170" s="888"/>
      <c r="P170" s="888"/>
      <c r="Q170" s="888"/>
      <c r="R170" s="888"/>
      <c r="S170" s="888"/>
      <c r="T170" s="888"/>
      <c r="U170" s="888"/>
      <c r="V170" s="888"/>
      <c r="W170" s="888"/>
      <c r="X170" s="864"/>
      <c r="Y170" s="883">
        <f>Y174*$C$174+Y178*$C$178+Y182*$C$182</f>
        <v>0.97865714072617471</v>
      </c>
      <c r="Z170" s="884">
        <f t="shared" ref="Z170:BW170" si="19">Z174*$C$174+Z178*$C$178+Z182*$C$182</f>
        <v>0.97865714072617471</v>
      </c>
      <c r="AA170" s="884">
        <f t="shared" si="19"/>
        <v>0.97865714072617471</v>
      </c>
      <c r="AB170" s="884">
        <f t="shared" si="19"/>
        <v>0.97865714072617471</v>
      </c>
      <c r="AC170" s="884">
        <f t="shared" si="19"/>
        <v>1.1679879946606693</v>
      </c>
      <c r="AD170" s="885">
        <f t="shared" si="19"/>
        <v>1.4419604872353937</v>
      </c>
      <c r="AE170" s="877"/>
      <c r="AF170" s="883">
        <f t="shared" si="19"/>
        <v>1.655204788117912E-2</v>
      </c>
      <c r="AG170" s="884">
        <f t="shared" si="19"/>
        <v>1.655204788117912E-2</v>
      </c>
      <c r="AH170" s="884">
        <f t="shared" si="19"/>
        <v>1.655204788117912E-2</v>
      </c>
      <c r="AI170" s="884">
        <f t="shared" si="19"/>
        <v>1.655204788117912E-2</v>
      </c>
      <c r="AJ170" s="884">
        <f t="shared" si="19"/>
        <v>1.975420441720864E-2</v>
      </c>
      <c r="AK170" s="885">
        <f t="shared" si="19"/>
        <v>2.4387906687911895E-2</v>
      </c>
      <c r="AL170" s="877"/>
      <c r="AM170" s="883">
        <f t="shared" si="19"/>
        <v>2.3578054834232343E-3</v>
      </c>
      <c r="AN170" s="884">
        <f t="shared" si="19"/>
        <v>2.3578054834232343E-3</v>
      </c>
      <c r="AO170" s="884">
        <f t="shared" si="19"/>
        <v>2.3578054834232343E-3</v>
      </c>
      <c r="AP170" s="884">
        <f t="shared" si="19"/>
        <v>2.3578054834232343E-3</v>
      </c>
      <c r="AQ170" s="884">
        <f t="shared" si="19"/>
        <v>2.8139461551775088E-3</v>
      </c>
      <c r="AR170" s="885">
        <f t="shared" si="19"/>
        <v>3.474007598984578E-3</v>
      </c>
      <c r="AS170" s="877"/>
      <c r="AT170" s="883">
        <f t="shared" si="19"/>
        <v>3.2359763042479409E-2</v>
      </c>
      <c r="AU170" s="884">
        <f t="shared" si="19"/>
        <v>3.2359763042479409E-2</v>
      </c>
      <c r="AV170" s="884">
        <f t="shared" si="19"/>
        <v>3.2359763042479409E-2</v>
      </c>
      <c r="AW170" s="884">
        <f t="shared" si="19"/>
        <v>3.2359763042479409E-2</v>
      </c>
      <c r="AX170" s="884">
        <f t="shared" si="19"/>
        <v>3.8620077625587071E-2</v>
      </c>
      <c r="AY170" s="885">
        <f t="shared" si="19"/>
        <v>4.7679108179737119E-2</v>
      </c>
      <c r="AZ170" s="877"/>
      <c r="BA170" s="883">
        <f t="shared" si="19"/>
        <v>2.399998100634893E-10</v>
      </c>
      <c r="BB170" s="884">
        <f t="shared" si="19"/>
        <v>2.399998100634893E-10</v>
      </c>
      <c r="BC170" s="884">
        <f t="shared" si="19"/>
        <v>2.399998100634893E-10</v>
      </c>
      <c r="BD170" s="884">
        <f t="shared" si="19"/>
        <v>2.399998100634893E-10</v>
      </c>
      <c r="BE170" s="884">
        <f t="shared" si="19"/>
        <v>2.8643013493673381E-10</v>
      </c>
      <c r="BF170" s="885">
        <f t="shared" si="19"/>
        <v>3.536174505391775E-10</v>
      </c>
      <c r="BG170" s="877"/>
      <c r="BH170" s="883">
        <f t="shared" si="19"/>
        <v>3.712631503927378E-4</v>
      </c>
      <c r="BI170" s="884">
        <f t="shared" si="19"/>
        <v>3.712631503927378E-4</v>
      </c>
      <c r="BJ170" s="884">
        <f t="shared" si="19"/>
        <v>3.712631503927378E-4</v>
      </c>
      <c r="BK170" s="884">
        <f t="shared" si="19"/>
        <v>3.712631503927378E-4</v>
      </c>
      <c r="BL170" s="884">
        <f t="shared" si="19"/>
        <v>4.4308766009397031E-4</v>
      </c>
      <c r="BM170" s="885">
        <f t="shared" si="19"/>
        <v>5.4702180258514848E-4</v>
      </c>
      <c r="BN170" s="877"/>
      <c r="BO170" s="883">
        <f t="shared" si="19"/>
        <v>4.2263557340983744E-4</v>
      </c>
      <c r="BP170" s="884">
        <f t="shared" si="19"/>
        <v>4.2263557340983744E-4</v>
      </c>
      <c r="BQ170" s="884">
        <f t="shared" si="19"/>
        <v>4.2263557340983744E-4</v>
      </c>
      <c r="BR170" s="884">
        <f t="shared" si="19"/>
        <v>4.2263557340983744E-4</v>
      </c>
      <c r="BS170" s="884">
        <f t="shared" si="19"/>
        <v>5.0439858385229429E-4</v>
      </c>
      <c r="BT170" s="885">
        <f t="shared" si="19"/>
        <v>6.2271430105221518E-4</v>
      </c>
      <c r="BU170" s="877"/>
      <c r="BV170" s="883">
        <f t="shared" si="19"/>
        <v>0.54731272626009475</v>
      </c>
      <c r="BW170" s="885">
        <f t="shared" si="19"/>
        <v>0.67569472377789463</v>
      </c>
      <c r="BX170" s="406"/>
      <c r="BY170" s="406"/>
      <c r="BZ170" s="406"/>
      <c r="CA170" s="406"/>
      <c r="CB170" s="406"/>
      <c r="CC170" s="406"/>
      <c r="CD170" s="406"/>
      <c r="CE170" s="406"/>
      <c r="CF170" s="406"/>
      <c r="CG170" s="406"/>
      <c r="CH170" s="406"/>
      <c r="CI170" s="406"/>
      <c r="CJ170" s="406"/>
      <c r="CK170" s="406"/>
      <c r="CL170" s="406"/>
      <c r="CM170" s="406"/>
      <c r="CN170" s="406"/>
      <c r="CO170" s="406"/>
      <c r="CP170" s="406"/>
      <c r="CQ170" s="406"/>
      <c r="CR170" s="406"/>
      <c r="CS170" s="406"/>
      <c r="CT170" s="406"/>
      <c r="CU170" s="406"/>
      <c r="CV170" s="406"/>
      <c r="CW170" s="406"/>
      <c r="CX170" s="406"/>
      <c r="CY170" s="406"/>
      <c r="CZ170" s="406"/>
      <c r="DA170" s="406"/>
      <c r="DB170" s="406"/>
      <c r="DC170" s="406"/>
      <c r="DD170" s="406"/>
      <c r="DE170" s="406"/>
      <c r="DF170" s="406"/>
      <c r="DG170" s="406"/>
      <c r="DH170" s="406"/>
      <c r="DI170" s="406"/>
      <c r="DJ170" s="406"/>
      <c r="DK170" s="406"/>
      <c r="DL170" s="406"/>
      <c r="DM170" s="406"/>
      <c r="DN170" s="406"/>
      <c r="DO170" s="406"/>
      <c r="DP170" s="406"/>
      <c r="DQ170" s="406"/>
      <c r="DR170" s="406"/>
      <c r="DS170" s="406"/>
      <c r="DT170" s="406"/>
      <c r="DU170" s="406"/>
      <c r="DV170" s="406"/>
      <c r="DW170" s="406"/>
      <c r="DX170" s="406"/>
      <c r="DY170" s="406"/>
      <c r="DZ170" s="406"/>
      <c r="EA170" s="406"/>
      <c r="EB170" s="406"/>
      <c r="EC170" s="406"/>
      <c r="ED170" s="406"/>
      <c r="EE170" s="406"/>
      <c r="EF170" s="406"/>
      <c r="EG170" s="406"/>
      <c r="EH170" s="406"/>
      <c r="EI170" s="406"/>
      <c r="EJ170" s="406"/>
      <c r="EK170" s="406"/>
      <c r="EL170" s="406"/>
      <c r="EM170" s="406"/>
      <c r="EN170" s="406"/>
      <c r="EO170" s="406"/>
      <c r="EP170" s="406"/>
      <c r="EQ170" s="406"/>
      <c r="ER170" s="406"/>
      <c r="ES170" s="406"/>
      <c r="ET170" s="406"/>
      <c r="EU170" s="406"/>
      <c r="EV170" s="406"/>
      <c r="EW170" s="406"/>
      <c r="EX170" s="406"/>
      <c r="EY170" s="406"/>
      <c r="EZ170" s="406"/>
      <c r="FA170" s="406"/>
      <c r="FB170" s="406"/>
      <c r="FC170" s="406"/>
      <c r="FD170" s="406"/>
      <c r="FE170" s="406"/>
      <c r="FF170" s="406"/>
      <c r="FG170" s="406"/>
      <c r="FH170" s="406"/>
      <c r="FI170" s="406"/>
      <c r="FJ170" s="406"/>
      <c r="FK170" s="406"/>
      <c r="FL170" s="406"/>
      <c r="FM170" s="406"/>
      <c r="FN170" s="406"/>
      <c r="FO170" s="406"/>
      <c r="FP170" s="406"/>
      <c r="FQ170" s="406"/>
      <c r="FR170" s="406"/>
      <c r="FS170" s="406"/>
      <c r="FT170" s="406"/>
      <c r="FU170" s="406"/>
      <c r="FV170" s="406"/>
      <c r="FW170" s="406"/>
      <c r="FX170" s="406"/>
      <c r="FY170" s="406"/>
      <c r="FZ170" s="406"/>
      <c r="GA170" s="406"/>
      <c r="GB170" s="406"/>
      <c r="GC170" s="406"/>
      <c r="GD170" s="406"/>
      <c r="GE170" s="406"/>
      <c r="GF170" s="406"/>
      <c r="GG170" s="406"/>
      <c r="GH170" s="406"/>
      <c r="GI170" s="406"/>
      <c r="GJ170" s="406"/>
      <c r="GK170" s="406"/>
      <c r="GL170" s="406"/>
      <c r="GM170" s="406"/>
      <c r="GN170" s="406"/>
      <c r="GO170" s="406"/>
      <c r="GP170" s="406"/>
      <c r="GQ170" s="406"/>
      <c r="GR170" s="406"/>
      <c r="GS170" s="406"/>
      <c r="GT170" s="406"/>
      <c r="GU170" s="406"/>
      <c r="GV170" s="406"/>
      <c r="GW170" s="406"/>
      <c r="GX170" s="406"/>
      <c r="GY170" s="406"/>
      <c r="GZ170" s="406"/>
      <c r="HA170" s="406"/>
      <c r="HB170" s="406"/>
      <c r="HC170" s="406"/>
      <c r="HD170" s="406"/>
      <c r="HE170" s="406"/>
      <c r="HF170" s="406"/>
      <c r="HG170" s="406"/>
      <c r="HH170" s="406"/>
      <c r="HI170" s="406"/>
      <c r="HJ170" s="406"/>
      <c r="HK170" s="406"/>
      <c r="HL170" s="406"/>
      <c r="HM170" s="406"/>
      <c r="HN170" s="406"/>
      <c r="HO170" s="406"/>
      <c r="HP170" s="406"/>
      <c r="HQ170" s="406"/>
      <c r="HR170" s="406"/>
      <c r="HS170" s="406"/>
      <c r="HT170" s="406"/>
      <c r="HU170" s="406"/>
      <c r="HV170" s="406"/>
      <c r="HW170" s="406"/>
      <c r="HX170" s="406"/>
      <c r="HY170" s="406"/>
      <c r="HZ170" s="406"/>
      <c r="IA170" s="406"/>
      <c r="IB170" s="406"/>
      <c r="IC170" s="406"/>
      <c r="ID170" s="406"/>
      <c r="IE170" s="406"/>
      <c r="IF170" s="406"/>
      <c r="IG170" s="406"/>
      <c r="IH170" s="406"/>
      <c r="II170" s="406"/>
      <c r="IJ170" s="406"/>
      <c r="IK170" s="406"/>
      <c r="IL170" s="406"/>
      <c r="IM170" s="406"/>
      <c r="IN170" s="406"/>
      <c r="IO170" s="406"/>
      <c r="IP170" s="406"/>
      <c r="IQ170" s="406"/>
      <c r="IR170" s="406"/>
      <c r="IS170" s="406"/>
    </row>
    <row r="171" spans="1:253" s="406" customFormat="1" ht="17.25">
      <c r="A171" s="499"/>
      <c r="B171" s="55"/>
      <c r="C171" s="917"/>
      <c r="D171" s="5"/>
      <c r="E171" s="1294" t="s">
        <v>317</v>
      </c>
      <c r="F171" s="877">
        <f t="shared" ref="F171:W173" si="20">F175*$C$174+F179*$C$178+$C$182*F183</f>
        <v>3.9989486962957101E-2</v>
      </c>
      <c r="G171" s="877">
        <f t="shared" si="20"/>
        <v>0.18154799645395564</v>
      </c>
      <c r="H171" s="878">
        <f t="shared" si="20"/>
        <v>0.39330229914542986</v>
      </c>
      <c r="I171" s="877">
        <f t="shared" si="20"/>
        <v>5.4943641909925234E-2</v>
      </c>
      <c r="J171" s="877">
        <f t="shared" si="20"/>
        <v>0.03</v>
      </c>
      <c r="K171" s="877">
        <f t="shared" si="20"/>
        <v>0</v>
      </c>
      <c r="L171" s="877">
        <f t="shared" si="20"/>
        <v>0</v>
      </c>
      <c r="M171" s="877"/>
      <c r="N171" s="877">
        <f t="shared" si="20"/>
        <v>3.6614867581073282E-2</v>
      </c>
      <c r="O171" s="877">
        <f t="shared" si="20"/>
        <v>0</v>
      </c>
      <c r="P171" s="877">
        <f t="shared" si="20"/>
        <v>0.02</v>
      </c>
      <c r="Q171" s="877">
        <f t="shared" si="20"/>
        <v>0</v>
      </c>
      <c r="R171" s="877">
        <f t="shared" si="20"/>
        <v>3.9989486962957101E-2</v>
      </c>
      <c r="S171" s="877">
        <f t="shared" si="20"/>
        <v>0</v>
      </c>
      <c r="T171" s="877">
        <f t="shared" si="20"/>
        <v>0</v>
      </c>
      <c r="U171" s="877">
        <f t="shared" si="20"/>
        <v>0.18154799645395564</v>
      </c>
      <c r="V171" s="877">
        <f t="shared" si="20"/>
        <v>0.05</v>
      </c>
      <c r="W171" s="877">
        <f t="shared" si="20"/>
        <v>9.8000000000000018E-2</v>
      </c>
      <c r="X171" s="864"/>
      <c r="Y171" s="879"/>
      <c r="Z171" s="877"/>
      <c r="AA171" s="877"/>
      <c r="AB171" s="877"/>
      <c r="AC171" s="877"/>
      <c r="AD171" s="886"/>
      <c r="AE171" s="877"/>
      <c r="AF171" s="879"/>
      <c r="AG171" s="877"/>
      <c r="AH171" s="877"/>
      <c r="AI171" s="877"/>
      <c r="AJ171" s="877"/>
      <c r="AK171" s="886"/>
      <c r="AL171" s="877"/>
      <c r="AM171" s="879"/>
      <c r="AN171" s="877"/>
      <c r="AO171" s="877"/>
      <c r="AP171" s="877"/>
      <c r="AQ171" s="877"/>
      <c r="AR171" s="886"/>
      <c r="AS171" s="877"/>
      <c r="AT171" s="879"/>
      <c r="AU171" s="877"/>
      <c r="AV171" s="877"/>
      <c r="AW171" s="877"/>
      <c r="AX171" s="877"/>
      <c r="AY171" s="886"/>
      <c r="AZ171" s="877"/>
      <c r="BA171" s="879"/>
      <c r="BB171" s="877"/>
      <c r="BC171" s="877"/>
      <c r="BD171" s="877"/>
      <c r="BE171" s="877"/>
      <c r="BF171" s="886"/>
      <c r="BG171" s="877"/>
      <c r="BH171" s="879"/>
      <c r="BI171" s="877"/>
      <c r="BJ171" s="877"/>
      <c r="BK171" s="877"/>
      <c r="BL171" s="877"/>
      <c r="BM171" s="886"/>
      <c r="BN171" s="877"/>
      <c r="BO171" s="879"/>
      <c r="BP171" s="877"/>
      <c r="BQ171" s="877"/>
      <c r="BR171" s="877"/>
      <c r="BS171" s="877"/>
      <c r="BT171" s="886"/>
      <c r="BU171" s="877"/>
      <c r="BV171" s="879"/>
      <c r="BW171" s="886"/>
    </row>
    <row r="172" spans="1:253" s="406" customFormat="1" ht="17.25">
      <c r="A172" s="499"/>
      <c r="B172" s="55"/>
      <c r="C172" s="595"/>
      <c r="D172" s="50"/>
      <c r="E172" s="1294" t="s">
        <v>367</v>
      </c>
      <c r="F172" s="877">
        <f t="shared" si="20"/>
        <v>0</v>
      </c>
      <c r="G172" s="877">
        <f t="shared" si="20"/>
        <v>9.5771709109784619E-5</v>
      </c>
      <c r="H172" s="878">
        <f t="shared" si="20"/>
        <v>1.1429968863800529E-4</v>
      </c>
      <c r="I172" s="877">
        <f t="shared" si="20"/>
        <v>7.9552557413900858E-5</v>
      </c>
      <c r="J172" s="877">
        <f t="shared" si="20"/>
        <v>0</v>
      </c>
      <c r="K172" s="877">
        <f t="shared" si="20"/>
        <v>0</v>
      </c>
      <c r="L172" s="877">
        <f t="shared" si="20"/>
        <v>0</v>
      </c>
      <c r="M172" s="877"/>
      <c r="N172" s="877">
        <f t="shared" si="20"/>
        <v>1.6219151695883755E-5</v>
      </c>
      <c r="O172" s="877">
        <f t="shared" si="20"/>
        <v>0</v>
      </c>
      <c r="P172" s="877">
        <f t="shared" si="20"/>
        <v>0</v>
      </c>
      <c r="Q172" s="877">
        <f t="shared" si="20"/>
        <v>0</v>
      </c>
      <c r="R172" s="877">
        <f t="shared" si="20"/>
        <v>0</v>
      </c>
      <c r="S172" s="877">
        <f t="shared" si="20"/>
        <v>0</v>
      </c>
      <c r="T172" s="877">
        <f t="shared" si="20"/>
        <v>0</v>
      </c>
      <c r="U172" s="877">
        <f t="shared" si="20"/>
        <v>9.5771709109784619E-5</v>
      </c>
      <c r="V172" s="877">
        <f t="shared" si="20"/>
        <v>0</v>
      </c>
      <c r="W172" s="877">
        <f t="shared" si="20"/>
        <v>0</v>
      </c>
      <c r="X172" s="864"/>
      <c r="Y172" s="879"/>
      <c r="Z172" s="877"/>
      <c r="AA172" s="877"/>
      <c r="AB172" s="877"/>
      <c r="AC172" s="877"/>
      <c r="AD172" s="886"/>
      <c r="AE172" s="877"/>
      <c r="AF172" s="879"/>
      <c r="AG172" s="877"/>
      <c r="AH172" s="877"/>
      <c r="AI172" s="877"/>
      <c r="AJ172" s="877"/>
      <c r="AK172" s="886"/>
      <c r="AL172" s="877"/>
      <c r="AM172" s="879"/>
      <c r="AN172" s="877"/>
      <c r="AO172" s="877"/>
      <c r="AP172" s="877"/>
      <c r="AQ172" s="877"/>
      <c r="AR172" s="886"/>
      <c r="AS172" s="877"/>
      <c r="AT172" s="879"/>
      <c r="AU172" s="877"/>
      <c r="AV172" s="877"/>
      <c r="AW172" s="877"/>
      <c r="AX172" s="877"/>
      <c r="AY172" s="886"/>
      <c r="AZ172" s="877"/>
      <c r="BA172" s="879"/>
      <c r="BB172" s="877"/>
      <c r="BC172" s="877"/>
      <c r="BD172" s="877"/>
      <c r="BE172" s="877"/>
      <c r="BF172" s="886"/>
      <c r="BG172" s="877"/>
      <c r="BH172" s="879"/>
      <c r="BI172" s="877"/>
      <c r="BJ172" s="877"/>
      <c r="BK172" s="877"/>
      <c r="BL172" s="877"/>
      <c r="BM172" s="886"/>
      <c r="BN172" s="877"/>
      <c r="BO172" s="879"/>
      <c r="BP172" s="877"/>
      <c r="BQ172" s="877"/>
      <c r="BR172" s="877"/>
      <c r="BS172" s="877"/>
      <c r="BT172" s="886"/>
      <c r="BU172" s="877"/>
      <c r="BV172" s="879"/>
      <c r="BW172" s="886"/>
    </row>
    <row r="173" spans="1:253" s="406" customFormat="1" ht="17.25">
      <c r="A173" s="18"/>
      <c r="B173" s="360"/>
      <c r="C173" s="83"/>
      <c r="D173" s="54"/>
      <c r="E173" s="1295" t="s">
        <v>320</v>
      </c>
      <c r="F173" s="877">
        <f t="shared" si="20"/>
        <v>5.3558467636383774E-4</v>
      </c>
      <c r="G173" s="877">
        <f t="shared" si="20"/>
        <v>6.5381097095186384E-4</v>
      </c>
      <c r="H173" s="878">
        <f t="shared" si="20"/>
        <v>7.8029713683239502E-4</v>
      </c>
      <c r="I173" s="877">
        <f t="shared" si="20"/>
        <v>1.1724243882056829E-4</v>
      </c>
      <c r="J173" s="877">
        <f t="shared" si="20"/>
        <v>0</v>
      </c>
      <c r="K173" s="877">
        <f t="shared" si="20"/>
        <v>4.8689516033076157E-4</v>
      </c>
      <c r="L173" s="877">
        <f t="shared" si="20"/>
        <v>4.8689516033076168E-5</v>
      </c>
      <c r="M173" s="877"/>
      <c r="N173" s="877">
        <f t="shared" si="20"/>
        <v>9.8385576745771222E-7</v>
      </c>
      <c r="O173" s="877">
        <f t="shared" si="20"/>
        <v>0</v>
      </c>
      <c r="P173" s="877">
        <f t="shared" si="20"/>
        <v>0</v>
      </c>
      <c r="Q173" s="877">
        <f t="shared" si="20"/>
        <v>0</v>
      </c>
      <c r="R173" s="877">
        <f t="shared" si="20"/>
        <v>0</v>
      </c>
      <c r="S173" s="877">
        <f t="shared" si="20"/>
        <v>0</v>
      </c>
      <c r="T173" s="877">
        <f t="shared" si="20"/>
        <v>0</v>
      </c>
      <c r="U173" s="877">
        <f t="shared" si="20"/>
        <v>6.5381097095186384E-4</v>
      </c>
      <c r="V173" s="877">
        <f t="shared" si="20"/>
        <v>0</v>
      </c>
      <c r="W173" s="877">
        <f t="shared" si="20"/>
        <v>0</v>
      </c>
      <c r="X173" s="864"/>
      <c r="Y173" s="879"/>
      <c r="Z173" s="877"/>
      <c r="AA173" s="877"/>
      <c r="AB173" s="877"/>
      <c r="AC173" s="877"/>
      <c r="AD173" s="886"/>
      <c r="AE173" s="877"/>
      <c r="AF173" s="879"/>
      <c r="AG173" s="877"/>
      <c r="AH173" s="877"/>
      <c r="AI173" s="877"/>
      <c r="AJ173" s="877"/>
      <c r="AK173" s="886"/>
      <c r="AL173" s="877"/>
      <c r="AM173" s="879"/>
      <c r="AN173" s="877"/>
      <c r="AO173" s="877"/>
      <c r="AP173" s="877"/>
      <c r="AQ173" s="877"/>
      <c r="AR173" s="886"/>
      <c r="AS173" s="877"/>
      <c r="AT173" s="879"/>
      <c r="AU173" s="877"/>
      <c r="AV173" s="877"/>
      <c r="AW173" s="877"/>
      <c r="AX173" s="877"/>
      <c r="AY173" s="886"/>
      <c r="AZ173" s="877"/>
      <c r="BA173" s="879"/>
      <c r="BB173" s="877"/>
      <c r="BC173" s="877"/>
      <c r="BD173" s="877"/>
      <c r="BE173" s="877"/>
      <c r="BF173" s="886"/>
      <c r="BG173" s="877"/>
      <c r="BH173" s="879"/>
      <c r="BI173" s="877"/>
      <c r="BJ173" s="877"/>
      <c r="BK173" s="877"/>
      <c r="BL173" s="877"/>
      <c r="BM173" s="886"/>
      <c r="BN173" s="877"/>
      <c r="BO173" s="879"/>
      <c r="BP173" s="877"/>
      <c r="BQ173" s="877"/>
      <c r="BR173" s="877"/>
      <c r="BS173" s="877"/>
      <c r="BT173" s="886"/>
      <c r="BU173" s="877"/>
      <c r="BV173" s="879"/>
      <c r="BW173" s="886"/>
    </row>
    <row r="174" spans="1:253" s="502" customFormat="1" ht="17.25">
      <c r="A174" s="20" t="s">
        <v>122</v>
      </c>
      <c r="B174" s="93" t="s">
        <v>121</v>
      </c>
      <c r="C174" s="87">
        <f>'Input data plant-based products'!D75</f>
        <v>0.66</v>
      </c>
      <c r="D174" s="54"/>
      <c r="E174" s="1293" t="s">
        <v>316</v>
      </c>
      <c r="F174" s="872">
        <f>SUMPRODUCT($CE$14:$CE$16,F175:F177)</f>
        <v>0.21244206014878672</v>
      </c>
      <c r="G174" s="872">
        <f>SUMPRODUCT($CE$14:$CE$16,G175:G177)</f>
        <v>0.39746129673010511</v>
      </c>
      <c r="H174" s="873">
        <f>SUMPRODUCT($CE$14:$CE$16,H175:H177)</f>
        <v>0.56983088283817296</v>
      </c>
      <c r="I174" s="888"/>
      <c r="J174" s="888"/>
      <c r="K174" s="888"/>
      <c r="L174" s="888"/>
      <c r="M174" s="888"/>
      <c r="N174" s="888"/>
      <c r="O174" s="888"/>
      <c r="P174" s="888"/>
      <c r="Q174" s="888"/>
      <c r="R174" s="888"/>
      <c r="S174" s="888"/>
      <c r="T174" s="888"/>
      <c r="U174" s="888"/>
      <c r="V174" s="888"/>
      <c r="W174" s="888"/>
      <c r="X174" s="864"/>
      <c r="Y174" s="879">
        <f>1/'Input data plant-based products'!E75*10^4</f>
        <v>1.186419574806896</v>
      </c>
      <c r="Z174" s="877">
        <f>$Y174*'Input data plant-based products'!Z75</f>
        <v>1.186419574806896</v>
      </c>
      <c r="AA174" s="877">
        <f>$Y174*'Input data plant-based products'!AA75</f>
        <v>1.186419574806896</v>
      </c>
      <c r="AB174" s="877">
        <f>$Y174*'Input data plant-based products'!AB75</f>
        <v>1.186419574806896</v>
      </c>
      <c r="AC174" s="877">
        <f>$Y174*'Input data plant-based products'!AC75</f>
        <v>1.4159441160125266</v>
      </c>
      <c r="AD174" s="886">
        <f>$Y174*'Input data plant-based products'!AD75</f>
        <v>1.7480791555710202</v>
      </c>
      <c r="AE174" s="877"/>
      <c r="AF174" s="879">
        <f>SUM('Input data plant-based products'!F75,'Input data plant-based products'!Q75)/'Input data plant-based products'!E75</f>
        <v>1.7796293622103439E-2</v>
      </c>
      <c r="AG174" s="877">
        <f>$AF174*'Input data plant-based products'!Z75</f>
        <v>1.7796293622103439E-2</v>
      </c>
      <c r="AH174" s="877">
        <f>$AF174*'Input data plant-based products'!AA75</f>
        <v>1.7796293622103439E-2</v>
      </c>
      <c r="AI174" s="877">
        <f>$AF174*'Input data plant-based products'!AB75</f>
        <v>1.7796293622103439E-2</v>
      </c>
      <c r="AJ174" s="877">
        <f>$AF174*'Input data plant-based products'!AC75</f>
        <v>2.1239161740187897E-2</v>
      </c>
      <c r="AK174" s="886">
        <f>$AF174*'Input data plant-based products'!AD75</f>
        <v>2.6221187333565304E-2</v>
      </c>
      <c r="AL174" s="877"/>
      <c r="AM174" s="879">
        <f>'Input data plant-based products'!R75/'Input data plant-based products'!E75</f>
        <v>2.7222103127510738E-3</v>
      </c>
      <c r="AN174" s="877">
        <f>$AM174*'Input data plant-based products'!Z75</f>
        <v>2.7222103127510738E-3</v>
      </c>
      <c r="AO174" s="877">
        <f>$AM174*'Input data plant-based products'!AA75</f>
        <v>2.7222103127510738E-3</v>
      </c>
      <c r="AP174" s="877">
        <f>$AM174*'Input data plant-based products'!AB75</f>
        <v>2.7222103127510738E-3</v>
      </c>
      <c r="AQ174" s="877">
        <f>$AM174*'Input data plant-based products'!AC75</f>
        <v>3.2488486845101729E-3</v>
      </c>
      <c r="AR174" s="886">
        <f>$AM174*'Input data plant-based products'!AD75</f>
        <v>4.0109243018644101E-3</v>
      </c>
      <c r="AS174" s="877"/>
      <c r="AT174" s="879">
        <f>'Input data plant-based products'!S75</f>
        <v>9.7365303190518494E-3</v>
      </c>
      <c r="AU174" s="877">
        <f>$AT174*'Input data plant-based products'!Z75</f>
        <v>9.7365303190518494E-3</v>
      </c>
      <c r="AV174" s="877">
        <f>$AT174*'Input data plant-based products'!AA75</f>
        <v>9.7365303190518494E-3</v>
      </c>
      <c r="AW174" s="877">
        <f>$AT174*'Input data plant-based products'!AB75</f>
        <v>9.7365303190518494E-3</v>
      </c>
      <c r="AX174" s="877">
        <f>$AT174*'Input data plant-based products'!AC75</f>
        <v>1.1620157917474458E-2</v>
      </c>
      <c r="AY174" s="886">
        <f>$AT174*'Input data plant-based products'!AD75</f>
        <v>1.4345873972190688E-2</v>
      </c>
      <c r="AZ174" s="877"/>
      <c r="BA174" s="879">
        <f>((SUM('Input data plant-based products'!U75:Y75)*Y174)/('Common input data'!$B$192/10^6))/$BB$3</f>
        <v>8.3926075793616248E-12</v>
      </c>
      <c r="BB174" s="877">
        <f>$BA174*'Input data plant-based products'!Z75</f>
        <v>8.3926075793616248E-12</v>
      </c>
      <c r="BC174" s="877">
        <f>$BA174*'Input data plant-based products'!AA75</f>
        <v>8.3926075793616248E-12</v>
      </c>
      <c r="BD174" s="877">
        <f>$BA174*'Input data plant-based products'!AB75</f>
        <v>8.3926075793616248E-12</v>
      </c>
      <c r="BE174" s="877">
        <f>$BA174*'Input data plant-based products'!AC75</f>
        <v>1.0016240099488751E-11</v>
      </c>
      <c r="BF174" s="886">
        <f>$BA174*'Input data plant-based products'!AD75</f>
        <v>1.2365728517887346E-11</v>
      </c>
      <c r="BG174" s="877"/>
      <c r="BH174" s="879">
        <f>'Input data plant-based products'!T75/'Input data plant-based products'!E75</f>
        <v>3.410956277569826E-4</v>
      </c>
      <c r="BI174" s="877">
        <f>$BH174*'Input data plant-based products'!Z75</f>
        <v>3.410956277569826E-4</v>
      </c>
      <c r="BJ174" s="877">
        <f>$BH174*'Input data plant-based products'!AA75</f>
        <v>3.410956277569826E-4</v>
      </c>
      <c r="BK174" s="877">
        <f>$BH174*'Input data plant-based products'!AB75</f>
        <v>3.410956277569826E-4</v>
      </c>
      <c r="BL174" s="877">
        <f>$BH174*'Input data plant-based products'!AC75</f>
        <v>4.0708393335360136E-4</v>
      </c>
      <c r="BM174" s="886">
        <f>$BH174*'Input data plant-based products'!AD75</f>
        <v>5.0257275722666826E-4</v>
      </c>
      <c r="BN174" s="877"/>
      <c r="BO174" s="879">
        <f>('Input data plant-based products'!F75/'Input data plant-based products'!E75*'Common input data'!$B$195+'Input data plant-based products'!G75/'Input data plant-based products'!E75*'Common input data'!$B$196)/'Common input data'!$B$198</f>
        <v>4.5440581211100996E-4</v>
      </c>
      <c r="BP174" s="877">
        <f>$BO174*'Input data plant-based products'!Z75</f>
        <v>4.5440581211100996E-4</v>
      </c>
      <c r="BQ174" s="877">
        <f>$BO174*'Input data plant-based products'!AA75</f>
        <v>4.5440581211100996E-4</v>
      </c>
      <c r="BR174" s="877">
        <f>$BO174*'Input data plant-based products'!AB75</f>
        <v>4.5440581211100996E-4</v>
      </c>
      <c r="BS174" s="877">
        <f>$BO174*'Input data plant-based products'!AC75</f>
        <v>5.4231508785178414E-4</v>
      </c>
      <c r="BT174" s="886">
        <f>$BO174*'Input data plant-based products'!AD75</f>
        <v>6.6952479981701742E-4</v>
      </c>
      <c r="BU174" s="877"/>
      <c r="BV174" s="879">
        <f>'Common input data'!$C$202*'Input data plant-based products'!AC75</f>
        <v>0.17090344909893782</v>
      </c>
      <c r="BW174" s="886">
        <f>'Common input data'!$C$202*'Input data plant-based products'!AD75</f>
        <v>0.21099191246782442</v>
      </c>
      <c r="BX174" s="406"/>
      <c r="BY174" s="406"/>
      <c r="BZ174" s="406"/>
      <c r="CA174" s="406"/>
      <c r="CB174" s="406"/>
      <c r="CC174" s="406"/>
      <c r="CD174" s="406"/>
      <c r="CE174" s="406"/>
      <c r="CF174" s="406"/>
      <c r="CG174" s="406"/>
      <c r="CH174" s="406"/>
      <c r="CI174" s="406"/>
      <c r="CJ174" s="406"/>
      <c r="CK174" s="406"/>
      <c r="CL174" s="406"/>
      <c r="CM174" s="406"/>
      <c r="CN174" s="406"/>
      <c r="CO174" s="406"/>
      <c r="CP174" s="406"/>
      <c r="CQ174" s="406"/>
      <c r="CR174" s="406"/>
      <c r="CS174" s="406"/>
      <c r="CT174" s="406"/>
      <c r="CU174" s="406"/>
      <c r="CV174" s="406"/>
      <c r="CW174" s="406"/>
      <c r="CX174" s="406"/>
      <c r="CY174" s="406"/>
      <c r="CZ174" s="406"/>
      <c r="DA174" s="406"/>
      <c r="DB174" s="406"/>
      <c r="DC174" s="406"/>
      <c r="DD174" s="406"/>
      <c r="DE174" s="406"/>
      <c r="DF174" s="406"/>
      <c r="DG174" s="406"/>
      <c r="DH174" s="406"/>
      <c r="DI174" s="406"/>
      <c r="DJ174" s="406"/>
      <c r="DK174" s="406"/>
      <c r="DL174" s="406"/>
      <c r="DM174" s="406"/>
      <c r="DN174" s="406"/>
      <c r="DO174" s="406"/>
      <c r="DP174" s="406"/>
      <c r="DQ174" s="406"/>
      <c r="DR174" s="406"/>
      <c r="DS174" s="406"/>
      <c r="DT174" s="406"/>
      <c r="DU174" s="406"/>
      <c r="DV174" s="406"/>
      <c r="DW174" s="406"/>
      <c r="DX174" s="406"/>
      <c r="DY174" s="406"/>
      <c r="DZ174" s="406"/>
      <c r="EA174" s="406"/>
      <c r="EB174" s="406"/>
      <c r="EC174" s="406"/>
      <c r="ED174" s="406"/>
      <c r="EE174" s="406"/>
      <c r="EF174" s="406"/>
      <c r="EG174" s="406"/>
      <c r="EH174" s="406"/>
      <c r="EI174" s="406"/>
      <c r="EJ174" s="406"/>
      <c r="EK174" s="406"/>
      <c r="EL174" s="406"/>
      <c r="EM174" s="406"/>
      <c r="EN174" s="406"/>
      <c r="EO174" s="406"/>
      <c r="EP174" s="406"/>
      <c r="EQ174" s="406"/>
      <c r="ER174" s="406"/>
      <c r="ES174" s="406"/>
      <c r="ET174" s="406"/>
      <c r="EU174" s="406"/>
      <c r="EV174" s="406"/>
      <c r="EW174" s="406"/>
      <c r="EX174" s="406"/>
      <c r="EY174" s="406"/>
      <c r="EZ174" s="406"/>
      <c r="FA174" s="406"/>
      <c r="FB174" s="406"/>
      <c r="FC174" s="406"/>
      <c r="FD174" s="406"/>
      <c r="FE174" s="406"/>
      <c r="FF174" s="406"/>
      <c r="FG174" s="406"/>
      <c r="FH174" s="406"/>
      <c r="FI174" s="406"/>
      <c r="FJ174" s="406"/>
      <c r="FK174" s="406"/>
      <c r="FL174" s="406"/>
      <c r="FM174" s="406"/>
      <c r="FN174" s="406"/>
      <c r="FO174" s="406"/>
      <c r="FP174" s="406"/>
      <c r="FQ174" s="406"/>
      <c r="FR174" s="406"/>
      <c r="FS174" s="406"/>
      <c r="FT174" s="406"/>
      <c r="FU174" s="406"/>
      <c r="FV174" s="406"/>
      <c r="FW174" s="406"/>
      <c r="FX174" s="406"/>
      <c r="FY174" s="406"/>
      <c r="FZ174" s="406"/>
      <c r="GA174" s="406"/>
      <c r="GB174" s="406"/>
      <c r="GC174" s="406"/>
      <c r="GD174" s="406"/>
      <c r="GE174" s="406"/>
      <c r="GF174" s="406"/>
      <c r="GG174" s="406"/>
      <c r="GH174" s="406"/>
      <c r="GI174" s="406"/>
      <c r="GJ174" s="406"/>
      <c r="GK174" s="406"/>
      <c r="GL174" s="406"/>
      <c r="GM174" s="406"/>
      <c r="GN174" s="406"/>
      <c r="GO174" s="406"/>
      <c r="GP174" s="406"/>
      <c r="GQ174" s="406"/>
      <c r="GR174" s="406"/>
      <c r="GS174" s="406"/>
      <c r="GT174" s="406"/>
      <c r="GU174" s="406"/>
      <c r="GV174" s="406"/>
      <c r="GW174" s="406"/>
      <c r="GX174" s="406"/>
      <c r="GY174" s="406"/>
      <c r="GZ174" s="406"/>
      <c r="HA174" s="406"/>
      <c r="HB174" s="406"/>
      <c r="HC174" s="406"/>
      <c r="HD174" s="406"/>
      <c r="HE174" s="406"/>
      <c r="HF174" s="406"/>
      <c r="HG174" s="406"/>
      <c r="HH174" s="406"/>
      <c r="HI174" s="406"/>
      <c r="HJ174" s="406"/>
      <c r="HK174" s="406"/>
      <c r="HL174" s="406"/>
      <c r="HM174" s="406"/>
      <c r="HN174" s="406"/>
      <c r="HO174" s="406"/>
      <c r="HP174" s="406"/>
      <c r="HQ174" s="406"/>
      <c r="HR174" s="406"/>
      <c r="HS174" s="406"/>
      <c r="HT174" s="406"/>
      <c r="HU174" s="406"/>
      <c r="HV174" s="406"/>
      <c r="HW174" s="406"/>
      <c r="HX174" s="406"/>
      <c r="HY174" s="406"/>
      <c r="HZ174" s="406"/>
      <c r="IA174" s="406"/>
      <c r="IB174" s="406"/>
      <c r="IC174" s="406"/>
      <c r="ID174" s="406"/>
      <c r="IE174" s="406"/>
      <c r="IF174" s="406"/>
      <c r="IG174" s="406"/>
      <c r="IH174" s="406"/>
      <c r="II174" s="406"/>
      <c r="IJ174" s="406"/>
      <c r="IK174" s="406"/>
      <c r="IL174" s="406"/>
      <c r="IM174" s="406"/>
      <c r="IN174" s="406"/>
      <c r="IO174" s="406"/>
      <c r="IP174" s="406"/>
      <c r="IQ174" s="406"/>
      <c r="IR174" s="406"/>
      <c r="IS174" s="406"/>
    </row>
    <row r="175" spans="1:253" s="406" customFormat="1" ht="17.25">
      <c r="A175" s="499"/>
      <c r="B175" s="55"/>
      <c r="C175" s="917"/>
      <c r="D175" s="5"/>
      <c r="E175" s="1294" t="s">
        <v>317</v>
      </c>
      <c r="F175" s="877">
        <f>IF(AND($G$2="No",$G$3="No"),SUM(K175:L175),IF(AND($G$2="Yes", $G$3="No"), SUM(K175:L175)+S175, IF(AND($G$2="No", $G$3="Yes"),SUM(K175:L175)+R175, SUM(K175:L175)+S175+R175)))</f>
        <v>3.9989486962957101E-2</v>
      </c>
      <c r="G175" s="877">
        <f>IF(AND($G$2="No",$G$3="No"),SUM(I175:Q175),IF(AND($G$2="Yes", $G$3="No"), SUM(I175:Q175)+S175, IF(AND($G$2="No", $G$3="Yes"),SUM(I175:Q175)+R175, SUM(I175:Q175)+S175+R175)))</f>
        <v>0.19020670929977374</v>
      </c>
      <c r="H175" s="878">
        <f>SUM(U175:W175)/(1-'Common input data'!$B$140)</f>
        <v>0.32248085606847327</v>
      </c>
      <c r="I175" s="877">
        <f>('Input data plant-based products'!$F$75*('Common input data'!$B$93*'Common input data'!B86+'Common input data'!$B$94*'Common input data'!C86))/'Input data plant-based products'!$E$75</f>
        <v>5.5829260690806126E-2</v>
      </c>
      <c r="J175" s="877">
        <f>'Common input data'!$B$98</f>
        <v>0.03</v>
      </c>
      <c r="K175" s="877">
        <v>0</v>
      </c>
      <c r="L175" s="877">
        <v>0</v>
      </c>
      <c r="M175" s="877"/>
      <c r="N175" s="877">
        <f>('Input data plant-based products'!$P$75*'Common input data'!$C$76*'Common input data'!H66)/'Input data plant-based products'!$E$75</f>
        <v>4.4387961646010526E-2</v>
      </c>
      <c r="O175" s="877">
        <v>0</v>
      </c>
      <c r="P175" s="877">
        <f>'Input data plant-based products'!$G$309</f>
        <v>0.02</v>
      </c>
      <c r="Q175" s="877">
        <v>0</v>
      </c>
      <c r="R175" s="877">
        <f>'Common input data'!$E$19</f>
        <v>3.9989486962957101E-2</v>
      </c>
      <c r="S175" s="877">
        <v>0</v>
      </c>
      <c r="T175" s="877">
        <v>0</v>
      </c>
      <c r="U175" s="877">
        <f>(G175+T175)</f>
        <v>0.19020670929977374</v>
      </c>
      <c r="V175" s="877">
        <f>'Common input data'!$B$105</f>
        <v>0.05</v>
      </c>
      <c r="W175" s="877">
        <f>'Common input data'!C115</f>
        <v>0.03</v>
      </c>
      <c r="X175" s="864"/>
      <c r="Y175" s="879"/>
      <c r="Z175" s="877"/>
      <c r="AA175" s="877"/>
      <c r="AB175" s="877"/>
      <c r="AC175" s="877"/>
      <c r="AD175" s="886"/>
      <c r="AE175" s="877"/>
      <c r="AF175" s="879"/>
      <c r="AG175" s="877"/>
      <c r="AH175" s="877"/>
      <c r="AI175" s="877"/>
      <c r="AJ175" s="877"/>
      <c r="AK175" s="886"/>
      <c r="AL175" s="877"/>
      <c r="AM175" s="879"/>
      <c r="AN175" s="877"/>
      <c r="AO175" s="877"/>
      <c r="AP175" s="877"/>
      <c r="AQ175" s="877"/>
      <c r="AR175" s="886"/>
      <c r="AS175" s="877"/>
      <c r="AT175" s="879"/>
      <c r="AU175" s="877"/>
      <c r="AV175" s="877"/>
      <c r="AW175" s="877"/>
      <c r="AX175" s="877"/>
      <c r="AY175" s="886"/>
      <c r="AZ175" s="877"/>
      <c r="BA175" s="879"/>
      <c r="BB175" s="877"/>
      <c r="BC175" s="877"/>
      <c r="BD175" s="877"/>
      <c r="BE175" s="877"/>
      <c r="BF175" s="886"/>
      <c r="BG175" s="877"/>
      <c r="BH175" s="879"/>
      <c r="BI175" s="877"/>
      <c r="BJ175" s="877"/>
      <c r="BK175" s="877"/>
      <c r="BL175" s="877"/>
      <c r="BM175" s="886"/>
      <c r="BN175" s="877"/>
      <c r="BO175" s="879"/>
      <c r="BP175" s="877"/>
      <c r="BQ175" s="877"/>
      <c r="BR175" s="877"/>
      <c r="BS175" s="877"/>
      <c r="BT175" s="886"/>
      <c r="BU175" s="877"/>
      <c r="BV175" s="879"/>
      <c r="BW175" s="886"/>
    </row>
    <row r="176" spans="1:253" s="406" customFormat="1" ht="17.25">
      <c r="A176" s="18"/>
      <c r="B176" s="55"/>
      <c r="C176" s="595"/>
      <c r="D176" s="50"/>
      <c r="E176" s="1294" t="s">
        <v>367</v>
      </c>
      <c r="F176" s="877">
        <f>SUM(K176:L176)</f>
        <v>0</v>
      </c>
      <c r="G176" s="877">
        <f>SUM(I176:Q176)</f>
        <v>8.9898337811525943E-5</v>
      </c>
      <c r="H176" s="878">
        <f>SUM(U176:W176)/(1-'Common input data'!$B$140)</f>
        <v>1.0729005586767627E-4</v>
      </c>
      <c r="I176" s="877">
        <f>('Input data plant-based products'!$F$75*('Common input data'!$B$93*'Common input data'!B87+'Common input data'!$B$94*'Common input data'!C87))/'Input data plant-based products'!$E$75</f>
        <v>7.0235967551313423E-5</v>
      </c>
      <c r="J176" s="877">
        <v>0</v>
      </c>
      <c r="K176" s="877">
        <v>0</v>
      </c>
      <c r="L176" s="877">
        <v>0</v>
      </c>
      <c r="M176" s="877"/>
      <c r="N176" s="877">
        <f>('Input data plant-based products'!$P$75*'Common input data'!$C$76*'Common input data'!H67)/'Input data plant-based products'!$E$75</f>
        <v>1.9662370260212514E-5</v>
      </c>
      <c r="O176" s="877">
        <v>0</v>
      </c>
      <c r="P176" s="877">
        <v>0</v>
      </c>
      <c r="Q176" s="877">
        <v>0</v>
      </c>
      <c r="R176" s="877">
        <v>0</v>
      </c>
      <c r="S176" s="877">
        <v>0</v>
      </c>
      <c r="T176" s="877">
        <v>0</v>
      </c>
      <c r="U176" s="877">
        <f>(G176+T176)</f>
        <v>8.9898337811525943E-5</v>
      </c>
      <c r="V176" s="877">
        <v>0</v>
      </c>
      <c r="W176" s="877">
        <v>0</v>
      </c>
      <c r="X176" s="864"/>
      <c r="Y176" s="879"/>
      <c r="Z176" s="877"/>
      <c r="AA176" s="877"/>
      <c r="AB176" s="877"/>
      <c r="AC176" s="877"/>
      <c r="AD176" s="886"/>
      <c r="AE176" s="877"/>
      <c r="AF176" s="879"/>
      <c r="AG176" s="877"/>
      <c r="AH176" s="877"/>
      <c r="AI176" s="877"/>
      <c r="AJ176" s="877"/>
      <c r="AK176" s="886"/>
      <c r="AL176" s="877"/>
      <c r="AM176" s="879"/>
      <c r="AN176" s="877"/>
      <c r="AO176" s="877"/>
      <c r="AP176" s="877"/>
      <c r="AQ176" s="877"/>
      <c r="AR176" s="886"/>
      <c r="AS176" s="877"/>
      <c r="AT176" s="879"/>
      <c r="AU176" s="877"/>
      <c r="AV176" s="877"/>
      <c r="AW176" s="877"/>
      <c r="AX176" s="877"/>
      <c r="AY176" s="886"/>
      <c r="AZ176" s="877"/>
      <c r="BA176" s="879"/>
      <c r="BB176" s="877"/>
      <c r="BC176" s="877"/>
      <c r="BD176" s="877"/>
      <c r="BE176" s="877"/>
      <c r="BF176" s="886"/>
      <c r="BG176" s="877"/>
      <c r="BH176" s="879"/>
      <c r="BI176" s="877"/>
      <c r="BJ176" s="877"/>
      <c r="BK176" s="877"/>
      <c r="BL176" s="877"/>
      <c r="BM176" s="886"/>
      <c r="BN176" s="877"/>
      <c r="BO176" s="879"/>
      <c r="BP176" s="877"/>
      <c r="BQ176" s="877"/>
      <c r="BR176" s="877"/>
      <c r="BS176" s="877"/>
      <c r="BT176" s="886"/>
      <c r="BU176" s="877"/>
      <c r="BV176" s="879"/>
      <c r="BW176" s="886"/>
    </row>
    <row r="177" spans="1:253" s="406" customFormat="1" ht="17.25">
      <c r="A177" s="359"/>
      <c r="B177" s="360"/>
      <c r="C177" s="83"/>
      <c r="D177" s="54"/>
      <c r="E177" s="1295" t="s">
        <v>320</v>
      </c>
      <c r="F177" s="877">
        <f>SUM(K177:L177)</f>
        <v>6.3169440727410119E-4</v>
      </c>
      <c r="G177" s="877">
        <f>SUM(I177:Q177)</f>
        <v>7.5028326853267475E-4</v>
      </c>
      <c r="H177" s="878">
        <f>SUM(U177:W177)/(1-'Common input data'!$B$140)</f>
        <v>8.9543294967499082E-4</v>
      </c>
      <c r="I177" s="877">
        <f>('Input data plant-based products'!$F$75*('Common input data'!$B$93*'Common input data'!B88+'Common input data'!$B$94*'Common input data'!C88))/'Input data plant-based products'!$E$75</f>
        <v>1.1739613942298527E-4</v>
      </c>
      <c r="J177" s="877">
        <v>0</v>
      </c>
      <c r="K177" s="877">
        <f>(SUM(('Input data plant-based products'!$F$75*'Input data plant-based products'!$B$258),(('Input data plant-based products'!$G$75+'Input data plant-based products'!$H$75)*'Input data plant-based products'!$B$259))*44/28)/'Input data plant-based products'!$E$75</f>
        <v>5.7426764297645566E-4</v>
      </c>
      <c r="L177" s="877">
        <f>K177*'Input data plant-based products'!$B$261</f>
        <v>5.7426764297645567E-5</v>
      </c>
      <c r="M177" s="877"/>
      <c r="N177" s="877">
        <f>('Input data plant-based products'!$P$75*'Common input data'!$C$76*'Common input data'!H68)/'Input data plant-based products'!$E$75</f>
        <v>1.1927218355882702E-6</v>
      </c>
      <c r="O177" s="877">
        <v>0</v>
      </c>
      <c r="P177" s="877">
        <v>0</v>
      </c>
      <c r="Q177" s="877">
        <v>0</v>
      </c>
      <c r="R177" s="877">
        <v>0</v>
      </c>
      <c r="S177" s="877">
        <v>0</v>
      </c>
      <c r="T177" s="877">
        <v>0</v>
      </c>
      <c r="U177" s="877">
        <f>(G177+T177)</f>
        <v>7.5028326853267475E-4</v>
      </c>
      <c r="V177" s="877">
        <v>0</v>
      </c>
      <c r="W177" s="877">
        <v>0</v>
      </c>
      <c r="X177" s="864"/>
      <c r="Y177" s="879"/>
      <c r="Z177" s="877"/>
      <c r="AA177" s="877"/>
      <c r="AB177" s="877"/>
      <c r="AC177" s="877"/>
      <c r="AD177" s="886"/>
      <c r="AE177" s="877"/>
      <c r="AF177" s="879"/>
      <c r="AG177" s="877"/>
      <c r="AH177" s="877"/>
      <c r="AI177" s="877"/>
      <c r="AJ177" s="877"/>
      <c r="AK177" s="886"/>
      <c r="AL177" s="877"/>
      <c r="AM177" s="879"/>
      <c r="AN177" s="877"/>
      <c r="AO177" s="877"/>
      <c r="AP177" s="877"/>
      <c r="AQ177" s="877"/>
      <c r="AR177" s="886"/>
      <c r="AS177" s="877"/>
      <c r="AT177" s="879"/>
      <c r="AU177" s="877"/>
      <c r="AV177" s="877"/>
      <c r="AW177" s="877"/>
      <c r="AX177" s="877"/>
      <c r="AY177" s="886"/>
      <c r="AZ177" s="877"/>
      <c r="BA177" s="879"/>
      <c r="BB177" s="877"/>
      <c r="BC177" s="877"/>
      <c r="BD177" s="877"/>
      <c r="BE177" s="877"/>
      <c r="BF177" s="886"/>
      <c r="BG177" s="877"/>
      <c r="BH177" s="879"/>
      <c r="BI177" s="877"/>
      <c r="BJ177" s="877"/>
      <c r="BK177" s="877"/>
      <c r="BL177" s="877"/>
      <c r="BM177" s="886"/>
      <c r="BN177" s="877"/>
      <c r="BO177" s="879"/>
      <c r="BP177" s="877"/>
      <c r="BQ177" s="877"/>
      <c r="BR177" s="877"/>
      <c r="BS177" s="877"/>
      <c r="BT177" s="886"/>
      <c r="BU177" s="877"/>
      <c r="BV177" s="879"/>
      <c r="BW177" s="886"/>
    </row>
    <row r="178" spans="1:253" s="502" customFormat="1" ht="17.25">
      <c r="A178" s="20" t="s">
        <v>130</v>
      </c>
      <c r="B178" s="93" t="s">
        <v>121</v>
      </c>
      <c r="C178" s="87">
        <f>'Input data plant-based products'!D76</f>
        <v>0.14000000000000001</v>
      </c>
      <c r="D178" s="54"/>
      <c r="E178" s="1293" t="s">
        <v>316</v>
      </c>
      <c r="F178" s="872">
        <f>SUMPRODUCT($CE$14:$CE$16,F179:F181)</f>
        <v>0.10688797316880047</v>
      </c>
      <c r="G178" s="872">
        <f>SUMPRODUCT($CE$14:$CE$16,G179:G181)</f>
        <v>0.2855040608229531</v>
      </c>
      <c r="H178" s="873">
        <f>SUMPRODUCT($CE$14:$CE$16,H179:H181)</f>
        <v>0.6749063859923059</v>
      </c>
      <c r="I178" s="888"/>
      <c r="J178" s="888"/>
      <c r="K178" s="888"/>
      <c r="L178" s="888"/>
      <c r="M178" s="888"/>
      <c r="N178" s="888"/>
      <c r="O178" s="888"/>
      <c r="P178" s="888"/>
      <c r="Q178" s="888"/>
      <c r="R178" s="888"/>
      <c r="S178" s="888"/>
      <c r="T178" s="888"/>
      <c r="U178" s="888"/>
      <c r="V178" s="888"/>
      <c r="W178" s="888"/>
      <c r="X178" s="864"/>
      <c r="Y178" s="879">
        <f>1/'Input data plant-based products'!E76*10^4</f>
        <v>0.57626923298565091</v>
      </c>
      <c r="Z178" s="877">
        <f>$Y178*'Input data plant-based products'!Z76</f>
        <v>0.57626923298565091</v>
      </c>
      <c r="AA178" s="877">
        <f>$Y178*'Input data plant-based products'!AA76</f>
        <v>0.57626923298565091</v>
      </c>
      <c r="AB178" s="877">
        <f>$Y178*'Input data plant-based products'!AB76</f>
        <v>0.57626923298565091</v>
      </c>
      <c r="AC178" s="877">
        <f>$Y178*'Input data plant-based products'!AC76</f>
        <v>0.68775418663999388</v>
      </c>
      <c r="AD178" s="886">
        <f>$Y178*'Input data plant-based products'!AD76</f>
        <v>0.84907924276542446</v>
      </c>
      <c r="AE178" s="877"/>
      <c r="AF178" s="879">
        <f>SUM('Input data plant-based products'!F76,'Input data plant-based products'!Q76)/'Input data plant-based products'!E76</f>
        <v>1.7172823142972398E-2</v>
      </c>
      <c r="AG178" s="877">
        <f>$AF178*'Input data plant-based products'!Z76</f>
        <v>1.7172823142972398E-2</v>
      </c>
      <c r="AH178" s="877">
        <f>$AF178*'Input data plant-based products'!AA76</f>
        <v>1.7172823142972398E-2</v>
      </c>
      <c r="AI178" s="877">
        <f>$AF178*'Input data plant-based products'!AB76</f>
        <v>1.7172823142972398E-2</v>
      </c>
      <c r="AJ178" s="877">
        <f>$AF178*'Input data plant-based products'!AC76</f>
        <v>2.0495074761871821E-2</v>
      </c>
      <c r="AK178" s="886">
        <f>$AF178*'Input data plant-based products'!AD76</f>
        <v>2.5302561434409652E-2</v>
      </c>
      <c r="AL178" s="877"/>
      <c r="AM178" s="879">
        <f>'Input data plant-based products'!R76/'Input data plant-based products'!E76</f>
        <v>2.4979951477549036E-3</v>
      </c>
      <c r="AN178" s="877">
        <f>$AM178*'Input data plant-based products'!Z76</f>
        <v>2.4979951477549036E-3</v>
      </c>
      <c r="AO178" s="877">
        <f>$AM178*'Input data plant-based products'!AA76</f>
        <v>2.4979951477549036E-3</v>
      </c>
      <c r="AP178" s="877">
        <f>$AM178*'Input data plant-based products'!AB76</f>
        <v>2.4979951477549036E-3</v>
      </c>
      <c r="AQ178" s="877">
        <f>$AM178*'Input data plant-based products'!AC76</f>
        <v>2.981256889551144E-3</v>
      </c>
      <c r="AR178" s="886">
        <f>$AM178*'Input data plant-based products'!AD76</f>
        <v>3.6805640611742513E-3</v>
      </c>
      <c r="AS178" s="877"/>
      <c r="AT178" s="879">
        <f>'Input data plant-based products'!S76</f>
        <v>0.104</v>
      </c>
      <c r="AU178" s="877">
        <f>$AT178*'Input data plant-based products'!Z76</f>
        <v>0.104</v>
      </c>
      <c r="AV178" s="877">
        <f>$AT178*'Input data plant-based products'!AA76</f>
        <v>0.104</v>
      </c>
      <c r="AW178" s="877">
        <f>$AT178*'Input data plant-based products'!AB76</f>
        <v>0.104</v>
      </c>
      <c r="AX178" s="877">
        <f>$AT178*'Input data plant-based products'!AC76</f>
        <v>0.12411982336794367</v>
      </c>
      <c r="AY178" s="886">
        <f>$AT178*'Input data plant-based products'!AD76</f>
        <v>0.15323434983696746</v>
      </c>
      <c r="AZ178" s="877"/>
      <c r="BA178" s="879">
        <f>((SUM('Input data plant-based products'!U76:Y76)*Y178)/('Common input data'!$B$192/10^6))/$BB$3</f>
        <v>9.7632442993667569E-10</v>
      </c>
      <c r="BB178" s="877">
        <f>$BA178*'Input data plant-based products'!Z76</f>
        <v>9.7632442993667569E-10</v>
      </c>
      <c r="BC178" s="877">
        <f>$BA178*'Input data plant-based products'!AA76</f>
        <v>9.7632442993667569E-10</v>
      </c>
      <c r="BD178" s="877">
        <f>$BA178*'Input data plant-based products'!AB76</f>
        <v>9.7632442993667569E-10</v>
      </c>
      <c r="BE178" s="877">
        <f>$BA178*'Input data plant-based products'!AC76</f>
        <v>1.1652039980148893E-9</v>
      </c>
      <c r="BF178" s="886">
        <f>$BA178*'Input data plant-based products'!AD76</f>
        <v>1.4385234543393692E-9</v>
      </c>
      <c r="BG178" s="877"/>
      <c r="BH178" s="879">
        <f>'Input data plant-based products'!T76/'Input data plant-based products'!E76</f>
        <v>9.1742061891315636E-4</v>
      </c>
      <c r="BI178" s="877">
        <f>$BH178*'Input data plant-based products'!Z76</f>
        <v>9.1742061891315636E-4</v>
      </c>
      <c r="BJ178" s="877">
        <f>$BH178*'Input data plant-based products'!AA76</f>
        <v>9.1742061891315636E-4</v>
      </c>
      <c r="BK178" s="877">
        <f>$BH178*'Input data plant-based products'!AB76</f>
        <v>9.1742061891315636E-4</v>
      </c>
      <c r="BL178" s="877">
        <f>$BH178*'Input data plant-based products'!AC76</f>
        <v>1.0949046651308704E-3</v>
      </c>
      <c r="BM178" s="886">
        <f>$BH178*'Input data plant-based products'!AD76</f>
        <v>1.3517341544825559E-3</v>
      </c>
      <c r="BN178" s="877"/>
      <c r="BO178" s="879">
        <f>('Input data plant-based products'!F76/'Input data plant-based products'!E76*'Common input data'!$B$195+'Input data plant-based products'!G76/'Input data plant-based products'!E76*'Common input data'!$B$196)/'Common input data'!$B$198</f>
        <v>4.3848628328030419E-4</v>
      </c>
      <c r="BP178" s="877">
        <f>$BO178*'Input data plant-based products'!Z76</f>
        <v>4.3848628328030419E-4</v>
      </c>
      <c r="BQ178" s="877">
        <f>$BO178*'Input data plant-based products'!AA76</f>
        <v>4.3848628328030419E-4</v>
      </c>
      <c r="BR178" s="877">
        <f>$BO178*'Input data plant-based products'!AB76</f>
        <v>4.3848628328030419E-4</v>
      </c>
      <c r="BS178" s="877">
        <f>$BO178*'Input data plant-based products'!AC76</f>
        <v>5.2331576951939872E-4</v>
      </c>
      <c r="BT178" s="886">
        <f>$BO178*'Input data plant-based products'!AD76</f>
        <v>6.4606885125851688E-4</v>
      </c>
      <c r="BU178" s="877"/>
      <c r="BV178" s="879">
        <f>('Common input data'!$C$202+'Common input data'!$B$210)*'Input data plant-based products'!AC76</f>
        <v>1.4837092731829575</v>
      </c>
      <c r="BW178" s="886">
        <f>('Common input data'!$C$202+'Common input data'!$B$210)*'Input data plant-based products'!AD76</f>
        <v>1.8317398434357497</v>
      </c>
      <c r="BX178" s="406"/>
      <c r="BY178" s="406"/>
      <c r="BZ178" s="406"/>
      <c r="CA178" s="406"/>
      <c r="CB178" s="406"/>
      <c r="CC178" s="406"/>
      <c r="CD178" s="406"/>
      <c r="CE178" s="406"/>
      <c r="CF178" s="406"/>
      <c r="CG178" s="406"/>
      <c r="CH178" s="406"/>
      <c r="CI178" s="406"/>
      <c r="CJ178" s="406"/>
      <c r="CK178" s="406"/>
      <c r="CL178" s="406"/>
      <c r="CM178" s="406"/>
      <c r="CN178" s="406"/>
      <c r="CO178" s="406"/>
      <c r="CP178" s="406"/>
      <c r="CQ178" s="406"/>
      <c r="CR178" s="406"/>
      <c r="CS178" s="406"/>
      <c r="CT178" s="406"/>
      <c r="CU178" s="406"/>
      <c r="CV178" s="406"/>
      <c r="CW178" s="406"/>
      <c r="CX178" s="406"/>
      <c r="CY178" s="406"/>
      <c r="CZ178" s="406"/>
      <c r="DA178" s="406"/>
      <c r="DB178" s="406"/>
      <c r="DC178" s="406"/>
      <c r="DD178" s="406"/>
      <c r="DE178" s="406"/>
      <c r="DF178" s="406"/>
      <c r="DG178" s="406"/>
      <c r="DH178" s="406"/>
      <c r="DI178" s="406"/>
      <c r="DJ178" s="406"/>
      <c r="DK178" s="406"/>
      <c r="DL178" s="406"/>
      <c r="DM178" s="406"/>
      <c r="DN178" s="406"/>
      <c r="DO178" s="406"/>
      <c r="DP178" s="406"/>
      <c r="DQ178" s="406"/>
      <c r="DR178" s="406"/>
      <c r="DS178" s="406"/>
      <c r="DT178" s="406"/>
      <c r="DU178" s="406"/>
      <c r="DV178" s="406"/>
      <c r="DW178" s="406"/>
      <c r="DX178" s="406"/>
      <c r="DY178" s="406"/>
      <c r="DZ178" s="406"/>
      <c r="EA178" s="406"/>
      <c r="EB178" s="406"/>
      <c r="EC178" s="406"/>
      <c r="ED178" s="406"/>
      <c r="EE178" s="406"/>
      <c r="EF178" s="406"/>
      <c r="EG178" s="406"/>
      <c r="EH178" s="406"/>
      <c r="EI178" s="406"/>
      <c r="EJ178" s="406"/>
      <c r="EK178" s="406"/>
      <c r="EL178" s="406"/>
      <c r="EM178" s="406"/>
      <c r="EN178" s="406"/>
      <c r="EO178" s="406"/>
      <c r="EP178" s="406"/>
      <c r="EQ178" s="406"/>
      <c r="ER178" s="406"/>
      <c r="ES178" s="406"/>
      <c r="ET178" s="406"/>
      <c r="EU178" s="406"/>
      <c r="EV178" s="406"/>
      <c r="EW178" s="406"/>
      <c r="EX178" s="406"/>
      <c r="EY178" s="406"/>
      <c r="EZ178" s="406"/>
      <c r="FA178" s="406"/>
      <c r="FB178" s="406"/>
      <c r="FC178" s="406"/>
      <c r="FD178" s="406"/>
      <c r="FE178" s="406"/>
      <c r="FF178" s="406"/>
      <c r="FG178" s="406"/>
      <c r="FH178" s="406"/>
      <c r="FI178" s="406"/>
      <c r="FJ178" s="406"/>
      <c r="FK178" s="406"/>
      <c r="FL178" s="406"/>
      <c r="FM178" s="406"/>
      <c r="FN178" s="406"/>
      <c r="FO178" s="406"/>
      <c r="FP178" s="406"/>
      <c r="FQ178" s="406"/>
      <c r="FR178" s="406"/>
      <c r="FS178" s="406"/>
      <c r="FT178" s="406"/>
      <c r="FU178" s="406"/>
      <c r="FV178" s="406"/>
      <c r="FW178" s="406"/>
      <c r="FX178" s="406"/>
      <c r="FY178" s="406"/>
      <c r="FZ178" s="406"/>
      <c r="GA178" s="406"/>
      <c r="GB178" s="406"/>
      <c r="GC178" s="406"/>
      <c r="GD178" s="406"/>
      <c r="GE178" s="406"/>
      <c r="GF178" s="406"/>
      <c r="GG178" s="406"/>
      <c r="GH178" s="406"/>
      <c r="GI178" s="406"/>
      <c r="GJ178" s="406"/>
      <c r="GK178" s="406"/>
      <c r="GL178" s="406"/>
      <c r="GM178" s="406"/>
      <c r="GN178" s="406"/>
      <c r="GO178" s="406"/>
      <c r="GP178" s="406"/>
      <c r="GQ178" s="406"/>
      <c r="GR178" s="406"/>
      <c r="GS178" s="406"/>
      <c r="GT178" s="406"/>
      <c r="GU178" s="406"/>
      <c r="GV178" s="406"/>
      <c r="GW178" s="406"/>
      <c r="GX178" s="406"/>
      <c r="GY178" s="406"/>
      <c r="GZ178" s="406"/>
      <c r="HA178" s="406"/>
      <c r="HB178" s="406"/>
      <c r="HC178" s="406"/>
      <c r="HD178" s="406"/>
      <c r="HE178" s="406"/>
      <c r="HF178" s="406"/>
      <c r="HG178" s="406"/>
      <c r="HH178" s="406"/>
      <c r="HI178" s="406"/>
      <c r="HJ178" s="406"/>
      <c r="HK178" s="406"/>
      <c r="HL178" s="406"/>
      <c r="HM178" s="406"/>
      <c r="HN178" s="406"/>
      <c r="HO178" s="406"/>
      <c r="HP178" s="406"/>
      <c r="HQ178" s="406"/>
      <c r="HR178" s="406"/>
      <c r="HS178" s="406"/>
      <c r="HT178" s="406"/>
      <c r="HU178" s="406"/>
      <c r="HV178" s="406"/>
      <c r="HW178" s="406"/>
      <c r="HX178" s="406"/>
      <c r="HY178" s="406"/>
      <c r="HZ178" s="406"/>
      <c r="IA178" s="406"/>
      <c r="IB178" s="406"/>
      <c r="IC178" s="406"/>
      <c r="ID178" s="406"/>
      <c r="IE178" s="406"/>
      <c r="IF178" s="406"/>
      <c r="IG178" s="406"/>
      <c r="IH178" s="406"/>
      <c r="II178" s="406"/>
      <c r="IJ178" s="406"/>
      <c r="IK178" s="406"/>
      <c r="IL178" s="406"/>
      <c r="IM178" s="406"/>
      <c r="IN178" s="406"/>
      <c r="IO178" s="406"/>
      <c r="IP178" s="406"/>
      <c r="IQ178" s="406"/>
      <c r="IR178" s="406"/>
      <c r="IS178" s="406"/>
    </row>
    <row r="179" spans="1:253" s="406" customFormat="1" ht="17.25">
      <c r="A179" s="68"/>
      <c r="B179" s="55"/>
      <c r="C179" s="917"/>
      <c r="D179" s="5"/>
      <c r="E179" s="1294" t="s">
        <v>317</v>
      </c>
      <c r="F179" s="877">
        <f>IF(AND($G$2="No",$G$3="No"),SUM(K179:L179),IF(AND($G$2="Yes", $G$3="No"), SUM(K179:L179)+S179, IF(AND($G$2="No", $G$3="Yes"),SUM(K179:L179)+R179, SUM(K179:L179)+S179+R179)))</f>
        <v>3.9989486962957101E-2</v>
      </c>
      <c r="G179" s="877">
        <f>IF(AND($G$2="No",$G$3="No"),SUM(I179:Q179),IF(AND($G$2="Yes", $G$3="No"), SUM(I179:Q179)+S179, IF(AND($G$2="No", $G$3="Yes"),SUM(I179:Q179)+R179, SUM(I179:Q179)+S179+R179)))</f>
        <v>0.17620491342794442</v>
      </c>
      <c r="H179" s="878">
        <f>SUM(U179:W179)/(1-'Common input data'!$B$140)</f>
        <v>0.54446224302177404</v>
      </c>
      <c r="I179" s="877">
        <f>('Input data plant-based products'!$F$76*('Common input data'!$C$93*'Common input data'!B86+'Common input data'!$C$94*'Common input data'!C86))/'Input data plant-based products'!$E$76</f>
        <v>6.4655248974063578E-2</v>
      </c>
      <c r="J179" s="877">
        <f>'Common input data'!$B$98</f>
        <v>0.03</v>
      </c>
      <c r="K179" s="877">
        <v>0</v>
      </c>
      <c r="L179" s="877">
        <v>0</v>
      </c>
      <c r="M179" s="877"/>
      <c r="N179" s="877">
        <f>('Input data plant-based products'!$P$76*'Common input data'!$C$76*'Common input data'!H66)/'Input data plant-based products'!$E$76</f>
        <v>2.156017749092376E-2</v>
      </c>
      <c r="O179" s="877">
        <v>0</v>
      </c>
      <c r="P179" s="877">
        <f>'Input data plant-based products'!$G$309</f>
        <v>0.02</v>
      </c>
      <c r="Q179" s="877">
        <v>0</v>
      </c>
      <c r="R179" s="877">
        <f>'Common input data'!$E$19</f>
        <v>3.9989486962957101E-2</v>
      </c>
      <c r="S179" s="877">
        <v>0</v>
      </c>
      <c r="T179" s="877">
        <v>0</v>
      </c>
      <c r="U179" s="877">
        <f>(G179+T179)</f>
        <v>0.17620491342794442</v>
      </c>
      <c r="V179" s="877">
        <f>'Common input data'!$B$105</f>
        <v>0.05</v>
      </c>
      <c r="W179" s="877">
        <f>'Common input data'!B117+'Common input data'!C117</f>
        <v>0.23</v>
      </c>
      <c r="X179" s="864"/>
      <c r="Y179" s="879"/>
      <c r="Z179" s="877"/>
      <c r="AA179" s="877"/>
      <c r="AB179" s="877"/>
      <c r="AC179" s="877"/>
      <c r="AD179" s="886"/>
      <c r="AE179" s="877"/>
      <c r="AF179" s="879"/>
      <c r="AG179" s="877"/>
      <c r="AH179" s="877"/>
      <c r="AI179" s="877"/>
      <c r="AJ179" s="877"/>
      <c r="AK179" s="886"/>
      <c r="AL179" s="877"/>
      <c r="AM179" s="879"/>
      <c r="AN179" s="877"/>
      <c r="AO179" s="877"/>
      <c r="AP179" s="877"/>
      <c r="AQ179" s="877"/>
      <c r="AR179" s="886"/>
      <c r="AS179" s="877"/>
      <c r="AT179" s="879"/>
      <c r="AU179" s="877"/>
      <c r="AV179" s="877"/>
      <c r="AW179" s="877"/>
      <c r="AX179" s="877"/>
      <c r="AY179" s="886"/>
      <c r="AZ179" s="877"/>
      <c r="BA179" s="879"/>
      <c r="BB179" s="877"/>
      <c r="BC179" s="877"/>
      <c r="BD179" s="877"/>
      <c r="BE179" s="877"/>
      <c r="BF179" s="886"/>
      <c r="BG179" s="877"/>
      <c r="BH179" s="879"/>
      <c r="BI179" s="877"/>
      <c r="BJ179" s="877"/>
      <c r="BK179" s="877"/>
      <c r="BL179" s="877"/>
      <c r="BM179" s="886"/>
      <c r="BN179" s="877"/>
      <c r="BO179" s="879"/>
      <c r="BP179" s="877"/>
      <c r="BQ179" s="877"/>
      <c r="BR179" s="877"/>
      <c r="BS179" s="877"/>
      <c r="BT179" s="886"/>
      <c r="BU179" s="877"/>
      <c r="BV179" s="879"/>
      <c r="BW179" s="886"/>
    </row>
    <row r="180" spans="1:253" s="406" customFormat="1" ht="17.25">
      <c r="A180" s="18"/>
      <c r="B180" s="55"/>
      <c r="C180" s="595"/>
      <c r="D180" s="50"/>
      <c r="E180" s="1294" t="s">
        <v>367</v>
      </c>
      <c r="F180" s="877">
        <f>SUM(K180:L180)</f>
        <v>0</v>
      </c>
      <c r="G180" s="877">
        <f>SUM(I180:Q180)</f>
        <v>1.2815727643452761E-4</v>
      </c>
      <c r="H180" s="878">
        <f>SUM(U180:W180)/(1-'Common input data'!$B$140)</f>
        <v>1.5295056263817594E-4</v>
      </c>
      <c r="I180" s="877">
        <f>('Input data plant-based products'!$F$76*('Common input data'!$C$93*'Common input data'!B87+'Common input data'!$C$94*'Common input data'!C87))/'Input data plant-based products'!$E$76</f>
        <v>1.1860684480887212E-4</v>
      </c>
      <c r="J180" s="877">
        <v>0</v>
      </c>
      <c r="K180" s="877">
        <v>0</v>
      </c>
      <c r="L180" s="877">
        <v>0</v>
      </c>
      <c r="M180" s="877"/>
      <c r="N180" s="877">
        <f>('Input data plant-based products'!$P$76*'Common input data'!$C$76*'Common input data'!H67)/'Input data plant-based products'!$E$76</f>
        <v>9.5504316256555069E-6</v>
      </c>
      <c r="O180" s="877">
        <v>0</v>
      </c>
      <c r="P180" s="877">
        <v>0</v>
      </c>
      <c r="Q180" s="877">
        <v>0</v>
      </c>
      <c r="R180" s="877">
        <v>0</v>
      </c>
      <c r="S180" s="877">
        <v>0</v>
      </c>
      <c r="T180" s="877">
        <v>0</v>
      </c>
      <c r="U180" s="877">
        <f>(G180+T180)</f>
        <v>1.2815727643452761E-4</v>
      </c>
      <c r="V180" s="877">
        <v>0</v>
      </c>
      <c r="W180" s="877">
        <v>0</v>
      </c>
      <c r="X180" s="864"/>
      <c r="Y180" s="879"/>
      <c r="Z180" s="877"/>
      <c r="AA180" s="877"/>
      <c r="AB180" s="877"/>
      <c r="AC180" s="877"/>
      <c r="AD180" s="886"/>
      <c r="AE180" s="877"/>
      <c r="AF180" s="879"/>
      <c r="AG180" s="877"/>
      <c r="AH180" s="877"/>
      <c r="AI180" s="877"/>
      <c r="AJ180" s="877"/>
      <c r="AK180" s="886"/>
      <c r="AL180" s="877"/>
      <c r="AM180" s="879"/>
      <c r="AN180" s="877"/>
      <c r="AO180" s="877"/>
      <c r="AP180" s="877"/>
      <c r="AQ180" s="877"/>
      <c r="AR180" s="886"/>
      <c r="AS180" s="877"/>
      <c r="AT180" s="879"/>
      <c r="AU180" s="877"/>
      <c r="AV180" s="877"/>
      <c r="AW180" s="877"/>
      <c r="AX180" s="877"/>
      <c r="AY180" s="886"/>
      <c r="AZ180" s="877"/>
      <c r="BA180" s="879"/>
      <c r="BB180" s="877"/>
      <c r="BC180" s="877"/>
      <c r="BD180" s="877"/>
      <c r="BE180" s="877"/>
      <c r="BF180" s="886"/>
      <c r="BG180" s="877"/>
      <c r="BH180" s="879"/>
      <c r="BI180" s="877"/>
      <c r="BJ180" s="877"/>
      <c r="BK180" s="877"/>
      <c r="BL180" s="877"/>
      <c r="BM180" s="886"/>
      <c r="BN180" s="877"/>
      <c r="BO180" s="879"/>
      <c r="BP180" s="877"/>
      <c r="BQ180" s="877"/>
      <c r="BR180" s="877"/>
      <c r="BS180" s="877"/>
      <c r="BT180" s="886"/>
      <c r="BU180" s="877"/>
      <c r="BV180" s="879"/>
      <c r="BW180" s="886"/>
    </row>
    <row r="181" spans="1:253" s="406" customFormat="1" ht="17.25">
      <c r="A181" s="359"/>
      <c r="B181" s="360"/>
      <c r="C181" s="83"/>
      <c r="D181" s="54"/>
      <c r="E181" s="1295" t="s">
        <v>320</v>
      </c>
      <c r="F181" s="877">
        <f>SUM(K181:L181)</f>
        <v>2.4504940002140424E-4</v>
      </c>
      <c r="G181" s="877">
        <f>SUM(I181:Q181)</f>
        <v>3.8768828179954747E-4</v>
      </c>
      <c r="H181" s="878">
        <f>SUM(U181:W181)/(1-'Common input data'!$B$140)</f>
        <v>4.6269039479597502E-4</v>
      </c>
      <c r="I181" s="877">
        <f>('Input data plant-based products'!$F$76*('Common input data'!$C$93*'Common input data'!B88+'Common input data'!$C$94*'Common input data'!C88))/'Input data plant-based products'!$E$76</f>
        <v>1.4205955140299194E-4</v>
      </c>
      <c r="J181" s="877">
        <v>0</v>
      </c>
      <c r="K181" s="877">
        <f>(SUM('Input data plant-based products'!F76:H76)*'Input data plant-based products'!$B$260*44/28)/'Input data plant-based products'!E76</f>
        <v>2.227721818376402E-4</v>
      </c>
      <c r="L181" s="877">
        <f>K181*'Input data plant-based products'!$B$261</f>
        <v>2.2277218183764022E-5</v>
      </c>
      <c r="M181" s="877"/>
      <c r="N181" s="877">
        <f>('Input data plant-based products'!$P$76*'Common input data'!$C$76*'Common input data'!H68)/'Input data plant-based products'!$E$76</f>
        <v>5.7933037515127074E-7</v>
      </c>
      <c r="O181" s="877">
        <v>0</v>
      </c>
      <c r="P181" s="877">
        <v>0</v>
      </c>
      <c r="Q181" s="877">
        <v>0</v>
      </c>
      <c r="R181" s="877">
        <v>0</v>
      </c>
      <c r="S181" s="877">
        <v>0</v>
      </c>
      <c r="T181" s="877">
        <v>0</v>
      </c>
      <c r="U181" s="877">
        <f>(G181+T181)</f>
        <v>3.8768828179954747E-4</v>
      </c>
      <c r="V181" s="877">
        <v>0</v>
      </c>
      <c r="W181" s="877">
        <v>0</v>
      </c>
      <c r="X181" s="864"/>
      <c r="Y181" s="879"/>
      <c r="Z181" s="877"/>
      <c r="AA181" s="877"/>
      <c r="AB181" s="877"/>
      <c r="AC181" s="877"/>
      <c r="AD181" s="886"/>
      <c r="AE181" s="877"/>
      <c r="AF181" s="879"/>
      <c r="AG181" s="877"/>
      <c r="AH181" s="877"/>
      <c r="AI181" s="877"/>
      <c r="AJ181" s="877"/>
      <c r="AK181" s="886"/>
      <c r="AL181" s="877"/>
      <c r="AM181" s="879"/>
      <c r="AN181" s="877"/>
      <c r="AO181" s="877"/>
      <c r="AP181" s="877"/>
      <c r="AQ181" s="877"/>
      <c r="AR181" s="886"/>
      <c r="AS181" s="877"/>
      <c r="AT181" s="879"/>
      <c r="AU181" s="877"/>
      <c r="AV181" s="877"/>
      <c r="AW181" s="877"/>
      <c r="AX181" s="877"/>
      <c r="AY181" s="886"/>
      <c r="AZ181" s="877"/>
      <c r="BA181" s="879"/>
      <c r="BB181" s="877"/>
      <c r="BC181" s="877"/>
      <c r="BD181" s="877"/>
      <c r="BE181" s="877"/>
      <c r="BF181" s="886"/>
      <c r="BG181" s="877"/>
      <c r="BH181" s="879"/>
      <c r="BI181" s="877"/>
      <c r="BJ181" s="877"/>
      <c r="BK181" s="877"/>
      <c r="BL181" s="877"/>
      <c r="BM181" s="886"/>
      <c r="BN181" s="877"/>
      <c r="BO181" s="879"/>
      <c r="BP181" s="877"/>
      <c r="BQ181" s="877"/>
      <c r="BR181" s="877"/>
      <c r="BS181" s="877"/>
      <c r="BT181" s="886"/>
      <c r="BU181" s="877"/>
      <c r="BV181" s="879"/>
      <c r="BW181" s="886"/>
    </row>
    <row r="182" spans="1:253" s="502" customFormat="1" ht="17.25">
      <c r="A182" s="20" t="s">
        <v>125</v>
      </c>
      <c r="B182" s="93" t="s">
        <v>121</v>
      </c>
      <c r="C182" s="87">
        <f>'Input data plant-based products'!D77</f>
        <v>0.2</v>
      </c>
      <c r="D182" s="54"/>
      <c r="E182" s="1293" t="s">
        <v>316</v>
      </c>
      <c r="F182" s="872">
        <f>SUMPRODUCT($CE$14:$CE$16,F183:F185)</f>
        <v>0.15514013834226748</v>
      </c>
      <c r="G182" s="872">
        <f>SUMPRODUCT($CE$14:$CE$16,G183:G185)</f>
        <v>0.30164601656347878</v>
      </c>
      <c r="H182" s="873">
        <f>SUMPRODUCT($CE$14:$CE$16,H183:H185)</f>
        <v>0.6941711619089137</v>
      </c>
      <c r="I182" s="888"/>
      <c r="J182" s="888"/>
      <c r="K182" s="888"/>
      <c r="L182" s="888"/>
      <c r="M182" s="888"/>
      <c r="N182" s="888"/>
      <c r="O182" s="888"/>
      <c r="P182" s="888"/>
      <c r="Q182" s="888"/>
      <c r="R182" s="888"/>
      <c r="S182" s="888"/>
      <c r="T182" s="888"/>
      <c r="U182" s="888"/>
      <c r="V182" s="888"/>
      <c r="W182" s="888"/>
      <c r="X182" s="864"/>
      <c r="Y182" s="879">
        <f>1/'Input data plant-based products'!E77*10^4</f>
        <v>0.57471264367816088</v>
      </c>
      <c r="Z182" s="877">
        <f>$Y182*'Input data plant-based products'!Z77</f>
        <v>0.57471264367816088</v>
      </c>
      <c r="AA182" s="877">
        <f>$Y182*'Input data plant-based products'!AA77</f>
        <v>0.57471264367816088</v>
      </c>
      <c r="AB182" s="877">
        <f>$Y182*'Input data plant-based products'!AB77</f>
        <v>0.57471264367816088</v>
      </c>
      <c r="AC182" s="877">
        <f>$Y182*'Input data plant-based products'!AC77</f>
        <v>0.68589645981401226</v>
      </c>
      <c r="AD182" s="886">
        <f>$Y182*'Input data plant-based products'!AD77</f>
        <v>0.84678575285680513</v>
      </c>
      <c r="AE182" s="877"/>
      <c r="AF182" s="879">
        <f>SUM('Input data plant-based products'!F77,'Input data plant-based products'!Q77)/'Input data plant-based products'!E77</f>
        <v>1.2011494252873563E-2</v>
      </c>
      <c r="AG182" s="877">
        <f>$AF182*'Input data plant-based products'!Z77</f>
        <v>1.2011494252873563E-2</v>
      </c>
      <c r="AH182" s="877">
        <f>$AF182*'Input data plant-based products'!AA77</f>
        <v>1.2011494252873563E-2</v>
      </c>
      <c r="AI182" s="877">
        <f>$AF182*'Input data plant-based products'!AB77</f>
        <v>1.2011494252873563E-2</v>
      </c>
      <c r="AJ182" s="877">
        <f>$AF182*'Input data plant-based products'!AC77</f>
        <v>1.4335236010112858E-2</v>
      </c>
      <c r="AK182" s="886">
        <f>$AF182*'Input data plant-based products'!AD77</f>
        <v>1.7697822234707228E-2</v>
      </c>
      <c r="AL182" s="877"/>
      <c r="AM182" s="879">
        <f>'Input data plant-based products'!R77/'Input data plant-based products'!E77</f>
        <v>1.0571367816091953E-3</v>
      </c>
      <c r="AN182" s="877">
        <f>$AM182*'Input data plant-based products'!Z77</f>
        <v>1.0571367816091953E-3</v>
      </c>
      <c r="AO182" s="877">
        <f>$AM182*'Input data plant-based products'!AA77</f>
        <v>1.0571367816091953E-3</v>
      </c>
      <c r="AP182" s="877">
        <f>$AM182*'Input data plant-based products'!AB77</f>
        <v>1.0571367816091953E-3</v>
      </c>
      <c r="AQ182" s="877">
        <f>$AM182*'Input data plant-based products'!AC77</f>
        <v>1.2616502943181708E-3</v>
      </c>
      <c r="AR182" s="886">
        <f>$AM182*'Input data plant-based products'!AD77</f>
        <v>1.5575929559483589E-3</v>
      </c>
      <c r="AS182" s="877"/>
      <c r="AT182" s="879">
        <f>'Input data plant-based products'!S77</f>
        <v>5.6868265159525928E-2</v>
      </c>
      <c r="AU182" s="877">
        <f>$AT182*'Input data plant-based products'!Z77</f>
        <v>5.6868265159525928E-2</v>
      </c>
      <c r="AV182" s="877">
        <f>$AT182*'Input data plant-based products'!AA77</f>
        <v>5.6868265159525928E-2</v>
      </c>
      <c r="AW182" s="877">
        <f>$AT182*'Input data plant-based products'!AB77</f>
        <v>5.6868265159525928E-2</v>
      </c>
      <c r="AX182" s="877">
        <f>$AT182*'Input data plant-based products'!AC77</f>
        <v>6.7869990642709072E-2</v>
      </c>
      <c r="AY182" s="886">
        <f>$AT182*'Input data plant-based products'!AD77</f>
        <v>8.3790111904579079E-2</v>
      </c>
      <c r="AZ182" s="877"/>
      <c r="BA182" s="879">
        <f>((SUM('Input data plant-based products'!U77:Y77)*Y182)/('Common input data'!$B$192/10^6))/$BB$3</f>
        <v>4.888763443498799E-10</v>
      </c>
      <c r="BB182" s="877">
        <f>$BA182*'Input data plant-based products'!Z77</f>
        <v>4.888763443498799E-10</v>
      </c>
      <c r="BC182" s="877">
        <f>$BA182*'Input data plant-based products'!AA77</f>
        <v>4.888763443498799E-10</v>
      </c>
      <c r="BD182" s="877">
        <f>$BA182*'Input data plant-based products'!AB77</f>
        <v>4.888763443498799E-10</v>
      </c>
      <c r="BE182" s="877">
        <f>$BA182*'Input data plant-based products'!AC77</f>
        <v>5.8345428374493359E-10</v>
      </c>
      <c r="BF182" s="886">
        <f>$BA182*'Input data plant-based products'!AD77</f>
        <v>7.2031393054930066E-10</v>
      </c>
      <c r="BG182" s="877"/>
      <c r="BH182" s="879">
        <f>'Input data plant-based products'!T77/'Input data plant-based products'!E77</f>
        <v>8.8505747126436775E-5</v>
      </c>
      <c r="BI182" s="877">
        <f>$BH182*'Input data plant-based products'!Z77</f>
        <v>8.8505747126436775E-5</v>
      </c>
      <c r="BJ182" s="877">
        <f>$BH182*'Input data plant-based products'!AA77</f>
        <v>8.8505747126436775E-5</v>
      </c>
      <c r="BK182" s="877">
        <f>$BH182*'Input data plant-based products'!AB77</f>
        <v>8.8505747126436775E-5</v>
      </c>
      <c r="BL182" s="877">
        <f>$BH182*'Input data plant-based products'!AC77</f>
        <v>1.0562805481135788E-4</v>
      </c>
      <c r="BM182" s="886">
        <f>$BH182*'Input data plant-based products'!AD77</f>
        <v>1.3040500593994799E-4</v>
      </c>
      <c r="BN182" s="877"/>
      <c r="BO182" s="879">
        <f>('Input data plant-based products'!F77/'Input data plant-based products'!E77*'Common input data'!$B$195+'Input data plant-based products'!G77/'Input data plant-based products'!E77*'Common input data'!$B$196)/'Common input data'!$B$198</f>
        <v>3.0669828878664119E-4</v>
      </c>
      <c r="BP182" s="877">
        <f>$BO182*'Input data plant-based products'!Z77</f>
        <v>3.0669828878664119E-4</v>
      </c>
      <c r="BQ182" s="877">
        <f>$BO182*'Input data plant-based products'!AA77</f>
        <v>3.0669828878664119E-4</v>
      </c>
      <c r="BR182" s="877">
        <f>$BO182*'Input data plant-based products'!AB77</f>
        <v>3.0669828878664119E-4</v>
      </c>
      <c r="BS182" s="877">
        <f>$BO182*'Input data plant-based products'!AC77</f>
        <v>3.6603209068700464E-4</v>
      </c>
      <c r="BT182" s="886">
        <f>$BO182*'Input data plant-based products'!AD77</f>
        <v>4.5189146998395627E-4</v>
      </c>
      <c r="BU182" s="877"/>
      <c r="BV182" s="879">
        <f>('Common input data'!$C$202+'Common input data'!$B$214)*'Input data plant-based products'!AC77</f>
        <v>1.1339857580459085</v>
      </c>
      <c r="BW182" s="886">
        <f>('Common input data'!$C$202+'Common input data'!$B$214)*'Input data plant-based products'!AD77</f>
        <v>1.3999824173406277</v>
      </c>
      <c r="BX182" s="406"/>
      <c r="BY182" s="406"/>
      <c r="BZ182" s="406"/>
      <c r="CA182" s="406"/>
      <c r="CB182" s="406"/>
      <c r="CC182" s="406"/>
      <c r="CD182" s="406"/>
      <c r="CE182" s="406"/>
      <c r="CF182" s="406"/>
      <c r="CG182" s="406"/>
      <c r="CH182" s="406"/>
      <c r="CI182" s="406"/>
      <c r="CJ182" s="406"/>
      <c r="CK182" s="406"/>
      <c r="CL182" s="406"/>
      <c r="CM182" s="406"/>
      <c r="CN182" s="406"/>
      <c r="CO182" s="406"/>
      <c r="CP182" s="406"/>
      <c r="CQ182" s="406"/>
      <c r="CR182" s="406"/>
      <c r="CS182" s="406"/>
      <c r="CT182" s="406"/>
      <c r="CU182" s="406"/>
      <c r="CV182" s="406"/>
      <c r="CW182" s="406"/>
      <c r="CX182" s="406"/>
      <c r="CY182" s="406"/>
      <c r="CZ182" s="406"/>
      <c r="DA182" s="406"/>
      <c r="DB182" s="406"/>
      <c r="DC182" s="406"/>
      <c r="DD182" s="406"/>
      <c r="DE182" s="406"/>
      <c r="DF182" s="406"/>
      <c r="DG182" s="406"/>
      <c r="DH182" s="406"/>
      <c r="DI182" s="406"/>
      <c r="DJ182" s="406"/>
      <c r="DK182" s="406"/>
      <c r="DL182" s="406"/>
      <c r="DM182" s="406"/>
      <c r="DN182" s="406"/>
      <c r="DO182" s="406"/>
      <c r="DP182" s="406"/>
      <c r="DQ182" s="406"/>
      <c r="DR182" s="406"/>
      <c r="DS182" s="406"/>
      <c r="DT182" s="406"/>
      <c r="DU182" s="406"/>
      <c r="DV182" s="406"/>
      <c r="DW182" s="406"/>
      <c r="DX182" s="406"/>
      <c r="DY182" s="406"/>
      <c r="DZ182" s="406"/>
      <c r="EA182" s="406"/>
      <c r="EB182" s="406"/>
      <c r="EC182" s="406"/>
      <c r="ED182" s="406"/>
      <c r="EE182" s="406"/>
      <c r="EF182" s="406"/>
      <c r="EG182" s="406"/>
      <c r="EH182" s="406"/>
      <c r="EI182" s="406"/>
      <c r="EJ182" s="406"/>
      <c r="EK182" s="406"/>
      <c r="EL182" s="406"/>
      <c r="EM182" s="406"/>
      <c r="EN182" s="406"/>
      <c r="EO182" s="406"/>
      <c r="EP182" s="406"/>
      <c r="EQ182" s="406"/>
      <c r="ER182" s="406"/>
      <c r="ES182" s="406"/>
      <c r="ET182" s="406"/>
      <c r="EU182" s="406"/>
      <c r="EV182" s="406"/>
      <c r="EW182" s="406"/>
      <c r="EX182" s="406"/>
      <c r="EY182" s="406"/>
      <c r="EZ182" s="406"/>
      <c r="FA182" s="406"/>
      <c r="FB182" s="406"/>
      <c r="FC182" s="406"/>
      <c r="FD182" s="406"/>
      <c r="FE182" s="406"/>
      <c r="FF182" s="406"/>
      <c r="FG182" s="406"/>
      <c r="FH182" s="406"/>
      <c r="FI182" s="406"/>
      <c r="FJ182" s="406"/>
      <c r="FK182" s="406"/>
      <c r="FL182" s="406"/>
      <c r="FM182" s="406"/>
      <c r="FN182" s="406"/>
      <c r="FO182" s="406"/>
      <c r="FP182" s="406"/>
      <c r="FQ182" s="406"/>
      <c r="FR182" s="406"/>
      <c r="FS182" s="406"/>
      <c r="FT182" s="406"/>
      <c r="FU182" s="406"/>
      <c r="FV182" s="406"/>
      <c r="FW182" s="406"/>
      <c r="FX182" s="406"/>
      <c r="FY182" s="406"/>
      <c r="FZ182" s="406"/>
      <c r="GA182" s="406"/>
      <c r="GB182" s="406"/>
      <c r="GC182" s="406"/>
      <c r="GD182" s="406"/>
      <c r="GE182" s="406"/>
      <c r="GF182" s="406"/>
      <c r="GG182" s="406"/>
      <c r="GH182" s="406"/>
      <c r="GI182" s="406"/>
      <c r="GJ182" s="406"/>
      <c r="GK182" s="406"/>
      <c r="GL182" s="406"/>
      <c r="GM182" s="406"/>
      <c r="GN182" s="406"/>
      <c r="GO182" s="406"/>
      <c r="GP182" s="406"/>
      <c r="GQ182" s="406"/>
      <c r="GR182" s="406"/>
      <c r="GS182" s="406"/>
      <c r="GT182" s="406"/>
      <c r="GU182" s="406"/>
      <c r="GV182" s="406"/>
      <c r="GW182" s="406"/>
      <c r="GX182" s="406"/>
      <c r="GY182" s="406"/>
      <c r="GZ182" s="406"/>
      <c r="HA182" s="406"/>
      <c r="HB182" s="406"/>
      <c r="HC182" s="406"/>
      <c r="HD182" s="406"/>
      <c r="HE182" s="406"/>
      <c r="HF182" s="406"/>
      <c r="HG182" s="406"/>
      <c r="HH182" s="406"/>
      <c r="HI182" s="406"/>
      <c r="HJ182" s="406"/>
      <c r="HK182" s="406"/>
      <c r="HL182" s="406"/>
      <c r="HM182" s="406"/>
      <c r="HN182" s="406"/>
      <c r="HO182" s="406"/>
      <c r="HP182" s="406"/>
      <c r="HQ182" s="406"/>
      <c r="HR182" s="406"/>
      <c r="HS182" s="406"/>
      <c r="HT182" s="406"/>
      <c r="HU182" s="406"/>
      <c r="HV182" s="406"/>
      <c r="HW182" s="406"/>
      <c r="HX182" s="406"/>
      <c r="HY182" s="406"/>
      <c r="HZ182" s="406"/>
      <c r="IA182" s="406"/>
      <c r="IB182" s="406"/>
      <c r="IC182" s="406"/>
      <c r="ID182" s="406"/>
      <c r="IE182" s="406"/>
      <c r="IF182" s="406"/>
      <c r="IG182" s="406"/>
      <c r="IH182" s="406"/>
      <c r="II182" s="406"/>
      <c r="IJ182" s="406"/>
      <c r="IK182" s="406"/>
      <c r="IL182" s="406"/>
      <c r="IM182" s="406"/>
      <c r="IN182" s="406"/>
      <c r="IO182" s="406"/>
      <c r="IP182" s="406"/>
      <c r="IQ182" s="406"/>
      <c r="IR182" s="406"/>
      <c r="IS182" s="406"/>
    </row>
    <row r="183" spans="1:253" s="406" customFormat="1" ht="17.25">
      <c r="A183" s="68"/>
      <c r="B183" s="55"/>
      <c r="C183" s="917"/>
      <c r="D183" s="5"/>
      <c r="E183" s="1294" t="s">
        <v>317</v>
      </c>
      <c r="F183" s="877">
        <f>IF(AND($G$2="No",$G$3="No"),SUM(K183:L183),IF(AND($G$2="Yes", $G$3="No"), SUM(K183:L183)+S183, IF(AND($G$2="No", $G$3="Yes"),SUM(K183:L183)+R183, SUM(K183:L183)+S183+R183)))</f>
        <v>3.9989486962957101E-2</v>
      </c>
      <c r="G183" s="877">
        <f>IF(AND($G$2="No",$G$3="No"),SUM(I183:Q183),IF(AND($G$2="Yes", $G$3="No"), SUM(I183:Q183)+S183, IF(AND($G$2="No", $G$3="Yes"),SUM(I183:Q183)+R183, SUM(I183:Q183)+S183+R183)))</f>
        <v>0.15671440218096361</v>
      </c>
      <c r="H183" s="878">
        <f>SUM(U183:W183)/(1-'Common input data'!$B$140)</f>
        <v>0.52120110058594538</v>
      </c>
      <c r="I183" s="877">
        <f>('Input data plant-based products'!$F$77*('Common input data'!$C$93*'Common input data'!B86+'Common input data'!$C$94*'Common input data'!C86))/'Input data plant-based products'!$E$77</f>
        <v>4.5222974988121459E-2</v>
      </c>
      <c r="J183" s="877">
        <f>'Common input data'!$B$98</f>
        <v>0.03</v>
      </c>
      <c r="K183" s="877">
        <v>0</v>
      </c>
      <c r="L183" s="877">
        <v>0</v>
      </c>
      <c r="M183" s="877"/>
      <c r="N183" s="877">
        <f>('Input data plant-based products'!$P$77*'Common input data'!$C$76*'Common input data'!H66)/'Input data plant-based products'!$E$77</f>
        <v>2.1501940229885056E-2</v>
      </c>
      <c r="O183" s="877">
        <v>0</v>
      </c>
      <c r="P183" s="877">
        <f>'Input data plant-based products'!$G$309</f>
        <v>0.02</v>
      </c>
      <c r="Q183" s="877">
        <v>0</v>
      </c>
      <c r="R183" s="877">
        <f>'Common input data'!$E$19</f>
        <v>3.9989486962957101E-2</v>
      </c>
      <c r="S183" s="877">
        <v>0</v>
      </c>
      <c r="T183" s="877">
        <v>0</v>
      </c>
      <c r="U183" s="877">
        <f>(G183+T183)</f>
        <v>0.15671440218096361</v>
      </c>
      <c r="V183" s="877">
        <f>'Common input data'!$B$105</f>
        <v>0.05</v>
      </c>
      <c r="W183" s="877">
        <f>'Common input data'!B119+'Common input data'!C119</f>
        <v>0.23000000000000004</v>
      </c>
      <c r="X183" s="864"/>
      <c r="Y183" s="879"/>
      <c r="Z183" s="877"/>
      <c r="AA183" s="877"/>
      <c r="AB183" s="877"/>
      <c r="AC183" s="877"/>
      <c r="AD183" s="886"/>
      <c r="AE183" s="877"/>
      <c r="AF183" s="879"/>
      <c r="AG183" s="877"/>
      <c r="AH183" s="877"/>
      <c r="AI183" s="877"/>
      <c r="AJ183" s="877"/>
      <c r="AK183" s="886"/>
      <c r="AL183" s="877"/>
      <c r="AM183" s="879"/>
      <c r="AN183" s="877"/>
      <c r="AO183" s="877"/>
      <c r="AP183" s="877"/>
      <c r="AQ183" s="877"/>
      <c r="AR183" s="886"/>
      <c r="AS183" s="877"/>
      <c r="AT183" s="879"/>
      <c r="AU183" s="877"/>
      <c r="AV183" s="877"/>
      <c r="AW183" s="877"/>
      <c r="AX183" s="877"/>
      <c r="AY183" s="886"/>
      <c r="AZ183" s="877"/>
      <c r="BA183" s="879"/>
      <c r="BB183" s="877"/>
      <c r="BC183" s="877"/>
      <c r="BD183" s="877"/>
      <c r="BE183" s="877"/>
      <c r="BF183" s="886"/>
      <c r="BG183" s="877"/>
      <c r="BH183" s="879"/>
      <c r="BI183" s="877"/>
      <c r="BJ183" s="877"/>
      <c r="BK183" s="877"/>
      <c r="BL183" s="877"/>
      <c r="BM183" s="886"/>
      <c r="BN183" s="877"/>
      <c r="BO183" s="879"/>
      <c r="BP183" s="877"/>
      <c r="BQ183" s="877"/>
      <c r="BR183" s="877"/>
      <c r="BS183" s="877"/>
      <c r="BT183" s="886"/>
      <c r="BU183" s="877"/>
      <c r="BV183" s="879"/>
      <c r="BW183" s="886"/>
    </row>
    <row r="184" spans="1:253" s="406" customFormat="1" ht="17.25">
      <c r="A184" s="18"/>
      <c r="B184" s="55"/>
      <c r="C184" s="595"/>
      <c r="D184" s="50"/>
      <c r="E184" s="1294" t="s">
        <v>367</v>
      </c>
      <c r="F184" s="877">
        <f>SUM(K184:L184)</f>
        <v>0</v>
      </c>
      <c r="G184" s="877">
        <f>SUM(I184:Q184)</f>
        <v>9.2483937266718124E-5</v>
      </c>
      <c r="H184" s="878">
        <f>SUM(U184:W184)/(1-'Common input data'!$B$140)</f>
        <v>1.1037586497997151E-4</v>
      </c>
      <c r="I184" s="877">
        <f>('Input data plant-based products'!$F$77*('Common input data'!$C$93*'Common input data'!B87+'Common input data'!$C$94*'Common input data'!C87))/'Input data plant-based products'!$E$77</f>
        <v>8.2959302783959502E-5</v>
      </c>
      <c r="J184" s="877">
        <v>0</v>
      </c>
      <c r="K184" s="877">
        <v>0</v>
      </c>
      <c r="L184" s="877">
        <v>0</v>
      </c>
      <c r="M184" s="877"/>
      <c r="N184" s="877">
        <f>('Input data plant-based products'!$P$77*'Common input data'!$C$76*'Common input data'!H67)/'Input data plant-based products'!$E$77</f>
        <v>9.524634482758622E-6</v>
      </c>
      <c r="O184" s="877">
        <v>0</v>
      </c>
      <c r="P184" s="877">
        <v>0</v>
      </c>
      <c r="Q184" s="877">
        <v>0</v>
      </c>
      <c r="R184" s="877">
        <v>0</v>
      </c>
      <c r="S184" s="877">
        <v>0</v>
      </c>
      <c r="T184" s="877">
        <v>0</v>
      </c>
      <c r="U184" s="877">
        <f>(G184+T184)</f>
        <v>9.2483937266718124E-5</v>
      </c>
      <c r="V184" s="877">
        <v>0</v>
      </c>
      <c r="W184" s="877">
        <v>0</v>
      </c>
      <c r="X184" s="864"/>
      <c r="Y184" s="879"/>
      <c r="Z184" s="877"/>
      <c r="AA184" s="877"/>
      <c r="AB184" s="877"/>
      <c r="AC184" s="877"/>
      <c r="AD184" s="886"/>
      <c r="AE184" s="877"/>
      <c r="AF184" s="879"/>
      <c r="AG184" s="877"/>
      <c r="AH184" s="877"/>
      <c r="AI184" s="877"/>
      <c r="AJ184" s="877"/>
      <c r="AK184" s="886"/>
      <c r="AL184" s="877"/>
      <c r="AM184" s="879"/>
      <c r="AN184" s="877"/>
      <c r="AO184" s="877"/>
      <c r="AP184" s="877"/>
      <c r="AQ184" s="877"/>
      <c r="AR184" s="886"/>
      <c r="AS184" s="877"/>
      <c r="AT184" s="879"/>
      <c r="AU184" s="877"/>
      <c r="AV184" s="877"/>
      <c r="AW184" s="877"/>
      <c r="AX184" s="877"/>
      <c r="AY184" s="886"/>
      <c r="AZ184" s="877"/>
      <c r="BA184" s="879"/>
      <c r="BB184" s="877"/>
      <c r="BC184" s="877"/>
      <c r="BD184" s="877"/>
      <c r="BE184" s="877"/>
      <c r="BF184" s="886"/>
      <c r="BG184" s="877"/>
      <c r="BH184" s="879"/>
      <c r="BI184" s="877"/>
      <c r="BJ184" s="877"/>
      <c r="BK184" s="877"/>
      <c r="BL184" s="877"/>
      <c r="BM184" s="886"/>
      <c r="BN184" s="877"/>
      <c r="BO184" s="879"/>
      <c r="BP184" s="877"/>
      <c r="BQ184" s="877"/>
      <c r="BR184" s="877"/>
      <c r="BS184" s="877"/>
      <c r="BT184" s="886"/>
      <c r="BU184" s="877"/>
      <c r="BV184" s="879"/>
      <c r="BW184" s="886"/>
    </row>
    <row r="185" spans="1:253" s="406" customFormat="1" ht="17.25">
      <c r="A185" s="359"/>
      <c r="B185" s="360"/>
      <c r="C185" s="83"/>
      <c r="D185" s="54"/>
      <c r="E185" s="1295" t="s">
        <v>320</v>
      </c>
      <c r="F185" s="896">
        <f>SUM(K185:L185)</f>
        <v>4.2179725779967165E-4</v>
      </c>
      <c r="G185" s="896">
        <f>SUM(I185:Q185)</f>
        <v>5.2173827134180872E-4</v>
      </c>
      <c r="H185" s="933">
        <f>SUM(U185:W185)/(1-'Common input data'!$B$140)</f>
        <v>6.2267367387732278E-4</v>
      </c>
      <c r="I185" s="877">
        <f>('Input data plant-based products'!$F$77*('Common input data'!$C$93*'Common input data'!B88+'Common input data'!$C$94*'Common input data'!C88))/'Input data plant-based products'!$E$77</f>
        <v>9.9363248024895656E-5</v>
      </c>
      <c r="J185" s="877">
        <v>0</v>
      </c>
      <c r="K185" s="877">
        <f>(SUM('Input data plant-based products'!F77:H77)*'Input data plant-based products'!$B$257*44/28)/'Input data plant-based products'!E77</f>
        <v>3.8345205254515605E-4</v>
      </c>
      <c r="L185" s="877">
        <f>K185*'Input data plant-based products'!$B$261</f>
        <v>3.8345205254515607E-5</v>
      </c>
      <c r="M185" s="877"/>
      <c r="N185" s="877">
        <f>('Input data plant-based products'!$P$77*'Common input data'!$C$76*'Common input data'!H68)/'Input data plant-based products'!$E$77</f>
        <v>5.7776551724137936E-7</v>
      </c>
      <c r="O185" s="877">
        <v>0</v>
      </c>
      <c r="P185" s="877">
        <v>0</v>
      </c>
      <c r="Q185" s="877">
        <v>0</v>
      </c>
      <c r="R185" s="877">
        <v>0</v>
      </c>
      <c r="S185" s="877">
        <v>0</v>
      </c>
      <c r="T185" s="877">
        <v>0</v>
      </c>
      <c r="U185" s="877">
        <f>(G185+T185)</f>
        <v>5.2173827134180872E-4</v>
      </c>
      <c r="V185" s="877">
        <v>0</v>
      </c>
      <c r="W185" s="877">
        <v>0</v>
      </c>
      <c r="X185" s="864"/>
      <c r="Y185" s="879"/>
      <c r="Z185" s="877"/>
      <c r="AA185" s="877"/>
      <c r="AB185" s="877"/>
      <c r="AC185" s="877"/>
      <c r="AD185" s="886"/>
      <c r="AE185" s="877"/>
      <c r="AF185" s="879"/>
      <c r="AG185" s="877"/>
      <c r="AH185" s="877"/>
      <c r="AI185" s="877"/>
      <c r="AJ185" s="877"/>
      <c r="AK185" s="886"/>
      <c r="AL185" s="877"/>
      <c r="AM185" s="879"/>
      <c r="AN185" s="877"/>
      <c r="AO185" s="877"/>
      <c r="AP185" s="877"/>
      <c r="AQ185" s="877"/>
      <c r="AR185" s="886"/>
      <c r="AS185" s="877"/>
      <c r="AT185" s="879"/>
      <c r="AU185" s="877"/>
      <c r="AV185" s="877"/>
      <c r="AW185" s="877"/>
      <c r="AX185" s="877"/>
      <c r="AY185" s="886"/>
      <c r="AZ185" s="877"/>
      <c r="BA185" s="879"/>
      <c r="BB185" s="877"/>
      <c r="BC185" s="877"/>
      <c r="BD185" s="877"/>
      <c r="BE185" s="877"/>
      <c r="BF185" s="886"/>
      <c r="BG185" s="877"/>
      <c r="BH185" s="879"/>
      <c r="BI185" s="877"/>
      <c r="BJ185" s="877"/>
      <c r="BK185" s="877"/>
      <c r="BL185" s="877"/>
      <c r="BM185" s="886"/>
      <c r="BN185" s="877"/>
      <c r="BO185" s="879"/>
      <c r="BP185" s="877"/>
      <c r="BQ185" s="877"/>
      <c r="BR185" s="877"/>
      <c r="BS185" s="877"/>
      <c r="BT185" s="886"/>
      <c r="BU185" s="877"/>
      <c r="BV185" s="879"/>
      <c r="BW185" s="886"/>
    </row>
    <row r="186" spans="1:253" s="503" customFormat="1" ht="17.25">
      <c r="A186" s="362" t="s">
        <v>492</v>
      </c>
      <c r="B186" s="363"/>
      <c r="C186" s="770"/>
      <c r="D186" s="54"/>
      <c r="E186" s="1296"/>
      <c r="F186" s="1290" t="s">
        <v>493</v>
      </c>
      <c r="G186" s="1290" t="s">
        <v>493</v>
      </c>
      <c r="H186" s="870" t="s">
        <v>493</v>
      </c>
      <c r="I186" s="889"/>
      <c r="J186" s="889"/>
      <c r="K186" s="889"/>
      <c r="L186" s="890"/>
      <c r="M186" s="890"/>
      <c r="N186" s="890"/>
      <c r="O186" s="891"/>
      <c r="P186" s="890"/>
      <c r="Q186" s="890"/>
      <c r="R186" s="890"/>
      <c r="S186" s="890"/>
      <c r="T186" s="890"/>
      <c r="U186" s="890"/>
      <c r="V186" s="890"/>
      <c r="W186" s="890"/>
      <c r="X186" s="864"/>
      <c r="Y186" s="879"/>
      <c r="Z186" s="877"/>
      <c r="AA186" s="877"/>
      <c r="AB186" s="877"/>
      <c r="AC186" s="877"/>
      <c r="AD186" s="886"/>
      <c r="AE186" s="877"/>
      <c r="AF186" s="879"/>
      <c r="AG186" s="877"/>
      <c r="AH186" s="877"/>
      <c r="AI186" s="877"/>
      <c r="AJ186" s="877"/>
      <c r="AK186" s="886"/>
      <c r="AL186" s="877"/>
      <c r="AM186" s="879"/>
      <c r="AN186" s="877"/>
      <c r="AO186" s="877"/>
      <c r="AP186" s="877"/>
      <c r="AQ186" s="877"/>
      <c r="AR186" s="886"/>
      <c r="AS186" s="877"/>
      <c r="AT186" s="879"/>
      <c r="AU186" s="877"/>
      <c r="AV186" s="877"/>
      <c r="AW186" s="877"/>
      <c r="AX186" s="877"/>
      <c r="AY186" s="886"/>
      <c r="AZ186" s="877"/>
      <c r="BA186" s="879"/>
      <c r="BB186" s="877"/>
      <c r="BC186" s="877"/>
      <c r="BD186" s="877"/>
      <c r="BE186" s="877"/>
      <c r="BF186" s="886"/>
      <c r="BG186" s="877"/>
      <c r="BH186" s="879"/>
      <c r="BI186" s="877"/>
      <c r="BJ186" s="877"/>
      <c r="BK186" s="877"/>
      <c r="BL186" s="877"/>
      <c r="BM186" s="886"/>
      <c r="BN186" s="877"/>
      <c r="BO186" s="879"/>
      <c r="BP186" s="877"/>
      <c r="BQ186" s="877"/>
      <c r="BR186" s="877"/>
      <c r="BS186" s="877"/>
      <c r="BT186" s="886"/>
      <c r="BU186" s="877"/>
      <c r="BV186" s="879"/>
      <c r="BW186" s="886"/>
      <c r="BX186" s="406"/>
      <c r="BY186" s="406"/>
      <c r="BZ186" s="406"/>
      <c r="CA186" s="406"/>
      <c r="CB186" s="406"/>
      <c r="CC186" s="406"/>
      <c r="CD186" s="406"/>
      <c r="CE186" s="406"/>
      <c r="CF186" s="406"/>
      <c r="CG186" s="406"/>
      <c r="CH186" s="406"/>
      <c r="CI186" s="406"/>
      <c r="CJ186" s="406"/>
      <c r="CK186" s="406"/>
      <c r="CL186" s="406"/>
      <c r="CM186" s="406"/>
      <c r="CN186" s="406"/>
      <c r="CO186" s="406"/>
      <c r="CP186" s="406"/>
      <c r="CQ186" s="406"/>
      <c r="CR186" s="406"/>
      <c r="CS186" s="406"/>
      <c r="CT186" s="406"/>
      <c r="CU186" s="406"/>
      <c r="CV186" s="406"/>
      <c r="CW186" s="406"/>
      <c r="CX186" s="406"/>
      <c r="CY186" s="406"/>
      <c r="CZ186" s="406"/>
      <c r="DA186" s="406"/>
      <c r="DB186" s="406"/>
      <c r="DC186" s="406"/>
      <c r="DD186" s="406"/>
      <c r="DE186" s="406"/>
      <c r="DF186" s="406"/>
      <c r="DG186" s="406"/>
      <c r="DH186" s="406"/>
      <c r="DI186" s="406"/>
      <c r="DJ186" s="406"/>
      <c r="DK186" s="406"/>
      <c r="DL186" s="406"/>
      <c r="DM186" s="406"/>
      <c r="DN186" s="406"/>
      <c r="DO186" s="406"/>
      <c r="DP186" s="406"/>
      <c r="DQ186" s="406"/>
      <c r="DR186" s="406"/>
      <c r="DS186" s="406"/>
      <c r="DT186" s="406"/>
      <c r="DU186" s="406"/>
      <c r="DV186" s="406"/>
      <c r="DW186" s="406"/>
      <c r="DX186" s="406"/>
      <c r="DY186" s="406"/>
      <c r="DZ186" s="406"/>
      <c r="EA186" s="406"/>
      <c r="EB186" s="406"/>
      <c r="EC186" s="406"/>
      <c r="ED186" s="406"/>
      <c r="EE186" s="406"/>
      <c r="EF186" s="406"/>
      <c r="EG186" s="406"/>
      <c r="EH186" s="406"/>
      <c r="EI186" s="406"/>
      <c r="EJ186" s="406"/>
      <c r="EK186" s="406"/>
      <c r="EL186" s="406"/>
      <c r="EM186" s="406"/>
      <c r="EN186" s="406"/>
      <c r="EO186" s="406"/>
      <c r="EP186" s="406"/>
      <c r="EQ186" s="406"/>
      <c r="ER186" s="406"/>
      <c r="ES186" s="406"/>
      <c r="ET186" s="406"/>
      <c r="EU186" s="406"/>
      <c r="EV186" s="406"/>
      <c r="EW186" s="406"/>
      <c r="EX186" s="406"/>
      <c r="EY186" s="406"/>
      <c r="EZ186" s="406"/>
      <c r="FA186" s="406"/>
      <c r="FB186" s="406"/>
      <c r="FC186" s="406"/>
      <c r="FD186" s="406"/>
      <c r="FE186" s="406"/>
      <c r="FF186" s="406"/>
      <c r="FG186" s="406"/>
      <c r="FH186" s="406"/>
      <c r="FI186" s="406"/>
      <c r="FJ186" s="406"/>
      <c r="FK186" s="406"/>
      <c r="FL186" s="406"/>
      <c r="FM186" s="406"/>
      <c r="FN186" s="406"/>
      <c r="FO186" s="406"/>
      <c r="FP186" s="406"/>
      <c r="FQ186" s="406"/>
      <c r="FR186" s="406"/>
      <c r="FS186" s="406"/>
      <c r="FT186" s="406"/>
      <c r="FU186" s="406"/>
      <c r="FV186" s="406"/>
      <c r="FW186" s="406"/>
      <c r="FX186" s="406"/>
      <c r="FY186" s="406"/>
      <c r="FZ186" s="406"/>
      <c r="GA186" s="406"/>
      <c r="GB186" s="406"/>
      <c r="GC186" s="406"/>
      <c r="GD186" s="406"/>
      <c r="GE186" s="406"/>
      <c r="GF186" s="406"/>
      <c r="GG186" s="406"/>
      <c r="GH186" s="406"/>
      <c r="GI186" s="406"/>
      <c r="GJ186" s="406"/>
      <c r="GK186" s="406"/>
      <c r="GL186" s="406"/>
      <c r="GM186" s="406"/>
      <c r="GN186" s="406"/>
      <c r="GO186" s="406"/>
      <c r="GP186" s="406"/>
      <c r="GQ186" s="406"/>
      <c r="GR186" s="406"/>
      <c r="GS186" s="406"/>
      <c r="GT186" s="406"/>
      <c r="GU186" s="406"/>
      <c r="GV186" s="406"/>
      <c r="GW186" s="406"/>
      <c r="GX186" s="406"/>
      <c r="GY186" s="406"/>
      <c r="GZ186" s="406"/>
      <c r="HA186" s="406"/>
      <c r="HB186" s="406"/>
      <c r="HC186" s="406"/>
      <c r="HD186" s="406"/>
      <c r="HE186" s="406"/>
      <c r="HF186" s="406"/>
      <c r="HG186" s="406"/>
      <c r="HH186" s="406"/>
      <c r="HI186" s="406"/>
      <c r="HJ186" s="406"/>
      <c r="HK186" s="406"/>
      <c r="HL186" s="406"/>
      <c r="HM186" s="406"/>
      <c r="HN186" s="406"/>
      <c r="HO186" s="406"/>
      <c r="HP186" s="406"/>
      <c r="HQ186" s="406"/>
      <c r="HR186" s="406"/>
      <c r="HS186" s="406"/>
      <c r="HT186" s="406"/>
      <c r="HU186" s="406"/>
      <c r="HV186" s="406"/>
      <c r="HW186" s="406"/>
      <c r="HX186" s="406"/>
      <c r="HY186" s="406"/>
      <c r="HZ186" s="406"/>
      <c r="IA186" s="406"/>
      <c r="IB186" s="406"/>
      <c r="IC186" s="406"/>
      <c r="ID186" s="406"/>
      <c r="IE186" s="406"/>
      <c r="IF186" s="406"/>
      <c r="IG186" s="406"/>
      <c r="IH186" s="406"/>
      <c r="II186" s="406"/>
      <c r="IJ186" s="406"/>
      <c r="IK186" s="406"/>
      <c r="IL186" s="406"/>
      <c r="IM186" s="406"/>
      <c r="IN186" s="406"/>
      <c r="IO186" s="406"/>
      <c r="IP186" s="406"/>
      <c r="IQ186" s="406"/>
      <c r="IR186" s="406"/>
      <c r="IS186" s="406"/>
    </row>
    <row r="187" spans="1:253" s="502" customFormat="1" ht="17.25">
      <c r="A187" s="20" t="s">
        <v>120</v>
      </c>
      <c r="B187" s="93"/>
      <c r="C187" s="903">
        <f>SUM(C191:C202)</f>
        <v>1</v>
      </c>
      <c r="D187" s="26"/>
      <c r="E187" s="1293" t="s">
        <v>316</v>
      </c>
      <c r="F187" s="874">
        <f>SUMPRODUCT($CE$14:$CE$16,F188:F190)</f>
        <v>7.7659854897378866E-2</v>
      </c>
      <c r="G187" s="874">
        <f>SUMPRODUCT($CE$14:$CE$16,G188:G190)</f>
        <v>0.15877213412163535</v>
      </c>
      <c r="H187" s="927">
        <f>SUMPRODUCT($CE$14:$CE$16,H188:H190)</f>
        <v>0.36015292292831524</v>
      </c>
      <c r="I187" s="872"/>
      <c r="J187" s="884"/>
      <c r="K187" s="884"/>
      <c r="L187" s="888"/>
      <c r="M187" s="888"/>
      <c r="N187" s="888"/>
      <c r="O187" s="888"/>
      <c r="P187" s="888"/>
      <c r="Q187" s="888"/>
      <c r="R187" s="888"/>
      <c r="S187" s="888"/>
      <c r="T187" s="888"/>
      <c r="U187" s="888"/>
      <c r="V187" s="888"/>
      <c r="W187" s="888"/>
      <c r="X187" s="864"/>
      <c r="Y187" s="883">
        <f>Y191*$C$191+Y195*$C$195+Y199*$C$199</f>
        <v>0.20795777125095191</v>
      </c>
      <c r="Z187" s="884">
        <f t="shared" ref="Z187:BW187" si="21">Z191*$C$191+Z195*$C$195+Z199*$C$199</f>
        <v>0.20795777125095191</v>
      </c>
      <c r="AA187" s="884">
        <f t="shared" si="21"/>
        <v>0.20795777125095191</v>
      </c>
      <c r="AB187" s="884">
        <f t="shared" si="21"/>
        <v>0.20795777125095191</v>
      </c>
      <c r="AC187" s="884">
        <f t="shared" si="21"/>
        <v>0.24818924841980175</v>
      </c>
      <c r="AD187" s="885">
        <f t="shared" si="21"/>
        <v>0.30640647953061939</v>
      </c>
      <c r="AE187" s="877"/>
      <c r="AF187" s="883">
        <f t="shared" si="21"/>
        <v>4.0990133786848078E-3</v>
      </c>
      <c r="AG187" s="884">
        <f t="shared" si="21"/>
        <v>4.0990133786848078E-3</v>
      </c>
      <c r="AH187" s="884">
        <f t="shared" si="21"/>
        <v>4.0990133786848078E-3</v>
      </c>
      <c r="AI187" s="884">
        <f t="shared" si="21"/>
        <v>4.0990133786848078E-3</v>
      </c>
      <c r="AJ187" s="884">
        <f t="shared" si="21"/>
        <v>4.892007851396118E-3</v>
      </c>
      <c r="AK187" s="885">
        <f t="shared" si="21"/>
        <v>6.0395158659211313E-3</v>
      </c>
      <c r="AL187" s="877"/>
      <c r="AM187" s="883">
        <f t="shared" si="21"/>
        <v>6.2812677111442265E-4</v>
      </c>
      <c r="AN187" s="884">
        <f t="shared" si="21"/>
        <v>6.2812677111442265E-4</v>
      </c>
      <c r="AO187" s="884">
        <f t="shared" si="21"/>
        <v>6.2812677111442265E-4</v>
      </c>
      <c r="AP187" s="884">
        <f t="shared" si="21"/>
        <v>6.2812677111442265E-4</v>
      </c>
      <c r="AQ187" s="884">
        <f t="shared" si="21"/>
        <v>7.4964407580191254E-4</v>
      </c>
      <c r="AR187" s="885">
        <f t="shared" si="21"/>
        <v>9.2548651333569459E-4</v>
      </c>
      <c r="AS187" s="877"/>
      <c r="AT187" s="883">
        <f t="shared" si="21"/>
        <v>9.8788039467638516E-3</v>
      </c>
      <c r="AU187" s="884">
        <f t="shared" si="21"/>
        <v>9.8788039467638516E-3</v>
      </c>
      <c r="AV187" s="884">
        <f t="shared" si="21"/>
        <v>9.8788039467638516E-3</v>
      </c>
      <c r="AW187" s="884">
        <f t="shared" si="21"/>
        <v>9.8788039467638516E-3</v>
      </c>
      <c r="AX187" s="884">
        <f t="shared" si="21"/>
        <v>1.1789955778450711E-2</v>
      </c>
      <c r="AY187" s="885">
        <f t="shared" si="21"/>
        <v>1.4555500961050257E-2</v>
      </c>
      <c r="AZ187" s="877"/>
      <c r="BA187" s="883">
        <f t="shared" si="21"/>
        <v>3.6592342853264589E-12</v>
      </c>
      <c r="BB187" s="884">
        <f t="shared" si="21"/>
        <v>3.6592342853264589E-12</v>
      </c>
      <c r="BC187" s="884">
        <f t="shared" si="21"/>
        <v>3.6592342853264589E-12</v>
      </c>
      <c r="BD187" s="884">
        <f t="shared" si="21"/>
        <v>3.6592342853264589E-12</v>
      </c>
      <c r="BE187" s="884">
        <f t="shared" si="21"/>
        <v>4.3671491649677273E-12</v>
      </c>
      <c r="BF187" s="885">
        <f t="shared" si="21"/>
        <v>5.3915421789725029E-12</v>
      </c>
      <c r="BG187" s="877"/>
      <c r="BH187" s="883">
        <f t="shared" si="21"/>
        <v>5.0614113386475651E-5</v>
      </c>
      <c r="BI187" s="884">
        <f t="shared" si="21"/>
        <v>5.0614113386475651E-5</v>
      </c>
      <c r="BJ187" s="884">
        <f t="shared" si="21"/>
        <v>5.0614113386475651E-5</v>
      </c>
      <c r="BK187" s="884">
        <f t="shared" si="21"/>
        <v>5.0614113386475651E-5</v>
      </c>
      <c r="BL187" s="884">
        <f t="shared" si="21"/>
        <v>6.0405911667831066E-5</v>
      </c>
      <c r="BM187" s="885">
        <f t="shared" si="21"/>
        <v>7.4575199589914891E-5</v>
      </c>
      <c r="BN187" s="877"/>
      <c r="BO187" s="883">
        <f t="shared" si="21"/>
        <v>1.0466311372171058E-4</v>
      </c>
      <c r="BP187" s="884">
        <f t="shared" si="21"/>
        <v>1.0466311372171058E-4</v>
      </c>
      <c r="BQ187" s="884">
        <f t="shared" si="21"/>
        <v>1.0466311372171058E-4</v>
      </c>
      <c r="BR187" s="884">
        <f t="shared" si="21"/>
        <v>1.0466311372171058E-4</v>
      </c>
      <c r="BS187" s="884">
        <f t="shared" si="21"/>
        <v>1.2491122296420882E-4</v>
      </c>
      <c r="BT187" s="885">
        <f t="shared" si="21"/>
        <v>1.5421138637556641E-4</v>
      </c>
      <c r="BU187" s="877"/>
      <c r="BV187" s="883">
        <f t="shared" si="21"/>
        <v>0.51415204678362569</v>
      </c>
      <c r="BW187" s="885">
        <f t="shared" si="21"/>
        <v>0.63475561331311814</v>
      </c>
      <c r="BX187" s="406"/>
      <c r="BY187" s="406"/>
      <c r="BZ187" s="406"/>
      <c r="CA187" s="406"/>
      <c r="CB187" s="406"/>
      <c r="CC187" s="406"/>
      <c r="CD187" s="406"/>
      <c r="CE187" s="406"/>
      <c r="CF187" s="406"/>
      <c r="CG187" s="406"/>
      <c r="CH187" s="406"/>
      <c r="CI187" s="406"/>
      <c r="CJ187" s="406"/>
      <c r="CK187" s="406"/>
      <c r="CL187" s="406"/>
      <c r="CM187" s="406"/>
      <c r="CN187" s="406"/>
      <c r="CO187" s="406"/>
      <c r="CP187" s="406"/>
      <c r="CQ187" s="406"/>
      <c r="CR187" s="406"/>
      <c r="CS187" s="406"/>
      <c r="CT187" s="406"/>
      <c r="CU187" s="406"/>
      <c r="CV187" s="406"/>
      <c r="CW187" s="406"/>
      <c r="CX187" s="406"/>
      <c r="CY187" s="406"/>
      <c r="CZ187" s="406"/>
      <c r="DA187" s="406"/>
      <c r="DB187" s="406"/>
      <c r="DC187" s="406"/>
      <c r="DD187" s="406"/>
      <c r="DE187" s="406"/>
      <c r="DF187" s="406"/>
      <c r="DG187" s="406"/>
      <c r="DH187" s="406"/>
      <c r="DI187" s="406"/>
      <c r="DJ187" s="406"/>
      <c r="DK187" s="406"/>
      <c r="DL187" s="406"/>
      <c r="DM187" s="406"/>
      <c r="DN187" s="406"/>
      <c r="DO187" s="406"/>
      <c r="DP187" s="406"/>
      <c r="DQ187" s="406"/>
      <c r="DR187" s="406"/>
      <c r="DS187" s="406"/>
      <c r="DT187" s="406"/>
      <c r="DU187" s="406"/>
      <c r="DV187" s="406"/>
      <c r="DW187" s="406"/>
      <c r="DX187" s="406"/>
      <c r="DY187" s="406"/>
      <c r="DZ187" s="406"/>
      <c r="EA187" s="406"/>
      <c r="EB187" s="406"/>
      <c r="EC187" s="406"/>
      <c r="ED187" s="406"/>
      <c r="EE187" s="406"/>
      <c r="EF187" s="406"/>
      <c r="EG187" s="406"/>
      <c r="EH187" s="406"/>
      <c r="EI187" s="406"/>
      <c r="EJ187" s="406"/>
      <c r="EK187" s="406"/>
      <c r="EL187" s="406"/>
      <c r="EM187" s="406"/>
      <c r="EN187" s="406"/>
      <c r="EO187" s="406"/>
      <c r="EP187" s="406"/>
      <c r="EQ187" s="406"/>
      <c r="ER187" s="406"/>
      <c r="ES187" s="406"/>
      <c r="ET187" s="406"/>
      <c r="EU187" s="406"/>
      <c r="EV187" s="406"/>
      <c r="EW187" s="406"/>
      <c r="EX187" s="406"/>
      <c r="EY187" s="406"/>
      <c r="EZ187" s="406"/>
      <c r="FA187" s="406"/>
      <c r="FB187" s="406"/>
      <c r="FC187" s="406"/>
      <c r="FD187" s="406"/>
      <c r="FE187" s="406"/>
      <c r="FF187" s="406"/>
      <c r="FG187" s="406"/>
      <c r="FH187" s="406"/>
      <c r="FI187" s="406"/>
      <c r="FJ187" s="406"/>
      <c r="FK187" s="406"/>
      <c r="FL187" s="406"/>
      <c r="FM187" s="406"/>
      <c r="FN187" s="406"/>
      <c r="FO187" s="406"/>
      <c r="FP187" s="406"/>
      <c r="FQ187" s="406"/>
      <c r="FR187" s="406"/>
      <c r="FS187" s="406"/>
      <c r="FT187" s="406"/>
      <c r="FU187" s="406"/>
      <c r="FV187" s="406"/>
      <c r="FW187" s="406"/>
      <c r="FX187" s="406"/>
      <c r="FY187" s="406"/>
      <c r="FZ187" s="406"/>
      <c r="GA187" s="406"/>
      <c r="GB187" s="406"/>
      <c r="GC187" s="406"/>
      <c r="GD187" s="406"/>
      <c r="GE187" s="406"/>
      <c r="GF187" s="406"/>
      <c r="GG187" s="406"/>
      <c r="GH187" s="406"/>
      <c r="GI187" s="406"/>
      <c r="GJ187" s="406"/>
      <c r="GK187" s="406"/>
      <c r="GL187" s="406"/>
      <c r="GM187" s="406"/>
      <c r="GN187" s="406"/>
      <c r="GO187" s="406"/>
      <c r="GP187" s="406"/>
      <c r="GQ187" s="406"/>
      <c r="GR187" s="406"/>
      <c r="GS187" s="406"/>
      <c r="GT187" s="406"/>
      <c r="GU187" s="406"/>
      <c r="GV187" s="406"/>
      <c r="GW187" s="406"/>
      <c r="GX187" s="406"/>
      <c r="GY187" s="406"/>
      <c r="GZ187" s="406"/>
      <c r="HA187" s="406"/>
      <c r="HB187" s="406"/>
      <c r="HC187" s="406"/>
      <c r="HD187" s="406"/>
      <c r="HE187" s="406"/>
      <c r="HF187" s="406"/>
      <c r="HG187" s="406"/>
      <c r="HH187" s="406"/>
      <c r="HI187" s="406"/>
      <c r="HJ187" s="406"/>
      <c r="HK187" s="406"/>
      <c r="HL187" s="406"/>
      <c r="HM187" s="406"/>
      <c r="HN187" s="406"/>
      <c r="HO187" s="406"/>
      <c r="HP187" s="406"/>
      <c r="HQ187" s="406"/>
      <c r="HR187" s="406"/>
      <c r="HS187" s="406"/>
      <c r="HT187" s="406"/>
      <c r="HU187" s="406"/>
      <c r="HV187" s="406"/>
      <c r="HW187" s="406"/>
      <c r="HX187" s="406"/>
      <c r="HY187" s="406"/>
      <c r="HZ187" s="406"/>
      <c r="IA187" s="406"/>
      <c r="IB187" s="406"/>
      <c r="IC187" s="406"/>
      <c r="ID187" s="406"/>
      <c r="IE187" s="406"/>
      <c r="IF187" s="406"/>
      <c r="IG187" s="406"/>
      <c r="IH187" s="406"/>
      <c r="II187" s="406"/>
      <c r="IJ187" s="406"/>
      <c r="IK187" s="406"/>
      <c r="IL187" s="406"/>
      <c r="IM187" s="406"/>
      <c r="IN187" s="406"/>
      <c r="IO187" s="406"/>
      <c r="IP187" s="406"/>
      <c r="IQ187" s="406"/>
      <c r="IR187" s="406"/>
      <c r="IS187" s="406"/>
    </row>
    <row r="188" spans="1:253" s="406" customFormat="1" ht="17.25">
      <c r="A188" s="499"/>
      <c r="B188" s="55"/>
      <c r="C188" s="917"/>
      <c r="D188" s="5"/>
      <c r="E188" s="1294" t="s">
        <v>317</v>
      </c>
      <c r="F188" s="877">
        <f t="shared" ref="F188:W190" si="22">F192*$C$191+F196*$C$195+$C$199*F200</f>
        <v>3.9989486962957101E-2</v>
      </c>
      <c r="G188" s="877">
        <f t="shared" si="22"/>
        <v>0.11197820026682465</v>
      </c>
      <c r="H188" s="878">
        <f t="shared" si="22"/>
        <v>0.30430624211340807</v>
      </c>
      <c r="I188" s="877">
        <f t="shared" si="22"/>
        <v>1.4208311015933698E-2</v>
      </c>
      <c r="J188" s="877">
        <f t="shared" si="22"/>
        <v>0.03</v>
      </c>
      <c r="K188" s="877">
        <f t="shared" si="22"/>
        <v>0</v>
      </c>
      <c r="L188" s="877">
        <f t="shared" si="22"/>
        <v>0</v>
      </c>
      <c r="M188" s="877"/>
      <c r="N188" s="877">
        <f t="shared" si="22"/>
        <v>7.7804022879338526E-3</v>
      </c>
      <c r="O188" s="877">
        <f t="shared" si="22"/>
        <v>0</v>
      </c>
      <c r="P188" s="877">
        <f t="shared" si="22"/>
        <v>0.02</v>
      </c>
      <c r="Q188" s="877">
        <f t="shared" si="22"/>
        <v>0</v>
      </c>
      <c r="R188" s="877">
        <f t="shared" si="22"/>
        <v>3.9989486962957101E-2</v>
      </c>
      <c r="S188" s="877">
        <f t="shared" si="22"/>
        <v>0</v>
      </c>
      <c r="T188" s="877">
        <f t="shared" si="22"/>
        <v>0</v>
      </c>
      <c r="U188" s="877">
        <f t="shared" si="22"/>
        <v>0.11197820026682465</v>
      </c>
      <c r="V188" s="877">
        <f t="shared" si="22"/>
        <v>0.05</v>
      </c>
      <c r="W188" s="877">
        <f t="shared" si="22"/>
        <v>9.2999999999999999E-2</v>
      </c>
      <c r="X188" s="864"/>
      <c r="Y188" s="879"/>
      <c r="Z188" s="877"/>
      <c r="AA188" s="877"/>
      <c r="AB188" s="877"/>
      <c r="AC188" s="877"/>
      <c r="AD188" s="886"/>
      <c r="AE188" s="877"/>
      <c r="AF188" s="879"/>
      <c r="AG188" s="877"/>
      <c r="AH188" s="877"/>
      <c r="AI188" s="877"/>
      <c r="AJ188" s="877"/>
      <c r="AK188" s="886"/>
      <c r="AL188" s="877"/>
      <c r="AM188" s="879"/>
      <c r="AN188" s="877"/>
      <c r="AO188" s="877"/>
      <c r="AP188" s="877"/>
      <c r="AQ188" s="877"/>
      <c r="AR188" s="886"/>
      <c r="AS188" s="877"/>
      <c r="AT188" s="879"/>
      <c r="AU188" s="877"/>
      <c r="AV188" s="877"/>
      <c r="AW188" s="877"/>
      <c r="AX188" s="877"/>
      <c r="AY188" s="886"/>
      <c r="AZ188" s="877"/>
      <c r="BA188" s="879"/>
      <c r="BB188" s="877"/>
      <c r="BC188" s="877"/>
      <c r="BD188" s="877"/>
      <c r="BE188" s="877"/>
      <c r="BF188" s="886"/>
      <c r="BG188" s="877"/>
      <c r="BH188" s="879"/>
      <c r="BI188" s="877"/>
      <c r="BJ188" s="877"/>
      <c r="BK188" s="877"/>
      <c r="BL188" s="877"/>
      <c r="BM188" s="886"/>
      <c r="BN188" s="877"/>
      <c r="BO188" s="879"/>
      <c r="BP188" s="877"/>
      <c r="BQ188" s="877"/>
      <c r="BR188" s="877"/>
      <c r="BS188" s="877"/>
      <c r="BT188" s="886"/>
      <c r="BU188" s="877"/>
      <c r="BV188" s="879"/>
      <c r="BW188" s="886"/>
    </row>
    <row r="189" spans="1:253" s="406" customFormat="1" ht="17.25">
      <c r="A189" s="499"/>
      <c r="B189" s="55"/>
      <c r="C189" s="595"/>
      <c r="D189" s="50"/>
      <c r="E189" s="1294" t="s">
        <v>367</v>
      </c>
      <c r="F189" s="877">
        <f t="shared" si="22"/>
        <v>0</v>
      </c>
      <c r="G189" s="877">
        <f t="shared" si="22"/>
        <v>2.5984616456259815E-5</v>
      </c>
      <c r="H189" s="878">
        <f t="shared" si="22"/>
        <v>3.1011596200333953E-5</v>
      </c>
      <c r="I189" s="877">
        <f t="shared" si="22"/>
        <v>2.2538160595574684E-5</v>
      </c>
      <c r="J189" s="877">
        <f t="shared" si="22"/>
        <v>0</v>
      </c>
      <c r="K189" s="877">
        <f t="shared" si="22"/>
        <v>0</v>
      </c>
      <c r="L189" s="877">
        <f t="shared" si="22"/>
        <v>0</v>
      </c>
      <c r="M189" s="877"/>
      <c r="N189" s="877">
        <f t="shared" si="22"/>
        <v>3.4464558606851352E-6</v>
      </c>
      <c r="O189" s="877">
        <f t="shared" si="22"/>
        <v>0</v>
      </c>
      <c r="P189" s="877">
        <f t="shared" si="22"/>
        <v>0</v>
      </c>
      <c r="Q189" s="877">
        <f t="shared" si="22"/>
        <v>0</v>
      </c>
      <c r="R189" s="877">
        <f t="shared" si="22"/>
        <v>0</v>
      </c>
      <c r="S189" s="877">
        <f t="shared" si="22"/>
        <v>0</v>
      </c>
      <c r="T189" s="877">
        <f t="shared" si="22"/>
        <v>0</v>
      </c>
      <c r="U189" s="877">
        <f t="shared" si="22"/>
        <v>2.5984616456259815E-5</v>
      </c>
      <c r="V189" s="877">
        <f t="shared" si="22"/>
        <v>0</v>
      </c>
      <c r="W189" s="877">
        <f t="shared" si="22"/>
        <v>0</v>
      </c>
      <c r="X189" s="864"/>
      <c r="Y189" s="879"/>
      <c r="Z189" s="877"/>
      <c r="AA189" s="877"/>
      <c r="AB189" s="877"/>
      <c r="AC189" s="877"/>
      <c r="AD189" s="886"/>
      <c r="AE189" s="877"/>
      <c r="AF189" s="879"/>
      <c r="AG189" s="877"/>
      <c r="AH189" s="877"/>
      <c r="AI189" s="877"/>
      <c r="AJ189" s="877"/>
      <c r="AK189" s="886"/>
      <c r="AL189" s="877"/>
      <c r="AM189" s="879"/>
      <c r="AN189" s="877"/>
      <c r="AO189" s="877"/>
      <c r="AP189" s="877"/>
      <c r="AQ189" s="877"/>
      <c r="AR189" s="886"/>
      <c r="AS189" s="877"/>
      <c r="AT189" s="879"/>
      <c r="AU189" s="877"/>
      <c r="AV189" s="877"/>
      <c r="AW189" s="877"/>
      <c r="AX189" s="877"/>
      <c r="AY189" s="886"/>
      <c r="AZ189" s="877"/>
      <c r="BA189" s="879"/>
      <c r="BB189" s="877"/>
      <c r="BC189" s="877"/>
      <c r="BD189" s="877"/>
      <c r="BE189" s="877"/>
      <c r="BF189" s="886"/>
      <c r="BG189" s="877"/>
      <c r="BH189" s="879"/>
      <c r="BI189" s="877"/>
      <c r="BJ189" s="877"/>
      <c r="BK189" s="877"/>
      <c r="BL189" s="877"/>
      <c r="BM189" s="886"/>
      <c r="BN189" s="877"/>
      <c r="BO189" s="879"/>
      <c r="BP189" s="877"/>
      <c r="BQ189" s="877"/>
      <c r="BR189" s="877"/>
      <c r="BS189" s="877"/>
      <c r="BT189" s="886"/>
      <c r="BU189" s="877"/>
      <c r="BV189" s="879"/>
      <c r="BW189" s="886"/>
    </row>
    <row r="190" spans="1:253" s="406" customFormat="1" ht="17.25">
      <c r="A190" s="18"/>
      <c r="B190" s="360"/>
      <c r="C190" s="83"/>
      <c r="D190" s="54"/>
      <c r="E190" s="1295" t="s">
        <v>320</v>
      </c>
      <c r="F190" s="877">
        <f t="shared" si="22"/>
        <v>1.3798669573048268E-4</v>
      </c>
      <c r="G190" s="877">
        <f t="shared" si="22"/>
        <v>1.6883644399447501E-4</v>
      </c>
      <c r="H190" s="878">
        <f t="shared" si="22"/>
        <v>2.0149951544871106E-4</v>
      </c>
      <c r="I190" s="877">
        <f t="shared" si="22"/>
        <v>3.0640685821060483E-5</v>
      </c>
      <c r="J190" s="877">
        <f t="shared" si="22"/>
        <v>0</v>
      </c>
      <c r="K190" s="877">
        <f t="shared" si="22"/>
        <v>1.2544245066407515E-4</v>
      </c>
      <c r="L190" s="877">
        <f t="shared" si="22"/>
        <v>1.2544245066407516E-5</v>
      </c>
      <c r="M190" s="877"/>
      <c r="N190" s="877">
        <f t="shared" si="22"/>
        <v>2.0906244293183697E-7</v>
      </c>
      <c r="O190" s="877">
        <f t="shared" si="22"/>
        <v>0</v>
      </c>
      <c r="P190" s="877">
        <f t="shared" si="22"/>
        <v>0</v>
      </c>
      <c r="Q190" s="877">
        <f t="shared" si="22"/>
        <v>0</v>
      </c>
      <c r="R190" s="877">
        <f t="shared" si="22"/>
        <v>0</v>
      </c>
      <c r="S190" s="877">
        <f t="shared" si="22"/>
        <v>0</v>
      </c>
      <c r="T190" s="877">
        <f t="shared" si="22"/>
        <v>0</v>
      </c>
      <c r="U190" s="877">
        <f t="shared" si="22"/>
        <v>1.6883644399447501E-4</v>
      </c>
      <c r="V190" s="877">
        <f t="shared" si="22"/>
        <v>0</v>
      </c>
      <c r="W190" s="877">
        <f t="shared" si="22"/>
        <v>0</v>
      </c>
      <c r="X190" s="864"/>
      <c r="Y190" s="879"/>
      <c r="Z190" s="877"/>
      <c r="AA190" s="877"/>
      <c r="AB190" s="877"/>
      <c r="AC190" s="877"/>
      <c r="AD190" s="886"/>
      <c r="AE190" s="877"/>
      <c r="AF190" s="879"/>
      <c r="AG190" s="877"/>
      <c r="AH190" s="877"/>
      <c r="AI190" s="877"/>
      <c r="AJ190" s="877"/>
      <c r="AK190" s="886"/>
      <c r="AL190" s="877"/>
      <c r="AM190" s="879"/>
      <c r="AN190" s="877"/>
      <c r="AO190" s="877"/>
      <c r="AP190" s="877"/>
      <c r="AQ190" s="877"/>
      <c r="AR190" s="886"/>
      <c r="AS190" s="877"/>
      <c r="AT190" s="879"/>
      <c r="AU190" s="877"/>
      <c r="AV190" s="877"/>
      <c r="AW190" s="877"/>
      <c r="AX190" s="877"/>
      <c r="AY190" s="886"/>
      <c r="AZ190" s="877"/>
      <c r="BA190" s="879"/>
      <c r="BB190" s="877"/>
      <c r="BC190" s="877"/>
      <c r="BD190" s="877"/>
      <c r="BE190" s="877"/>
      <c r="BF190" s="886"/>
      <c r="BG190" s="877"/>
      <c r="BH190" s="879"/>
      <c r="BI190" s="877"/>
      <c r="BJ190" s="877"/>
      <c r="BK190" s="877"/>
      <c r="BL190" s="877"/>
      <c r="BM190" s="886"/>
      <c r="BN190" s="877"/>
      <c r="BO190" s="879"/>
      <c r="BP190" s="877"/>
      <c r="BQ190" s="877"/>
      <c r="BR190" s="877"/>
      <c r="BS190" s="877"/>
      <c r="BT190" s="886"/>
      <c r="BU190" s="877"/>
      <c r="BV190" s="879"/>
      <c r="BW190" s="886"/>
    </row>
    <row r="191" spans="1:253" s="502" customFormat="1" ht="17.25">
      <c r="A191" s="20" t="s">
        <v>122</v>
      </c>
      <c r="B191" s="93" t="s">
        <v>121</v>
      </c>
      <c r="C191" s="87">
        <f>'Input data plant-based products'!D66</f>
        <v>0.43</v>
      </c>
      <c r="D191" s="54"/>
      <c r="E191" s="1293" t="s">
        <v>316</v>
      </c>
      <c r="F191" s="872">
        <f>SUMPRODUCT($CE$14:$CE$16,F192:F194)</f>
        <v>8.1310163833705401E-2</v>
      </c>
      <c r="G191" s="872">
        <f>SUMPRODUCT($CE$14:$CE$16,G192:G194)</f>
        <v>0.16283552402258417</v>
      </c>
      <c r="H191" s="873">
        <f>SUMPRODUCT($CE$14:$CE$16,H192:H194)</f>
        <v>0.28981444566485759</v>
      </c>
      <c r="I191" s="888"/>
      <c r="J191" s="888"/>
      <c r="K191" s="888"/>
      <c r="L191" s="888"/>
      <c r="M191" s="888"/>
      <c r="N191" s="888"/>
      <c r="O191" s="888"/>
      <c r="P191" s="888"/>
      <c r="Q191" s="888"/>
      <c r="R191" s="888"/>
      <c r="S191" s="888"/>
      <c r="T191" s="888"/>
      <c r="U191" s="888"/>
      <c r="V191" s="888"/>
      <c r="W191" s="888"/>
      <c r="X191" s="864"/>
      <c r="Y191" s="879">
        <f>1/'Input data plant-based products'!E66*10^4</f>
        <v>0.22675736961451248</v>
      </c>
      <c r="Z191" s="877">
        <f>$Y191*'Input data plant-based products'!Z66</f>
        <v>0.22675736961451248</v>
      </c>
      <c r="AA191" s="877">
        <f>$Y191*'Input data plant-based products'!AA66</f>
        <v>0.22675736961451248</v>
      </c>
      <c r="AB191" s="877">
        <f>$Y191*'Input data plant-based products'!AB66</f>
        <v>0.22675736961451248</v>
      </c>
      <c r="AC191" s="877">
        <f>$Y191*'Input data plant-based products'!AC66</f>
        <v>0.27062581407627695</v>
      </c>
      <c r="AD191" s="886">
        <f>$Y191*'Input data plant-based products'!AD66</f>
        <v>0.33410594330404558</v>
      </c>
      <c r="AE191" s="877"/>
      <c r="AF191" s="879">
        <f>SUM('Input data plant-based products'!F66,'Input data plant-based products'!Q66)/'Input data plant-based products'!E66</f>
        <v>4.5351473922902496E-3</v>
      </c>
      <c r="AG191" s="877">
        <f>$AF191*'Input data plant-based products'!Z66</f>
        <v>4.5351473922902496E-3</v>
      </c>
      <c r="AH191" s="877">
        <f>$AF191*'Input data plant-based products'!AA66</f>
        <v>4.5351473922902496E-3</v>
      </c>
      <c r="AI191" s="877">
        <f>$AF191*'Input data plant-based products'!AB66</f>
        <v>4.5351473922902496E-3</v>
      </c>
      <c r="AJ191" s="877">
        <f>$AF191*'Input data plant-based products'!AC66</f>
        <v>5.412516281525539E-3</v>
      </c>
      <c r="AK191" s="886">
        <f>$AF191*'Input data plant-based products'!AD66</f>
        <v>6.6821188660809118E-3</v>
      </c>
      <c r="AL191" s="877"/>
      <c r="AM191" s="879">
        <f>'Input data plant-based products'!R66/'Input data plant-based products'!E66</f>
        <v>3.5714285714285714E-4</v>
      </c>
      <c r="AN191" s="877">
        <f>$AM191*'Input data plant-based products'!Z66</f>
        <v>3.5714285714285714E-4</v>
      </c>
      <c r="AO191" s="877">
        <f>$AM191*'Input data plant-based products'!AA66</f>
        <v>3.5714285714285714E-4</v>
      </c>
      <c r="AP191" s="877">
        <f>$AM191*'Input data plant-based products'!AB66</f>
        <v>3.5714285714285714E-4</v>
      </c>
      <c r="AQ191" s="877">
        <f>$AM191*'Input data plant-based products'!AC66</f>
        <v>4.2623565717013619E-4</v>
      </c>
      <c r="AR191" s="886">
        <f>$AM191*'Input data plant-based products'!AD66</f>
        <v>5.2621686070387181E-4</v>
      </c>
      <c r="AS191" s="877"/>
      <c r="AT191" s="879">
        <f>'Input data plant-based products'!S66</f>
        <v>9.7365303190518494E-3</v>
      </c>
      <c r="AU191" s="877">
        <f>$AT191*'Input data plant-based products'!Z66</f>
        <v>9.7365303190518494E-3</v>
      </c>
      <c r="AV191" s="877">
        <f>$AT191*'Input data plant-based products'!AA66</f>
        <v>9.7365303190518494E-3</v>
      </c>
      <c r="AW191" s="877">
        <f>$AT191*'Input data plant-based products'!AB66</f>
        <v>9.7365303190518494E-3</v>
      </c>
      <c r="AX191" s="877">
        <f>$AT191*'Input data plant-based products'!AC66</f>
        <v>1.1620157917474458E-2</v>
      </c>
      <c r="AY191" s="886">
        <f>$AT191*'Input data plant-based products'!AD66</f>
        <v>1.4345873972190688E-2</v>
      </c>
      <c r="AZ191" s="877"/>
      <c r="BA191" s="879">
        <f>((SUM('Input data plant-based products'!U66:Y66)*Y191)/('Common input data'!$B$192/10^6))/$BB$3</f>
        <v>1.6040578386551087E-12</v>
      </c>
      <c r="BB191" s="877">
        <f>$BA191*'Input data plant-based products'!Z66</f>
        <v>1.6040578386551087E-12</v>
      </c>
      <c r="BC191" s="877">
        <f>$BA191*'Input data plant-based products'!AA66</f>
        <v>1.6040578386551087E-12</v>
      </c>
      <c r="BD191" s="877">
        <f>$BA191*'Input data plant-based products'!AB66</f>
        <v>1.6040578386551087E-12</v>
      </c>
      <c r="BE191" s="877">
        <f>$BA191*'Input data plant-based products'!AC66</f>
        <v>1.914378611594592E-12</v>
      </c>
      <c r="BF191" s="886">
        <f>$BA191*'Input data plant-based products'!AD66</f>
        <v>2.3634303846846815E-12</v>
      </c>
      <c r="BG191" s="877"/>
      <c r="BH191" s="879">
        <f>'Input data plant-based products'!T66/'Input data plant-based products'!E66</f>
        <v>6.519274376417233E-5</v>
      </c>
      <c r="BI191" s="877">
        <f>$BH191*'Input data plant-based products'!Z66</f>
        <v>6.519274376417233E-5</v>
      </c>
      <c r="BJ191" s="877">
        <f>$BH191*'Input data plant-based products'!AA66</f>
        <v>6.519274376417233E-5</v>
      </c>
      <c r="BK191" s="877">
        <f>$BH191*'Input data plant-based products'!AB66</f>
        <v>6.519274376417233E-5</v>
      </c>
      <c r="BL191" s="877">
        <f>$BH191*'Input data plant-based products'!AC66</f>
        <v>7.7804921546929616E-5</v>
      </c>
      <c r="BM191" s="886">
        <f>$BH191*'Input data plant-based products'!AD66</f>
        <v>9.6055458699913096E-5</v>
      </c>
      <c r="BN191" s="877"/>
      <c r="BO191" s="879">
        <f>('Input data plant-based products'!F66/'Input data plant-based products'!E66*'Common input data'!$B$195+'Input data plant-based products'!G66/'Input data plant-based products'!E66*'Common input data'!$B$196)/'Common input data'!$B$198</f>
        <v>1.1579924323552509E-4</v>
      </c>
      <c r="BP191" s="877">
        <f>$BO191*'Input data plant-based products'!Z66</f>
        <v>1.1579924323552509E-4</v>
      </c>
      <c r="BQ191" s="877">
        <f>$BO191*'Input data plant-based products'!AA66</f>
        <v>1.1579924323552509E-4</v>
      </c>
      <c r="BR191" s="877">
        <f>$BO191*'Input data plant-based products'!AB66</f>
        <v>1.1579924323552509E-4</v>
      </c>
      <c r="BS191" s="877">
        <f>$BO191*'Input data plant-based products'!AC66</f>
        <v>1.3820174631283576E-4</v>
      </c>
      <c r="BT191" s="886">
        <f>$BO191*'Input data plant-based products'!AD66</f>
        <v>1.7061943989238979E-4</v>
      </c>
      <c r="BU191" s="877"/>
      <c r="BV191" s="879">
        <f>'Common input data'!$C$202*'Input data plant-based products'!AC66</f>
        <v>0.17090344909893782</v>
      </c>
      <c r="BW191" s="886">
        <f>'Common input data'!$C$202*'Input data plant-based products'!AD66</f>
        <v>0.21099191246782442</v>
      </c>
      <c r="BX191" s="406"/>
      <c r="BY191" s="406"/>
      <c r="BZ191" s="406"/>
      <c r="CA191" s="406"/>
      <c r="CB191" s="406"/>
      <c r="CC191" s="406"/>
      <c r="CD191" s="406"/>
      <c r="CE191" s="406"/>
      <c r="CF191" s="406"/>
      <c r="CG191" s="406"/>
      <c r="CH191" s="406"/>
      <c r="CI191" s="406"/>
      <c r="CJ191" s="406"/>
      <c r="CK191" s="406"/>
      <c r="CL191" s="406"/>
      <c r="CM191" s="406"/>
      <c r="CN191" s="406"/>
      <c r="CO191" s="406"/>
      <c r="CP191" s="406"/>
      <c r="CQ191" s="406"/>
      <c r="CR191" s="406"/>
      <c r="CS191" s="406"/>
      <c r="CT191" s="406"/>
      <c r="CU191" s="406"/>
      <c r="CV191" s="406"/>
      <c r="CW191" s="406"/>
      <c r="CX191" s="406"/>
      <c r="CY191" s="406"/>
      <c r="CZ191" s="406"/>
      <c r="DA191" s="406"/>
      <c r="DB191" s="406"/>
      <c r="DC191" s="406"/>
      <c r="DD191" s="406"/>
      <c r="DE191" s="406"/>
      <c r="DF191" s="406"/>
      <c r="DG191" s="406"/>
      <c r="DH191" s="406"/>
      <c r="DI191" s="406"/>
      <c r="DJ191" s="406"/>
      <c r="DK191" s="406"/>
      <c r="DL191" s="406"/>
      <c r="DM191" s="406"/>
      <c r="DN191" s="406"/>
      <c r="DO191" s="406"/>
      <c r="DP191" s="406"/>
      <c r="DQ191" s="406"/>
      <c r="DR191" s="406"/>
      <c r="DS191" s="406"/>
      <c r="DT191" s="406"/>
      <c r="DU191" s="406"/>
      <c r="DV191" s="406"/>
      <c r="DW191" s="406"/>
      <c r="DX191" s="406"/>
      <c r="DY191" s="406"/>
      <c r="DZ191" s="406"/>
      <c r="EA191" s="406"/>
      <c r="EB191" s="406"/>
      <c r="EC191" s="406"/>
      <c r="ED191" s="406"/>
      <c r="EE191" s="406"/>
      <c r="EF191" s="406"/>
      <c r="EG191" s="406"/>
      <c r="EH191" s="406"/>
      <c r="EI191" s="406"/>
      <c r="EJ191" s="406"/>
      <c r="EK191" s="406"/>
      <c r="EL191" s="406"/>
      <c r="EM191" s="406"/>
      <c r="EN191" s="406"/>
      <c r="EO191" s="406"/>
      <c r="EP191" s="406"/>
      <c r="EQ191" s="406"/>
      <c r="ER191" s="406"/>
      <c r="ES191" s="406"/>
      <c r="ET191" s="406"/>
      <c r="EU191" s="406"/>
      <c r="EV191" s="406"/>
      <c r="EW191" s="406"/>
      <c r="EX191" s="406"/>
      <c r="EY191" s="406"/>
      <c r="EZ191" s="406"/>
      <c r="FA191" s="406"/>
      <c r="FB191" s="406"/>
      <c r="FC191" s="406"/>
      <c r="FD191" s="406"/>
      <c r="FE191" s="406"/>
      <c r="FF191" s="406"/>
      <c r="FG191" s="406"/>
      <c r="FH191" s="406"/>
      <c r="FI191" s="406"/>
      <c r="FJ191" s="406"/>
      <c r="FK191" s="406"/>
      <c r="FL191" s="406"/>
      <c r="FM191" s="406"/>
      <c r="FN191" s="406"/>
      <c r="FO191" s="406"/>
      <c r="FP191" s="406"/>
      <c r="FQ191" s="406"/>
      <c r="FR191" s="406"/>
      <c r="FS191" s="406"/>
      <c r="FT191" s="406"/>
      <c r="FU191" s="406"/>
      <c r="FV191" s="406"/>
      <c r="FW191" s="406"/>
      <c r="FX191" s="406"/>
      <c r="FY191" s="406"/>
      <c r="FZ191" s="406"/>
      <c r="GA191" s="406"/>
      <c r="GB191" s="406"/>
      <c r="GC191" s="406"/>
      <c r="GD191" s="406"/>
      <c r="GE191" s="406"/>
      <c r="GF191" s="406"/>
      <c r="GG191" s="406"/>
      <c r="GH191" s="406"/>
      <c r="GI191" s="406"/>
      <c r="GJ191" s="406"/>
      <c r="GK191" s="406"/>
      <c r="GL191" s="406"/>
      <c r="GM191" s="406"/>
      <c r="GN191" s="406"/>
      <c r="GO191" s="406"/>
      <c r="GP191" s="406"/>
      <c r="GQ191" s="406"/>
      <c r="GR191" s="406"/>
      <c r="GS191" s="406"/>
      <c r="GT191" s="406"/>
      <c r="GU191" s="406"/>
      <c r="GV191" s="406"/>
      <c r="GW191" s="406"/>
      <c r="GX191" s="406"/>
      <c r="GY191" s="406"/>
      <c r="GZ191" s="406"/>
      <c r="HA191" s="406"/>
      <c r="HB191" s="406"/>
      <c r="HC191" s="406"/>
      <c r="HD191" s="406"/>
      <c r="HE191" s="406"/>
      <c r="HF191" s="406"/>
      <c r="HG191" s="406"/>
      <c r="HH191" s="406"/>
      <c r="HI191" s="406"/>
      <c r="HJ191" s="406"/>
      <c r="HK191" s="406"/>
      <c r="HL191" s="406"/>
      <c r="HM191" s="406"/>
      <c r="HN191" s="406"/>
      <c r="HO191" s="406"/>
      <c r="HP191" s="406"/>
      <c r="HQ191" s="406"/>
      <c r="HR191" s="406"/>
      <c r="HS191" s="406"/>
      <c r="HT191" s="406"/>
      <c r="HU191" s="406"/>
      <c r="HV191" s="406"/>
      <c r="HW191" s="406"/>
      <c r="HX191" s="406"/>
      <c r="HY191" s="406"/>
      <c r="HZ191" s="406"/>
      <c r="IA191" s="406"/>
      <c r="IB191" s="406"/>
      <c r="IC191" s="406"/>
      <c r="ID191" s="406"/>
      <c r="IE191" s="406"/>
      <c r="IF191" s="406"/>
      <c r="IG191" s="406"/>
      <c r="IH191" s="406"/>
      <c r="II191" s="406"/>
      <c r="IJ191" s="406"/>
      <c r="IK191" s="406"/>
      <c r="IL191" s="406"/>
      <c r="IM191" s="406"/>
      <c r="IN191" s="406"/>
      <c r="IO191" s="406"/>
      <c r="IP191" s="406"/>
      <c r="IQ191" s="406"/>
      <c r="IR191" s="406"/>
      <c r="IS191" s="406"/>
    </row>
    <row r="192" spans="1:253" s="406" customFormat="1" ht="17.25">
      <c r="A192" s="499"/>
      <c r="B192" s="55"/>
      <c r="C192" s="917"/>
      <c r="D192" s="5"/>
      <c r="E192" s="1294" t="s">
        <v>317</v>
      </c>
      <c r="F192" s="877">
        <f>IF(AND($G$2="No",$G$3="No"),SUM(K192:L192),IF(AND($G$2="Yes", $G$3="No"), SUM(K192:L192)+S192, IF(AND($G$2="No", $G$3="Yes"),SUM(K192:L192)+R192, SUM(K192:L192)+S192+R192)))</f>
        <v>3.9989486962957101E-2</v>
      </c>
      <c r="G192" s="877">
        <f>IF(AND($G$2="No",$G$3="No"),SUM(I192:Q192),IF(AND($G$2="Yes", $G$3="No"), SUM(I192:Q192)+S192, IF(AND($G$2="No", $G$3="Yes"),SUM(I192:Q192)+R192, SUM(I192:Q192)+S192+R192)))</f>
        <v>0.1127005860265507</v>
      </c>
      <c r="H192" s="878">
        <f>SUM(U192:W192)/(1-'Common input data'!$B$140)</f>
        <v>0.22998041058187216</v>
      </c>
      <c r="I192" s="877">
        <f>('Input data plant-based products'!$F$66*('Common input data'!$B$93*'Common input data'!B86+'Common input data'!$B$94*'Common input data'!C86))/'Input data plant-based products'!$E$66</f>
        <v>1.4227340333434868E-2</v>
      </c>
      <c r="J192" s="877">
        <f>'Common input data'!$B$98</f>
        <v>0.03</v>
      </c>
      <c r="K192" s="877">
        <v>0</v>
      </c>
      <c r="L192" s="877">
        <v>0</v>
      </c>
      <c r="M192" s="877"/>
      <c r="N192" s="877">
        <f>('Input data plant-based products'!$P$66*'Common input data'!$C$76*'Common input data'!H66)/'Input data plant-based products'!$E$66</f>
        <v>8.4837587301587296E-3</v>
      </c>
      <c r="O192" s="877">
        <v>0</v>
      </c>
      <c r="P192" s="877">
        <f>'Input data plant-based products'!$G$309</f>
        <v>0.02</v>
      </c>
      <c r="Q192" s="877">
        <v>0</v>
      </c>
      <c r="R192" s="877">
        <f>'Common input data'!$E$19</f>
        <v>3.9989486962957101E-2</v>
      </c>
      <c r="S192" s="877">
        <v>0</v>
      </c>
      <c r="T192" s="877">
        <v>0</v>
      </c>
      <c r="U192" s="877">
        <f>(G192+T192)</f>
        <v>0.1127005860265507</v>
      </c>
      <c r="V192" s="877">
        <f>'Common input data'!$B$105</f>
        <v>0.05</v>
      </c>
      <c r="W192" s="877">
        <f>'Common input data'!C115</f>
        <v>0.03</v>
      </c>
      <c r="X192" s="864"/>
      <c r="Y192" s="879"/>
      <c r="Z192" s="877"/>
      <c r="AA192" s="877"/>
      <c r="AB192" s="877"/>
      <c r="AC192" s="877"/>
      <c r="AD192" s="886"/>
      <c r="AE192" s="877"/>
      <c r="AF192" s="879"/>
      <c r="AG192" s="877"/>
      <c r="AH192" s="877"/>
      <c r="AI192" s="877"/>
      <c r="AJ192" s="877"/>
      <c r="AK192" s="886"/>
      <c r="AL192" s="877"/>
      <c r="AM192" s="879"/>
      <c r="AN192" s="877"/>
      <c r="AO192" s="877"/>
      <c r="AP192" s="877"/>
      <c r="AQ192" s="877"/>
      <c r="AR192" s="886"/>
      <c r="AS192" s="877"/>
      <c r="AT192" s="879"/>
      <c r="AU192" s="877"/>
      <c r="AV192" s="877"/>
      <c r="AW192" s="877"/>
      <c r="AX192" s="877"/>
      <c r="AY192" s="886"/>
      <c r="AZ192" s="877"/>
      <c r="BA192" s="879"/>
      <c r="BB192" s="877"/>
      <c r="BC192" s="877"/>
      <c r="BD192" s="877"/>
      <c r="BE192" s="877"/>
      <c r="BF192" s="886"/>
      <c r="BG192" s="877"/>
      <c r="BH192" s="879"/>
      <c r="BI192" s="877"/>
      <c r="BJ192" s="877"/>
      <c r="BK192" s="877"/>
      <c r="BL192" s="877"/>
      <c r="BM192" s="886"/>
      <c r="BN192" s="877"/>
      <c r="BO192" s="879"/>
      <c r="BP192" s="877"/>
      <c r="BQ192" s="877"/>
      <c r="BR192" s="877"/>
      <c r="BS192" s="877"/>
      <c r="BT192" s="886"/>
      <c r="BU192" s="877"/>
      <c r="BV192" s="879"/>
      <c r="BW192" s="886"/>
    </row>
    <row r="193" spans="1:253" s="406" customFormat="1" ht="17.25">
      <c r="A193" s="18"/>
      <c r="B193" s="55"/>
      <c r="C193" s="595"/>
      <c r="D193" s="50"/>
      <c r="E193" s="1294" t="s">
        <v>367</v>
      </c>
      <c r="F193" s="877">
        <f>SUM(K193:L193)</f>
        <v>0</v>
      </c>
      <c r="G193" s="877">
        <f>SUM(I193:Q193)</f>
        <v>2.1656715925136222E-5</v>
      </c>
      <c r="H193" s="878">
        <f>SUM(U193:W193)/(1-'Common input data'!$B$140)</f>
        <v>2.58464207245927E-5</v>
      </c>
      <c r="I193" s="877">
        <f>('Input data plant-based products'!$F$66*('Common input data'!$B$93*'Common input data'!B87+'Common input data'!$B$94*'Common input data'!C87))/'Input data plant-based products'!$E$66</f>
        <v>1.7898696877517176E-5</v>
      </c>
      <c r="J193" s="877">
        <v>0</v>
      </c>
      <c r="K193" s="877">
        <v>0</v>
      </c>
      <c r="L193" s="877">
        <v>0</v>
      </c>
      <c r="M193" s="877"/>
      <c r="N193" s="877">
        <f>('Input data plant-based products'!$P$66*'Common input data'!$C$76*'Common input data'!H67)/'Input data plant-based products'!$E$66</f>
        <v>3.7580190476190477E-6</v>
      </c>
      <c r="O193" s="877">
        <v>0</v>
      </c>
      <c r="P193" s="877">
        <v>0</v>
      </c>
      <c r="Q193" s="877">
        <v>0</v>
      </c>
      <c r="R193" s="877">
        <v>0</v>
      </c>
      <c r="S193" s="877">
        <v>0</v>
      </c>
      <c r="T193" s="877">
        <v>0</v>
      </c>
      <c r="U193" s="877">
        <f>(G193+T193)</f>
        <v>2.1656715925136222E-5</v>
      </c>
      <c r="V193" s="877">
        <v>0</v>
      </c>
      <c r="W193" s="877">
        <v>0</v>
      </c>
      <c r="X193" s="864"/>
      <c r="Y193" s="879"/>
      <c r="Z193" s="877"/>
      <c r="AA193" s="877"/>
      <c r="AB193" s="877"/>
      <c r="AC193" s="877"/>
      <c r="AD193" s="886"/>
      <c r="AE193" s="877"/>
      <c r="AF193" s="879"/>
      <c r="AG193" s="877"/>
      <c r="AH193" s="877"/>
      <c r="AI193" s="877"/>
      <c r="AJ193" s="877"/>
      <c r="AK193" s="886"/>
      <c r="AL193" s="877"/>
      <c r="AM193" s="879"/>
      <c r="AN193" s="877"/>
      <c r="AO193" s="877"/>
      <c r="AP193" s="877"/>
      <c r="AQ193" s="877"/>
      <c r="AR193" s="886"/>
      <c r="AS193" s="877"/>
      <c r="AT193" s="879"/>
      <c r="AU193" s="877"/>
      <c r="AV193" s="877"/>
      <c r="AW193" s="877"/>
      <c r="AX193" s="877"/>
      <c r="AY193" s="886"/>
      <c r="AZ193" s="877"/>
      <c r="BA193" s="879"/>
      <c r="BB193" s="877"/>
      <c r="BC193" s="877"/>
      <c r="BD193" s="877"/>
      <c r="BE193" s="877"/>
      <c r="BF193" s="886"/>
      <c r="BG193" s="877"/>
      <c r="BH193" s="879"/>
      <c r="BI193" s="877"/>
      <c r="BJ193" s="877"/>
      <c r="BK193" s="877"/>
      <c r="BL193" s="877"/>
      <c r="BM193" s="886"/>
      <c r="BN193" s="877"/>
      <c r="BO193" s="879"/>
      <c r="BP193" s="877"/>
      <c r="BQ193" s="877"/>
      <c r="BR193" s="877"/>
      <c r="BS193" s="877"/>
      <c r="BT193" s="886"/>
      <c r="BU193" s="877"/>
      <c r="BV193" s="879"/>
      <c r="BW193" s="886"/>
    </row>
    <row r="194" spans="1:253" s="406" customFormat="1" ht="17.25">
      <c r="A194" s="359"/>
      <c r="B194" s="360"/>
      <c r="C194" s="83"/>
      <c r="D194" s="54"/>
      <c r="E194" s="1295" t="s">
        <v>320</v>
      </c>
      <c r="F194" s="877">
        <f>SUM(K194:L194)</f>
        <v>1.5135779073534176E-4</v>
      </c>
      <c r="G194" s="877">
        <f>SUM(I194:Q194)</f>
        <v>1.8150258852034723E-4</v>
      </c>
      <c r="H194" s="878">
        <f>SUM(U194:W194)/(1-'Common input data'!$B$140)</f>
        <v>2.1661605026894286E-4</v>
      </c>
      <c r="I194" s="877">
        <f>('Input data plant-based products'!$F$66*('Common input data'!$B$93*'Common input data'!B88+'Common input data'!$B$94*'Common input data'!C88))/'Input data plant-based products'!$E$66</f>
        <v>2.9916835880243581E-5</v>
      </c>
      <c r="J194" s="877">
        <v>0</v>
      </c>
      <c r="K194" s="877">
        <f>(SUM(('Input data plant-based products'!$F$66*'Input data plant-based products'!$B$258),(('Input data plant-based products'!$G$66+'Input data plant-based products'!$H$66)*'Input data plant-based products'!$B$259))*44/28)/'Input data plant-based products'!$E$66</f>
        <v>1.3759799157758341E-4</v>
      </c>
      <c r="L194" s="877">
        <f>K194*'Input data plant-based products'!$B$261</f>
        <v>1.3759799157758342E-5</v>
      </c>
      <c r="M194" s="877"/>
      <c r="N194" s="877">
        <f>('Input data plant-based products'!$P$66*'Common input data'!$C$76*'Common input data'!H68)/'Input data plant-based products'!$E$66</f>
        <v>2.2796190476190477E-7</v>
      </c>
      <c r="O194" s="877">
        <v>0</v>
      </c>
      <c r="P194" s="877">
        <v>0</v>
      </c>
      <c r="Q194" s="877">
        <v>0</v>
      </c>
      <c r="R194" s="877">
        <v>0</v>
      </c>
      <c r="S194" s="877">
        <v>0</v>
      </c>
      <c r="T194" s="877">
        <v>0</v>
      </c>
      <c r="U194" s="877">
        <f>(G194+T194)</f>
        <v>1.8150258852034723E-4</v>
      </c>
      <c r="V194" s="877">
        <v>0</v>
      </c>
      <c r="W194" s="877">
        <v>0</v>
      </c>
      <c r="X194" s="864"/>
      <c r="Y194" s="879"/>
      <c r="Z194" s="877"/>
      <c r="AA194" s="877"/>
      <c r="AB194" s="877"/>
      <c r="AC194" s="877"/>
      <c r="AD194" s="886"/>
      <c r="AE194" s="877"/>
      <c r="AF194" s="879"/>
      <c r="AG194" s="877"/>
      <c r="AH194" s="877"/>
      <c r="AI194" s="877"/>
      <c r="AJ194" s="877"/>
      <c r="AK194" s="886"/>
      <c r="AL194" s="877"/>
      <c r="AM194" s="879"/>
      <c r="AN194" s="877"/>
      <c r="AO194" s="877"/>
      <c r="AP194" s="877"/>
      <c r="AQ194" s="877"/>
      <c r="AR194" s="886"/>
      <c r="AS194" s="877"/>
      <c r="AT194" s="879"/>
      <c r="AU194" s="877"/>
      <c r="AV194" s="877"/>
      <c r="AW194" s="877"/>
      <c r="AX194" s="877"/>
      <c r="AY194" s="886"/>
      <c r="AZ194" s="877"/>
      <c r="BA194" s="879"/>
      <c r="BB194" s="877"/>
      <c r="BC194" s="877"/>
      <c r="BD194" s="877"/>
      <c r="BE194" s="877"/>
      <c r="BF194" s="886"/>
      <c r="BG194" s="877"/>
      <c r="BH194" s="879"/>
      <c r="BI194" s="877"/>
      <c r="BJ194" s="877"/>
      <c r="BK194" s="877"/>
      <c r="BL194" s="877"/>
      <c r="BM194" s="886"/>
      <c r="BN194" s="877"/>
      <c r="BO194" s="879"/>
      <c r="BP194" s="877"/>
      <c r="BQ194" s="877"/>
      <c r="BR194" s="877"/>
      <c r="BS194" s="877"/>
      <c r="BT194" s="886"/>
      <c r="BU194" s="877"/>
      <c r="BV194" s="879"/>
      <c r="BW194" s="886"/>
    </row>
    <row r="195" spans="1:253" s="502" customFormat="1" ht="17.25">
      <c r="A195" s="20" t="s">
        <v>199</v>
      </c>
      <c r="B195" s="93" t="s">
        <v>121</v>
      </c>
      <c r="C195" s="87">
        <f>'Input data plant-based products'!D67</f>
        <v>0.51</v>
      </c>
      <c r="D195" s="54"/>
      <c r="E195" s="1293" t="s">
        <v>316</v>
      </c>
      <c r="F195" s="872">
        <f>SUMPRODUCT($CE$14:$CE$16,F196:F198)</f>
        <v>7.5532994962957095E-2</v>
      </c>
      <c r="G195" s="872">
        <f>SUMPRODUCT($CE$14:$CE$16,G196:G198)</f>
        <v>0.15566360032683915</v>
      </c>
      <c r="H195" s="873">
        <f>SUMPRODUCT($CE$14:$CE$16,H196:H198)</f>
        <v>0.40060102676553189</v>
      </c>
      <c r="I195" s="888"/>
      <c r="J195" s="888"/>
      <c r="K195" s="888"/>
      <c r="L195" s="888"/>
      <c r="M195" s="888"/>
      <c r="N195" s="888"/>
      <c r="O195" s="888"/>
      <c r="P195" s="888"/>
      <c r="Q195" s="888"/>
      <c r="R195" s="888"/>
      <c r="S195" s="888"/>
      <c r="T195" s="888"/>
      <c r="U195" s="888"/>
      <c r="V195" s="888"/>
      <c r="W195" s="888"/>
      <c r="X195" s="864"/>
      <c r="Y195" s="879">
        <f>1/'Input data plant-based products'!E67*10^4</f>
        <v>0.17620524386805753</v>
      </c>
      <c r="Z195" s="877">
        <f>$Y195*'Input data plant-based products'!Z67</f>
        <v>0.17620524386805753</v>
      </c>
      <c r="AA195" s="877">
        <f>$Y195*'Input data plant-based products'!AA67</f>
        <v>0.17620524386805753</v>
      </c>
      <c r="AB195" s="877">
        <f>$Y195*'Input data plant-based products'!AB67</f>
        <v>0.17620524386805753</v>
      </c>
      <c r="AC195" s="877">
        <f>$Y195*'Input data plant-based products'!AC67</f>
        <v>0.21029388216739173</v>
      </c>
      <c r="AD195" s="886">
        <f>$Y195*'Input data plant-based products'!AD67</f>
        <v>0.25962207674986632</v>
      </c>
      <c r="AE195" s="877"/>
      <c r="AF195" s="879">
        <f>SUM('Input data plant-based products'!F67,'Input data plant-based products'!Q67)/'Input data plant-based products'!E67</f>
        <v>3.7699999999999999E-3</v>
      </c>
      <c r="AG195" s="877">
        <f>$AF195*'Input data plant-based products'!Z67</f>
        <v>3.7699999999999999E-3</v>
      </c>
      <c r="AH195" s="877">
        <f>$AF195*'Input data plant-based products'!AA67</f>
        <v>3.7699999999999999E-3</v>
      </c>
      <c r="AI195" s="877">
        <f>$AF195*'Input data plant-based products'!AB67</f>
        <v>3.7699999999999999E-3</v>
      </c>
      <c r="AJ195" s="877">
        <f>$AF195*'Input data plant-based products'!AC67</f>
        <v>4.4993435970879575E-3</v>
      </c>
      <c r="AK195" s="886">
        <f>$AF195*'Input data plant-based products'!AD67</f>
        <v>5.5547451815900709E-3</v>
      </c>
      <c r="AL195" s="877"/>
      <c r="AM195" s="879">
        <f>'Input data plant-based products'!R67/'Input data plant-based products'!E67</f>
        <v>8.0814773047645889E-4</v>
      </c>
      <c r="AN195" s="877">
        <f>$AM195*'Input data plant-based products'!Z67</f>
        <v>8.0814773047645889E-4</v>
      </c>
      <c r="AO195" s="877">
        <f>$AM195*'Input data plant-based products'!AA67</f>
        <v>8.0814773047645889E-4</v>
      </c>
      <c r="AP195" s="877">
        <f>$AM195*'Input data plant-based products'!AB67</f>
        <v>8.0814773047645889E-4</v>
      </c>
      <c r="AQ195" s="877">
        <f>$AM195*'Input data plant-based products'!AC67</f>
        <v>9.6449186117252516E-4</v>
      </c>
      <c r="AR195" s="886">
        <f>$AM195*'Input data plant-based products'!AD67</f>
        <v>1.1907306928055866E-3</v>
      </c>
      <c r="AS195" s="877"/>
      <c r="AT195" s="879">
        <f>'Input data plant-based products'!S67</f>
        <v>0.01</v>
      </c>
      <c r="AU195" s="877">
        <f>$AT195*'Input data plant-based products'!Z67</f>
        <v>0.01</v>
      </c>
      <c r="AV195" s="877">
        <f>$AT195*'Input data plant-based products'!AA67</f>
        <v>0.01</v>
      </c>
      <c r="AW195" s="877">
        <f>$AT195*'Input data plant-based products'!AB67</f>
        <v>0.01</v>
      </c>
      <c r="AX195" s="877">
        <f>$AT195*'Input data plant-based products'!AC67</f>
        <v>1.1934598400763814E-2</v>
      </c>
      <c r="AY195" s="886">
        <f>$AT195*'Input data plant-based products'!AD67</f>
        <v>1.4734072099708411E-2</v>
      </c>
      <c r="AZ195" s="877"/>
      <c r="BA195" s="879">
        <f>((SUM('Input data plant-based products'!U67:Y67)*Y195)/('Common input data'!$B$192/10^6))/$BB$3</f>
        <v>5.096017806447838E-12</v>
      </c>
      <c r="BB195" s="877">
        <f>$BA195*'Input data plant-based products'!Z67</f>
        <v>5.096017806447838E-12</v>
      </c>
      <c r="BC195" s="877">
        <f>$BA195*'Input data plant-based products'!AA67</f>
        <v>5.096017806447838E-12</v>
      </c>
      <c r="BD195" s="877">
        <f>$BA195*'Input data plant-based products'!AB67</f>
        <v>5.096017806447838E-12</v>
      </c>
      <c r="BE195" s="877">
        <f>$BA195*'Input data plant-based products'!AC67</f>
        <v>6.0818925963096285E-12</v>
      </c>
      <c r="BF195" s="886">
        <f>$BA195*'Input data plant-based products'!AD67</f>
        <v>7.508509378160035E-12</v>
      </c>
      <c r="BG195" s="877"/>
      <c r="BH195" s="879">
        <f>'Input data plant-based products'!T67/'Input data plant-based products'!E67</f>
        <v>3.8060332675500427E-5</v>
      </c>
      <c r="BI195" s="877">
        <f>$BH195*'Input data plant-based products'!Z67</f>
        <v>3.8060332675500427E-5</v>
      </c>
      <c r="BJ195" s="877">
        <f>$BH195*'Input data plant-based products'!AA67</f>
        <v>3.8060332675500427E-5</v>
      </c>
      <c r="BK195" s="877">
        <f>$BH195*'Input data plant-based products'!AB67</f>
        <v>3.8060332675500427E-5</v>
      </c>
      <c r="BL195" s="877">
        <f>$BH195*'Input data plant-based products'!AC67</f>
        <v>4.5423478548156616E-5</v>
      </c>
      <c r="BM195" s="886">
        <f>$BH195*'Input data plant-based products'!AD67</f>
        <v>5.6078368577971123E-5</v>
      </c>
      <c r="BN195" s="877"/>
      <c r="BO195" s="879">
        <f>('Input data plant-based products'!F67/'Input data plant-based products'!E67*'Common input data'!$B$195+'Input data plant-based products'!G67/'Input data plant-based products'!E67*'Common input data'!$B$196)/'Common input data'!$B$198</f>
        <v>9.6262173913043479E-5</v>
      </c>
      <c r="BP195" s="877">
        <f>$BO195*'Input data plant-based products'!Z67</f>
        <v>9.6262173913043479E-5</v>
      </c>
      <c r="BQ195" s="877">
        <f>$BO195*'Input data plant-based products'!AA67</f>
        <v>9.6262173913043479E-5</v>
      </c>
      <c r="BR195" s="877">
        <f>$BO195*'Input data plant-based products'!AB67</f>
        <v>9.6262173913043479E-5</v>
      </c>
      <c r="BS195" s="877">
        <f>$BO195*'Input data plant-based products'!AC67</f>
        <v>1.1488503868366568E-4</v>
      </c>
      <c r="BT195" s="886">
        <f>$BO195*'Input data plant-based products'!AD67</f>
        <v>1.4183338109094527E-4</v>
      </c>
      <c r="BU195" s="877"/>
      <c r="BV195" s="879">
        <f>('Common input data'!$C$202+'Common input data'!$B$206)*'Input data plant-based products'!AC67</f>
        <v>0.7306361140947607</v>
      </c>
      <c r="BW195" s="886">
        <f>('Common input data'!$C$202+'Common input data'!$B$206)*'Input data plant-based products'!AD67</f>
        <v>0.90201989394414883</v>
      </c>
      <c r="BX195" s="406"/>
      <c r="BY195" s="406"/>
      <c r="BZ195" s="406"/>
      <c r="CA195" s="406"/>
      <c r="CB195" s="406"/>
      <c r="CC195" s="406"/>
      <c r="CD195" s="406"/>
      <c r="CE195" s="406"/>
      <c r="CF195" s="406"/>
      <c r="CG195" s="406"/>
      <c r="CH195" s="406"/>
      <c r="CI195" s="406"/>
      <c r="CJ195" s="406"/>
      <c r="CK195" s="406"/>
      <c r="CL195" s="406"/>
      <c r="CM195" s="406"/>
      <c r="CN195" s="406"/>
      <c r="CO195" s="406"/>
      <c r="CP195" s="406"/>
      <c r="CQ195" s="406"/>
      <c r="CR195" s="406"/>
      <c r="CS195" s="406"/>
      <c r="CT195" s="406"/>
      <c r="CU195" s="406"/>
      <c r="CV195" s="406"/>
      <c r="CW195" s="406"/>
      <c r="CX195" s="406"/>
      <c r="CY195" s="406"/>
      <c r="CZ195" s="406"/>
      <c r="DA195" s="406"/>
      <c r="DB195" s="406"/>
      <c r="DC195" s="406"/>
      <c r="DD195" s="406"/>
      <c r="DE195" s="406"/>
      <c r="DF195" s="406"/>
      <c r="DG195" s="406"/>
      <c r="DH195" s="406"/>
      <c r="DI195" s="406"/>
      <c r="DJ195" s="406"/>
      <c r="DK195" s="406"/>
      <c r="DL195" s="406"/>
      <c r="DM195" s="406"/>
      <c r="DN195" s="406"/>
      <c r="DO195" s="406"/>
      <c r="DP195" s="406"/>
      <c r="DQ195" s="406"/>
      <c r="DR195" s="406"/>
      <c r="DS195" s="406"/>
      <c r="DT195" s="406"/>
      <c r="DU195" s="406"/>
      <c r="DV195" s="406"/>
      <c r="DW195" s="406"/>
      <c r="DX195" s="406"/>
      <c r="DY195" s="406"/>
      <c r="DZ195" s="406"/>
      <c r="EA195" s="406"/>
      <c r="EB195" s="406"/>
      <c r="EC195" s="406"/>
      <c r="ED195" s="406"/>
      <c r="EE195" s="406"/>
      <c r="EF195" s="406"/>
      <c r="EG195" s="406"/>
      <c r="EH195" s="406"/>
      <c r="EI195" s="406"/>
      <c r="EJ195" s="406"/>
      <c r="EK195" s="406"/>
      <c r="EL195" s="406"/>
      <c r="EM195" s="406"/>
      <c r="EN195" s="406"/>
      <c r="EO195" s="406"/>
      <c r="EP195" s="406"/>
      <c r="EQ195" s="406"/>
      <c r="ER195" s="406"/>
      <c r="ES195" s="406"/>
      <c r="ET195" s="406"/>
      <c r="EU195" s="406"/>
      <c r="EV195" s="406"/>
      <c r="EW195" s="406"/>
      <c r="EX195" s="406"/>
      <c r="EY195" s="406"/>
      <c r="EZ195" s="406"/>
      <c r="FA195" s="406"/>
      <c r="FB195" s="406"/>
      <c r="FC195" s="406"/>
      <c r="FD195" s="406"/>
      <c r="FE195" s="406"/>
      <c r="FF195" s="406"/>
      <c r="FG195" s="406"/>
      <c r="FH195" s="406"/>
      <c r="FI195" s="406"/>
      <c r="FJ195" s="406"/>
      <c r="FK195" s="406"/>
      <c r="FL195" s="406"/>
      <c r="FM195" s="406"/>
      <c r="FN195" s="406"/>
      <c r="FO195" s="406"/>
      <c r="FP195" s="406"/>
      <c r="FQ195" s="406"/>
      <c r="FR195" s="406"/>
      <c r="FS195" s="406"/>
      <c r="FT195" s="406"/>
      <c r="FU195" s="406"/>
      <c r="FV195" s="406"/>
      <c r="FW195" s="406"/>
      <c r="FX195" s="406"/>
      <c r="FY195" s="406"/>
      <c r="FZ195" s="406"/>
      <c r="GA195" s="406"/>
      <c r="GB195" s="406"/>
      <c r="GC195" s="406"/>
      <c r="GD195" s="406"/>
      <c r="GE195" s="406"/>
      <c r="GF195" s="406"/>
      <c r="GG195" s="406"/>
      <c r="GH195" s="406"/>
      <c r="GI195" s="406"/>
      <c r="GJ195" s="406"/>
      <c r="GK195" s="406"/>
      <c r="GL195" s="406"/>
      <c r="GM195" s="406"/>
      <c r="GN195" s="406"/>
      <c r="GO195" s="406"/>
      <c r="GP195" s="406"/>
      <c r="GQ195" s="406"/>
      <c r="GR195" s="406"/>
      <c r="GS195" s="406"/>
      <c r="GT195" s="406"/>
      <c r="GU195" s="406"/>
      <c r="GV195" s="406"/>
      <c r="GW195" s="406"/>
      <c r="GX195" s="406"/>
      <c r="GY195" s="406"/>
      <c r="GZ195" s="406"/>
      <c r="HA195" s="406"/>
      <c r="HB195" s="406"/>
      <c r="HC195" s="406"/>
      <c r="HD195" s="406"/>
      <c r="HE195" s="406"/>
      <c r="HF195" s="406"/>
      <c r="HG195" s="406"/>
      <c r="HH195" s="406"/>
      <c r="HI195" s="406"/>
      <c r="HJ195" s="406"/>
      <c r="HK195" s="406"/>
      <c r="HL195" s="406"/>
      <c r="HM195" s="406"/>
      <c r="HN195" s="406"/>
      <c r="HO195" s="406"/>
      <c r="HP195" s="406"/>
      <c r="HQ195" s="406"/>
      <c r="HR195" s="406"/>
      <c r="HS195" s="406"/>
      <c r="HT195" s="406"/>
      <c r="HU195" s="406"/>
      <c r="HV195" s="406"/>
      <c r="HW195" s="406"/>
      <c r="HX195" s="406"/>
      <c r="HY195" s="406"/>
      <c r="HZ195" s="406"/>
      <c r="IA195" s="406"/>
      <c r="IB195" s="406"/>
      <c r="IC195" s="406"/>
      <c r="ID195" s="406"/>
      <c r="IE195" s="406"/>
      <c r="IF195" s="406"/>
      <c r="IG195" s="406"/>
      <c r="IH195" s="406"/>
      <c r="II195" s="406"/>
      <c r="IJ195" s="406"/>
      <c r="IK195" s="406"/>
      <c r="IL195" s="406"/>
      <c r="IM195" s="406"/>
      <c r="IN195" s="406"/>
      <c r="IO195" s="406"/>
      <c r="IP195" s="406"/>
      <c r="IQ195" s="406"/>
      <c r="IR195" s="406"/>
      <c r="IS195" s="406"/>
    </row>
    <row r="196" spans="1:253" s="406" customFormat="1" ht="17.25">
      <c r="A196" s="68"/>
      <c r="B196" s="55"/>
      <c r="C196" s="917"/>
      <c r="D196" s="5"/>
      <c r="E196" s="1294" t="s">
        <v>317</v>
      </c>
      <c r="F196" s="877">
        <f>IF(AND($G$2="No",$G$3="No"),SUM(K196:L196),IF(AND($G$2="Yes", $G$3="No"), SUM(K196:L196)+S196, IF(AND($G$2="No", $G$3="Yes"),SUM(K196:L196)+R196, SUM(K196:L196)+S196+R196)))</f>
        <v>3.9989486962957101E-2</v>
      </c>
      <c r="G196" s="877">
        <f>IF(AND($G$2="No",$G$3="No"),SUM(I196:Q196),IF(AND($G$2="Yes", $G$3="No"), SUM(I196:Q196)+S196, IF(AND($G$2="No", $G$3="Yes"),SUM(I196:Q196)+R196, SUM(I196:Q196)+S196+R196)))</f>
        <v>0.11077587557085339</v>
      </c>
      <c r="H196" s="878">
        <f>SUM(U196:W196)/(1-'Common input data'!$B$140)</f>
        <v>0.34702932995686048</v>
      </c>
      <c r="I196" s="877">
        <f>('Input data plant-based products'!$F$67*('Common input data'!$C$93*'Common input data'!B86+'Common input data'!$C$94*'Common input data'!C86))/'Input data plant-based products'!$E$67</f>
        <v>1.4193955565888955E-2</v>
      </c>
      <c r="J196" s="877">
        <f>'Common input data'!$B$98</f>
        <v>0.03</v>
      </c>
      <c r="K196" s="877">
        <v>0</v>
      </c>
      <c r="L196" s="877">
        <v>0</v>
      </c>
      <c r="M196" s="877"/>
      <c r="N196" s="877">
        <f>('Input data plant-based products'!$P$67*'Common input data'!$C$76*'Common input data'!H66)/'Input data plant-based products'!$E$67</f>
        <v>6.5924330420073299E-3</v>
      </c>
      <c r="O196" s="877">
        <v>0</v>
      </c>
      <c r="P196" s="877">
        <f>'Input data plant-based products'!$G$309</f>
        <v>0.02</v>
      </c>
      <c r="Q196" s="877">
        <v>0</v>
      </c>
      <c r="R196" s="877">
        <f>'Common input data'!$E$19</f>
        <v>3.9989486962957101E-2</v>
      </c>
      <c r="S196" s="877">
        <v>0</v>
      </c>
      <c r="T196" s="877">
        <v>0</v>
      </c>
      <c r="U196" s="877">
        <f>(G196+T196)</f>
        <v>0.11077587557085339</v>
      </c>
      <c r="V196" s="877">
        <f>'Common input data'!$B$105</f>
        <v>0.05</v>
      </c>
      <c r="W196" s="877">
        <f>'Common input data'!B116+'Common input data'!C116</f>
        <v>0.13</v>
      </c>
      <c r="X196" s="864"/>
      <c r="Y196" s="879"/>
      <c r="Z196" s="877"/>
      <c r="AA196" s="877"/>
      <c r="AB196" s="877"/>
      <c r="AC196" s="877"/>
      <c r="AD196" s="886"/>
      <c r="AE196" s="877"/>
      <c r="AF196" s="879"/>
      <c r="AG196" s="877"/>
      <c r="AH196" s="877"/>
      <c r="AI196" s="877"/>
      <c r="AJ196" s="877"/>
      <c r="AK196" s="886"/>
      <c r="AL196" s="877"/>
      <c r="AM196" s="879"/>
      <c r="AN196" s="877"/>
      <c r="AO196" s="877"/>
      <c r="AP196" s="877"/>
      <c r="AQ196" s="877"/>
      <c r="AR196" s="886"/>
      <c r="AS196" s="877"/>
      <c r="AT196" s="879"/>
      <c r="AU196" s="877"/>
      <c r="AV196" s="877"/>
      <c r="AW196" s="877"/>
      <c r="AX196" s="877"/>
      <c r="AY196" s="886"/>
      <c r="AZ196" s="877"/>
      <c r="BA196" s="879"/>
      <c r="BB196" s="877"/>
      <c r="BC196" s="877"/>
      <c r="BD196" s="877"/>
      <c r="BE196" s="877"/>
      <c r="BF196" s="886"/>
      <c r="BG196" s="877"/>
      <c r="BH196" s="879"/>
      <c r="BI196" s="877"/>
      <c r="BJ196" s="877"/>
      <c r="BK196" s="877"/>
      <c r="BL196" s="877"/>
      <c r="BM196" s="886"/>
      <c r="BN196" s="877"/>
      <c r="BO196" s="879"/>
      <c r="BP196" s="877"/>
      <c r="BQ196" s="877"/>
      <c r="BR196" s="877"/>
      <c r="BS196" s="877"/>
      <c r="BT196" s="886"/>
      <c r="BU196" s="877"/>
      <c r="BV196" s="879"/>
      <c r="BW196" s="886"/>
    </row>
    <row r="197" spans="1:253" s="406" customFormat="1" ht="17.25">
      <c r="A197" s="18"/>
      <c r="B197" s="55"/>
      <c r="C197" s="595"/>
      <c r="D197" s="50"/>
      <c r="E197" s="1294" t="s">
        <v>367</v>
      </c>
      <c r="F197" s="877">
        <f>SUM(K197:L197)</f>
        <v>0</v>
      </c>
      <c r="G197" s="877">
        <f>SUM(I197:Q197)</f>
        <v>2.8958332451909165E-5</v>
      </c>
      <c r="H197" s="878">
        <f>SUM(U197:W197)/(1-'Common input data'!$B$140)</f>
        <v>3.4560606816934199E-5</v>
      </c>
      <c r="I197" s="877">
        <f>('Input data plant-based products'!$F$67*('Common input data'!$C$93*'Common input data'!B87+'Common input data'!$C$94*'Common input data'!C87))/'Input data plant-based products'!$E$67</f>
        <v>2.6038106909197014E-5</v>
      </c>
      <c r="J197" s="877">
        <v>0</v>
      </c>
      <c r="K197" s="877">
        <v>0</v>
      </c>
      <c r="L197" s="877">
        <v>0</v>
      </c>
      <c r="M197" s="877"/>
      <c r="N197" s="877">
        <f>('Input data plant-based products'!$P$67*'Common input data'!$C$76*'Common input data'!H67)/'Input data plant-based products'!$E$67</f>
        <v>2.9202255427121511E-6</v>
      </c>
      <c r="O197" s="877">
        <v>0</v>
      </c>
      <c r="P197" s="877">
        <v>0</v>
      </c>
      <c r="Q197" s="877">
        <v>0</v>
      </c>
      <c r="R197" s="877">
        <v>0</v>
      </c>
      <c r="S197" s="877">
        <v>0</v>
      </c>
      <c r="T197" s="877">
        <v>0</v>
      </c>
      <c r="U197" s="877">
        <f>(G197+T197)</f>
        <v>2.8958332451909165E-5</v>
      </c>
      <c r="V197" s="877">
        <v>0</v>
      </c>
      <c r="W197" s="877">
        <v>0</v>
      </c>
      <c r="X197" s="864"/>
      <c r="Y197" s="879"/>
      <c r="Z197" s="877"/>
      <c r="AA197" s="877"/>
      <c r="AB197" s="877"/>
      <c r="AC197" s="877"/>
      <c r="AD197" s="886"/>
      <c r="AE197" s="877"/>
      <c r="AF197" s="879"/>
      <c r="AG197" s="877"/>
      <c r="AH197" s="877"/>
      <c r="AI197" s="877"/>
      <c r="AJ197" s="877"/>
      <c r="AK197" s="886"/>
      <c r="AL197" s="877"/>
      <c r="AM197" s="879"/>
      <c r="AN197" s="877"/>
      <c r="AO197" s="877"/>
      <c r="AP197" s="877"/>
      <c r="AQ197" s="877"/>
      <c r="AR197" s="886"/>
      <c r="AS197" s="877"/>
      <c r="AT197" s="879"/>
      <c r="AU197" s="877"/>
      <c r="AV197" s="877"/>
      <c r="AW197" s="877"/>
      <c r="AX197" s="877"/>
      <c r="AY197" s="886"/>
      <c r="AZ197" s="877"/>
      <c r="BA197" s="879"/>
      <c r="BB197" s="877"/>
      <c r="BC197" s="877"/>
      <c r="BD197" s="877"/>
      <c r="BE197" s="877"/>
      <c r="BF197" s="886"/>
      <c r="BG197" s="877"/>
      <c r="BH197" s="879"/>
      <c r="BI197" s="877"/>
      <c r="BJ197" s="877"/>
      <c r="BK197" s="877"/>
      <c r="BL197" s="877"/>
      <c r="BM197" s="886"/>
      <c r="BN197" s="877"/>
      <c r="BO197" s="879"/>
      <c r="BP197" s="877"/>
      <c r="BQ197" s="877"/>
      <c r="BR197" s="877"/>
      <c r="BS197" s="877"/>
      <c r="BT197" s="886"/>
      <c r="BU197" s="877"/>
      <c r="BV197" s="879"/>
      <c r="BW197" s="886"/>
    </row>
    <row r="198" spans="1:253" s="406" customFormat="1" ht="17.25">
      <c r="A198" s="359"/>
      <c r="B198" s="360"/>
      <c r="C198" s="83"/>
      <c r="D198" s="54"/>
      <c r="E198" s="1295" t="s">
        <v>320</v>
      </c>
      <c r="F198" s="877">
        <f>SUM(K198:L198)</f>
        <v>1.3019600000000001E-4</v>
      </c>
      <c r="G198" s="877">
        <f>SUM(I198:Q198)</f>
        <v>1.6155988930323885E-4</v>
      </c>
      <c r="H198" s="878">
        <f>SUM(U198:W198)/(1-'Common input data'!$B$140)</f>
        <v>1.9281523965060133E-4</v>
      </c>
      <c r="I198" s="877">
        <f>('Input data plant-based products'!$F$67*('Common input data'!$C$93*'Common input data'!B88+'Common input data'!$C$94*'Common input data'!C88))/'Input data plant-based products'!$E$67</f>
        <v>3.1186748057115339E-5</v>
      </c>
      <c r="J198" s="877">
        <v>0</v>
      </c>
      <c r="K198" s="877">
        <f>(SUM(('Input data plant-based products'!$F$67*'Input data plant-based products'!$B$258),(('Input data plant-based products'!$G$67+'Input data plant-based products'!$H$67)*'Input data plant-based products'!$B$259))*44/28)/'Input data plant-based products'!$E$67</f>
        <v>1.1836000000000001E-4</v>
      </c>
      <c r="L198" s="877">
        <f>K198*'Input data plant-based products'!$B$261</f>
        <v>1.1836000000000002E-5</v>
      </c>
      <c r="M198" s="877"/>
      <c r="N198" s="877">
        <f>('Input data plant-based products'!$P$67*'Common input data'!$C$76*'Common input data'!H68)/'Input data plant-based products'!$E$67</f>
        <v>1.7714124612348465E-7</v>
      </c>
      <c r="O198" s="877">
        <v>0</v>
      </c>
      <c r="P198" s="877">
        <v>0</v>
      </c>
      <c r="Q198" s="877">
        <v>0</v>
      </c>
      <c r="R198" s="877">
        <v>0</v>
      </c>
      <c r="S198" s="877">
        <v>0</v>
      </c>
      <c r="T198" s="877">
        <v>0</v>
      </c>
      <c r="U198" s="877">
        <f>(G198+T198)</f>
        <v>1.6155988930323885E-4</v>
      </c>
      <c r="V198" s="877">
        <v>0</v>
      </c>
      <c r="W198" s="877">
        <v>0</v>
      </c>
      <c r="X198" s="864"/>
      <c r="Y198" s="879"/>
      <c r="Z198" s="877"/>
      <c r="AA198" s="877"/>
      <c r="AB198" s="877"/>
      <c r="AC198" s="877"/>
      <c r="AD198" s="886"/>
      <c r="AE198" s="877"/>
      <c r="AF198" s="879"/>
      <c r="AG198" s="877"/>
      <c r="AH198" s="877"/>
      <c r="AI198" s="877"/>
      <c r="AJ198" s="877"/>
      <c r="AK198" s="886"/>
      <c r="AL198" s="877"/>
      <c r="AM198" s="879"/>
      <c r="AN198" s="877"/>
      <c r="AO198" s="877"/>
      <c r="AP198" s="877"/>
      <c r="AQ198" s="877"/>
      <c r="AR198" s="886"/>
      <c r="AS198" s="877"/>
      <c r="AT198" s="879"/>
      <c r="AU198" s="877"/>
      <c r="AV198" s="877"/>
      <c r="AW198" s="877"/>
      <c r="AX198" s="877"/>
      <c r="AY198" s="886"/>
      <c r="AZ198" s="877"/>
      <c r="BA198" s="879"/>
      <c r="BB198" s="877"/>
      <c r="BC198" s="877"/>
      <c r="BD198" s="877"/>
      <c r="BE198" s="877"/>
      <c r="BF198" s="886"/>
      <c r="BG198" s="877"/>
      <c r="BH198" s="879"/>
      <c r="BI198" s="877"/>
      <c r="BJ198" s="877"/>
      <c r="BK198" s="877"/>
      <c r="BL198" s="877"/>
      <c r="BM198" s="886"/>
      <c r="BN198" s="877"/>
      <c r="BO198" s="879"/>
      <c r="BP198" s="877"/>
      <c r="BQ198" s="877"/>
      <c r="BR198" s="877"/>
      <c r="BS198" s="877"/>
      <c r="BT198" s="886"/>
      <c r="BU198" s="877"/>
      <c r="BV198" s="879"/>
      <c r="BW198" s="886"/>
    </row>
    <row r="199" spans="1:253" s="502" customFormat="1" ht="17.25">
      <c r="A199" s="20" t="s">
        <v>125</v>
      </c>
      <c r="B199" s="93" t="s">
        <v>121</v>
      </c>
      <c r="C199" s="87">
        <f>'Input data plant-based products'!D68</f>
        <v>0.06</v>
      </c>
      <c r="D199" s="54"/>
      <c r="E199" s="1293" t="s">
        <v>316</v>
      </c>
      <c r="F199" s="872">
        <f>SUMPRODUCT($CE$14:$CE$16,F200:F202)</f>
        <v>6.9577616962957112E-2</v>
      </c>
      <c r="G199" s="872">
        <f>SUMPRODUCT($CE$14:$CE$16,G200:G202)</f>
        <v>0.15607371042060311</v>
      </c>
      <c r="H199" s="873">
        <f>SUMPRODUCT($CE$14:$CE$16,H200:H202)</f>
        <v>0.52043646070008731</v>
      </c>
      <c r="I199" s="888"/>
      <c r="J199" s="888"/>
      <c r="K199" s="888"/>
      <c r="L199" s="888"/>
      <c r="M199" s="888"/>
      <c r="N199" s="888"/>
      <c r="O199" s="888"/>
      <c r="P199" s="888"/>
      <c r="Q199" s="888"/>
      <c r="R199" s="888"/>
      <c r="S199" s="888"/>
      <c r="T199" s="888"/>
      <c r="U199" s="888"/>
      <c r="V199" s="888"/>
      <c r="W199" s="888"/>
      <c r="X199" s="864"/>
      <c r="Y199" s="879">
        <f>1/'Input data plant-based products'!E68*10^4</f>
        <v>0.34312379906670326</v>
      </c>
      <c r="Z199" s="877">
        <f>$Y199*'Input data plant-based products'!Z68</f>
        <v>0.34312379906670326</v>
      </c>
      <c r="AA199" s="877">
        <f>$Y199*'Input data plant-based products'!AA68</f>
        <v>0.34312379906670326</v>
      </c>
      <c r="AB199" s="877">
        <f>$Y199*'Input data plant-based products'!AB68</f>
        <v>0.34312379906670326</v>
      </c>
      <c r="AC199" s="877">
        <f>$Y199*'Input data plant-based products'!AC68</f>
        <v>0.4095044743605481</v>
      </c>
      <c r="AD199" s="886">
        <f>$Y199*'Input data plant-based products'!AD68</f>
        <v>0.50556107945746676</v>
      </c>
      <c r="AE199" s="877"/>
      <c r="AF199" s="879">
        <f>SUM('Input data plant-based products'!F68,'Input data plant-based products'!Q68)/'Input data plant-based products'!E68</f>
        <v>3.7699999999999999E-3</v>
      </c>
      <c r="AG199" s="877">
        <f>$AF199*'Input data plant-based products'!Z68</f>
        <v>3.7699999999999999E-3</v>
      </c>
      <c r="AH199" s="877">
        <f>$AF199*'Input data plant-based products'!AA68</f>
        <v>3.7699999999999999E-3</v>
      </c>
      <c r="AI199" s="877">
        <f>$AF199*'Input data plant-based products'!AB68</f>
        <v>3.7699999999999999E-3</v>
      </c>
      <c r="AJ199" s="877">
        <f>$AF199*'Input data plant-based products'!AC68</f>
        <v>4.4993435970879575E-3</v>
      </c>
      <c r="AK199" s="886">
        <f>$AF199*'Input data plant-based products'!AD68</f>
        <v>5.5547451815900709E-3</v>
      </c>
      <c r="AL199" s="877"/>
      <c r="AM199" s="879">
        <f>'Input data plant-based products'!R68/'Input data plant-based products'!E68</f>
        <v>1.0399999999999999E-3</v>
      </c>
      <c r="AN199" s="877">
        <f>$AM199*'Input data plant-based products'!Z68</f>
        <v>1.0399999999999999E-3</v>
      </c>
      <c r="AO199" s="877">
        <f>$AM199*'Input data plant-based products'!AA68</f>
        <v>1.0399999999999999E-3</v>
      </c>
      <c r="AP199" s="877">
        <f>$AM199*'Input data plant-based products'!AB68</f>
        <v>1.0399999999999999E-3</v>
      </c>
      <c r="AQ199" s="877">
        <f>$AM199*'Input data plant-based products'!AC68</f>
        <v>1.2411982336794365E-3</v>
      </c>
      <c r="AR199" s="886">
        <f>$AM199*'Input data plant-based products'!AD68</f>
        <v>1.5323434983696746E-3</v>
      </c>
      <c r="AS199" s="877"/>
      <c r="AT199" s="879">
        <f>'Input data plant-based products'!S68</f>
        <v>9.8682651595259265E-3</v>
      </c>
      <c r="AU199" s="877">
        <f>$AT199*'Input data plant-based products'!Z68</f>
        <v>9.8682651595259265E-3</v>
      </c>
      <c r="AV199" s="877">
        <f>$AT199*'Input data plant-based products'!AA68</f>
        <v>9.8682651595259265E-3</v>
      </c>
      <c r="AW199" s="877">
        <f>$AT199*'Input data plant-based products'!AB68</f>
        <v>9.8682651595259265E-3</v>
      </c>
      <c r="AX199" s="877">
        <f>$AT199*'Input data plant-based products'!AC68</f>
        <v>1.1777378159119138E-2</v>
      </c>
      <c r="AY199" s="886">
        <f>$AT199*'Input data plant-based products'!AD68</f>
        <v>1.4539973035949552E-2</v>
      </c>
      <c r="AZ199" s="877"/>
      <c r="BA199" s="879">
        <f>((SUM('Input data plant-based products'!U68:Y68)*Y199)/('Common input data'!$B$192/10^6))/$BB$3</f>
        <v>6.1753388902727494E-12</v>
      </c>
      <c r="BB199" s="877">
        <f>$BA199*'Input data plant-based products'!Z68</f>
        <v>6.1753388902727494E-12</v>
      </c>
      <c r="BC199" s="877">
        <f>$BA199*'Input data plant-based products'!AA68</f>
        <v>6.1753388902727494E-12</v>
      </c>
      <c r="BD199" s="877">
        <f>$BA199*'Input data plant-based products'!AB68</f>
        <v>6.1753388902727494E-12</v>
      </c>
      <c r="BE199" s="877">
        <f>$BA199*'Input data plant-based products'!AC68</f>
        <v>7.3700189644023736E-12</v>
      </c>
      <c r="BF199" s="886">
        <f>$BA199*'Input data plant-based products'!AD68</f>
        <v>9.0987888449412009E-12</v>
      </c>
      <c r="BG199" s="877"/>
      <c r="BH199" s="879">
        <f>'Input data plant-based products'!T68/'Input data plant-based products'!E68</f>
        <v>5.2841065056272297E-5</v>
      </c>
      <c r="BI199" s="877">
        <f>$BH199*'Input data plant-based products'!Z68</f>
        <v>5.2841065056272297E-5</v>
      </c>
      <c r="BJ199" s="877">
        <f>$BH199*'Input data plant-based products'!AA68</f>
        <v>5.2841065056272297E-5</v>
      </c>
      <c r="BK199" s="877">
        <f>$BH199*'Input data plant-based products'!AB68</f>
        <v>5.2841065056272297E-5</v>
      </c>
      <c r="BL199" s="877">
        <f>$BH199*'Input data plant-based products'!AC68</f>
        <v>6.3063689051524405E-5</v>
      </c>
      <c r="BM199" s="886">
        <f>$BH199*'Input data plant-based products'!AD68</f>
        <v>7.7856406236449869E-5</v>
      </c>
      <c r="BN199" s="877"/>
      <c r="BO199" s="879">
        <f>('Input data plant-based products'!F68/'Input data plant-based products'!E68*'Common input data'!$B$195+'Input data plant-based products'!G68/'Input data plant-based products'!E68*'Common input data'!$B$196)/'Common input data'!$B$198</f>
        <v>9.6262173913043479E-5</v>
      </c>
      <c r="BP199" s="877">
        <f>$BO199*'Input data plant-based products'!Z68</f>
        <v>9.6262173913043479E-5</v>
      </c>
      <c r="BQ199" s="877">
        <f>$BO199*'Input data plant-based products'!AA68</f>
        <v>9.6262173913043479E-5</v>
      </c>
      <c r="BR199" s="877">
        <f>$BO199*'Input data plant-based products'!AB68</f>
        <v>9.6262173913043479E-5</v>
      </c>
      <c r="BS199" s="877">
        <f>$BO199*'Input data plant-based products'!AC68</f>
        <v>1.1488503868366568E-4</v>
      </c>
      <c r="BT199" s="886">
        <f>$BO199*'Input data plant-based products'!AD68</f>
        <v>1.4183338109094527E-4</v>
      </c>
      <c r="BU199" s="877"/>
      <c r="BV199" s="879">
        <f>('Common input data'!$C$202+'Common input data'!$B$214)*'Input data plant-based products'!AC68</f>
        <v>1.1339857580459085</v>
      </c>
      <c r="BW199" s="886">
        <f>('Common input data'!$C$202+'Common input data'!$B$214)*'Input data plant-based products'!AD68</f>
        <v>1.3999824173406277</v>
      </c>
      <c r="BX199" s="406"/>
      <c r="BY199" s="406"/>
      <c r="BZ199" s="406"/>
      <c r="CA199" s="406"/>
      <c r="CB199" s="406"/>
      <c r="CC199" s="406"/>
      <c r="CD199" s="406"/>
      <c r="CE199" s="406"/>
      <c r="CF199" s="406"/>
      <c r="CG199" s="406"/>
      <c r="CH199" s="406"/>
      <c r="CI199" s="406"/>
      <c r="CJ199" s="406"/>
      <c r="CK199" s="406"/>
      <c r="CL199" s="406"/>
      <c r="CM199" s="406"/>
      <c r="CN199" s="406"/>
      <c r="CO199" s="406"/>
      <c r="CP199" s="406"/>
      <c r="CQ199" s="406"/>
      <c r="CR199" s="406"/>
      <c r="CS199" s="406"/>
      <c r="CT199" s="406"/>
      <c r="CU199" s="406"/>
      <c r="CV199" s="406"/>
      <c r="CW199" s="406"/>
      <c r="CX199" s="406"/>
      <c r="CY199" s="406"/>
      <c r="CZ199" s="406"/>
      <c r="DA199" s="406"/>
      <c r="DB199" s="406"/>
      <c r="DC199" s="406"/>
      <c r="DD199" s="406"/>
      <c r="DE199" s="406"/>
      <c r="DF199" s="406"/>
      <c r="DG199" s="406"/>
      <c r="DH199" s="406"/>
      <c r="DI199" s="406"/>
      <c r="DJ199" s="406"/>
      <c r="DK199" s="406"/>
      <c r="DL199" s="406"/>
      <c r="DM199" s="406"/>
      <c r="DN199" s="406"/>
      <c r="DO199" s="406"/>
      <c r="DP199" s="406"/>
      <c r="DQ199" s="406"/>
      <c r="DR199" s="406"/>
      <c r="DS199" s="406"/>
      <c r="DT199" s="406"/>
      <c r="DU199" s="406"/>
      <c r="DV199" s="406"/>
      <c r="DW199" s="406"/>
      <c r="DX199" s="406"/>
      <c r="DY199" s="406"/>
      <c r="DZ199" s="406"/>
      <c r="EA199" s="406"/>
      <c r="EB199" s="406"/>
      <c r="EC199" s="406"/>
      <c r="ED199" s="406"/>
      <c r="EE199" s="406"/>
      <c r="EF199" s="406"/>
      <c r="EG199" s="406"/>
      <c r="EH199" s="406"/>
      <c r="EI199" s="406"/>
      <c r="EJ199" s="406"/>
      <c r="EK199" s="406"/>
      <c r="EL199" s="406"/>
      <c r="EM199" s="406"/>
      <c r="EN199" s="406"/>
      <c r="EO199" s="406"/>
      <c r="EP199" s="406"/>
      <c r="EQ199" s="406"/>
      <c r="ER199" s="406"/>
      <c r="ES199" s="406"/>
      <c r="ET199" s="406"/>
      <c r="EU199" s="406"/>
      <c r="EV199" s="406"/>
      <c r="EW199" s="406"/>
      <c r="EX199" s="406"/>
      <c r="EY199" s="406"/>
      <c r="EZ199" s="406"/>
      <c r="FA199" s="406"/>
      <c r="FB199" s="406"/>
      <c r="FC199" s="406"/>
      <c r="FD199" s="406"/>
      <c r="FE199" s="406"/>
      <c r="FF199" s="406"/>
      <c r="FG199" s="406"/>
      <c r="FH199" s="406"/>
      <c r="FI199" s="406"/>
      <c r="FJ199" s="406"/>
      <c r="FK199" s="406"/>
      <c r="FL199" s="406"/>
      <c r="FM199" s="406"/>
      <c r="FN199" s="406"/>
      <c r="FO199" s="406"/>
      <c r="FP199" s="406"/>
      <c r="FQ199" s="406"/>
      <c r="FR199" s="406"/>
      <c r="FS199" s="406"/>
      <c r="FT199" s="406"/>
      <c r="FU199" s="406"/>
      <c r="FV199" s="406"/>
      <c r="FW199" s="406"/>
      <c r="FX199" s="406"/>
      <c r="FY199" s="406"/>
      <c r="FZ199" s="406"/>
      <c r="GA199" s="406"/>
      <c r="GB199" s="406"/>
      <c r="GC199" s="406"/>
      <c r="GD199" s="406"/>
      <c r="GE199" s="406"/>
      <c r="GF199" s="406"/>
      <c r="GG199" s="406"/>
      <c r="GH199" s="406"/>
      <c r="GI199" s="406"/>
      <c r="GJ199" s="406"/>
      <c r="GK199" s="406"/>
      <c r="GL199" s="406"/>
      <c r="GM199" s="406"/>
      <c r="GN199" s="406"/>
      <c r="GO199" s="406"/>
      <c r="GP199" s="406"/>
      <c r="GQ199" s="406"/>
      <c r="GR199" s="406"/>
      <c r="GS199" s="406"/>
      <c r="GT199" s="406"/>
      <c r="GU199" s="406"/>
      <c r="GV199" s="406"/>
      <c r="GW199" s="406"/>
      <c r="GX199" s="406"/>
      <c r="GY199" s="406"/>
      <c r="GZ199" s="406"/>
      <c r="HA199" s="406"/>
      <c r="HB199" s="406"/>
      <c r="HC199" s="406"/>
      <c r="HD199" s="406"/>
      <c r="HE199" s="406"/>
      <c r="HF199" s="406"/>
      <c r="HG199" s="406"/>
      <c r="HH199" s="406"/>
      <c r="HI199" s="406"/>
      <c r="HJ199" s="406"/>
      <c r="HK199" s="406"/>
      <c r="HL199" s="406"/>
      <c r="HM199" s="406"/>
      <c r="HN199" s="406"/>
      <c r="HO199" s="406"/>
      <c r="HP199" s="406"/>
      <c r="HQ199" s="406"/>
      <c r="HR199" s="406"/>
      <c r="HS199" s="406"/>
      <c r="HT199" s="406"/>
      <c r="HU199" s="406"/>
      <c r="HV199" s="406"/>
      <c r="HW199" s="406"/>
      <c r="HX199" s="406"/>
      <c r="HY199" s="406"/>
      <c r="HZ199" s="406"/>
      <c r="IA199" s="406"/>
      <c r="IB199" s="406"/>
      <c r="IC199" s="406"/>
      <c r="ID199" s="406"/>
      <c r="IE199" s="406"/>
      <c r="IF199" s="406"/>
      <c r="IG199" s="406"/>
      <c r="IH199" s="406"/>
      <c r="II199" s="406"/>
      <c r="IJ199" s="406"/>
      <c r="IK199" s="406"/>
      <c r="IL199" s="406"/>
      <c r="IM199" s="406"/>
      <c r="IN199" s="406"/>
      <c r="IO199" s="406"/>
      <c r="IP199" s="406"/>
      <c r="IQ199" s="406"/>
      <c r="IR199" s="406"/>
      <c r="IS199" s="406"/>
    </row>
    <row r="200" spans="1:253" s="406" customFormat="1" ht="17.25">
      <c r="A200" s="68"/>
      <c r="B200" s="55"/>
      <c r="C200" s="917"/>
      <c r="D200" s="5"/>
      <c r="E200" s="1294" t="s">
        <v>317</v>
      </c>
      <c r="F200" s="877">
        <f>IF(AND($G$2="No",$G$3="No"),SUM(K200:L200),IF(AND($G$2="Yes", $G$3="No"), SUM(K200:L200)+S200, IF(AND($G$2="No", $G$3="Yes"),SUM(K200:L200)+R200, SUM(K200:L200)+S200+R200)))</f>
        <v>3.9989486962957101E-2</v>
      </c>
      <c r="G200" s="877">
        <f>IF(AND($G$2="No",$G$3="No"),SUM(I200:Q200),IF(AND($G$2="Yes", $G$3="No"), SUM(I200:Q200)+S200, IF(AND($G$2="No", $G$3="Yes"),SUM(I200:Q200)+R200, SUM(I200:Q200)+S200+R200)))</f>
        <v>0.11702086223787708</v>
      </c>
      <c r="H200" s="878">
        <f>SUM(U200:W200)/(1-'Common input data'!$B$140)</f>
        <v>0.4738284547534039</v>
      </c>
      <c r="I200" s="877">
        <f>('Input data plant-based products'!$F$68*('Common input data'!$C$93*'Common input data'!B86+'Common input data'!$C$94*'Common input data'!C86))/'Input data plant-based products'!$E$68</f>
        <v>1.4193955565888955E-2</v>
      </c>
      <c r="J200" s="877">
        <f>'Common input data'!$B$98</f>
        <v>0.03</v>
      </c>
      <c r="K200" s="877">
        <v>0</v>
      </c>
      <c r="L200" s="877">
        <v>0</v>
      </c>
      <c r="M200" s="877"/>
      <c r="N200" s="877">
        <f>('Input data plant-based products'!$P$68*'Common input data'!$C$76*'Common input data'!H66)/'Input data plant-based products'!$E$68</f>
        <v>1.2837419709031019E-2</v>
      </c>
      <c r="O200" s="877">
        <v>0</v>
      </c>
      <c r="P200" s="877">
        <f>'Input data plant-based products'!$G$309</f>
        <v>0.02</v>
      </c>
      <c r="Q200" s="877">
        <v>0</v>
      </c>
      <c r="R200" s="877">
        <f>'Common input data'!$E$19</f>
        <v>3.9989486962957101E-2</v>
      </c>
      <c r="S200" s="877">
        <v>0</v>
      </c>
      <c r="T200" s="877">
        <v>0</v>
      </c>
      <c r="U200" s="877">
        <f>(G200+T200)</f>
        <v>0.11702086223787708</v>
      </c>
      <c r="V200" s="877">
        <f>'Common input data'!$B$105</f>
        <v>0.05</v>
      </c>
      <c r="W200" s="877">
        <f>'Common input data'!B119+'Common input data'!C119</f>
        <v>0.23000000000000004</v>
      </c>
      <c r="X200" s="864"/>
      <c r="Y200" s="879"/>
      <c r="Z200" s="877"/>
      <c r="AA200" s="877"/>
      <c r="AB200" s="877"/>
      <c r="AC200" s="877"/>
      <c r="AD200" s="886"/>
      <c r="AE200" s="877"/>
      <c r="AF200" s="879"/>
      <c r="AG200" s="877"/>
      <c r="AH200" s="877"/>
      <c r="AI200" s="877"/>
      <c r="AJ200" s="877"/>
      <c r="AK200" s="886"/>
      <c r="AL200" s="877"/>
      <c r="AM200" s="879"/>
      <c r="AN200" s="877"/>
      <c r="AO200" s="877"/>
      <c r="AP200" s="877"/>
      <c r="AQ200" s="877"/>
      <c r="AR200" s="886"/>
      <c r="AS200" s="877"/>
      <c r="AT200" s="879"/>
      <c r="AU200" s="877"/>
      <c r="AV200" s="877"/>
      <c r="AW200" s="877"/>
      <c r="AX200" s="877"/>
      <c r="AY200" s="886"/>
      <c r="AZ200" s="877"/>
      <c r="BA200" s="879"/>
      <c r="BB200" s="877"/>
      <c r="BC200" s="877"/>
      <c r="BD200" s="877"/>
      <c r="BE200" s="877"/>
      <c r="BF200" s="886"/>
      <c r="BG200" s="877"/>
      <c r="BH200" s="879"/>
      <c r="BI200" s="877"/>
      <c r="BJ200" s="877"/>
      <c r="BK200" s="877"/>
      <c r="BL200" s="877"/>
      <c r="BM200" s="886"/>
      <c r="BN200" s="877"/>
      <c r="BO200" s="879"/>
      <c r="BP200" s="877"/>
      <c r="BQ200" s="877"/>
      <c r="BR200" s="877"/>
      <c r="BS200" s="877"/>
      <c r="BT200" s="886"/>
      <c r="BU200" s="877"/>
      <c r="BV200" s="879"/>
      <c r="BW200" s="886"/>
    </row>
    <row r="201" spans="1:253" s="406" customFormat="1" ht="17.25">
      <c r="A201" s="18"/>
      <c r="B201" s="55"/>
      <c r="C201" s="595"/>
      <c r="D201" s="50"/>
      <c r="E201" s="1294" t="s">
        <v>367</v>
      </c>
      <c r="F201" s="877">
        <f>SUM(K201:L201)</f>
        <v>0</v>
      </c>
      <c r="G201" s="877">
        <f>SUM(I201:Q201)</f>
        <v>3.1724650966292809E-5</v>
      </c>
      <c r="H201" s="878">
        <f>SUM(U201:W201)/(1-'Common input data'!$B$140)</f>
        <v>3.7862096868710838E-5</v>
      </c>
      <c r="I201" s="877">
        <f>('Input data plant-based products'!$F$68*('Common input data'!$C$93*'Common input data'!B87+'Common input data'!$C$94*'Common input data'!C87))/'Input data plant-based products'!$E$68</f>
        <v>2.6038106909197011E-5</v>
      </c>
      <c r="J201" s="877">
        <v>0</v>
      </c>
      <c r="K201" s="877">
        <v>0</v>
      </c>
      <c r="L201" s="877">
        <v>0</v>
      </c>
      <c r="M201" s="877"/>
      <c r="N201" s="877">
        <f>('Input data plant-based products'!$P$68*'Common input data'!$C$76*'Common input data'!H67)/'Input data plant-based products'!$E$68</f>
        <v>5.6865440570958008E-6</v>
      </c>
      <c r="O201" s="877">
        <v>0</v>
      </c>
      <c r="P201" s="877">
        <v>0</v>
      </c>
      <c r="Q201" s="877">
        <v>0</v>
      </c>
      <c r="R201" s="877">
        <v>0</v>
      </c>
      <c r="S201" s="877">
        <v>0</v>
      </c>
      <c r="T201" s="877">
        <v>0</v>
      </c>
      <c r="U201" s="877">
        <f>(G201+T201)</f>
        <v>3.1724650966292809E-5</v>
      </c>
      <c r="V201" s="877">
        <v>0</v>
      </c>
      <c r="W201" s="877">
        <v>0</v>
      </c>
      <c r="X201" s="864"/>
      <c r="Y201" s="879"/>
      <c r="Z201" s="877"/>
      <c r="AA201" s="877"/>
      <c r="AB201" s="877"/>
      <c r="AC201" s="877"/>
      <c r="AD201" s="886"/>
      <c r="AE201" s="877"/>
      <c r="AF201" s="879"/>
      <c r="AG201" s="877"/>
      <c r="AH201" s="877"/>
      <c r="AI201" s="877"/>
      <c r="AJ201" s="877"/>
      <c r="AK201" s="886"/>
      <c r="AL201" s="877"/>
      <c r="AM201" s="879"/>
      <c r="AN201" s="877"/>
      <c r="AO201" s="877"/>
      <c r="AP201" s="877"/>
      <c r="AQ201" s="877"/>
      <c r="AR201" s="886"/>
      <c r="AS201" s="877"/>
      <c r="AT201" s="879"/>
      <c r="AU201" s="877"/>
      <c r="AV201" s="877"/>
      <c r="AW201" s="877"/>
      <c r="AX201" s="877"/>
      <c r="AY201" s="886"/>
      <c r="AZ201" s="877"/>
      <c r="BA201" s="879"/>
      <c r="BB201" s="877"/>
      <c r="BC201" s="877"/>
      <c r="BD201" s="877"/>
      <c r="BE201" s="877"/>
      <c r="BF201" s="886"/>
      <c r="BG201" s="877"/>
      <c r="BH201" s="879"/>
      <c r="BI201" s="877"/>
      <c r="BJ201" s="877"/>
      <c r="BK201" s="877"/>
      <c r="BL201" s="877"/>
      <c r="BM201" s="886"/>
      <c r="BN201" s="877"/>
      <c r="BO201" s="879"/>
      <c r="BP201" s="877"/>
      <c r="BQ201" s="877"/>
      <c r="BR201" s="877"/>
      <c r="BS201" s="877"/>
      <c r="BT201" s="886"/>
      <c r="BU201" s="877"/>
      <c r="BV201" s="879"/>
      <c r="BW201" s="886"/>
    </row>
    <row r="202" spans="1:253" s="406" customFormat="1" ht="17.25">
      <c r="A202" s="359"/>
      <c r="B202" s="360"/>
      <c r="C202" s="83"/>
      <c r="D202" s="54"/>
      <c r="E202" s="1295" t="s">
        <v>320</v>
      </c>
      <c r="F202" s="896">
        <f>SUM(K202:L202)</f>
        <v>1.0838142857142859E-4</v>
      </c>
      <c r="G202" s="896">
        <f>SUM(I202:Q202)</f>
        <v>1.3991312310123128E-4</v>
      </c>
      <c r="H202" s="933">
        <f>SUM(U202:W202)/(1-'Common input data'!$B$140)</f>
        <v>1.6698069352098256E-4</v>
      </c>
      <c r="I202" s="877">
        <f>('Input data plant-based products'!$F$68*('Common input data'!$C$93*'Common input data'!B88+'Common input data'!$C$94*'Common input data'!C88))/'Input data plant-based products'!$E$68</f>
        <v>3.1186748057115332E-5</v>
      </c>
      <c r="J202" s="877">
        <v>0</v>
      </c>
      <c r="K202" s="877">
        <f>(SUM('Input data plant-based products'!F68:H68)*'Input data plant-based products'!$B$257*44/28)/'Input data plant-based products'!E68</f>
        <v>9.8528571428571442E-5</v>
      </c>
      <c r="L202" s="877">
        <f>K202*'Input data plant-based products'!$B$261</f>
        <v>9.8528571428571456E-6</v>
      </c>
      <c r="M202" s="877"/>
      <c r="N202" s="877">
        <f>('Input data plant-based products'!$P$68*'Common input data'!$C$76*'Common input data'!H68)/'Input data plant-based products'!$E$68</f>
        <v>3.4494647268734563E-7</v>
      </c>
      <c r="O202" s="877">
        <v>0</v>
      </c>
      <c r="P202" s="877">
        <v>0</v>
      </c>
      <c r="Q202" s="877">
        <v>0</v>
      </c>
      <c r="R202" s="877">
        <v>0</v>
      </c>
      <c r="S202" s="877">
        <v>0</v>
      </c>
      <c r="T202" s="877">
        <v>0</v>
      </c>
      <c r="U202" s="877">
        <f>(G202+T202)</f>
        <v>1.3991312310123128E-4</v>
      </c>
      <c r="V202" s="877">
        <v>0</v>
      </c>
      <c r="W202" s="877">
        <v>0</v>
      </c>
      <c r="X202" s="864"/>
      <c r="Y202" s="879"/>
      <c r="Z202" s="877"/>
      <c r="AA202" s="877"/>
      <c r="AB202" s="877"/>
      <c r="AC202" s="877"/>
      <c r="AD202" s="886"/>
      <c r="AE202" s="877"/>
      <c r="AF202" s="879"/>
      <c r="AG202" s="877"/>
      <c r="AH202" s="877"/>
      <c r="AI202" s="877"/>
      <c r="AJ202" s="877"/>
      <c r="AK202" s="886"/>
      <c r="AL202" s="877"/>
      <c r="AM202" s="879"/>
      <c r="AN202" s="877"/>
      <c r="AO202" s="877"/>
      <c r="AP202" s="877"/>
      <c r="AQ202" s="877"/>
      <c r="AR202" s="886"/>
      <c r="AS202" s="877"/>
      <c r="AT202" s="879"/>
      <c r="AU202" s="877"/>
      <c r="AV202" s="877"/>
      <c r="AW202" s="877"/>
      <c r="AX202" s="877"/>
      <c r="AY202" s="886"/>
      <c r="AZ202" s="877"/>
      <c r="BA202" s="879"/>
      <c r="BB202" s="877"/>
      <c r="BC202" s="877"/>
      <c r="BD202" s="877"/>
      <c r="BE202" s="877"/>
      <c r="BF202" s="886"/>
      <c r="BG202" s="877"/>
      <c r="BH202" s="879"/>
      <c r="BI202" s="877"/>
      <c r="BJ202" s="877"/>
      <c r="BK202" s="877"/>
      <c r="BL202" s="877"/>
      <c r="BM202" s="886"/>
      <c r="BN202" s="877"/>
      <c r="BO202" s="879"/>
      <c r="BP202" s="877"/>
      <c r="BQ202" s="877"/>
      <c r="BR202" s="877"/>
      <c r="BS202" s="877"/>
      <c r="BT202" s="886"/>
      <c r="BU202" s="877"/>
      <c r="BV202" s="879"/>
      <c r="BW202" s="886"/>
    </row>
    <row r="203" spans="1:253" s="503" customFormat="1" ht="17.25">
      <c r="A203" s="362" t="s">
        <v>494</v>
      </c>
      <c r="B203" s="363"/>
      <c r="C203" s="770"/>
      <c r="D203" s="54"/>
      <c r="E203" s="1296"/>
      <c r="F203" s="1290" t="s">
        <v>495</v>
      </c>
      <c r="G203" s="1290" t="s">
        <v>495</v>
      </c>
      <c r="H203" s="870" t="s">
        <v>495</v>
      </c>
      <c r="I203" s="889"/>
      <c r="J203" s="889"/>
      <c r="K203" s="889"/>
      <c r="L203" s="890"/>
      <c r="M203" s="890"/>
      <c r="N203" s="890"/>
      <c r="O203" s="891"/>
      <c r="P203" s="890"/>
      <c r="Q203" s="890"/>
      <c r="R203" s="890"/>
      <c r="S203" s="890"/>
      <c r="T203" s="890"/>
      <c r="U203" s="890"/>
      <c r="V203" s="890"/>
      <c r="W203" s="890"/>
      <c r="X203" s="864"/>
      <c r="Y203" s="879"/>
      <c r="Z203" s="877"/>
      <c r="AA203" s="877"/>
      <c r="AB203" s="877"/>
      <c r="AC203" s="877"/>
      <c r="AD203" s="886"/>
      <c r="AE203" s="877"/>
      <c r="AF203" s="879"/>
      <c r="AG203" s="877"/>
      <c r="AH203" s="877"/>
      <c r="AI203" s="877"/>
      <c r="AJ203" s="877"/>
      <c r="AK203" s="886"/>
      <c r="AL203" s="877"/>
      <c r="AM203" s="879"/>
      <c r="AN203" s="877"/>
      <c r="AO203" s="877"/>
      <c r="AP203" s="877"/>
      <c r="AQ203" s="877"/>
      <c r="AR203" s="886"/>
      <c r="AS203" s="877"/>
      <c r="AT203" s="879"/>
      <c r="AU203" s="877"/>
      <c r="AV203" s="877"/>
      <c r="AW203" s="877"/>
      <c r="AX203" s="877"/>
      <c r="AY203" s="886"/>
      <c r="AZ203" s="877"/>
      <c r="BA203" s="879"/>
      <c r="BB203" s="877"/>
      <c r="BC203" s="877"/>
      <c r="BD203" s="877"/>
      <c r="BE203" s="877"/>
      <c r="BF203" s="886"/>
      <c r="BG203" s="877"/>
      <c r="BH203" s="879"/>
      <c r="BI203" s="877"/>
      <c r="BJ203" s="877"/>
      <c r="BK203" s="877"/>
      <c r="BL203" s="877"/>
      <c r="BM203" s="886"/>
      <c r="BN203" s="877"/>
      <c r="BO203" s="879"/>
      <c r="BP203" s="877"/>
      <c r="BQ203" s="877"/>
      <c r="BR203" s="877"/>
      <c r="BS203" s="877"/>
      <c r="BT203" s="886"/>
      <c r="BU203" s="877"/>
      <c r="BV203" s="879"/>
      <c r="BW203" s="886"/>
      <c r="BX203" s="406"/>
      <c r="BY203" s="406"/>
      <c r="BZ203" s="406"/>
      <c r="CA203" s="406"/>
      <c r="CB203" s="406"/>
      <c r="CC203" s="406"/>
      <c r="CD203" s="406"/>
      <c r="CE203" s="406"/>
      <c r="CF203" s="406"/>
      <c r="CG203" s="406"/>
      <c r="CH203" s="406"/>
      <c r="CI203" s="406"/>
      <c r="CJ203" s="406"/>
      <c r="CK203" s="406"/>
      <c r="CL203" s="406"/>
      <c r="CM203" s="406"/>
      <c r="CN203" s="406"/>
      <c r="CO203" s="406"/>
      <c r="CP203" s="406"/>
      <c r="CQ203" s="406"/>
      <c r="CR203" s="406"/>
      <c r="CS203" s="406"/>
      <c r="CT203" s="406"/>
      <c r="CU203" s="406"/>
      <c r="CV203" s="406"/>
      <c r="CW203" s="406"/>
      <c r="CX203" s="406"/>
      <c r="CY203" s="406"/>
      <c r="CZ203" s="406"/>
      <c r="DA203" s="406"/>
      <c r="DB203" s="406"/>
      <c r="DC203" s="406"/>
      <c r="DD203" s="406"/>
      <c r="DE203" s="406"/>
      <c r="DF203" s="406"/>
      <c r="DG203" s="406"/>
      <c r="DH203" s="406"/>
      <c r="DI203" s="406"/>
      <c r="DJ203" s="406"/>
      <c r="DK203" s="406"/>
      <c r="DL203" s="406"/>
      <c r="DM203" s="406"/>
      <c r="DN203" s="406"/>
      <c r="DO203" s="406"/>
      <c r="DP203" s="406"/>
      <c r="DQ203" s="406"/>
      <c r="DR203" s="406"/>
      <c r="DS203" s="406"/>
      <c r="DT203" s="406"/>
      <c r="DU203" s="406"/>
      <c r="DV203" s="406"/>
      <c r="DW203" s="406"/>
      <c r="DX203" s="406"/>
      <c r="DY203" s="406"/>
      <c r="DZ203" s="406"/>
      <c r="EA203" s="406"/>
      <c r="EB203" s="406"/>
      <c r="EC203" s="406"/>
      <c r="ED203" s="406"/>
      <c r="EE203" s="406"/>
      <c r="EF203" s="406"/>
      <c r="EG203" s="406"/>
      <c r="EH203" s="406"/>
      <c r="EI203" s="406"/>
      <c r="EJ203" s="406"/>
      <c r="EK203" s="406"/>
      <c r="EL203" s="406"/>
      <c r="EM203" s="406"/>
      <c r="EN203" s="406"/>
      <c r="EO203" s="406"/>
      <c r="EP203" s="406"/>
      <c r="EQ203" s="406"/>
      <c r="ER203" s="406"/>
      <c r="ES203" s="406"/>
      <c r="ET203" s="406"/>
      <c r="EU203" s="406"/>
      <c r="EV203" s="406"/>
      <c r="EW203" s="406"/>
      <c r="EX203" s="406"/>
      <c r="EY203" s="406"/>
      <c r="EZ203" s="406"/>
      <c r="FA203" s="406"/>
      <c r="FB203" s="406"/>
      <c r="FC203" s="406"/>
      <c r="FD203" s="406"/>
      <c r="FE203" s="406"/>
      <c r="FF203" s="406"/>
      <c r="FG203" s="406"/>
      <c r="FH203" s="406"/>
      <c r="FI203" s="406"/>
      <c r="FJ203" s="406"/>
      <c r="FK203" s="406"/>
      <c r="FL203" s="406"/>
      <c r="FM203" s="406"/>
      <c r="FN203" s="406"/>
      <c r="FO203" s="406"/>
      <c r="FP203" s="406"/>
      <c r="FQ203" s="406"/>
      <c r="FR203" s="406"/>
      <c r="FS203" s="406"/>
      <c r="FT203" s="406"/>
      <c r="FU203" s="406"/>
      <c r="FV203" s="406"/>
      <c r="FW203" s="406"/>
      <c r="FX203" s="406"/>
      <c r="FY203" s="406"/>
      <c r="FZ203" s="406"/>
      <c r="GA203" s="406"/>
      <c r="GB203" s="406"/>
      <c r="GC203" s="406"/>
      <c r="GD203" s="406"/>
      <c r="GE203" s="406"/>
      <c r="GF203" s="406"/>
      <c r="GG203" s="406"/>
      <c r="GH203" s="406"/>
      <c r="GI203" s="406"/>
      <c r="GJ203" s="406"/>
      <c r="GK203" s="406"/>
      <c r="GL203" s="406"/>
      <c r="GM203" s="406"/>
      <c r="GN203" s="406"/>
      <c r="GO203" s="406"/>
      <c r="GP203" s="406"/>
      <c r="GQ203" s="406"/>
      <c r="GR203" s="406"/>
      <c r="GS203" s="406"/>
      <c r="GT203" s="406"/>
      <c r="GU203" s="406"/>
      <c r="GV203" s="406"/>
      <c r="GW203" s="406"/>
      <c r="GX203" s="406"/>
      <c r="GY203" s="406"/>
      <c r="GZ203" s="406"/>
      <c r="HA203" s="406"/>
      <c r="HB203" s="406"/>
      <c r="HC203" s="406"/>
      <c r="HD203" s="406"/>
      <c r="HE203" s="406"/>
      <c r="HF203" s="406"/>
      <c r="HG203" s="406"/>
      <c r="HH203" s="406"/>
      <c r="HI203" s="406"/>
      <c r="HJ203" s="406"/>
      <c r="HK203" s="406"/>
      <c r="HL203" s="406"/>
      <c r="HM203" s="406"/>
      <c r="HN203" s="406"/>
      <c r="HO203" s="406"/>
      <c r="HP203" s="406"/>
      <c r="HQ203" s="406"/>
      <c r="HR203" s="406"/>
      <c r="HS203" s="406"/>
      <c r="HT203" s="406"/>
      <c r="HU203" s="406"/>
      <c r="HV203" s="406"/>
      <c r="HW203" s="406"/>
      <c r="HX203" s="406"/>
      <c r="HY203" s="406"/>
      <c r="HZ203" s="406"/>
      <c r="IA203" s="406"/>
      <c r="IB203" s="406"/>
      <c r="IC203" s="406"/>
      <c r="ID203" s="406"/>
      <c r="IE203" s="406"/>
      <c r="IF203" s="406"/>
      <c r="IG203" s="406"/>
      <c r="IH203" s="406"/>
      <c r="II203" s="406"/>
      <c r="IJ203" s="406"/>
      <c r="IK203" s="406"/>
      <c r="IL203" s="406"/>
      <c r="IM203" s="406"/>
      <c r="IN203" s="406"/>
      <c r="IO203" s="406"/>
      <c r="IP203" s="406"/>
      <c r="IQ203" s="406"/>
      <c r="IR203" s="406"/>
      <c r="IS203" s="406"/>
    </row>
    <row r="204" spans="1:253" s="502" customFormat="1" ht="17.25">
      <c r="A204" s="20" t="s">
        <v>120</v>
      </c>
      <c r="B204" s="93"/>
      <c r="C204" s="903">
        <f>SUM(C208:C223)</f>
        <v>1</v>
      </c>
      <c r="D204" s="26"/>
      <c r="E204" s="1293" t="s">
        <v>316</v>
      </c>
      <c r="F204" s="874">
        <f>SUMPRODUCT($CE$14:$CE$16,F205:F207)</f>
        <v>0.11968672923597518</v>
      </c>
      <c r="G204" s="874">
        <f>SUMPRODUCT($CE$14:$CE$16,G205:G207)</f>
        <v>0.25398415641020766</v>
      </c>
      <c r="H204" s="927">
        <f>SUMPRODUCT($CE$14:$CE$16,H205:H207)</f>
        <v>0.52032958158516263</v>
      </c>
      <c r="I204" s="872"/>
      <c r="J204" s="884"/>
      <c r="K204" s="884"/>
      <c r="L204" s="888"/>
      <c r="M204" s="888"/>
      <c r="N204" s="888"/>
      <c r="O204" s="888"/>
      <c r="P204" s="888"/>
      <c r="Q204" s="888"/>
      <c r="R204" s="888"/>
      <c r="S204" s="888"/>
      <c r="T204" s="888"/>
      <c r="U204" s="888"/>
      <c r="V204" s="888"/>
      <c r="W204" s="888"/>
      <c r="X204" s="864"/>
      <c r="Y204" s="883">
        <f>Y208*$C$208+Y212*$C$212+Y216*$C$216+Y220*$C$220</f>
        <v>0.56862908883061458</v>
      </c>
      <c r="Z204" s="884">
        <f t="shared" ref="Z204:BW204" si="23">Z208*$C$208+Z212*$C$212+Z216*$C$216+Z220*$C$220</f>
        <v>0.56862908883061458</v>
      </c>
      <c r="AA204" s="884">
        <f t="shared" si="23"/>
        <v>0.56862908883061458</v>
      </c>
      <c r="AB204" s="884">
        <f t="shared" si="23"/>
        <v>0.56862908883061458</v>
      </c>
      <c r="AC204" s="884">
        <f t="shared" si="23"/>
        <v>0.67863598141856374</v>
      </c>
      <c r="AD204" s="885">
        <f t="shared" si="23"/>
        <v>0.83782219928217738</v>
      </c>
      <c r="AE204" s="877"/>
      <c r="AF204" s="883">
        <f t="shared" si="23"/>
        <v>1.1055823624830173E-2</v>
      </c>
      <c r="AG204" s="884">
        <f t="shared" si="23"/>
        <v>1.1055823624830173E-2</v>
      </c>
      <c r="AH204" s="884">
        <f t="shared" si="23"/>
        <v>1.1055823624830173E-2</v>
      </c>
      <c r="AI204" s="884">
        <f t="shared" si="23"/>
        <v>1.1055823624830173E-2</v>
      </c>
      <c r="AJ204" s="884">
        <f t="shared" si="23"/>
        <v>1.3194681495202499E-2</v>
      </c>
      <c r="AK204" s="885">
        <f t="shared" si="23"/>
        <v>1.6289730240990737E-2</v>
      </c>
      <c r="AL204" s="877"/>
      <c r="AM204" s="883">
        <f t="shared" si="23"/>
        <v>1.5619E-3</v>
      </c>
      <c r="AN204" s="884">
        <f t="shared" si="23"/>
        <v>1.5619E-3</v>
      </c>
      <c r="AO204" s="884">
        <f t="shared" si="23"/>
        <v>1.5619E-3</v>
      </c>
      <c r="AP204" s="884">
        <f t="shared" si="23"/>
        <v>1.5619E-3</v>
      </c>
      <c r="AQ204" s="884">
        <f t="shared" si="23"/>
        <v>1.8640649242153003E-3</v>
      </c>
      <c r="AR204" s="885">
        <f t="shared" si="23"/>
        <v>2.3013147212534567E-3</v>
      </c>
      <c r="AS204" s="877"/>
      <c r="AT204" s="883">
        <f t="shared" si="23"/>
        <v>4.4514412785414723E-2</v>
      </c>
      <c r="AU204" s="884">
        <f t="shared" si="23"/>
        <v>4.4514412785414723E-2</v>
      </c>
      <c r="AV204" s="884">
        <f t="shared" si="23"/>
        <v>4.4514412785414723E-2</v>
      </c>
      <c r="AW204" s="884">
        <f t="shared" si="23"/>
        <v>4.4514412785414723E-2</v>
      </c>
      <c r="AX204" s="884">
        <f t="shared" si="23"/>
        <v>5.312616396397507E-2</v>
      </c>
      <c r="AY204" s="885">
        <f t="shared" si="23"/>
        <v>6.5587856745648224E-2</v>
      </c>
      <c r="AZ204" s="877"/>
      <c r="BA204" s="883">
        <f t="shared" si="23"/>
        <v>3.5303332001933475E-10</v>
      </c>
      <c r="BB204" s="884">
        <f t="shared" si="23"/>
        <v>3.5303332001933475E-10</v>
      </c>
      <c r="BC204" s="884">
        <f t="shared" si="23"/>
        <v>3.5303332001933475E-10</v>
      </c>
      <c r="BD204" s="884">
        <f t="shared" si="23"/>
        <v>3.5303332001933475E-10</v>
      </c>
      <c r="BE204" s="884">
        <f t="shared" si="23"/>
        <v>4.213310896519093E-10</v>
      </c>
      <c r="BF204" s="885">
        <f t="shared" si="23"/>
        <v>5.2016183907643115E-10</v>
      </c>
      <c r="BG204" s="877"/>
      <c r="BH204" s="883">
        <f t="shared" si="23"/>
        <v>3.927928853316005E-4</v>
      </c>
      <c r="BI204" s="884">
        <f t="shared" si="23"/>
        <v>3.927928853316005E-4</v>
      </c>
      <c r="BJ204" s="884">
        <f t="shared" si="23"/>
        <v>3.927928853316005E-4</v>
      </c>
      <c r="BK204" s="884">
        <f t="shared" si="23"/>
        <v>3.927928853316005E-4</v>
      </c>
      <c r="BL204" s="884">
        <f t="shared" si="23"/>
        <v>4.6878253411099225E-4</v>
      </c>
      <c r="BM204" s="885">
        <f t="shared" si="23"/>
        <v>5.7874386927282999E-4</v>
      </c>
      <c r="BN204" s="877"/>
      <c r="BO204" s="883">
        <f t="shared" si="23"/>
        <v>2.8229645000672066E-4</v>
      </c>
      <c r="BP204" s="884">
        <f t="shared" si="23"/>
        <v>2.8229645000672066E-4</v>
      </c>
      <c r="BQ204" s="884">
        <f t="shared" si="23"/>
        <v>2.8229645000672066E-4</v>
      </c>
      <c r="BR204" s="884">
        <f t="shared" si="23"/>
        <v>2.8229645000672066E-4</v>
      </c>
      <c r="BS204" s="884">
        <f t="shared" si="23"/>
        <v>3.3690947607915107E-4</v>
      </c>
      <c r="BT204" s="885">
        <f t="shared" si="23"/>
        <v>4.1593762478907531E-4</v>
      </c>
      <c r="BU204" s="877"/>
      <c r="BV204" s="883">
        <f>BV208*$C$208+BV212*$C$212+BV216*$C$216+BV220*$C$220</f>
        <v>0.80181684369654305</v>
      </c>
      <c r="BW204" s="885">
        <f t="shared" si="23"/>
        <v>0.98989733789696654</v>
      </c>
      <c r="BX204" s="406"/>
      <c r="BY204" s="406"/>
      <c r="BZ204" s="406"/>
      <c r="CA204" s="406"/>
      <c r="CB204" s="406"/>
      <c r="CC204" s="406"/>
      <c r="CD204" s="406"/>
      <c r="CE204" s="406"/>
      <c r="CF204" s="406"/>
      <c r="CG204" s="406"/>
      <c r="CH204" s="406"/>
      <c r="CI204" s="406"/>
      <c r="CJ204" s="406"/>
      <c r="CK204" s="406"/>
      <c r="CL204" s="406"/>
      <c r="CM204" s="406"/>
      <c r="CN204" s="406"/>
      <c r="CO204" s="406"/>
      <c r="CP204" s="406"/>
      <c r="CQ204" s="406"/>
      <c r="CR204" s="406"/>
      <c r="CS204" s="406"/>
      <c r="CT204" s="406"/>
      <c r="CU204" s="406"/>
      <c r="CV204" s="406"/>
      <c r="CW204" s="406"/>
      <c r="CX204" s="406"/>
      <c r="CY204" s="406"/>
      <c r="CZ204" s="406"/>
      <c r="DA204" s="406"/>
      <c r="DB204" s="406"/>
      <c r="DC204" s="406"/>
      <c r="DD204" s="406"/>
      <c r="DE204" s="406"/>
      <c r="DF204" s="406"/>
      <c r="DG204" s="406"/>
      <c r="DH204" s="406"/>
      <c r="DI204" s="406"/>
      <c r="DJ204" s="406"/>
      <c r="DK204" s="406"/>
      <c r="DL204" s="406"/>
      <c r="DM204" s="406"/>
      <c r="DN204" s="406"/>
      <c r="DO204" s="406"/>
      <c r="DP204" s="406"/>
      <c r="DQ204" s="406"/>
      <c r="DR204" s="406"/>
      <c r="DS204" s="406"/>
      <c r="DT204" s="406"/>
      <c r="DU204" s="406"/>
      <c r="DV204" s="406"/>
      <c r="DW204" s="406"/>
      <c r="DX204" s="406"/>
      <c r="DY204" s="406"/>
      <c r="DZ204" s="406"/>
      <c r="EA204" s="406"/>
      <c r="EB204" s="406"/>
      <c r="EC204" s="406"/>
      <c r="ED204" s="406"/>
      <c r="EE204" s="406"/>
      <c r="EF204" s="406"/>
      <c r="EG204" s="406"/>
      <c r="EH204" s="406"/>
      <c r="EI204" s="406"/>
      <c r="EJ204" s="406"/>
      <c r="EK204" s="406"/>
      <c r="EL204" s="406"/>
      <c r="EM204" s="406"/>
      <c r="EN204" s="406"/>
      <c r="EO204" s="406"/>
      <c r="EP204" s="406"/>
      <c r="EQ204" s="406"/>
      <c r="ER204" s="406"/>
      <c r="ES204" s="406"/>
      <c r="ET204" s="406"/>
      <c r="EU204" s="406"/>
      <c r="EV204" s="406"/>
      <c r="EW204" s="406"/>
      <c r="EX204" s="406"/>
      <c r="EY204" s="406"/>
      <c r="EZ204" s="406"/>
      <c r="FA204" s="406"/>
      <c r="FB204" s="406"/>
      <c r="FC204" s="406"/>
      <c r="FD204" s="406"/>
      <c r="FE204" s="406"/>
      <c r="FF204" s="406"/>
      <c r="FG204" s="406"/>
      <c r="FH204" s="406"/>
      <c r="FI204" s="406"/>
      <c r="FJ204" s="406"/>
      <c r="FK204" s="406"/>
      <c r="FL204" s="406"/>
      <c r="FM204" s="406"/>
      <c r="FN204" s="406"/>
      <c r="FO204" s="406"/>
      <c r="FP204" s="406"/>
      <c r="FQ204" s="406"/>
      <c r="FR204" s="406"/>
      <c r="FS204" s="406"/>
      <c r="FT204" s="406"/>
      <c r="FU204" s="406"/>
      <c r="FV204" s="406"/>
      <c r="FW204" s="406"/>
      <c r="FX204" s="406"/>
      <c r="FY204" s="406"/>
      <c r="FZ204" s="406"/>
      <c r="GA204" s="406"/>
      <c r="GB204" s="406"/>
      <c r="GC204" s="406"/>
      <c r="GD204" s="406"/>
      <c r="GE204" s="406"/>
      <c r="GF204" s="406"/>
      <c r="GG204" s="406"/>
      <c r="GH204" s="406"/>
      <c r="GI204" s="406"/>
      <c r="GJ204" s="406"/>
      <c r="GK204" s="406"/>
      <c r="GL204" s="406"/>
      <c r="GM204" s="406"/>
      <c r="GN204" s="406"/>
      <c r="GO204" s="406"/>
      <c r="GP204" s="406"/>
      <c r="GQ204" s="406"/>
      <c r="GR204" s="406"/>
      <c r="GS204" s="406"/>
      <c r="GT204" s="406"/>
      <c r="GU204" s="406"/>
      <c r="GV204" s="406"/>
      <c r="GW204" s="406"/>
      <c r="GX204" s="406"/>
      <c r="GY204" s="406"/>
      <c r="GZ204" s="406"/>
      <c r="HA204" s="406"/>
      <c r="HB204" s="406"/>
      <c r="HC204" s="406"/>
      <c r="HD204" s="406"/>
      <c r="HE204" s="406"/>
      <c r="HF204" s="406"/>
      <c r="HG204" s="406"/>
      <c r="HH204" s="406"/>
      <c r="HI204" s="406"/>
      <c r="HJ204" s="406"/>
      <c r="HK204" s="406"/>
      <c r="HL204" s="406"/>
      <c r="HM204" s="406"/>
      <c r="HN204" s="406"/>
      <c r="HO204" s="406"/>
      <c r="HP204" s="406"/>
      <c r="HQ204" s="406"/>
      <c r="HR204" s="406"/>
      <c r="HS204" s="406"/>
      <c r="HT204" s="406"/>
      <c r="HU204" s="406"/>
      <c r="HV204" s="406"/>
      <c r="HW204" s="406"/>
      <c r="HX204" s="406"/>
      <c r="HY204" s="406"/>
      <c r="HZ204" s="406"/>
      <c r="IA204" s="406"/>
      <c r="IB204" s="406"/>
      <c r="IC204" s="406"/>
      <c r="ID204" s="406"/>
      <c r="IE204" s="406"/>
      <c r="IF204" s="406"/>
      <c r="IG204" s="406"/>
      <c r="IH204" s="406"/>
      <c r="II204" s="406"/>
      <c r="IJ204" s="406"/>
      <c r="IK204" s="406"/>
      <c r="IL204" s="406"/>
      <c r="IM204" s="406"/>
      <c r="IN204" s="406"/>
      <c r="IO204" s="406"/>
      <c r="IP204" s="406"/>
      <c r="IQ204" s="406"/>
      <c r="IR204" s="406"/>
      <c r="IS204" s="406"/>
    </row>
    <row r="205" spans="1:253" s="406" customFormat="1" ht="17.25">
      <c r="A205" s="499"/>
      <c r="B205" s="55"/>
      <c r="C205" s="917"/>
      <c r="D205" s="5"/>
      <c r="E205" s="1294" t="s">
        <v>317</v>
      </c>
      <c r="F205" s="877">
        <f t="shared" ref="F205:W207" si="24">F209*$C$208+F213*$C$212+$C$216*F217+$C$220*F221</f>
        <v>3.9989486962957101E-2</v>
      </c>
      <c r="G205" s="877">
        <f t="shared" si="24"/>
        <v>0.14963321998841309</v>
      </c>
      <c r="H205" s="878">
        <f t="shared" si="24"/>
        <v>0.39579092969138691</v>
      </c>
      <c r="I205" s="877">
        <f t="shared" si="24"/>
        <v>3.8369399120498811E-2</v>
      </c>
      <c r="J205" s="877">
        <f t="shared" si="24"/>
        <v>0.03</v>
      </c>
      <c r="K205" s="877">
        <f t="shared" si="24"/>
        <v>0</v>
      </c>
      <c r="L205" s="877">
        <f t="shared" si="24"/>
        <v>0</v>
      </c>
      <c r="M205" s="877"/>
      <c r="N205" s="877">
        <f t="shared" si="24"/>
        <v>2.1274333904957182E-2</v>
      </c>
      <c r="O205" s="877">
        <f t="shared" si="24"/>
        <v>0</v>
      </c>
      <c r="P205" s="877">
        <f t="shared" si="24"/>
        <v>0.02</v>
      </c>
      <c r="Q205" s="877">
        <f t="shared" si="24"/>
        <v>0</v>
      </c>
      <c r="R205" s="877">
        <f t="shared" si="24"/>
        <v>3.9989486962957101E-2</v>
      </c>
      <c r="S205" s="877">
        <f t="shared" si="24"/>
        <v>0</v>
      </c>
      <c r="T205" s="877">
        <f t="shared" si="24"/>
        <v>0</v>
      </c>
      <c r="U205" s="877">
        <f t="shared" si="24"/>
        <v>0.14963321998841309</v>
      </c>
      <c r="V205" s="877">
        <f t="shared" si="24"/>
        <v>0.05</v>
      </c>
      <c r="W205" s="877">
        <f t="shared" si="24"/>
        <v>0.13200000000000001</v>
      </c>
      <c r="X205" s="864"/>
      <c r="Y205" s="879"/>
      <c r="Z205" s="877"/>
      <c r="AA205" s="877"/>
      <c r="AB205" s="877"/>
      <c r="AC205" s="877"/>
      <c r="AD205" s="886"/>
      <c r="AE205" s="877"/>
      <c r="AF205" s="879"/>
      <c r="AG205" s="877"/>
      <c r="AH205" s="877"/>
      <c r="AI205" s="877"/>
      <c r="AJ205" s="877"/>
      <c r="AK205" s="886"/>
      <c r="AL205" s="877"/>
      <c r="AM205" s="879"/>
      <c r="AN205" s="877"/>
      <c r="AO205" s="877"/>
      <c r="AP205" s="877"/>
      <c r="AQ205" s="877"/>
      <c r="AR205" s="886"/>
      <c r="AS205" s="877"/>
      <c r="AT205" s="879"/>
      <c r="AU205" s="877"/>
      <c r="AV205" s="877"/>
      <c r="AW205" s="877"/>
      <c r="AX205" s="877"/>
      <c r="AY205" s="886"/>
      <c r="AZ205" s="877"/>
      <c r="BA205" s="879"/>
      <c r="BB205" s="877"/>
      <c r="BC205" s="877"/>
      <c r="BD205" s="877"/>
      <c r="BE205" s="877"/>
      <c r="BF205" s="886"/>
      <c r="BG205" s="877"/>
      <c r="BH205" s="879"/>
      <c r="BI205" s="877"/>
      <c r="BJ205" s="877"/>
      <c r="BK205" s="877"/>
      <c r="BL205" s="877"/>
      <c r="BM205" s="886"/>
      <c r="BN205" s="877"/>
      <c r="BO205" s="879"/>
      <c r="BP205" s="877"/>
      <c r="BQ205" s="877"/>
      <c r="BR205" s="877"/>
      <c r="BS205" s="877"/>
      <c r="BT205" s="886"/>
      <c r="BU205" s="877"/>
      <c r="BV205" s="879"/>
      <c r="BW205" s="886"/>
    </row>
    <row r="206" spans="1:253" s="406" customFormat="1" ht="17.25">
      <c r="A206" s="499"/>
      <c r="B206" s="55"/>
      <c r="C206" s="595"/>
      <c r="D206" s="50"/>
      <c r="E206" s="1294" t="s">
        <v>367</v>
      </c>
      <c r="F206" s="877">
        <f t="shared" si="24"/>
        <v>0</v>
      </c>
      <c r="G206" s="877">
        <f t="shared" si="24"/>
        <v>7.0434490994450281E-5</v>
      </c>
      <c r="H206" s="878">
        <f t="shared" si="24"/>
        <v>8.4060736358097956E-5</v>
      </c>
      <c r="I206" s="877">
        <f t="shared" si="24"/>
        <v>6.1010678438816587E-5</v>
      </c>
      <c r="J206" s="877">
        <f t="shared" si="24"/>
        <v>0</v>
      </c>
      <c r="K206" s="877">
        <f t="shared" si="24"/>
        <v>0</v>
      </c>
      <c r="L206" s="877">
        <f t="shared" si="24"/>
        <v>0</v>
      </c>
      <c r="M206" s="877"/>
      <c r="N206" s="877">
        <f t="shared" si="24"/>
        <v>9.4238125556336935E-6</v>
      </c>
      <c r="O206" s="877">
        <f t="shared" si="24"/>
        <v>0</v>
      </c>
      <c r="P206" s="877">
        <f t="shared" si="24"/>
        <v>0</v>
      </c>
      <c r="Q206" s="877">
        <f t="shared" si="24"/>
        <v>0</v>
      </c>
      <c r="R206" s="877">
        <f t="shared" si="24"/>
        <v>0</v>
      </c>
      <c r="S206" s="877">
        <f t="shared" si="24"/>
        <v>0</v>
      </c>
      <c r="T206" s="877">
        <f t="shared" si="24"/>
        <v>0</v>
      </c>
      <c r="U206" s="877">
        <f t="shared" si="24"/>
        <v>7.0434490994450281E-5</v>
      </c>
      <c r="V206" s="877">
        <f t="shared" si="24"/>
        <v>0</v>
      </c>
      <c r="W206" s="877">
        <f t="shared" si="24"/>
        <v>0</v>
      </c>
      <c r="X206" s="864"/>
      <c r="Y206" s="879"/>
      <c r="Z206" s="877"/>
      <c r="AA206" s="877"/>
      <c r="AB206" s="877"/>
      <c r="AC206" s="877"/>
      <c r="AD206" s="886"/>
      <c r="AE206" s="877"/>
      <c r="AF206" s="879"/>
      <c r="AG206" s="877"/>
      <c r="AH206" s="877"/>
      <c r="AI206" s="877"/>
      <c r="AJ206" s="877"/>
      <c r="AK206" s="886"/>
      <c r="AL206" s="877"/>
      <c r="AM206" s="879"/>
      <c r="AN206" s="877"/>
      <c r="AO206" s="877"/>
      <c r="AP206" s="877"/>
      <c r="AQ206" s="877"/>
      <c r="AR206" s="886"/>
      <c r="AS206" s="877"/>
      <c r="AT206" s="879"/>
      <c r="AU206" s="877"/>
      <c r="AV206" s="877"/>
      <c r="AW206" s="877"/>
      <c r="AX206" s="877"/>
      <c r="AY206" s="886"/>
      <c r="AZ206" s="877"/>
      <c r="BA206" s="879"/>
      <c r="BB206" s="877"/>
      <c r="BC206" s="877"/>
      <c r="BD206" s="877"/>
      <c r="BE206" s="877"/>
      <c r="BF206" s="886"/>
      <c r="BG206" s="877"/>
      <c r="BH206" s="879"/>
      <c r="BI206" s="877"/>
      <c r="BJ206" s="877"/>
      <c r="BK206" s="877"/>
      <c r="BL206" s="877"/>
      <c r="BM206" s="886"/>
      <c r="BN206" s="877"/>
      <c r="BO206" s="879"/>
      <c r="BP206" s="877"/>
      <c r="BQ206" s="877"/>
      <c r="BR206" s="877"/>
      <c r="BS206" s="877"/>
      <c r="BT206" s="886"/>
      <c r="BU206" s="877"/>
      <c r="BV206" s="879"/>
      <c r="BW206" s="886"/>
    </row>
    <row r="207" spans="1:253" s="406" customFormat="1" ht="17.25">
      <c r="A207" s="18"/>
      <c r="B207" s="360"/>
      <c r="C207" s="83"/>
      <c r="D207" s="54"/>
      <c r="E207" s="1295" t="s">
        <v>320</v>
      </c>
      <c r="F207" s="877">
        <f t="shared" si="24"/>
        <v>2.9193129037735556E-4</v>
      </c>
      <c r="G207" s="877">
        <f t="shared" si="24"/>
        <v>3.7527181379100528E-4</v>
      </c>
      <c r="H207" s="878">
        <f t="shared" si="24"/>
        <v>4.4787183887218685E-4</v>
      </c>
      <c r="I207" s="877">
        <f t="shared" si="24"/>
        <v>8.2768873767099274E-5</v>
      </c>
      <c r="J207" s="877">
        <f t="shared" si="24"/>
        <v>0</v>
      </c>
      <c r="K207" s="877">
        <f t="shared" si="24"/>
        <v>2.6539208216123234E-4</v>
      </c>
      <c r="L207" s="877">
        <f t="shared" si="24"/>
        <v>2.6539208216123235E-5</v>
      </c>
      <c r="M207" s="877"/>
      <c r="N207" s="877">
        <f t="shared" si="24"/>
        <v>5.7164964655048285E-7</v>
      </c>
      <c r="O207" s="877">
        <f t="shared" si="24"/>
        <v>0</v>
      </c>
      <c r="P207" s="877">
        <f t="shared" si="24"/>
        <v>0</v>
      </c>
      <c r="Q207" s="877">
        <f t="shared" si="24"/>
        <v>0</v>
      </c>
      <c r="R207" s="877">
        <f t="shared" si="24"/>
        <v>0</v>
      </c>
      <c r="S207" s="877">
        <f t="shared" si="24"/>
        <v>0</v>
      </c>
      <c r="T207" s="877">
        <f t="shared" si="24"/>
        <v>0</v>
      </c>
      <c r="U207" s="877">
        <f t="shared" si="24"/>
        <v>3.7527181379100528E-4</v>
      </c>
      <c r="V207" s="877">
        <f t="shared" si="24"/>
        <v>0</v>
      </c>
      <c r="W207" s="877">
        <f t="shared" si="24"/>
        <v>0</v>
      </c>
      <c r="X207" s="864"/>
      <c r="Y207" s="879"/>
      <c r="Z207" s="877"/>
      <c r="AA207" s="877"/>
      <c r="AB207" s="877"/>
      <c r="AC207" s="877"/>
      <c r="AD207" s="886"/>
      <c r="AE207" s="877"/>
      <c r="AF207" s="879"/>
      <c r="AG207" s="877"/>
      <c r="AH207" s="877"/>
      <c r="AI207" s="877"/>
      <c r="AJ207" s="877"/>
      <c r="AK207" s="886"/>
      <c r="AL207" s="877"/>
      <c r="AM207" s="879"/>
      <c r="AN207" s="877"/>
      <c r="AO207" s="877"/>
      <c r="AP207" s="877"/>
      <c r="AQ207" s="877"/>
      <c r="AR207" s="886"/>
      <c r="AS207" s="877"/>
      <c r="AT207" s="879"/>
      <c r="AU207" s="877"/>
      <c r="AV207" s="877"/>
      <c r="AW207" s="877"/>
      <c r="AX207" s="877"/>
      <c r="AY207" s="886"/>
      <c r="AZ207" s="877"/>
      <c r="BA207" s="879"/>
      <c r="BB207" s="877"/>
      <c r="BC207" s="877"/>
      <c r="BD207" s="877"/>
      <c r="BE207" s="877"/>
      <c r="BF207" s="886"/>
      <c r="BG207" s="877"/>
      <c r="BH207" s="879"/>
      <c r="BI207" s="877"/>
      <c r="BJ207" s="877"/>
      <c r="BK207" s="877"/>
      <c r="BL207" s="877"/>
      <c r="BM207" s="886"/>
      <c r="BN207" s="877"/>
      <c r="BO207" s="879"/>
      <c r="BP207" s="877"/>
      <c r="BQ207" s="877"/>
      <c r="BR207" s="877"/>
      <c r="BS207" s="877"/>
      <c r="BT207" s="886"/>
      <c r="BU207" s="877"/>
      <c r="BV207" s="879"/>
      <c r="BW207" s="886"/>
    </row>
    <row r="208" spans="1:253" s="502" customFormat="1" ht="17.25">
      <c r="A208" s="20" t="s">
        <v>122</v>
      </c>
      <c r="B208" s="93" t="s">
        <v>121</v>
      </c>
      <c r="C208" s="87">
        <f>'Input data plant-based products'!D70</f>
        <v>0.42</v>
      </c>
      <c r="D208" s="54"/>
      <c r="E208" s="1293" t="s">
        <v>316</v>
      </c>
      <c r="F208" s="872">
        <f>SUMPRODUCT($CE$14:$CE$16,F209:F211)</f>
        <v>0.1473613017777719</v>
      </c>
      <c r="G208" s="872">
        <f>SUMPRODUCT($CE$14:$CE$16,G209:G211)</f>
        <v>0.28104031015367026</v>
      </c>
      <c r="H208" s="873">
        <f>SUMPRODUCT($CE$14:$CE$16,H209:H211)</f>
        <v>0.4308871108171265</v>
      </c>
      <c r="I208" s="888"/>
      <c r="J208" s="888"/>
      <c r="K208" s="888"/>
      <c r="L208" s="888"/>
      <c r="M208" s="888"/>
      <c r="N208" s="888"/>
      <c r="O208" s="888"/>
      <c r="P208" s="888"/>
      <c r="Q208" s="888"/>
      <c r="R208" s="888"/>
      <c r="S208" s="888"/>
      <c r="T208" s="888"/>
      <c r="U208" s="888"/>
      <c r="V208" s="888"/>
      <c r="W208" s="888"/>
      <c r="X208" s="864"/>
      <c r="Y208" s="879">
        <f>1/'Input data plant-based products'!E70*10^4</f>
        <v>0.5611672278338945</v>
      </c>
      <c r="Z208" s="877">
        <f>$Y208*'Input data plant-based products'!Z70</f>
        <v>0.5611672278338945</v>
      </c>
      <c r="AA208" s="877">
        <f>$Y208*'Input data plant-based products'!AA70</f>
        <v>0.5611672278338945</v>
      </c>
      <c r="AB208" s="877">
        <f>$Y208*'Input data plant-based products'!AB70</f>
        <v>0.5611672278338945</v>
      </c>
      <c r="AC208" s="877">
        <f>$Y208*'Input data plant-based products'!AC70</f>
        <v>0.66973054998674597</v>
      </c>
      <c r="AD208" s="886">
        <f>$Y208*'Input data plant-based products'!AD70</f>
        <v>0.82682783948980976</v>
      </c>
      <c r="AE208" s="877"/>
      <c r="AF208" s="879">
        <f>SUM('Input data plant-based products'!F70,'Input data plant-based products'!Q70)/'Input data plant-based products'!E70</f>
        <v>1.2345679012345678E-2</v>
      </c>
      <c r="AG208" s="877">
        <f>$AF208*'Input data plant-based products'!Z70</f>
        <v>1.2345679012345678E-2</v>
      </c>
      <c r="AH208" s="877">
        <f>$AF208*'Input data plant-based products'!AA70</f>
        <v>1.2345679012345678E-2</v>
      </c>
      <c r="AI208" s="877">
        <f>$AF208*'Input data plant-based products'!AB70</f>
        <v>1.2345679012345678E-2</v>
      </c>
      <c r="AJ208" s="877">
        <f>$AF208*'Input data plant-based products'!AC70</f>
        <v>1.4734072099708411E-2</v>
      </c>
      <c r="AK208" s="886">
        <f>$AF208*'Input data plant-based products'!AD70</f>
        <v>1.8190212468775814E-2</v>
      </c>
      <c r="AL208" s="877"/>
      <c r="AM208" s="879">
        <f>'Input data plant-based products'!R70/'Input data plant-based products'!E70</f>
        <v>1.1999999999999999E-3</v>
      </c>
      <c r="AN208" s="877">
        <f>$AM208*'Input data plant-based products'!Z70</f>
        <v>1.1999999999999999E-3</v>
      </c>
      <c r="AO208" s="877">
        <f>$AM208*'Input data plant-based products'!AA70</f>
        <v>1.1999999999999999E-3</v>
      </c>
      <c r="AP208" s="877">
        <f>$AM208*'Input data plant-based products'!AB70</f>
        <v>1.1999999999999999E-3</v>
      </c>
      <c r="AQ208" s="877">
        <f>$AM208*'Input data plant-based products'!AC70</f>
        <v>1.4321518080916576E-3</v>
      </c>
      <c r="AR208" s="886">
        <f>$AM208*'Input data plant-based products'!AD70</f>
        <v>1.7680886519650092E-3</v>
      </c>
      <c r="AS208" s="877"/>
      <c r="AT208" s="879">
        <f>'Input data plant-based products'!S70</f>
        <v>9.7365303190518494E-3</v>
      </c>
      <c r="AU208" s="877">
        <f>$AT208*'Input data plant-based products'!Z70</f>
        <v>9.7365303190518494E-3</v>
      </c>
      <c r="AV208" s="877">
        <f>$AT208*'Input data plant-based products'!AA70</f>
        <v>9.7365303190518494E-3</v>
      </c>
      <c r="AW208" s="877">
        <f>$AT208*'Input data plant-based products'!AB70</f>
        <v>9.7365303190518494E-3</v>
      </c>
      <c r="AX208" s="877">
        <f>$AT208*'Input data plant-based products'!AC70</f>
        <v>1.1620157917474458E-2</v>
      </c>
      <c r="AY208" s="886">
        <f>$AT208*'Input data plant-based products'!AD70</f>
        <v>1.4345873972190688E-2</v>
      </c>
      <c r="AZ208" s="877"/>
      <c r="BA208" s="879">
        <f>((SUM('Input data plant-based products'!U70:Y70)*Y208)/('Common input data'!$B$192/10^6))/$BB$3</f>
        <v>3.9696380855606227E-12</v>
      </c>
      <c r="BB208" s="877">
        <f>$BA208*'Input data plant-based products'!Z70</f>
        <v>3.9696380855606227E-12</v>
      </c>
      <c r="BC208" s="877">
        <f>$BA208*'Input data plant-based products'!AA70</f>
        <v>3.9696380855606227E-12</v>
      </c>
      <c r="BD208" s="877">
        <f>$BA208*'Input data plant-based products'!AB70</f>
        <v>3.9696380855606227E-12</v>
      </c>
      <c r="BE208" s="877">
        <f>$BA208*'Input data plant-based products'!AC70</f>
        <v>4.7376036347542939E-12</v>
      </c>
      <c r="BF208" s="886">
        <f>$BA208*'Input data plant-based products'!AD70</f>
        <v>5.8488933762398683E-12</v>
      </c>
      <c r="BG208" s="877"/>
      <c r="BH208" s="879">
        <f>'Input data plant-based products'!T70/'Input data plant-based products'!E70</f>
        <v>1.6133557800224467E-4</v>
      </c>
      <c r="BI208" s="877">
        <f>$BH208*'Input data plant-based products'!Z70</f>
        <v>1.6133557800224467E-4</v>
      </c>
      <c r="BJ208" s="877">
        <f>$BH208*'Input data plant-based products'!AA70</f>
        <v>1.6133557800224467E-4</v>
      </c>
      <c r="BK208" s="877">
        <f>$BH208*'Input data plant-based products'!AB70</f>
        <v>1.6133557800224467E-4</v>
      </c>
      <c r="BL208" s="877">
        <f>$BH208*'Input data plant-based products'!AC70</f>
        <v>1.9254753312118947E-4</v>
      </c>
      <c r="BM208" s="886">
        <f>$BH208*'Input data plant-based products'!AD70</f>
        <v>2.3771300385332032E-4</v>
      </c>
      <c r="BN208" s="877"/>
      <c r="BO208" s="879">
        <f>('Input data plant-based products'!F70/'Input data plant-based products'!E70*'Common input data'!$B$195+'Input data plant-based products'!G70/'Input data plant-based products'!E70*'Common input data'!$B$196)/'Common input data'!$B$198</f>
        <v>3.1523127325226274E-4</v>
      </c>
      <c r="BP208" s="877">
        <f>$BO208*'Input data plant-based products'!Z70</f>
        <v>3.1523127325226274E-4</v>
      </c>
      <c r="BQ208" s="877">
        <f>$BO208*'Input data plant-based products'!AA70</f>
        <v>3.1523127325226274E-4</v>
      </c>
      <c r="BR208" s="877">
        <f>$BO208*'Input data plant-based products'!AB70</f>
        <v>3.1523127325226274E-4</v>
      </c>
      <c r="BS208" s="877">
        <f>$BO208*'Input data plant-based products'!AC70</f>
        <v>3.7621586496271956E-4</v>
      </c>
      <c r="BT208" s="886">
        <f>$BO208*'Input data plant-based products'!AD70</f>
        <v>4.6446403081817228E-4</v>
      </c>
      <c r="BU208" s="877"/>
      <c r="BV208" s="879">
        <f>'Common input data'!$C$202*'Input data plant-based products'!AC70</f>
        <v>0.17090344909893782</v>
      </c>
      <c r="BW208" s="886">
        <f>'Common input data'!$C$202*'Input data plant-based products'!AD70</f>
        <v>0.21099191246782442</v>
      </c>
      <c r="BX208" s="406"/>
      <c r="BY208" s="406"/>
      <c r="BZ208" s="406"/>
      <c r="CA208" s="406"/>
      <c r="CB208" s="406"/>
      <c r="CC208" s="406"/>
      <c r="CD208" s="406"/>
      <c r="CE208" s="406"/>
      <c r="CF208" s="406"/>
      <c r="CG208" s="406"/>
      <c r="CH208" s="406"/>
      <c r="CI208" s="406"/>
      <c r="CJ208" s="406"/>
      <c r="CK208" s="406"/>
      <c r="CL208" s="406"/>
      <c r="CM208" s="406"/>
      <c r="CN208" s="406"/>
      <c r="CO208" s="406"/>
      <c r="CP208" s="406"/>
      <c r="CQ208" s="406"/>
      <c r="CR208" s="406"/>
      <c r="CS208" s="406"/>
      <c r="CT208" s="406"/>
      <c r="CU208" s="406"/>
      <c r="CV208" s="406"/>
      <c r="CW208" s="406"/>
      <c r="CX208" s="406"/>
      <c r="CY208" s="406"/>
      <c r="CZ208" s="406"/>
      <c r="DA208" s="406"/>
      <c r="DB208" s="406"/>
      <c r="DC208" s="406"/>
      <c r="DD208" s="406"/>
      <c r="DE208" s="406"/>
      <c r="DF208" s="406"/>
      <c r="DG208" s="406"/>
      <c r="DH208" s="406"/>
      <c r="DI208" s="406"/>
      <c r="DJ208" s="406"/>
      <c r="DK208" s="406"/>
      <c r="DL208" s="406"/>
      <c r="DM208" s="406"/>
      <c r="DN208" s="406"/>
      <c r="DO208" s="406"/>
      <c r="DP208" s="406"/>
      <c r="DQ208" s="406"/>
      <c r="DR208" s="406"/>
      <c r="DS208" s="406"/>
      <c r="DT208" s="406"/>
      <c r="DU208" s="406"/>
      <c r="DV208" s="406"/>
      <c r="DW208" s="406"/>
      <c r="DX208" s="406"/>
      <c r="DY208" s="406"/>
      <c r="DZ208" s="406"/>
      <c r="EA208" s="406"/>
      <c r="EB208" s="406"/>
      <c r="EC208" s="406"/>
      <c r="ED208" s="406"/>
      <c r="EE208" s="406"/>
      <c r="EF208" s="406"/>
      <c r="EG208" s="406"/>
      <c r="EH208" s="406"/>
      <c r="EI208" s="406"/>
      <c r="EJ208" s="406"/>
      <c r="EK208" s="406"/>
      <c r="EL208" s="406"/>
      <c r="EM208" s="406"/>
      <c r="EN208" s="406"/>
      <c r="EO208" s="406"/>
      <c r="EP208" s="406"/>
      <c r="EQ208" s="406"/>
      <c r="ER208" s="406"/>
      <c r="ES208" s="406"/>
      <c r="ET208" s="406"/>
      <c r="EU208" s="406"/>
      <c r="EV208" s="406"/>
      <c r="EW208" s="406"/>
      <c r="EX208" s="406"/>
      <c r="EY208" s="406"/>
      <c r="EZ208" s="406"/>
      <c r="FA208" s="406"/>
      <c r="FB208" s="406"/>
      <c r="FC208" s="406"/>
      <c r="FD208" s="406"/>
      <c r="FE208" s="406"/>
      <c r="FF208" s="406"/>
      <c r="FG208" s="406"/>
      <c r="FH208" s="406"/>
      <c r="FI208" s="406"/>
      <c r="FJ208" s="406"/>
      <c r="FK208" s="406"/>
      <c r="FL208" s="406"/>
      <c r="FM208" s="406"/>
      <c r="FN208" s="406"/>
      <c r="FO208" s="406"/>
      <c r="FP208" s="406"/>
      <c r="FQ208" s="406"/>
      <c r="FR208" s="406"/>
      <c r="FS208" s="406"/>
      <c r="FT208" s="406"/>
      <c r="FU208" s="406"/>
      <c r="FV208" s="406"/>
      <c r="FW208" s="406"/>
      <c r="FX208" s="406"/>
      <c r="FY208" s="406"/>
      <c r="FZ208" s="406"/>
      <c r="GA208" s="406"/>
      <c r="GB208" s="406"/>
      <c r="GC208" s="406"/>
      <c r="GD208" s="406"/>
      <c r="GE208" s="406"/>
      <c r="GF208" s="406"/>
      <c r="GG208" s="406"/>
      <c r="GH208" s="406"/>
      <c r="GI208" s="406"/>
      <c r="GJ208" s="406"/>
      <c r="GK208" s="406"/>
      <c r="GL208" s="406"/>
      <c r="GM208" s="406"/>
      <c r="GN208" s="406"/>
      <c r="GO208" s="406"/>
      <c r="GP208" s="406"/>
      <c r="GQ208" s="406"/>
      <c r="GR208" s="406"/>
      <c r="GS208" s="406"/>
      <c r="GT208" s="406"/>
      <c r="GU208" s="406"/>
      <c r="GV208" s="406"/>
      <c r="GW208" s="406"/>
      <c r="GX208" s="406"/>
      <c r="GY208" s="406"/>
      <c r="GZ208" s="406"/>
      <c r="HA208" s="406"/>
      <c r="HB208" s="406"/>
      <c r="HC208" s="406"/>
      <c r="HD208" s="406"/>
      <c r="HE208" s="406"/>
      <c r="HF208" s="406"/>
      <c r="HG208" s="406"/>
      <c r="HH208" s="406"/>
      <c r="HI208" s="406"/>
      <c r="HJ208" s="406"/>
      <c r="HK208" s="406"/>
      <c r="HL208" s="406"/>
      <c r="HM208" s="406"/>
      <c r="HN208" s="406"/>
      <c r="HO208" s="406"/>
      <c r="HP208" s="406"/>
      <c r="HQ208" s="406"/>
      <c r="HR208" s="406"/>
      <c r="HS208" s="406"/>
      <c r="HT208" s="406"/>
      <c r="HU208" s="406"/>
      <c r="HV208" s="406"/>
      <c r="HW208" s="406"/>
      <c r="HX208" s="406"/>
      <c r="HY208" s="406"/>
      <c r="HZ208" s="406"/>
      <c r="IA208" s="406"/>
      <c r="IB208" s="406"/>
      <c r="IC208" s="406"/>
      <c r="ID208" s="406"/>
      <c r="IE208" s="406"/>
      <c r="IF208" s="406"/>
      <c r="IG208" s="406"/>
      <c r="IH208" s="406"/>
      <c r="II208" s="406"/>
      <c r="IJ208" s="406"/>
      <c r="IK208" s="406"/>
      <c r="IL208" s="406"/>
      <c r="IM208" s="406"/>
      <c r="IN208" s="406"/>
      <c r="IO208" s="406"/>
      <c r="IP208" s="406"/>
      <c r="IQ208" s="406"/>
      <c r="IR208" s="406"/>
      <c r="IS208" s="406"/>
    </row>
    <row r="209" spans="1:253" s="406" customFormat="1" ht="17.25">
      <c r="A209" s="499"/>
      <c r="B209" s="55"/>
      <c r="C209" s="917"/>
      <c r="D209" s="5"/>
      <c r="E209" s="1294" t="s">
        <v>317</v>
      </c>
      <c r="F209" s="877">
        <f>IF(AND($G$2="No",$G$3="No"),SUM(K209:L209),IF(AND($G$2="Yes", $G$3="No"), SUM(K209:L209)+S209, IF(AND($G$2="No", $G$3="Yes"),SUM(K209:L209)+R209, SUM(K209:L209)+S209+R209)))</f>
        <v>3.9989486962957101E-2</v>
      </c>
      <c r="G209" s="877">
        <f>IF(AND($G$2="No",$G$3="No"),SUM(I209:Q209),IF(AND($G$2="Yes", $G$3="No"), SUM(I209:Q209)+S209, IF(AND($G$2="No", $G$3="Yes"),SUM(I209:Q209)+R209, SUM(I209:Q209)+S209+R209)))</f>
        <v>0.14971462947557918</v>
      </c>
      <c r="H209" s="878">
        <f>SUM(U209:W209)/(1-'Common input data'!$B$140)</f>
        <v>0.27415518495712993</v>
      </c>
      <c r="I209" s="877">
        <f>('Input data plant-based products'!$F$70*('Common input data'!$B$93*'Common input data'!B86+'Common input data'!$B$94*'Common input data'!C86))/'Input data plant-based products'!$E$70</f>
        <v>3.8729982018794913E-2</v>
      </c>
      <c r="J209" s="877">
        <f>'Common input data'!$B$98</f>
        <v>0.03</v>
      </c>
      <c r="K209" s="877">
        <v>0</v>
      </c>
      <c r="L209" s="877">
        <v>0</v>
      </c>
      <c r="M209" s="877"/>
      <c r="N209" s="877">
        <f>('Input data plant-based products'!$P$70*'Common input data'!$C$76*'Common input data'!H66)/'Input data plant-based products'!$E$70</f>
        <v>2.0995160493827159E-2</v>
      </c>
      <c r="O209" s="877">
        <v>0</v>
      </c>
      <c r="P209" s="877">
        <f>'Input data plant-based products'!$G$309</f>
        <v>0.02</v>
      </c>
      <c r="Q209" s="877">
        <v>0</v>
      </c>
      <c r="R209" s="877">
        <f>'Common input data'!$E$19</f>
        <v>3.9989486962957101E-2</v>
      </c>
      <c r="S209" s="877">
        <v>0</v>
      </c>
      <c r="T209" s="877">
        <v>0</v>
      </c>
      <c r="U209" s="877">
        <f>(G209+T209)</f>
        <v>0.14971462947557918</v>
      </c>
      <c r="V209" s="877">
        <f>'Common input data'!$B$105</f>
        <v>0.05</v>
      </c>
      <c r="W209" s="877">
        <f>'Common input data'!C115</f>
        <v>0.03</v>
      </c>
      <c r="X209" s="864"/>
      <c r="Y209" s="879"/>
      <c r="Z209" s="877"/>
      <c r="AA209" s="877"/>
      <c r="AB209" s="877"/>
      <c r="AC209" s="877"/>
      <c r="AD209" s="886"/>
      <c r="AE209" s="877"/>
      <c r="AF209" s="879"/>
      <c r="AG209" s="877"/>
      <c r="AH209" s="877"/>
      <c r="AI209" s="877"/>
      <c r="AJ209" s="877"/>
      <c r="AK209" s="886"/>
      <c r="AL209" s="877"/>
      <c r="AM209" s="879"/>
      <c r="AN209" s="877"/>
      <c r="AO209" s="877"/>
      <c r="AP209" s="877"/>
      <c r="AQ209" s="877"/>
      <c r="AR209" s="886"/>
      <c r="AS209" s="877"/>
      <c r="AT209" s="879"/>
      <c r="AU209" s="877"/>
      <c r="AV209" s="877"/>
      <c r="AW209" s="877"/>
      <c r="AX209" s="877"/>
      <c r="AY209" s="886"/>
      <c r="AZ209" s="877"/>
      <c r="BA209" s="879"/>
      <c r="BB209" s="877"/>
      <c r="BC209" s="877"/>
      <c r="BD209" s="877"/>
      <c r="BE209" s="877"/>
      <c r="BF209" s="886"/>
      <c r="BG209" s="877"/>
      <c r="BH209" s="879"/>
      <c r="BI209" s="877"/>
      <c r="BJ209" s="877"/>
      <c r="BK209" s="877"/>
      <c r="BL209" s="877"/>
      <c r="BM209" s="886"/>
      <c r="BN209" s="877"/>
      <c r="BO209" s="879"/>
      <c r="BP209" s="877"/>
      <c r="BQ209" s="877"/>
      <c r="BR209" s="877"/>
      <c r="BS209" s="877"/>
      <c r="BT209" s="886"/>
      <c r="BU209" s="877"/>
      <c r="BV209" s="879"/>
      <c r="BW209" s="886"/>
    </row>
    <row r="210" spans="1:253" s="406" customFormat="1" ht="17.25">
      <c r="A210" s="499"/>
      <c r="B210" s="55"/>
      <c r="C210" s="595"/>
      <c r="D210" s="50"/>
      <c r="E210" s="1294" t="s">
        <v>367</v>
      </c>
      <c r="F210" s="877">
        <f>SUM(K210:L210)</f>
        <v>0</v>
      </c>
      <c r="G210" s="877">
        <f>SUM(I210:Q210)</f>
        <v>5.8024378536944905E-5</v>
      </c>
      <c r="H210" s="878">
        <f>SUM(U210:W210)/(1-'Common input data'!$B$140)</f>
        <v>6.9249765529233687E-5</v>
      </c>
      <c r="I210" s="877">
        <f>('Input data plant-based products'!$F$70*('Common input data'!$B$93*'Common input data'!B87+'Common input data'!$B$94*'Common input data'!C87))/'Input data plant-based products'!$E$70</f>
        <v>4.8724230388796755E-5</v>
      </c>
      <c r="J210" s="877">
        <v>0</v>
      </c>
      <c r="K210" s="877">
        <v>0</v>
      </c>
      <c r="L210" s="877">
        <v>0</v>
      </c>
      <c r="M210" s="877"/>
      <c r="N210" s="877">
        <f>('Input data plant-based products'!$P$70*'Common input data'!$C$76*'Common input data'!H67)/'Input data plant-based products'!$E$70</f>
        <v>9.3001481481481485E-6</v>
      </c>
      <c r="O210" s="877">
        <v>0</v>
      </c>
      <c r="P210" s="877">
        <v>0</v>
      </c>
      <c r="Q210" s="877">
        <v>0</v>
      </c>
      <c r="R210" s="877">
        <v>0</v>
      </c>
      <c r="S210" s="877">
        <v>0</v>
      </c>
      <c r="T210" s="877">
        <v>0</v>
      </c>
      <c r="U210" s="877">
        <f>(G210+T210)</f>
        <v>5.8024378536944905E-5</v>
      </c>
      <c r="V210" s="877">
        <v>0</v>
      </c>
      <c r="W210" s="877">
        <v>0</v>
      </c>
      <c r="X210" s="864"/>
      <c r="Y210" s="879"/>
      <c r="Z210" s="877"/>
      <c r="AA210" s="877"/>
      <c r="AB210" s="877"/>
      <c r="AC210" s="877"/>
      <c r="AD210" s="886"/>
      <c r="AE210" s="877"/>
      <c r="AF210" s="879"/>
      <c r="AG210" s="877"/>
      <c r="AH210" s="877"/>
      <c r="AI210" s="877"/>
      <c r="AJ210" s="877"/>
      <c r="AK210" s="886"/>
      <c r="AL210" s="877"/>
      <c r="AM210" s="879"/>
      <c r="AN210" s="877"/>
      <c r="AO210" s="877"/>
      <c r="AP210" s="877"/>
      <c r="AQ210" s="877"/>
      <c r="AR210" s="886"/>
      <c r="AS210" s="877"/>
      <c r="AT210" s="879"/>
      <c r="AU210" s="877"/>
      <c r="AV210" s="877"/>
      <c r="AW210" s="877"/>
      <c r="AX210" s="877"/>
      <c r="AY210" s="886"/>
      <c r="AZ210" s="877"/>
      <c r="BA210" s="879"/>
      <c r="BB210" s="877"/>
      <c r="BC210" s="877"/>
      <c r="BD210" s="877"/>
      <c r="BE210" s="877"/>
      <c r="BF210" s="886"/>
      <c r="BG210" s="877"/>
      <c r="BH210" s="879"/>
      <c r="BI210" s="877"/>
      <c r="BJ210" s="877"/>
      <c r="BK210" s="877"/>
      <c r="BL210" s="877"/>
      <c r="BM210" s="886"/>
      <c r="BN210" s="877"/>
      <c r="BO210" s="879"/>
      <c r="BP210" s="877"/>
      <c r="BQ210" s="877"/>
      <c r="BR210" s="877"/>
      <c r="BS210" s="877"/>
      <c r="BT210" s="886"/>
      <c r="BU210" s="877"/>
      <c r="BV210" s="879"/>
      <c r="BW210" s="886"/>
    </row>
    <row r="211" spans="1:253" s="406" customFormat="1" ht="17.25">
      <c r="A211" s="18"/>
      <c r="B211" s="360"/>
      <c r="C211" s="83"/>
      <c r="D211" s="54"/>
      <c r="E211" s="1295" t="s">
        <v>320</v>
      </c>
      <c r="F211" s="877">
        <f>SUM(K211:L211)</f>
        <v>3.933033509700176E-4</v>
      </c>
      <c r="G211" s="877">
        <f>SUM(I211:Q211)</f>
        <v>4.7530777456993993E-4</v>
      </c>
      <c r="H211" s="878">
        <f>SUM(U211:W211)/(1-'Common input data'!$B$140)</f>
        <v>5.6726074062530131E-4</v>
      </c>
      <c r="I211" s="877">
        <f>('Input data plant-based products'!$F$70*('Common input data'!$B$93*'Common input data'!B88+'Common input data'!$B$94*'Common input data'!C88))/'Input data plant-based products'!$E$70</f>
        <v>8.1440275451774203E-5</v>
      </c>
      <c r="J211" s="877">
        <v>0</v>
      </c>
      <c r="K211" s="877">
        <f>(SUM(('Input data plant-based products'!$F$70*'Input data plant-based products'!$B$258),(('Input data plant-based products'!$G$70+'Input data plant-based products'!$H$70)*'Input data plant-based products'!$B$259))*44/28)/'Input data plant-based products'!$E$70</f>
        <v>3.5754850088183418E-4</v>
      </c>
      <c r="L211" s="877">
        <f>K211*'Input data plant-based products'!$B$261</f>
        <v>3.5754850088183416E-5</v>
      </c>
      <c r="M211" s="877"/>
      <c r="N211" s="877">
        <f>('Input data plant-based products'!$P$70*'Common input data'!$C$76*'Common input data'!H68)/'Input data plant-based products'!$E$70</f>
        <v>5.6414814814814816E-7</v>
      </c>
      <c r="O211" s="877">
        <v>0</v>
      </c>
      <c r="P211" s="877">
        <v>0</v>
      </c>
      <c r="Q211" s="877">
        <v>0</v>
      </c>
      <c r="R211" s="877">
        <v>0</v>
      </c>
      <c r="S211" s="877">
        <v>0</v>
      </c>
      <c r="T211" s="877">
        <v>0</v>
      </c>
      <c r="U211" s="877">
        <f>(G211+T211)</f>
        <v>4.7530777456993993E-4</v>
      </c>
      <c r="V211" s="877">
        <v>0</v>
      </c>
      <c r="W211" s="877">
        <v>0</v>
      </c>
      <c r="X211" s="864"/>
      <c r="Y211" s="879"/>
      <c r="Z211" s="877"/>
      <c r="AA211" s="877"/>
      <c r="AB211" s="877"/>
      <c r="AC211" s="877"/>
      <c r="AD211" s="886"/>
      <c r="AE211" s="877"/>
      <c r="AF211" s="879"/>
      <c r="AG211" s="877"/>
      <c r="AH211" s="877"/>
      <c r="AI211" s="877"/>
      <c r="AJ211" s="877"/>
      <c r="AK211" s="886"/>
      <c r="AL211" s="877"/>
      <c r="AM211" s="879"/>
      <c r="AN211" s="877"/>
      <c r="AO211" s="877"/>
      <c r="AP211" s="877"/>
      <c r="AQ211" s="877"/>
      <c r="AR211" s="886"/>
      <c r="AS211" s="877"/>
      <c r="AT211" s="879"/>
      <c r="AU211" s="877"/>
      <c r="AV211" s="877"/>
      <c r="AW211" s="877"/>
      <c r="AX211" s="877"/>
      <c r="AY211" s="886"/>
      <c r="AZ211" s="877"/>
      <c r="BA211" s="879"/>
      <c r="BB211" s="877"/>
      <c r="BC211" s="877"/>
      <c r="BD211" s="877"/>
      <c r="BE211" s="877"/>
      <c r="BF211" s="886"/>
      <c r="BG211" s="877"/>
      <c r="BH211" s="879"/>
      <c r="BI211" s="877"/>
      <c r="BJ211" s="877"/>
      <c r="BK211" s="877"/>
      <c r="BL211" s="877"/>
      <c r="BM211" s="886"/>
      <c r="BN211" s="877"/>
      <c r="BO211" s="879"/>
      <c r="BP211" s="877"/>
      <c r="BQ211" s="877"/>
      <c r="BR211" s="877"/>
      <c r="BS211" s="877"/>
      <c r="BT211" s="886"/>
      <c r="BU211" s="877"/>
      <c r="BV211" s="879"/>
      <c r="BW211" s="886"/>
    </row>
    <row r="212" spans="1:253" s="502" customFormat="1" ht="17.25">
      <c r="A212" s="20" t="s">
        <v>130</v>
      </c>
      <c r="B212" s="93" t="s">
        <v>121</v>
      </c>
      <c r="C212" s="87">
        <f>'Input data plant-based products'!D71</f>
        <v>0.27</v>
      </c>
      <c r="D212" s="54"/>
      <c r="E212" s="1293" t="s">
        <v>316</v>
      </c>
      <c r="F212" s="872">
        <f>SUMPRODUCT($CE$14:$CE$16,F213:F215)</f>
        <v>7.2634494497677324E-2</v>
      </c>
      <c r="G212" s="872">
        <f>SUMPRODUCT($CE$14:$CE$16,G213:G215)</f>
        <v>0.2025827122890746</v>
      </c>
      <c r="H212" s="873">
        <f>SUMPRODUCT($CE$14:$CE$16,H213:H215)</f>
        <v>0.57594308663214533</v>
      </c>
      <c r="I212" s="888"/>
      <c r="J212" s="888"/>
      <c r="K212" s="888"/>
      <c r="L212" s="888"/>
      <c r="M212" s="888"/>
      <c r="N212" s="888"/>
      <c r="O212" s="888"/>
      <c r="P212" s="888"/>
      <c r="Q212" s="888"/>
      <c r="R212" s="888"/>
      <c r="S212" s="888"/>
      <c r="T212" s="888"/>
      <c r="U212" s="888"/>
      <c r="V212" s="888"/>
      <c r="W212" s="888"/>
      <c r="X212" s="864"/>
      <c r="Y212" s="879">
        <f>1/'Input data plant-based products'!E71*10^4</f>
        <v>0.57626923298565091</v>
      </c>
      <c r="Z212" s="877">
        <f>$Y212*'Input data plant-based products'!Z71</f>
        <v>0.57626923298565091</v>
      </c>
      <c r="AA212" s="877">
        <f>$Y212*'Input data plant-based products'!AA71</f>
        <v>0.57626923298565091</v>
      </c>
      <c r="AB212" s="877">
        <f>$Y212*'Input data plant-based products'!AB71</f>
        <v>0.57626923298565091</v>
      </c>
      <c r="AC212" s="877">
        <f>$Y212*'Input data plant-based products'!AC71</f>
        <v>0.68775418663999388</v>
      </c>
      <c r="AD212" s="886">
        <f>$Y212*'Input data plant-based products'!AD71</f>
        <v>0.84907924276542446</v>
      </c>
      <c r="AE212" s="877"/>
      <c r="AF212" s="879">
        <f>SUM('Input data plant-based products'!F71,'Input data plant-based products'!Q71)/'Input data plant-based products'!E71</f>
        <v>9.335561574367544E-3</v>
      </c>
      <c r="AG212" s="877">
        <f>$AF212*'Input data plant-based products'!Z71</f>
        <v>9.335561574367544E-3</v>
      </c>
      <c r="AH212" s="877">
        <f>$AF212*'Input data plant-based products'!AA71</f>
        <v>9.335561574367544E-3</v>
      </c>
      <c r="AI212" s="877">
        <f>$AF212*'Input data plant-based products'!AB71</f>
        <v>9.335561574367544E-3</v>
      </c>
      <c r="AJ212" s="877">
        <f>$AF212*'Input data plant-based products'!AC71</f>
        <v>1.1141617823567901E-2</v>
      </c>
      <c r="AK212" s="886">
        <f>$AF212*'Input data plant-based products'!AD71</f>
        <v>1.3755083732799876E-2</v>
      </c>
      <c r="AL212" s="877"/>
      <c r="AM212" s="879">
        <f>'Input data plant-based products'!R71/'Input data plant-based products'!E71</f>
        <v>2.6666666666666666E-3</v>
      </c>
      <c r="AN212" s="877">
        <f>$AM212*'Input data plant-based products'!Z71</f>
        <v>2.6666666666666666E-3</v>
      </c>
      <c r="AO212" s="877">
        <f>$AM212*'Input data plant-based products'!AA71</f>
        <v>2.6666666666666666E-3</v>
      </c>
      <c r="AP212" s="877">
        <f>$AM212*'Input data plant-based products'!AB71</f>
        <v>2.6666666666666666E-3</v>
      </c>
      <c r="AQ212" s="877">
        <f>$AM212*'Input data plant-based products'!AC71</f>
        <v>3.1825595735370171E-3</v>
      </c>
      <c r="AR212" s="886">
        <f>$AM212*'Input data plant-based products'!AD71</f>
        <v>3.929085893255576E-3</v>
      </c>
      <c r="AS212" s="877"/>
      <c r="AT212" s="879">
        <f>'Input data plant-based products'!S71</f>
        <v>0.104</v>
      </c>
      <c r="AU212" s="877">
        <f>$AT212*'Input data plant-based products'!Z71</f>
        <v>0.104</v>
      </c>
      <c r="AV212" s="877">
        <f>$AT212*'Input data plant-based products'!AA71</f>
        <v>0.104</v>
      </c>
      <c r="AW212" s="877">
        <f>$AT212*'Input data plant-based products'!AB71</f>
        <v>0.104</v>
      </c>
      <c r="AX212" s="877">
        <f>$AT212*'Input data plant-based products'!AC71</f>
        <v>0.12411982336794367</v>
      </c>
      <c r="AY212" s="886">
        <f>$AT212*'Input data plant-based products'!AD71</f>
        <v>0.15323434983696746</v>
      </c>
      <c r="AZ212" s="877"/>
      <c r="BA212" s="879">
        <f>((SUM('Input data plant-based products'!U71:Y71)*Y212)/('Common input data'!$B$192/10^6))/$BB$3</f>
        <v>9.7632442993667569E-10</v>
      </c>
      <c r="BB212" s="877">
        <f>$BA212*'Input data plant-based products'!Z71</f>
        <v>9.7632442993667569E-10</v>
      </c>
      <c r="BC212" s="877">
        <f>$BA212*'Input data plant-based products'!AA71</f>
        <v>9.7632442993667569E-10</v>
      </c>
      <c r="BD212" s="877">
        <f>$BA212*'Input data plant-based products'!AB71</f>
        <v>9.7632442993667569E-10</v>
      </c>
      <c r="BE212" s="877">
        <f>$BA212*'Input data plant-based products'!AC71</f>
        <v>1.1652039980148893E-9</v>
      </c>
      <c r="BF212" s="886">
        <f>$BA212*'Input data plant-based products'!AD71</f>
        <v>1.4385234543393692E-9</v>
      </c>
      <c r="BG212" s="877"/>
      <c r="BH212" s="879">
        <f>'Input data plant-based products'!T71/'Input data plant-based products'!E71</f>
        <v>9.1742061891315636E-4</v>
      </c>
      <c r="BI212" s="877">
        <f>$BH212*'Input data plant-based products'!Z71</f>
        <v>9.1742061891315636E-4</v>
      </c>
      <c r="BJ212" s="877">
        <f>$BH212*'Input data plant-based products'!AA71</f>
        <v>9.1742061891315636E-4</v>
      </c>
      <c r="BK212" s="877">
        <f>$BH212*'Input data plant-based products'!AB71</f>
        <v>9.1742061891315636E-4</v>
      </c>
      <c r="BL212" s="877">
        <f>$BH212*'Input data plant-based products'!AC71</f>
        <v>1.0949046651308704E-3</v>
      </c>
      <c r="BM212" s="886">
        <f>$BH212*'Input data plant-based products'!AD71</f>
        <v>1.3517341544825559E-3</v>
      </c>
      <c r="BN212" s="877"/>
      <c r="BO212" s="879">
        <f>('Input data plant-based products'!F71/'Input data plant-based products'!E71*'Common input data'!$B$195+'Input data plant-based products'!G71/'Input data plant-based products'!E71*'Common input data'!$B$196)/'Common input data'!$B$198</f>
        <v>2.3837173789063515E-4</v>
      </c>
      <c r="BP212" s="877">
        <f>$BO212*'Input data plant-based products'!Z71</f>
        <v>2.3837173789063515E-4</v>
      </c>
      <c r="BQ212" s="877">
        <f>$BO212*'Input data plant-based products'!AA71</f>
        <v>2.3837173789063515E-4</v>
      </c>
      <c r="BR212" s="877">
        <f>$BO212*'Input data plant-based products'!AB71</f>
        <v>2.3837173789063515E-4</v>
      </c>
      <c r="BS212" s="877">
        <f>$BO212*'Input data plant-based products'!AC71</f>
        <v>2.8448709618168652E-4</v>
      </c>
      <c r="BT212" s="886">
        <f>$BO212*'Input data plant-based products'!AD71</f>
        <v>3.5121863726134134E-4</v>
      </c>
      <c r="BU212" s="877"/>
      <c r="BV212" s="879">
        <f>('Common input data'!$C$202+'Common input data'!$B$210)*'Input data plant-based products'!AC71</f>
        <v>1.4837092731829575</v>
      </c>
      <c r="BW212" s="886">
        <f>('Common input data'!$C$202+'Common input data'!$B$210)*'Input data plant-based products'!AD71</f>
        <v>1.8317398434357497</v>
      </c>
      <c r="BX212" s="406"/>
      <c r="BY212" s="406"/>
      <c r="BZ212" s="406"/>
      <c r="CA212" s="406"/>
      <c r="CB212" s="406"/>
      <c r="CC212" s="406"/>
      <c r="CD212" s="406"/>
      <c r="CE212" s="406"/>
      <c r="CF212" s="406"/>
      <c r="CG212" s="406"/>
      <c r="CH212" s="406"/>
      <c r="CI212" s="406"/>
      <c r="CJ212" s="406"/>
      <c r="CK212" s="406"/>
      <c r="CL212" s="406"/>
      <c r="CM212" s="406"/>
      <c r="CN212" s="406"/>
      <c r="CO212" s="406"/>
      <c r="CP212" s="406"/>
      <c r="CQ212" s="406"/>
      <c r="CR212" s="406"/>
      <c r="CS212" s="406"/>
      <c r="CT212" s="406"/>
      <c r="CU212" s="406"/>
      <c r="CV212" s="406"/>
      <c r="CW212" s="406"/>
      <c r="CX212" s="406"/>
      <c r="CY212" s="406"/>
      <c r="CZ212" s="406"/>
      <c r="DA212" s="406"/>
      <c r="DB212" s="406"/>
      <c r="DC212" s="406"/>
      <c r="DD212" s="406"/>
      <c r="DE212" s="406"/>
      <c r="DF212" s="406"/>
      <c r="DG212" s="406"/>
      <c r="DH212" s="406"/>
      <c r="DI212" s="406"/>
      <c r="DJ212" s="406"/>
      <c r="DK212" s="406"/>
      <c r="DL212" s="406"/>
      <c r="DM212" s="406"/>
      <c r="DN212" s="406"/>
      <c r="DO212" s="406"/>
      <c r="DP212" s="406"/>
      <c r="DQ212" s="406"/>
      <c r="DR212" s="406"/>
      <c r="DS212" s="406"/>
      <c r="DT212" s="406"/>
      <c r="DU212" s="406"/>
      <c r="DV212" s="406"/>
      <c r="DW212" s="406"/>
      <c r="DX212" s="406"/>
      <c r="DY212" s="406"/>
      <c r="DZ212" s="406"/>
      <c r="EA212" s="406"/>
      <c r="EB212" s="406"/>
      <c r="EC212" s="406"/>
      <c r="ED212" s="406"/>
      <c r="EE212" s="406"/>
      <c r="EF212" s="406"/>
      <c r="EG212" s="406"/>
      <c r="EH212" s="406"/>
      <c r="EI212" s="406"/>
      <c r="EJ212" s="406"/>
      <c r="EK212" s="406"/>
      <c r="EL212" s="406"/>
      <c r="EM212" s="406"/>
      <c r="EN212" s="406"/>
      <c r="EO212" s="406"/>
      <c r="EP212" s="406"/>
      <c r="EQ212" s="406"/>
      <c r="ER212" s="406"/>
      <c r="ES212" s="406"/>
      <c r="ET212" s="406"/>
      <c r="EU212" s="406"/>
      <c r="EV212" s="406"/>
      <c r="EW212" s="406"/>
      <c r="EX212" s="406"/>
      <c r="EY212" s="406"/>
      <c r="EZ212" s="406"/>
      <c r="FA212" s="406"/>
      <c r="FB212" s="406"/>
      <c r="FC212" s="406"/>
      <c r="FD212" s="406"/>
      <c r="FE212" s="406"/>
      <c r="FF212" s="406"/>
      <c r="FG212" s="406"/>
      <c r="FH212" s="406"/>
      <c r="FI212" s="406"/>
      <c r="FJ212" s="406"/>
      <c r="FK212" s="406"/>
      <c r="FL212" s="406"/>
      <c r="FM212" s="406"/>
      <c r="FN212" s="406"/>
      <c r="FO212" s="406"/>
      <c r="FP212" s="406"/>
      <c r="FQ212" s="406"/>
      <c r="FR212" s="406"/>
      <c r="FS212" s="406"/>
      <c r="FT212" s="406"/>
      <c r="FU212" s="406"/>
      <c r="FV212" s="406"/>
      <c r="FW212" s="406"/>
      <c r="FX212" s="406"/>
      <c r="FY212" s="406"/>
      <c r="FZ212" s="406"/>
      <c r="GA212" s="406"/>
      <c r="GB212" s="406"/>
      <c r="GC212" s="406"/>
      <c r="GD212" s="406"/>
      <c r="GE212" s="406"/>
      <c r="GF212" s="406"/>
      <c r="GG212" s="406"/>
      <c r="GH212" s="406"/>
      <c r="GI212" s="406"/>
      <c r="GJ212" s="406"/>
      <c r="GK212" s="406"/>
      <c r="GL212" s="406"/>
      <c r="GM212" s="406"/>
      <c r="GN212" s="406"/>
      <c r="GO212" s="406"/>
      <c r="GP212" s="406"/>
      <c r="GQ212" s="406"/>
      <c r="GR212" s="406"/>
      <c r="GS212" s="406"/>
      <c r="GT212" s="406"/>
      <c r="GU212" s="406"/>
      <c r="GV212" s="406"/>
      <c r="GW212" s="406"/>
      <c r="GX212" s="406"/>
      <c r="GY212" s="406"/>
      <c r="GZ212" s="406"/>
      <c r="HA212" s="406"/>
      <c r="HB212" s="406"/>
      <c r="HC212" s="406"/>
      <c r="HD212" s="406"/>
      <c r="HE212" s="406"/>
      <c r="HF212" s="406"/>
      <c r="HG212" s="406"/>
      <c r="HH212" s="406"/>
      <c r="HI212" s="406"/>
      <c r="HJ212" s="406"/>
      <c r="HK212" s="406"/>
      <c r="HL212" s="406"/>
      <c r="HM212" s="406"/>
      <c r="HN212" s="406"/>
      <c r="HO212" s="406"/>
      <c r="HP212" s="406"/>
      <c r="HQ212" s="406"/>
      <c r="HR212" s="406"/>
      <c r="HS212" s="406"/>
      <c r="HT212" s="406"/>
      <c r="HU212" s="406"/>
      <c r="HV212" s="406"/>
      <c r="HW212" s="406"/>
      <c r="HX212" s="406"/>
      <c r="HY212" s="406"/>
      <c r="HZ212" s="406"/>
      <c r="IA212" s="406"/>
      <c r="IB212" s="406"/>
      <c r="IC212" s="406"/>
      <c r="ID212" s="406"/>
      <c r="IE212" s="406"/>
      <c r="IF212" s="406"/>
      <c r="IG212" s="406"/>
      <c r="IH212" s="406"/>
      <c r="II212" s="406"/>
      <c r="IJ212" s="406"/>
      <c r="IK212" s="406"/>
      <c r="IL212" s="406"/>
      <c r="IM212" s="406"/>
      <c r="IN212" s="406"/>
      <c r="IO212" s="406"/>
      <c r="IP212" s="406"/>
      <c r="IQ212" s="406"/>
      <c r="IR212" s="406"/>
      <c r="IS212" s="406"/>
    </row>
    <row r="213" spans="1:253" s="406" customFormat="1" ht="17.25">
      <c r="A213" s="499"/>
      <c r="B213" s="55"/>
      <c r="C213" s="917"/>
      <c r="D213" s="5"/>
      <c r="E213" s="1294" t="s">
        <v>317</v>
      </c>
      <c r="F213" s="877">
        <f>IF(AND($G$2="No",$G$3="No"),SUM(K213:L213),IF(AND($G$2="Yes", $G$3="No"), SUM(K213:L213)+S213, IF(AND($G$2="No", $G$3="Yes"),SUM(K213:L213)+R213, SUM(K213:L213)+S213+R213)))</f>
        <v>3.9989486962957101E-2</v>
      </c>
      <c r="G213" s="877">
        <f>IF(AND($G$2="No",$G$3="No"),SUM(I213:Q213),IF(AND($G$2="Yes", $G$3="No"), SUM(I213:Q213)+S213, IF(AND($G$2="No", $G$3="Yes"),SUM(I213:Q213)+R213, SUM(I213:Q213)+S213+R213)))</f>
        <v>0.1466978199364255</v>
      </c>
      <c r="H213" s="878">
        <f>SUM(U213:W213)/(1-'Common input data'!$B$140)</f>
        <v>0.50924671194226701</v>
      </c>
      <c r="I213" s="877">
        <f>('Input data plant-based products'!$F$71*('Common input data'!$C$93*'Common input data'!B86+'Common input data'!$C$94*'Common input data'!C86))/'Input data plant-based products'!$E$71</f>
        <v>3.5148155482544637E-2</v>
      </c>
      <c r="J213" s="877">
        <f>'Common input data'!$B$98</f>
        <v>0.03</v>
      </c>
      <c r="K213" s="877">
        <v>0</v>
      </c>
      <c r="L213" s="877">
        <v>0</v>
      </c>
      <c r="M213" s="877"/>
      <c r="N213" s="877">
        <f>('Input data plant-based products'!$P$71*'Common input data'!$C$76*'Common input data'!H66)/'Input data plant-based products'!$E$71</f>
        <v>2.156017749092376E-2</v>
      </c>
      <c r="O213" s="877">
        <v>0</v>
      </c>
      <c r="P213" s="877">
        <f>'Input data plant-based products'!$G$309</f>
        <v>0.02</v>
      </c>
      <c r="Q213" s="877">
        <v>0</v>
      </c>
      <c r="R213" s="877">
        <f>'Common input data'!$E$19</f>
        <v>3.9989486962957101E-2</v>
      </c>
      <c r="S213" s="877">
        <v>0</v>
      </c>
      <c r="T213" s="877">
        <v>0</v>
      </c>
      <c r="U213" s="877">
        <f>(G213+T213)</f>
        <v>0.1466978199364255</v>
      </c>
      <c r="V213" s="877">
        <f>'Common input data'!$B$105</f>
        <v>0.05</v>
      </c>
      <c r="W213" s="877">
        <f>'Common input data'!B117+'Common input data'!C117</f>
        <v>0.23</v>
      </c>
      <c r="X213" s="864"/>
      <c r="Y213" s="879"/>
      <c r="Z213" s="877"/>
      <c r="AA213" s="877"/>
      <c r="AB213" s="877"/>
      <c r="AC213" s="877"/>
      <c r="AD213" s="886"/>
      <c r="AE213" s="877"/>
      <c r="AF213" s="879"/>
      <c r="AG213" s="877"/>
      <c r="AH213" s="877"/>
      <c r="AI213" s="877"/>
      <c r="AJ213" s="877"/>
      <c r="AK213" s="886"/>
      <c r="AL213" s="877"/>
      <c r="AM213" s="879"/>
      <c r="AN213" s="877"/>
      <c r="AO213" s="877"/>
      <c r="AP213" s="877"/>
      <c r="AQ213" s="877"/>
      <c r="AR213" s="886"/>
      <c r="AS213" s="877"/>
      <c r="AT213" s="879"/>
      <c r="AU213" s="877"/>
      <c r="AV213" s="877"/>
      <c r="AW213" s="877"/>
      <c r="AX213" s="877"/>
      <c r="AY213" s="886"/>
      <c r="AZ213" s="877"/>
      <c r="BA213" s="879"/>
      <c r="BB213" s="877"/>
      <c r="BC213" s="877"/>
      <c r="BD213" s="877"/>
      <c r="BE213" s="877"/>
      <c r="BF213" s="886"/>
      <c r="BG213" s="877"/>
      <c r="BH213" s="879"/>
      <c r="BI213" s="877"/>
      <c r="BJ213" s="877"/>
      <c r="BK213" s="877"/>
      <c r="BL213" s="877"/>
      <c r="BM213" s="886"/>
      <c r="BN213" s="877"/>
      <c r="BO213" s="879"/>
      <c r="BP213" s="877"/>
      <c r="BQ213" s="877"/>
      <c r="BR213" s="877"/>
      <c r="BS213" s="877"/>
      <c r="BT213" s="886"/>
      <c r="BU213" s="877"/>
      <c r="BV213" s="879"/>
      <c r="BW213" s="886"/>
    </row>
    <row r="214" spans="1:253" s="406" customFormat="1" ht="17.25">
      <c r="A214" s="499"/>
      <c r="B214" s="55"/>
      <c r="C214" s="595"/>
      <c r="D214" s="50"/>
      <c r="E214" s="1294" t="s">
        <v>367</v>
      </c>
      <c r="F214" s="877">
        <f>SUM(K214:L214)</f>
        <v>0</v>
      </c>
      <c r="G214" s="877">
        <f>SUM(I214:Q214)</f>
        <v>7.4027978132492036E-5</v>
      </c>
      <c r="H214" s="878">
        <f>SUM(U214:W214)/(1-'Common input data'!$B$140)</f>
        <v>8.8349418943181813E-5</v>
      </c>
      <c r="I214" s="877">
        <f>('Input data plant-based products'!$F$71*('Common input data'!$C$93*'Common input data'!B87+'Common input data'!$C$94*'Common input data'!C87))/'Input data plant-based products'!$E$71</f>
        <v>6.4477546506836529E-5</v>
      </c>
      <c r="J214" s="877">
        <v>0</v>
      </c>
      <c r="K214" s="877">
        <v>0</v>
      </c>
      <c r="L214" s="877">
        <v>0</v>
      </c>
      <c r="M214" s="877"/>
      <c r="N214" s="877">
        <f>('Input data plant-based products'!$P$71*'Common input data'!$C$76*'Common input data'!H67)/'Input data plant-based products'!$E$71</f>
        <v>9.5504316256555069E-6</v>
      </c>
      <c r="O214" s="877">
        <v>0</v>
      </c>
      <c r="P214" s="877">
        <v>0</v>
      </c>
      <c r="Q214" s="877">
        <v>0</v>
      </c>
      <c r="R214" s="877">
        <v>0</v>
      </c>
      <c r="S214" s="877">
        <v>0</v>
      </c>
      <c r="T214" s="877">
        <v>0</v>
      </c>
      <c r="U214" s="877">
        <f>(G214+T214)</f>
        <v>7.4027978132492036E-5</v>
      </c>
      <c r="V214" s="877">
        <v>0</v>
      </c>
      <c r="W214" s="877">
        <v>0</v>
      </c>
      <c r="X214" s="864"/>
      <c r="Y214" s="879"/>
      <c r="Z214" s="877"/>
      <c r="AA214" s="877"/>
      <c r="AB214" s="877"/>
      <c r="AC214" s="877"/>
      <c r="AD214" s="886"/>
      <c r="AE214" s="877"/>
      <c r="AF214" s="879"/>
      <c r="AG214" s="877"/>
      <c r="AH214" s="877"/>
      <c r="AI214" s="877"/>
      <c r="AJ214" s="877"/>
      <c r="AK214" s="886"/>
      <c r="AL214" s="877"/>
      <c r="AM214" s="879"/>
      <c r="AN214" s="877"/>
      <c r="AO214" s="877"/>
      <c r="AP214" s="877"/>
      <c r="AQ214" s="877"/>
      <c r="AR214" s="886"/>
      <c r="AS214" s="877"/>
      <c r="AT214" s="879"/>
      <c r="AU214" s="877"/>
      <c r="AV214" s="877"/>
      <c r="AW214" s="877"/>
      <c r="AX214" s="877"/>
      <c r="AY214" s="886"/>
      <c r="AZ214" s="877"/>
      <c r="BA214" s="879"/>
      <c r="BB214" s="877"/>
      <c r="BC214" s="877"/>
      <c r="BD214" s="877"/>
      <c r="BE214" s="877"/>
      <c r="BF214" s="886"/>
      <c r="BG214" s="877"/>
      <c r="BH214" s="879"/>
      <c r="BI214" s="877"/>
      <c r="BJ214" s="877"/>
      <c r="BK214" s="877"/>
      <c r="BL214" s="877"/>
      <c r="BM214" s="886"/>
      <c r="BN214" s="877"/>
      <c r="BO214" s="879"/>
      <c r="BP214" s="877"/>
      <c r="BQ214" s="877"/>
      <c r="BR214" s="877"/>
      <c r="BS214" s="877"/>
      <c r="BT214" s="886"/>
      <c r="BU214" s="877"/>
      <c r="BV214" s="879"/>
      <c r="BW214" s="886"/>
    </row>
    <row r="215" spans="1:253" s="406" customFormat="1" ht="17.25">
      <c r="A215" s="18"/>
      <c r="B215" s="360"/>
      <c r="C215" s="83"/>
      <c r="D215" s="54"/>
      <c r="E215" s="1295" t="s">
        <v>320</v>
      </c>
      <c r="F215" s="877">
        <f>SUM(K215:L215)</f>
        <v>1.1957878217846235E-4</v>
      </c>
      <c r="G215" s="877">
        <f>SUM(I215:Q215)</f>
        <v>1.9738511700758912E-4</v>
      </c>
      <c r="H215" s="878">
        <f>SUM(U215:W215)/(1-'Common input data'!$B$140)</f>
        <v>2.3557121017733516E-4</v>
      </c>
      <c r="I215" s="877">
        <f>('Input data plant-based products'!$F$71*('Common input data'!$C$93*'Common input data'!B88+'Common input data'!$C$94*'Common input data'!C88))/'Input data plant-based products'!$E$71</f>
        <v>7.7227004453975489E-5</v>
      </c>
      <c r="J215" s="877">
        <v>0</v>
      </c>
      <c r="K215" s="877">
        <f>(SUM('Input data plant-based products'!F71:H71)*'Input data plant-based products'!$B$260*44/28)/'Input data plant-based products'!E71</f>
        <v>1.0870798379860214E-4</v>
      </c>
      <c r="L215" s="877">
        <f>K215*'Input data plant-based products'!$B$261</f>
        <v>1.0870798379860215E-5</v>
      </c>
      <c r="M215" s="877"/>
      <c r="N215" s="877">
        <f>('Input data plant-based products'!$P$71*'Common input data'!$C$76*'Common input data'!H68)/'Input data plant-based products'!$E$71</f>
        <v>5.7933037515127074E-7</v>
      </c>
      <c r="O215" s="877">
        <v>0</v>
      </c>
      <c r="P215" s="877">
        <v>0</v>
      </c>
      <c r="Q215" s="877">
        <v>0</v>
      </c>
      <c r="R215" s="877">
        <v>0</v>
      </c>
      <c r="S215" s="877">
        <v>0</v>
      </c>
      <c r="T215" s="877">
        <v>0</v>
      </c>
      <c r="U215" s="877">
        <f>(G215+T215)</f>
        <v>1.9738511700758912E-4</v>
      </c>
      <c r="V215" s="877">
        <v>0</v>
      </c>
      <c r="W215" s="877">
        <v>0</v>
      </c>
      <c r="X215" s="864"/>
      <c r="Y215" s="879"/>
      <c r="Z215" s="877"/>
      <c r="AA215" s="877"/>
      <c r="AB215" s="877"/>
      <c r="AC215" s="877"/>
      <c r="AD215" s="886"/>
      <c r="AE215" s="877"/>
      <c r="AF215" s="879"/>
      <c r="AG215" s="877"/>
      <c r="AH215" s="877"/>
      <c r="AI215" s="877"/>
      <c r="AJ215" s="877"/>
      <c r="AK215" s="886"/>
      <c r="AL215" s="877"/>
      <c r="AM215" s="879"/>
      <c r="AN215" s="877"/>
      <c r="AO215" s="877"/>
      <c r="AP215" s="877"/>
      <c r="AQ215" s="877"/>
      <c r="AR215" s="886"/>
      <c r="AS215" s="877"/>
      <c r="AT215" s="879"/>
      <c r="AU215" s="877"/>
      <c r="AV215" s="877"/>
      <c r="AW215" s="877"/>
      <c r="AX215" s="877"/>
      <c r="AY215" s="886"/>
      <c r="AZ215" s="877"/>
      <c r="BA215" s="879"/>
      <c r="BB215" s="877"/>
      <c r="BC215" s="877"/>
      <c r="BD215" s="877"/>
      <c r="BE215" s="877"/>
      <c r="BF215" s="886"/>
      <c r="BG215" s="877"/>
      <c r="BH215" s="879"/>
      <c r="BI215" s="877"/>
      <c r="BJ215" s="877"/>
      <c r="BK215" s="877"/>
      <c r="BL215" s="877"/>
      <c r="BM215" s="886"/>
      <c r="BN215" s="877"/>
      <c r="BO215" s="879"/>
      <c r="BP215" s="877"/>
      <c r="BQ215" s="877"/>
      <c r="BR215" s="877"/>
      <c r="BS215" s="877"/>
      <c r="BT215" s="886"/>
      <c r="BU215" s="877"/>
      <c r="BV215" s="879"/>
      <c r="BW215" s="886"/>
    </row>
    <row r="216" spans="1:253" s="502" customFormat="1" ht="17.25">
      <c r="A216" s="20" t="s">
        <v>161</v>
      </c>
      <c r="B216" s="93" t="s">
        <v>121</v>
      </c>
      <c r="C216" s="87">
        <f>'Input data plant-based products'!D72</f>
        <v>0.14000000000000001</v>
      </c>
      <c r="D216" s="54"/>
      <c r="E216" s="1293" t="s">
        <v>316</v>
      </c>
      <c r="F216" s="872">
        <f>SUMPRODUCT($CE$14:$CE$16,F217:F219)</f>
        <v>0.13505065198173058</v>
      </c>
      <c r="G216" s="872">
        <f>SUMPRODUCT($CE$14:$CE$16,G217:G219)</f>
        <v>0.27386712580505712</v>
      </c>
      <c r="H216" s="873">
        <f>SUMPRODUCT($CE$14:$CE$16,H217:H219)</f>
        <v>0.5416721873792304</v>
      </c>
      <c r="I216" s="888"/>
      <c r="J216" s="888"/>
      <c r="K216" s="888"/>
      <c r="L216" s="888"/>
      <c r="M216" s="888"/>
      <c r="N216" s="888"/>
      <c r="O216" s="888"/>
      <c r="P216" s="888"/>
      <c r="Q216" s="888"/>
      <c r="R216" s="888"/>
      <c r="S216" s="888"/>
      <c r="T216" s="888"/>
      <c r="U216" s="888"/>
      <c r="V216" s="888"/>
      <c r="W216" s="888"/>
      <c r="X216" s="864"/>
      <c r="Y216" s="879">
        <f>1/'Input data plant-based products'!E72*10^4</f>
        <v>0.56889293434975541</v>
      </c>
      <c r="Z216" s="877">
        <f>$Y216*'Input data plant-based products'!Z72</f>
        <v>0.56889293434975541</v>
      </c>
      <c r="AA216" s="877">
        <f>$Y216*'Input data plant-based products'!AA72</f>
        <v>0.56889293434975541</v>
      </c>
      <c r="AB216" s="877">
        <f>$Y216*'Input data plant-based products'!AB72</f>
        <v>0.56889293434975541</v>
      </c>
      <c r="AC216" s="877">
        <f>$Y216*'Input data plant-based products'!AC72</f>
        <v>0.67895087044964242</v>
      </c>
      <c r="AD216" s="886">
        <f>$Y216*'Input data plant-based products'!AD72</f>
        <v>0.83821095117239797</v>
      </c>
      <c r="AE216" s="877"/>
      <c r="AF216" s="879">
        <f>SUM('Input data plant-based products'!F72,'Input data plant-based products'!Q72)/'Input data plant-based products'!E72</f>
        <v>1.0808965752645353E-2</v>
      </c>
      <c r="AG216" s="877">
        <f>$AF216*'Input data plant-based products'!Z72</f>
        <v>1.0808965752645353E-2</v>
      </c>
      <c r="AH216" s="877">
        <f>$AF216*'Input data plant-based products'!AA72</f>
        <v>1.0808965752645353E-2</v>
      </c>
      <c r="AI216" s="877">
        <f>$AF216*'Input data plant-based products'!AB72</f>
        <v>1.0808965752645353E-2</v>
      </c>
      <c r="AJ216" s="877">
        <f>$AF216*'Input data plant-based products'!AC72</f>
        <v>1.2900066538543207E-2</v>
      </c>
      <c r="AK216" s="886">
        <f>$AF216*'Input data plant-based products'!AD72</f>
        <v>1.5926008072275562E-2</v>
      </c>
      <c r="AL216" s="877"/>
      <c r="AM216" s="879">
        <f>'Input data plant-based products'!R72/'Input data plant-based products'!E72</f>
        <v>1.09E-3</v>
      </c>
      <c r="AN216" s="877">
        <f>$AM216*'Input data plant-based products'!Z72</f>
        <v>1.09E-3</v>
      </c>
      <c r="AO216" s="877">
        <f>$AM216*'Input data plant-based products'!AA72</f>
        <v>1.09E-3</v>
      </c>
      <c r="AP216" s="877">
        <f>$AM216*'Input data plant-based products'!AB72</f>
        <v>1.09E-3</v>
      </c>
      <c r="AQ216" s="877">
        <f>$AM216*'Input data plant-based products'!AC72</f>
        <v>1.3008712256832558E-3</v>
      </c>
      <c r="AR216" s="886">
        <f>$AM216*'Input data plant-based products'!AD72</f>
        <v>1.6060138588682169E-3</v>
      </c>
      <c r="AS216" s="877"/>
      <c r="AT216" s="879">
        <f>'Input data plant-based products'!S72</f>
        <v>0.03</v>
      </c>
      <c r="AU216" s="877">
        <f>$AT216*'Input data plant-based products'!Z72</f>
        <v>0.03</v>
      </c>
      <c r="AV216" s="877">
        <f>$AT216*'Input data plant-based products'!AA72</f>
        <v>0.03</v>
      </c>
      <c r="AW216" s="877">
        <f>$AT216*'Input data plant-based products'!AB72</f>
        <v>0.03</v>
      </c>
      <c r="AX216" s="877">
        <f>$AT216*'Input data plant-based products'!AC72</f>
        <v>3.580379520229144E-2</v>
      </c>
      <c r="AY216" s="886">
        <f>$AT216*'Input data plant-based products'!AD72</f>
        <v>4.4202216299125227E-2</v>
      </c>
      <c r="AZ216" s="877"/>
      <c r="BA216" s="879">
        <f>((SUM('Input data plant-based products'!U72:Y72)*Y216)/('Common input data'!$B$192/10^6))/$BB$3</f>
        <v>1.6402072120556849E-10</v>
      </c>
      <c r="BB216" s="877">
        <f>$BA216*'Input data plant-based products'!Z72</f>
        <v>1.6402072120556849E-10</v>
      </c>
      <c r="BC216" s="877">
        <f>$BA216*'Input data plant-based products'!AA72</f>
        <v>1.6402072120556849E-10</v>
      </c>
      <c r="BD216" s="877">
        <f>$BA216*'Input data plant-based products'!AB72</f>
        <v>1.6402072120556849E-10</v>
      </c>
      <c r="BE216" s="877">
        <f>$BA216*'Input data plant-based products'!AC72</f>
        <v>1.957521436992105E-10</v>
      </c>
      <c r="BF216" s="886">
        <f>$BA216*'Input data plant-based products'!AD72</f>
        <v>2.4166931320890184E-10</v>
      </c>
      <c r="BG216" s="877"/>
      <c r="BH216" s="879">
        <f>'Input data plant-based products'!T72/'Input data plant-based products'!E72</f>
        <v>4.4487427466150859E-4</v>
      </c>
      <c r="BI216" s="877">
        <f>$BH216*'Input data plant-based products'!Z72</f>
        <v>4.4487427466150859E-4</v>
      </c>
      <c r="BJ216" s="877">
        <f>$BH216*'Input data plant-based products'!AA72</f>
        <v>4.4487427466150859E-4</v>
      </c>
      <c r="BK216" s="877">
        <f>$BH216*'Input data plant-based products'!AB72</f>
        <v>4.4487427466150859E-4</v>
      </c>
      <c r="BL216" s="877">
        <f>$BH216*'Input data plant-based products'!AC72</f>
        <v>5.3093958069162024E-4</v>
      </c>
      <c r="BM216" s="886">
        <f>$BH216*'Input data plant-based products'!AD72</f>
        <v>6.5548096381681505E-4</v>
      </c>
      <c r="BN216" s="877"/>
      <c r="BO216" s="879">
        <f>('Input data plant-based products'!F72/'Input data plant-based products'!E72*'Common input data'!$B$195+'Input data plant-based products'!G72/'Input data plant-based products'!E72*'Common input data'!$B$196)/'Common input data'!$B$198</f>
        <v>2.7599324697646623E-4</v>
      </c>
      <c r="BP216" s="877">
        <f>$BO216*'Input data plant-based products'!Z72</f>
        <v>2.7599324697646623E-4</v>
      </c>
      <c r="BQ216" s="877">
        <f>$BO216*'Input data plant-based products'!AA72</f>
        <v>2.7599324697646623E-4</v>
      </c>
      <c r="BR216" s="877">
        <f>$BO216*'Input data plant-based products'!AB72</f>
        <v>2.7599324697646623E-4</v>
      </c>
      <c r="BS216" s="877">
        <f>$BO216*'Input data plant-based products'!AC72</f>
        <v>3.2938685639869462E-4</v>
      </c>
      <c r="BT216" s="886">
        <f>$BO216*'Input data plant-based products'!AD72</f>
        <v>4.0665043999838836E-4</v>
      </c>
      <c r="BU216" s="877"/>
      <c r="BV216" s="879">
        <f>('Common input data'!$C$202+'Common input data'!$B$211)*'Input data plant-based products'!AC72</f>
        <v>0.97613080319847234</v>
      </c>
      <c r="BW216" s="886">
        <f>('Common input data'!$C$202+'Common input data'!$B$211)*'Input data plant-based products'!AD72</f>
        <v>1.2050997570351509</v>
      </c>
      <c r="BX216" s="406"/>
      <c r="BY216" s="406"/>
      <c r="BZ216" s="406"/>
      <c r="CA216" s="406"/>
      <c r="CB216" s="406"/>
      <c r="CC216" s="406"/>
      <c r="CD216" s="406"/>
      <c r="CE216" s="406"/>
      <c r="CF216" s="406"/>
      <c r="CG216" s="406"/>
      <c r="CH216" s="406"/>
      <c r="CI216" s="406"/>
      <c r="CJ216" s="406"/>
      <c r="CK216" s="406"/>
      <c r="CL216" s="406"/>
      <c r="CM216" s="406"/>
      <c r="CN216" s="406"/>
      <c r="CO216" s="406"/>
      <c r="CP216" s="406"/>
      <c r="CQ216" s="406"/>
      <c r="CR216" s="406"/>
      <c r="CS216" s="406"/>
      <c r="CT216" s="406"/>
      <c r="CU216" s="406"/>
      <c r="CV216" s="406"/>
      <c r="CW216" s="406"/>
      <c r="CX216" s="406"/>
      <c r="CY216" s="406"/>
      <c r="CZ216" s="406"/>
      <c r="DA216" s="406"/>
      <c r="DB216" s="406"/>
      <c r="DC216" s="406"/>
      <c r="DD216" s="406"/>
      <c r="DE216" s="406"/>
      <c r="DF216" s="406"/>
      <c r="DG216" s="406"/>
      <c r="DH216" s="406"/>
      <c r="DI216" s="406"/>
      <c r="DJ216" s="406"/>
      <c r="DK216" s="406"/>
      <c r="DL216" s="406"/>
      <c r="DM216" s="406"/>
      <c r="DN216" s="406"/>
      <c r="DO216" s="406"/>
      <c r="DP216" s="406"/>
      <c r="DQ216" s="406"/>
      <c r="DR216" s="406"/>
      <c r="DS216" s="406"/>
      <c r="DT216" s="406"/>
      <c r="DU216" s="406"/>
      <c r="DV216" s="406"/>
      <c r="DW216" s="406"/>
      <c r="DX216" s="406"/>
      <c r="DY216" s="406"/>
      <c r="DZ216" s="406"/>
      <c r="EA216" s="406"/>
      <c r="EB216" s="406"/>
      <c r="EC216" s="406"/>
      <c r="ED216" s="406"/>
      <c r="EE216" s="406"/>
      <c r="EF216" s="406"/>
      <c r="EG216" s="406"/>
      <c r="EH216" s="406"/>
      <c r="EI216" s="406"/>
      <c r="EJ216" s="406"/>
      <c r="EK216" s="406"/>
      <c r="EL216" s="406"/>
      <c r="EM216" s="406"/>
      <c r="EN216" s="406"/>
      <c r="EO216" s="406"/>
      <c r="EP216" s="406"/>
      <c r="EQ216" s="406"/>
      <c r="ER216" s="406"/>
      <c r="ES216" s="406"/>
      <c r="ET216" s="406"/>
      <c r="EU216" s="406"/>
      <c r="EV216" s="406"/>
      <c r="EW216" s="406"/>
      <c r="EX216" s="406"/>
      <c r="EY216" s="406"/>
      <c r="EZ216" s="406"/>
      <c r="FA216" s="406"/>
      <c r="FB216" s="406"/>
      <c r="FC216" s="406"/>
      <c r="FD216" s="406"/>
      <c r="FE216" s="406"/>
      <c r="FF216" s="406"/>
      <c r="FG216" s="406"/>
      <c r="FH216" s="406"/>
      <c r="FI216" s="406"/>
      <c r="FJ216" s="406"/>
      <c r="FK216" s="406"/>
      <c r="FL216" s="406"/>
      <c r="FM216" s="406"/>
      <c r="FN216" s="406"/>
      <c r="FO216" s="406"/>
      <c r="FP216" s="406"/>
      <c r="FQ216" s="406"/>
      <c r="FR216" s="406"/>
      <c r="FS216" s="406"/>
      <c r="FT216" s="406"/>
      <c r="FU216" s="406"/>
      <c r="FV216" s="406"/>
      <c r="FW216" s="406"/>
      <c r="FX216" s="406"/>
      <c r="FY216" s="406"/>
      <c r="FZ216" s="406"/>
      <c r="GA216" s="406"/>
      <c r="GB216" s="406"/>
      <c r="GC216" s="406"/>
      <c r="GD216" s="406"/>
      <c r="GE216" s="406"/>
      <c r="GF216" s="406"/>
      <c r="GG216" s="406"/>
      <c r="GH216" s="406"/>
      <c r="GI216" s="406"/>
      <c r="GJ216" s="406"/>
      <c r="GK216" s="406"/>
      <c r="GL216" s="406"/>
      <c r="GM216" s="406"/>
      <c r="GN216" s="406"/>
      <c r="GO216" s="406"/>
      <c r="GP216" s="406"/>
      <c r="GQ216" s="406"/>
      <c r="GR216" s="406"/>
      <c r="GS216" s="406"/>
      <c r="GT216" s="406"/>
      <c r="GU216" s="406"/>
      <c r="GV216" s="406"/>
      <c r="GW216" s="406"/>
      <c r="GX216" s="406"/>
      <c r="GY216" s="406"/>
      <c r="GZ216" s="406"/>
      <c r="HA216" s="406"/>
      <c r="HB216" s="406"/>
      <c r="HC216" s="406"/>
      <c r="HD216" s="406"/>
      <c r="HE216" s="406"/>
      <c r="HF216" s="406"/>
      <c r="HG216" s="406"/>
      <c r="HH216" s="406"/>
      <c r="HI216" s="406"/>
      <c r="HJ216" s="406"/>
      <c r="HK216" s="406"/>
      <c r="HL216" s="406"/>
      <c r="HM216" s="406"/>
      <c r="HN216" s="406"/>
      <c r="HO216" s="406"/>
      <c r="HP216" s="406"/>
      <c r="HQ216" s="406"/>
      <c r="HR216" s="406"/>
      <c r="HS216" s="406"/>
      <c r="HT216" s="406"/>
      <c r="HU216" s="406"/>
      <c r="HV216" s="406"/>
      <c r="HW216" s="406"/>
      <c r="HX216" s="406"/>
      <c r="HY216" s="406"/>
      <c r="HZ216" s="406"/>
      <c r="IA216" s="406"/>
      <c r="IB216" s="406"/>
      <c r="IC216" s="406"/>
      <c r="ID216" s="406"/>
      <c r="IE216" s="406"/>
      <c r="IF216" s="406"/>
      <c r="IG216" s="406"/>
      <c r="IH216" s="406"/>
      <c r="II216" s="406"/>
      <c r="IJ216" s="406"/>
      <c r="IK216" s="406"/>
      <c r="IL216" s="406"/>
      <c r="IM216" s="406"/>
      <c r="IN216" s="406"/>
      <c r="IO216" s="406"/>
      <c r="IP216" s="406"/>
      <c r="IQ216" s="406"/>
      <c r="IR216" s="406"/>
      <c r="IS216" s="406"/>
    </row>
    <row r="217" spans="1:253" s="406" customFormat="1" ht="17.25">
      <c r="A217" s="18"/>
      <c r="B217" s="55"/>
      <c r="C217" s="917"/>
      <c r="D217" s="5"/>
      <c r="E217" s="1294" t="s">
        <v>317</v>
      </c>
      <c r="F217" s="877">
        <f>IF(AND($G$2="No",$G$3="No"),SUM(K217:L217),IF(AND($G$2="Yes", $G$3="No"), SUM(K217:L217)+S217, IF(AND($G$2="No", $G$3="Yes"),SUM(K217:L217)+R217, SUM(K217:L217)+S217+R217)))</f>
        <v>3.9989486962957101E-2</v>
      </c>
      <c r="G217" s="877">
        <f>IF(AND($G$2="No",$G$3="No"),SUM(I217:Q217),IF(AND($G$2="Yes", $G$3="No"), SUM(I217:Q217)+S217, IF(AND($G$2="No", $G$3="Yes"),SUM(I217:Q217)+R217, SUM(I217:Q217)+S217+R217)))</f>
        <v>0.15196917752622904</v>
      </c>
      <c r="H217" s="878">
        <f>SUM(U217:W217)/(1-'Common input data'!$B$140)</f>
        <v>0.39619188152074125</v>
      </c>
      <c r="I217" s="877">
        <f>('Input data plant-based products'!$F$72*('Common input data'!$C$93*'Common input data'!B86+'Common input data'!$C$94*'Common input data'!C86))/'Input data plant-based products'!$E$72</f>
        <v>4.0695485306701223E-2</v>
      </c>
      <c r="J217" s="877">
        <f>'Common input data'!$B$98</f>
        <v>0.03</v>
      </c>
      <c r="K217" s="877">
        <v>0</v>
      </c>
      <c r="L217" s="877">
        <v>0</v>
      </c>
      <c r="M217" s="877"/>
      <c r="N217" s="877">
        <f>('Input data plant-based products'!$P$72*'Common input data'!$C$76*'Common input data'!H66)/'Input data plant-based products'!$E$72</f>
        <v>2.1284205256570713E-2</v>
      </c>
      <c r="O217" s="877">
        <v>0</v>
      </c>
      <c r="P217" s="877">
        <f>'Input data plant-based products'!$G$309</f>
        <v>0.02</v>
      </c>
      <c r="Q217" s="877">
        <v>0</v>
      </c>
      <c r="R217" s="877">
        <f>'Common input data'!$E$19</f>
        <v>3.9989486962957101E-2</v>
      </c>
      <c r="S217" s="877">
        <v>0</v>
      </c>
      <c r="T217" s="877">
        <v>0</v>
      </c>
      <c r="U217" s="877">
        <f>(G217+T217)</f>
        <v>0.15196917752622904</v>
      </c>
      <c r="V217" s="877">
        <f>'Common input data'!$B$105</f>
        <v>0.05</v>
      </c>
      <c r="W217" s="877">
        <f>'Common input data'!B116+'Common input data'!C116</f>
        <v>0.13</v>
      </c>
      <c r="X217" s="864"/>
      <c r="Y217" s="879"/>
      <c r="Z217" s="877"/>
      <c r="AA217" s="877"/>
      <c r="AB217" s="877"/>
      <c r="AC217" s="877"/>
      <c r="AD217" s="886"/>
      <c r="AE217" s="877"/>
      <c r="AF217" s="879"/>
      <c r="AG217" s="877"/>
      <c r="AH217" s="877"/>
      <c r="AI217" s="877"/>
      <c r="AJ217" s="877"/>
      <c r="AK217" s="886"/>
      <c r="AL217" s="877"/>
      <c r="AM217" s="879"/>
      <c r="AN217" s="877"/>
      <c r="AO217" s="877"/>
      <c r="AP217" s="877"/>
      <c r="AQ217" s="877"/>
      <c r="AR217" s="886"/>
      <c r="AS217" s="877"/>
      <c r="AT217" s="879"/>
      <c r="AU217" s="877"/>
      <c r="AV217" s="877"/>
      <c r="AW217" s="877"/>
      <c r="AX217" s="877"/>
      <c r="AY217" s="886"/>
      <c r="AZ217" s="877"/>
      <c r="BA217" s="879"/>
      <c r="BB217" s="877"/>
      <c r="BC217" s="877"/>
      <c r="BD217" s="877"/>
      <c r="BE217" s="877"/>
      <c r="BF217" s="886"/>
      <c r="BG217" s="877"/>
      <c r="BH217" s="879"/>
      <c r="BI217" s="877"/>
      <c r="BJ217" s="877"/>
      <c r="BK217" s="877"/>
      <c r="BL217" s="877"/>
      <c r="BM217" s="886"/>
      <c r="BN217" s="877"/>
      <c r="BO217" s="879"/>
      <c r="BP217" s="877"/>
      <c r="BQ217" s="877"/>
      <c r="BR217" s="877"/>
      <c r="BS217" s="877"/>
      <c r="BT217" s="886"/>
      <c r="BU217" s="877"/>
      <c r="BV217" s="879"/>
      <c r="BW217" s="886"/>
    </row>
    <row r="218" spans="1:253" s="406" customFormat="1" ht="17.25">
      <c r="A218" s="18"/>
      <c r="B218" s="55"/>
      <c r="C218" s="595"/>
      <c r="D218" s="50"/>
      <c r="E218" s="1294" t="s">
        <v>367</v>
      </c>
      <c r="F218" s="877">
        <f>SUM(K218:L218)</f>
        <v>0</v>
      </c>
      <c r="G218" s="877">
        <f>SUM(I218:Q218)</f>
        <v>8.4082032935844155E-5</v>
      </c>
      <c r="H218" s="878">
        <f>SUM(U218:W218)/(1-'Common input data'!$B$140)</f>
        <v>1.0034852958090961E-4</v>
      </c>
      <c r="I218" s="877">
        <f>('Input data plant-based products'!$F$72*('Common input data'!$C$93*'Common input data'!B87+'Common input data'!$C$94*'Common input data'!C87))/'Input data plant-based products'!$E$72</f>
        <v>7.4653847704304733E-5</v>
      </c>
      <c r="J218" s="877">
        <v>0</v>
      </c>
      <c r="K218" s="877">
        <v>0</v>
      </c>
      <c r="L218" s="877">
        <v>0</v>
      </c>
      <c r="M218" s="877"/>
      <c r="N218" s="877">
        <f>('Input data plant-based products'!$P$72*'Common input data'!$C$76*'Common input data'!H67)/'Input data plant-based products'!$E$72</f>
        <v>9.4281852315394254E-6</v>
      </c>
      <c r="O218" s="877">
        <v>0</v>
      </c>
      <c r="P218" s="877">
        <v>0</v>
      </c>
      <c r="Q218" s="877">
        <v>0</v>
      </c>
      <c r="R218" s="877">
        <v>0</v>
      </c>
      <c r="S218" s="877">
        <v>0</v>
      </c>
      <c r="T218" s="877">
        <v>0</v>
      </c>
      <c r="U218" s="877">
        <f>(G218+T218)</f>
        <v>8.4082032935844155E-5</v>
      </c>
      <c r="V218" s="877">
        <v>0</v>
      </c>
      <c r="W218" s="877">
        <v>0</v>
      </c>
      <c r="X218" s="864"/>
      <c r="Y218" s="879"/>
      <c r="Z218" s="877"/>
      <c r="AA218" s="877"/>
      <c r="AB218" s="877"/>
      <c r="AC218" s="877"/>
      <c r="AD218" s="886"/>
      <c r="AE218" s="877"/>
      <c r="AF218" s="879"/>
      <c r="AG218" s="877"/>
      <c r="AH218" s="877"/>
      <c r="AI218" s="877"/>
      <c r="AJ218" s="877"/>
      <c r="AK218" s="886"/>
      <c r="AL218" s="877"/>
      <c r="AM218" s="879"/>
      <c r="AN218" s="877"/>
      <c r="AO218" s="877"/>
      <c r="AP218" s="877"/>
      <c r="AQ218" s="877"/>
      <c r="AR218" s="886"/>
      <c r="AS218" s="877"/>
      <c r="AT218" s="879"/>
      <c r="AU218" s="877"/>
      <c r="AV218" s="877"/>
      <c r="AW218" s="877"/>
      <c r="AX218" s="877"/>
      <c r="AY218" s="886"/>
      <c r="AZ218" s="877"/>
      <c r="BA218" s="879"/>
      <c r="BB218" s="877"/>
      <c r="BC218" s="877"/>
      <c r="BD218" s="877"/>
      <c r="BE218" s="877"/>
      <c r="BF218" s="886"/>
      <c r="BG218" s="877"/>
      <c r="BH218" s="879"/>
      <c r="BI218" s="877"/>
      <c r="BJ218" s="877"/>
      <c r="BK218" s="877"/>
      <c r="BL218" s="877"/>
      <c r="BM218" s="886"/>
      <c r="BN218" s="877"/>
      <c r="BO218" s="879"/>
      <c r="BP218" s="877"/>
      <c r="BQ218" s="877"/>
      <c r="BR218" s="877"/>
      <c r="BS218" s="877"/>
      <c r="BT218" s="886"/>
      <c r="BU218" s="877"/>
      <c r="BV218" s="879"/>
      <c r="BW218" s="886"/>
    </row>
    <row r="219" spans="1:253" s="406" customFormat="1" ht="17.25">
      <c r="A219" s="18"/>
      <c r="B219" s="360"/>
      <c r="C219" s="83"/>
      <c r="D219" s="54"/>
      <c r="E219" s="1295" t="s">
        <v>320</v>
      </c>
      <c r="F219" s="877">
        <f>SUM(K219:L219)</f>
        <v>3.4820939567316295E-4</v>
      </c>
      <c r="G219" s="877">
        <f>SUM(I219:Q219)</f>
        <v>4.3819682560278489E-4</v>
      </c>
      <c r="H219" s="878">
        <f>SUM(U219:W219)/(1-'Common input data'!$B$140)</f>
        <v>5.2297031340587763E-4</v>
      </c>
      <c r="I219" s="877">
        <f>('Input data plant-based products'!$F$72*('Common input data'!$C$93*'Common input data'!B88+'Common input data'!$C$94*'Common input data'!C88))/'Input data plant-based products'!$E$72</f>
        <v>8.9415515036004944E-5</v>
      </c>
      <c r="J219" s="877">
        <v>0</v>
      </c>
      <c r="K219" s="877">
        <f>(SUM(('Input data plant-based products'!$F$72*'Input data plant-based products'!$B$258),(('Input data plant-based products'!$G$72+'Input data plant-based products'!$H$72)*'Input data plant-based products'!$B$259))*44/28)/'Input data plant-based products'!$E$72</f>
        <v>3.1655399606651179E-4</v>
      </c>
      <c r="L219" s="877">
        <f>K219*'Input data plant-based products'!$B$261</f>
        <v>3.1655399606651183E-5</v>
      </c>
      <c r="M219" s="877"/>
      <c r="N219" s="877">
        <f>('Input data plant-based products'!$P$72*'Common input data'!$C$76*'Common input data'!H68)/'Input data plant-based products'!$E$72</f>
        <v>5.7191489361702126E-7</v>
      </c>
      <c r="O219" s="877">
        <v>0</v>
      </c>
      <c r="P219" s="877">
        <v>0</v>
      </c>
      <c r="Q219" s="877">
        <v>0</v>
      </c>
      <c r="R219" s="877">
        <v>0</v>
      </c>
      <c r="S219" s="877">
        <v>0</v>
      </c>
      <c r="T219" s="877">
        <v>0</v>
      </c>
      <c r="U219" s="877">
        <f>(G219+T219)</f>
        <v>4.3819682560278489E-4</v>
      </c>
      <c r="V219" s="877">
        <v>0</v>
      </c>
      <c r="W219" s="877">
        <v>0</v>
      </c>
      <c r="X219" s="864"/>
      <c r="Y219" s="879"/>
      <c r="Z219" s="877"/>
      <c r="AA219" s="877"/>
      <c r="AB219" s="877"/>
      <c r="AC219" s="877"/>
      <c r="AD219" s="886"/>
      <c r="AE219" s="877"/>
      <c r="AF219" s="879"/>
      <c r="AG219" s="877"/>
      <c r="AH219" s="877"/>
      <c r="AI219" s="877"/>
      <c r="AJ219" s="877"/>
      <c r="AK219" s="886"/>
      <c r="AL219" s="877"/>
      <c r="AM219" s="879"/>
      <c r="AN219" s="877"/>
      <c r="AO219" s="877"/>
      <c r="AP219" s="877"/>
      <c r="AQ219" s="877"/>
      <c r="AR219" s="886"/>
      <c r="AS219" s="877"/>
      <c r="AT219" s="879"/>
      <c r="AU219" s="877"/>
      <c r="AV219" s="877"/>
      <c r="AW219" s="877"/>
      <c r="AX219" s="877"/>
      <c r="AY219" s="886"/>
      <c r="AZ219" s="877"/>
      <c r="BA219" s="879"/>
      <c r="BB219" s="877"/>
      <c r="BC219" s="877"/>
      <c r="BD219" s="877"/>
      <c r="BE219" s="877"/>
      <c r="BF219" s="886"/>
      <c r="BG219" s="877"/>
      <c r="BH219" s="879"/>
      <c r="BI219" s="877"/>
      <c r="BJ219" s="877"/>
      <c r="BK219" s="877"/>
      <c r="BL219" s="877"/>
      <c r="BM219" s="886"/>
      <c r="BN219" s="877"/>
      <c r="BO219" s="879"/>
      <c r="BP219" s="877"/>
      <c r="BQ219" s="877"/>
      <c r="BR219" s="877"/>
      <c r="BS219" s="877"/>
      <c r="BT219" s="886"/>
      <c r="BU219" s="877"/>
      <c r="BV219" s="879"/>
      <c r="BW219" s="886"/>
    </row>
    <row r="220" spans="1:253" s="502" customFormat="1" ht="17.25">
      <c r="A220" s="20" t="s">
        <v>125</v>
      </c>
      <c r="B220" s="93" t="s">
        <v>121</v>
      </c>
      <c r="C220" s="87">
        <f>'Input data plant-based products'!D73</f>
        <v>0.17</v>
      </c>
      <c r="D220" s="54"/>
      <c r="E220" s="1293" t="s">
        <v>316</v>
      </c>
      <c r="F220" s="872">
        <f>SUMPRODUCT($CE$14:$CE$16,F221:F223)</f>
        <v>0.11339163351468123</v>
      </c>
      <c r="G220" s="872">
        <f>SUMPRODUCT($CE$14:$CE$16,G221:G223)</f>
        <v>0.25240291891122374</v>
      </c>
      <c r="H220" s="873">
        <f>SUMPRODUCT($CE$14:$CE$16,H221:H223)</f>
        <v>0.63540150245998783</v>
      </c>
      <c r="I220" s="888"/>
      <c r="J220" s="888"/>
      <c r="K220" s="888"/>
      <c r="L220" s="888"/>
      <c r="M220" s="888"/>
      <c r="N220" s="888"/>
      <c r="O220" s="888"/>
      <c r="P220" s="888"/>
      <c r="Q220" s="888"/>
      <c r="R220" s="888"/>
      <c r="S220" s="888"/>
      <c r="T220" s="888"/>
      <c r="U220" s="888"/>
      <c r="V220" s="888"/>
      <c r="W220" s="888"/>
      <c r="X220" s="864"/>
      <c r="Y220" s="879">
        <f>1/'Input data plant-based products'!E73*10^4</f>
        <v>0.57471264367816088</v>
      </c>
      <c r="Z220" s="877">
        <f>$Y220*'Input data plant-based products'!Z73</f>
        <v>0.57471264367816088</v>
      </c>
      <c r="AA220" s="877">
        <f>$Y220*'Input data plant-based products'!AA73</f>
        <v>0.57471264367816088</v>
      </c>
      <c r="AB220" s="877">
        <f>$Y220*'Input data plant-based products'!AB73</f>
        <v>0.57471264367816088</v>
      </c>
      <c r="AC220" s="877">
        <f>$Y220*'Input data plant-based products'!AC73</f>
        <v>0.68589645981401226</v>
      </c>
      <c r="AD220" s="886">
        <f>$Y220*'Input data plant-based products'!AD73</f>
        <v>0.84678575285680513</v>
      </c>
      <c r="AE220" s="877"/>
      <c r="AF220" s="879">
        <f>SUM('Input data plant-based products'!F73,'Input data plant-based products'!Q73)/'Input data plant-based products'!E73</f>
        <v>1.0804597701149426E-2</v>
      </c>
      <c r="AG220" s="877">
        <f>$AF220*'Input data plant-based products'!Z73</f>
        <v>1.0804597701149426E-2</v>
      </c>
      <c r="AH220" s="877">
        <f>$AF220*'Input data plant-based products'!AA73</f>
        <v>1.0804597701149426E-2</v>
      </c>
      <c r="AI220" s="877">
        <f>$AF220*'Input data plant-based products'!AB73</f>
        <v>1.0804597701149426E-2</v>
      </c>
      <c r="AJ220" s="877">
        <f>$AF220*'Input data plant-based products'!AC73</f>
        <v>1.2894853444503432E-2</v>
      </c>
      <c r="AK220" s="886">
        <f>$AF220*'Input data plant-based products'!AD73</f>
        <v>1.5919572153707939E-2</v>
      </c>
      <c r="AL220" s="877"/>
      <c r="AM220" s="879">
        <f>'Input data plant-based products'!R73/'Input data plant-based products'!E73</f>
        <v>1.09E-3</v>
      </c>
      <c r="AN220" s="877">
        <f>$AM220*'Input data plant-based products'!Z73</f>
        <v>1.09E-3</v>
      </c>
      <c r="AO220" s="877">
        <f>$AM220*'Input data plant-based products'!AA73</f>
        <v>1.09E-3</v>
      </c>
      <c r="AP220" s="877">
        <f>$AM220*'Input data plant-based products'!AB73</f>
        <v>1.09E-3</v>
      </c>
      <c r="AQ220" s="877">
        <f>$AM220*'Input data plant-based products'!AC73</f>
        <v>1.3008712256832558E-3</v>
      </c>
      <c r="AR220" s="886">
        <f>$AM220*'Input data plant-based products'!AD73</f>
        <v>1.6060138588682169E-3</v>
      </c>
      <c r="AS220" s="877"/>
      <c r="AT220" s="879">
        <f>'Input data plant-based products'!S73</f>
        <v>4.7912176773017276E-2</v>
      </c>
      <c r="AU220" s="877">
        <f>$AT220*'Input data plant-based products'!Z73</f>
        <v>4.7912176773017276E-2</v>
      </c>
      <c r="AV220" s="877">
        <f>$AT220*'Input data plant-based products'!AA73</f>
        <v>4.7912176773017276E-2</v>
      </c>
      <c r="AW220" s="877">
        <f>$AT220*'Input data plant-based products'!AB73</f>
        <v>4.7912176773017276E-2</v>
      </c>
      <c r="AX220" s="877">
        <f>$AT220*'Input data plant-based products'!AC73</f>
        <v>5.7181258829236511E-2</v>
      </c>
      <c r="AY220" s="886">
        <f>$AT220*'Input data plant-based products'!AD73</f>
        <v>7.0594146702761124E-2</v>
      </c>
      <c r="AZ220" s="877"/>
      <c r="BA220" s="879">
        <f>((SUM('Input data plant-based products'!U73:Y73)*Y220)/('Common input data'!$B$192/10^6))/$BB$3</f>
        <v>3.8115044101010159E-10</v>
      </c>
      <c r="BB220" s="877">
        <f>$BA220*'Input data plant-based products'!Z73</f>
        <v>3.8115044101010159E-10</v>
      </c>
      <c r="BC220" s="877">
        <f>$BA220*'Input data plant-based products'!AA73</f>
        <v>3.8115044101010159E-10</v>
      </c>
      <c r="BD220" s="877">
        <f>$BA220*'Input data plant-based products'!AB73</f>
        <v>3.8115044101010159E-10</v>
      </c>
      <c r="BE220" s="877">
        <f>$BA220*'Input data plant-based products'!AC73</f>
        <v>4.5488774437295807E-10</v>
      </c>
      <c r="BF220" s="886">
        <f>$BA220*'Input data plant-based products'!AD73</f>
        <v>5.6158980786784943E-10</v>
      </c>
      <c r="BG220" s="877"/>
      <c r="BH220" s="879">
        <f>'Input data plant-based products'!T73/'Input data plant-based products'!E73</f>
        <v>8.8505747126436775E-5</v>
      </c>
      <c r="BI220" s="877">
        <f>$BH220*'Input data plant-based products'!Z73</f>
        <v>8.8505747126436775E-5</v>
      </c>
      <c r="BJ220" s="877">
        <f>$BH220*'Input data plant-based products'!AA73</f>
        <v>8.8505747126436775E-5</v>
      </c>
      <c r="BK220" s="877">
        <f>$BH220*'Input data plant-based products'!AB73</f>
        <v>8.8505747126436775E-5</v>
      </c>
      <c r="BL220" s="877">
        <f>$BH220*'Input data plant-based products'!AC73</f>
        <v>1.0562805481135788E-4</v>
      </c>
      <c r="BM220" s="886">
        <f>$BH220*'Input data plant-based products'!AD73</f>
        <v>1.3040500593994799E-4</v>
      </c>
      <c r="BN220" s="877"/>
      <c r="BO220" s="879">
        <f>('Input data plant-based products'!F73/'Input data plant-based products'!E73*'Common input data'!$B$195+'Input data plant-based products'!G73/'Input data plant-based products'!E73*'Common input data'!$B$196)/'Common input data'!$B$198</f>
        <v>2.7588171431525615E-4</v>
      </c>
      <c r="BP220" s="877">
        <f>$BO220*'Input data plant-based products'!Z73</f>
        <v>2.7588171431525615E-4</v>
      </c>
      <c r="BQ220" s="877">
        <f>$BO220*'Input data plant-based products'!AA73</f>
        <v>2.7588171431525615E-4</v>
      </c>
      <c r="BR220" s="877">
        <f>$BO220*'Input data plant-based products'!AB73</f>
        <v>2.7588171431525615E-4</v>
      </c>
      <c r="BS220" s="877">
        <f>$BO220*'Input data plant-based products'!AC73</f>
        <v>3.2925374664668355E-4</v>
      </c>
      <c r="BT220" s="886">
        <f>$BO220*'Input data plant-based products'!AD73</f>
        <v>4.0648610697121423E-4</v>
      </c>
      <c r="BU220" s="877"/>
      <c r="BV220" s="879">
        <f>('Common input data'!$C$202+'Common input data'!$B$214)*'Input data plant-based products'!AC73</f>
        <v>1.1339857580459085</v>
      </c>
      <c r="BW220" s="886">
        <f>('Common input data'!$C$202+'Common input data'!$B$214)*'Input data plant-based products'!AD73</f>
        <v>1.3999824173406277</v>
      </c>
      <c r="BX220" s="406"/>
      <c r="BY220" s="406"/>
      <c r="BZ220" s="406"/>
      <c r="CA220" s="406"/>
      <c r="CB220" s="406"/>
      <c r="CC220" s="406"/>
      <c r="CD220" s="406"/>
      <c r="CE220" s="406"/>
      <c r="CF220" s="406"/>
      <c r="CG220" s="406"/>
      <c r="CH220" s="406"/>
      <c r="CI220" s="406"/>
      <c r="CJ220" s="406"/>
      <c r="CK220" s="406"/>
      <c r="CL220" s="406"/>
      <c r="CM220" s="406"/>
      <c r="CN220" s="406"/>
      <c r="CO220" s="406"/>
      <c r="CP220" s="406"/>
      <c r="CQ220" s="406"/>
      <c r="CR220" s="406"/>
      <c r="CS220" s="406"/>
      <c r="CT220" s="406"/>
      <c r="CU220" s="406"/>
      <c r="CV220" s="406"/>
      <c r="CW220" s="406"/>
      <c r="CX220" s="406"/>
      <c r="CY220" s="406"/>
      <c r="CZ220" s="406"/>
      <c r="DA220" s="406"/>
      <c r="DB220" s="406"/>
      <c r="DC220" s="406"/>
      <c r="DD220" s="406"/>
      <c r="DE220" s="406"/>
      <c r="DF220" s="406"/>
      <c r="DG220" s="406"/>
      <c r="DH220" s="406"/>
      <c r="DI220" s="406"/>
      <c r="DJ220" s="406"/>
      <c r="DK220" s="406"/>
      <c r="DL220" s="406"/>
      <c r="DM220" s="406"/>
      <c r="DN220" s="406"/>
      <c r="DO220" s="406"/>
      <c r="DP220" s="406"/>
      <c r="DQ220" s="406"/>
      <c r="DR220" s="406"/>
      <c r="DS220" s="406"/>
      <c r="DT220" s="406"/>
      <c r="DU220" s="406"/>
      <c r="DV220" s="406"/>
      <c r="DW220" s="406"/>
      <c r="DX220" s="406"/>
      <c r="DY220" s="406"/>
      <c r="DZ220" s="406"/>
      <c r="EA220" s="406"/>
      <c r="EB220" s="406"/>
      <c r="EC220" s="406"/>
      <c r="ED220" s="406"/>
      <c r="EE220" s="406"/>
      <c r="EF220" s="406"/>
      <c r="EG220" s="406"/>
      <c r="EH220" s="406"/>
      <c r="EI220" s="406"/>
      <c r="EJ220" s="406"/>
      <c r="EK220" s="406"/>
      <c r="EL220" s="406"/>
      <c r="EM220" s="406"/>
      <c r="EN220" s="406"/>
      <c r="EO220" s="406"/>
      <c r="EP220" s="406"/>
      <c r="EQ220" s="406"/>
      <c r="ER220" s="406"/>
      <c r="ES220" s="406"/>
      <c r="ET220" s="406"/>
      <c r="EU220" s="406"/>
      <c r="EV220" s="406"/>
      <c r="EW220" s="406"/>
      <c r="EX220" s="406"/>
      <c r="EY220" s="406"/>
      <c r="EZ220" s="406"/>
      <c r="FA220" s="406"/>
      <c r="FB220" s="406"/>
      <c r="FC220" s="406"/>
      <c r="FD220" s="406"/>
      <c r="FE220" s="406"/>
      <c r="FF220" s="406"/>
      <c r="FG220" s="406"/>
      <c r="FH220" s="406"/>
      <c r="FI220" s="406"/>
      <c r="FJ220" s="406"/>
      <c r="FK220" s="406"/>
      <c r="FL220" s="406"/>
      <c r="FM220" s="406"/>
      <c r="FN220" s="406"/>
      <c r="FO220" s="406"/>
      <c r="FP220" s="406"/>
      <c r="FQ220" s="406"/>
      <c r="FR220" s="406"/>
      <c r="FS220" s="406"/>
      <c r="FT220" s="406"/>
      <c r="FU220" s="406"/>
      <c r="FV220" s="406"/>
      <c r="FW220" s="406"/>
      <c r="FX220" s="406"/>
      <c r="FY220" s="406"/>
      <c r="FZ220" s="406"/>
      <c r="GA220" s="406"/>
      <c r="GB220" s="406"/>
      <c r="GC220" s="406"/>
      <c r="GD220" s="406"/>
      <c r="GE220" s="406"/>
      <c r="GF220" s="406"/>
      <c r="GG220" s="406"/>
      <c r="GH220" s="406"/>
      <c r="GI220" s="406"/>
      <c r="GJ220" s="406"/>
      <c r="GK220" s="406"/>
      <c r="GL220" s="406"/>
      <c r="GM220" s="406"/>
      <c r="GN220" s="406"/>
      <c r="GO220" s="406"/>
      <c r="GP220" s="406"/>
      <c r="GQ220" s="406"/>
      <c r="GR220" s="406"/>
      <c r="GS220" s="406"/>
      <c r="GT220" s="406"/>
      <c r="GU220" s="406"/>
      <c r="GV220" s="406"/>
      <c r="GW220" s="406"/>
      <c r="GX220" s="406"/>
      <c r="GY220" s="406"/>
      <c r="GZ220" s="406"/>
      <c r="HA220" s="406"/>
      <c r="HB220" s="406"/>
      <c r="HC220" s="406"/>
      <c r="HD220" s="406"/>
      <c r="HE220" s="406"/>
      <c r="HF220" s="406"/>
      <c r="HG220" s="406"/>
      <c r="HH220" s="406"/>
      <c r="HI220" s="406"/>
      <c r="HJ220" s="406"/>
      <c r="HK220" s="406"/>
      <c r="HL220" s="406"/>
      <c r="HM220" s="406"/>
      <c r="HN220" s="406"/>
      <c r="HO220" s="406"/>
      <c r="HP220" s="406"/>
      <c r="HQ220" s="406"/>
      <c r="HR220" s="406"/>
      <c r="HS220" s="406"/>
      <c r="HT220" s="406"/>
      <c r="HU220" s="406"/>
      <c r="HV220" s="406"/>
      <c r="HW220" s="406"/>
      <c r="HX220" s="406"/>
      <c r="HY220" s="406"/>
      <c r="HZ220" s="406"/>
      <c r="IA220" s="406"/>
      <c r="IB220" s="406"/>
      <c r="IC220" s="406"/>
      <c r="ID220" s="406"/>
      <c r="IE220" s="406"/>
      <c r="IF220" s="406"/>
      <c r="IG220" s="406"/>
      <c r="IH220" s="406"/>
      <c r="II220" s="406"/>
      <c r="IJ220" s="406"/>
      <c r="IK220" s="406"/>
      <c r="IL220" s="406"/>
      <c r="IM220" s="406"/>
      <c r="IN220" s="406"/>
      <c r="IO220" s="406"/>
      <c r="IP220" s="406"/>
      <c r="IQ220" s="406"/>
      <c r="IR220" s="406"/>
      <c r="IS220" s="406"/>
    </row>
    <row r="221" spans="1:253" s="406" customFormat="1" ht="17.25">
      <c r="A221" s="68"/>
      <c r="B221" s="55"/>
      <c r="C221" s="917"/>
      <c r="D221" s="5"/>
      <c r="E221" s="1294" t="s">
        <v>317</v>
      </c>
      <c r="F221" s="877">
        <f>IF(AND($G$2="No",$G$3="No"),SUM(K221:L221),IF(AND($G$2="Yes", $G$3="No"), SUM(K221:L221)+S221, IF(AND($G$2="No", $G$3="Yes"),SUM(K221:L221)+R221, SUM(K221:L221)+S221+R221)))</f>
        <v>3.9989486962957101E-2</v>
      </c>
      <c r="G221" s="877">
        <f>IF(AND($G$2="No",$G$3="No"),SUM(I221:Q221),IF(AND($G$2="Yes", $G$3="No"), SUM(I221:Q221)+S221, IF(AND($G$2="No", $G$3="Yes"),SUM(I221:Q221)+R221, SUM(I221:Q221)+S221+R221)))</f>
        <v>0.15217046689507582</v>
      </c>
      <c r="H221" s="878">
        <f>SUM(U221:W221)/(1-'Common input data'!$B$140)</f>
        <v>0.51577809630633231</v>
      </c>
      <c r="I221" s="877">
        <f>('Input data plant-based products'!$F$73*('Common input data'!$C$93*'Common input data'!B86+'Common input data'!$C$94*'Common input data'!C86))/'Input data plant-based products'!$E$73</f>
        <v>4.0679039702233653E-2</v>
      </c>
      <c r="J221" s="877">
        <f>'Common input data'!$B$98</f>
        <v>0.03</v>
      </c>
      <c r="K221" s="877">
        <v>0</v>
      </c>
      <c r="L221" s="877">
        <v>0</v>
      </c>
      <c r="M221" s="877"/>
      <c r="N221" s="877">
        <f>('Input data plant-based products'!$P$73*'Common input data'!$C$76*'Common input data'!H66)/'Input data plant-based products'!$E$73</f>
        <v>2.1501940229885056E-2</v>
      </c>
      <c r="O221" s="877">
        <v>0</v>
      </c>
      <c r="P221" s="877">
        <f>'Input data plant-based products'!$G$309</f>
        <v>0.02</v>
      </c>
      <c r="Q221" s="877">
        <v>0</v>
      </c>
      <c r="R221" s="877">
        <f>'Common input data'!$E$19</f>
        <v>3.9989486962957101E-2</v>
      </c>
      <c r="S221" s="877">
        <v>0</v>
      </c>
      <c r="T221" s="877">
        <v>0</v>
      </c>
      <c r="U221" s="877">
        <f>(G221+T221)</f>
        <v>0.15217046689507582</v>
      </c>
      <c r="V221" s="877">
        <f>'Common input data'!$B$105</f>
        <v>0.05</v>
      </c>
      <c r="W221" s="877">
        <f>'Common input data'!B119+'Common input data'!C119</f>
        <v>0.23000000000000004</v>
      </c>
      <c r="X221" s="864"/>
      <c r="Y221" s="879"/>
      <c r="Z221" s="877"/>
      <c r="AA221" s="877"/>
      <c r="AB221" s="877"/>
      <c r="AC221" s="877"/>
      <c r="AD221" s="886"/>
      <c r="AE221" s="877"/>
      <c r="AF221" s="879"/>
      <c r="AG221" s="877"/>
      <c r="AH221" s="877"/>
      <c r="AI221" s="877"/>
      <c r="AJ221" s="877"/>
      <c r="AK221" s="886"/>
      <c r="AL221" s="877"/>
      <c r="AM221" s="879"/>
      <c r="AN221" s="877"/>
      <c r="AO221" s="877"/>
      <c r="AP221" s="877"/>
      <c r="AQ221" s="877"/>
      <c r="AR221" s="886"/>
      <c r="AS221" s="877"/>
      <c r="AT221" s="879"/>
      <c r="AU221" s="877"/>
      <c r="AV221" s="877"/>
      <c r="AW221" s="877"/>
      <c r="AX221" s="877"/>
      <c r="AY221" s="886"/>
      <c r="AZ221" s="877"/>
      <c r="BA221" s="879"/>
      <c r="BB221" s="877"/>
      <c r="BC221" s="877"/>
      <c r="BD221" s="877"/>
      <c r="BE221" s="877"/>
      <c r="BF221" s="886"/>
      <c r="BG221" s="877"/>
      <c r="BH221" s="879"/>
      <c r="BI221" s="877"/>
      <c r="BJ221" s="877"/>
      <c r="BK221" s="877"/>
      <c r="BL221" s="877"/>
      <c r="BM221" s="886"/>
      <c r="BN221" s="877"/>
      <c r="BO221" s="879"/>
      <c r="BP221" s="877"/>
      <c r="BQ221" s="877"/>
      <c r="BR221" s="877"/>
      <c r="BS221" s="877"/>
      <c r="BT221" s="886"/>
      <c r="BU221" s="877"/>
      <c r="BV221" s="879"/>
      <c r="BW221" s="886"/>
    </row>
    <row r="222" spans="1:253" s="406" customFormat="1" ht="17.25">
      <c r="A222" s="18"/>
      <c r="B222" s="55"/>
      <c r="C222" s="595"/>
      <c r="D222" s="50"/>
      <c r="E222" s="1294" t="s">
        <v>367</v>
      </c>
      <c r="F222" s="877">
        <f>SUM(K222:L222)</f>
        <v>0</v>
      </c>
      <c r="G222" s="877">
        <f>SUM(I222:Q222)</f>
        <v>8.4148313542014056E-5</v>
      </c>
      <c r="H222" s="878">
        <f>SUM(U222:W222)/(1-'Common input data'!$B$140)</f>
        <v>1.0042763282254931E-4</v>
      </c>
      <c r="I222" s="877">
        <f>('Input data plant-based products'!$F$73*('Common input data'!$C$93*'Common input data'!B87+'Common input data'!$C$94*'Common input data'!C87))/'Input data plant-based products'!$E$73</f>
        <v>7.4623679059255434E-5</v>
      </c>
      <c r="J222" s="877">
        <v>0</v>
      </c>
      <c r="K222" s="877">
        <v>0</v>
      </c>
      <c r="L222" s="877">
        <v>0</v>
      </c>
      <c r="M222" s="877"/>
      <c r="N222" s="877">
        <f>('Input data plant-based products'!$P$73*'Common input data'!$C$76*'Common input data'!H67)/'Input data plant-based products'!$E$73</f>
        <v>9.524634482758622E-6</v>
      </c>
      <c r="O222" s="877">
        <v>0</v>
      </c>
      <c r="P222" s="877">
        <v>0</v>
      </c>
      <c r="Q222" s="877">
        <v>0</v>
      </c>
      <c r="R222" s="877">
        <v>0</v>
      </c>
      <c r="S222" s="877">
        <v>0</v>
      </c>
      <c r="T222" s="877">
        <v>0</v>
      </c>
      <c r="U222" s="877">
        <f>(G222+T222)</f>
        <v>8.4148313542014056E-5</v>
      </c>
      <c r="V222" s="877">
        <v>0</v>
      </c>
      <c r="W222" s="877">
        <v>0</v>
      </c>
      <c r="X222" s="864"/>
      <c r="Y222" s="879"/>
      <c r="Z222" s="877"/>
      <c r="AA222" s="877"/>
      <c r="AB222" s="877"/>
      <c r="AC222" s="877"/>
      <c r="AD222" s="886"/>
      <c r="AE222" s="877"/>
      <c r="AF222" s="879"/>
      <c r="AG222" s="877"/>
      <c r="AH222" s="877"/>
      <c r="AI222" s="877"/>
      <c r="AJ222" s="877"/>
      <c r="AK222" s="886"/>
      <c r="AL222" s="877"/>
      <c r="AM222" s="879"/>
      <c r="AN222" s="877"/>
      <c r="AO222" s="877"/>
      <c r="AP222" s="877"/>
      <c r="AQ222" s="877"/>
      <c r="AR222" s="886"/>
      <c r="AS222" s="877"/>
      <c r="AT222" s="879"/>
      <c r="AU222" s="877"/>
      <c r="AV222" s="877"/>
      <c r="AW222" s="877"/>
      <c r="AX222" s="877"/>
      <c r="AY222" s="886"/>
      <c r="AZ222" s="877"/>
      <c r="BA222" s="879"/>
      <c r="BB222" s="877"/>
      <c r="BC222" s="877"/>
      <c r="BD222" s="877"/>
      <c r="BE222" s="877"/>
      <c r="BF222" s="886"/>
      <c r="BG222" s="877"/>
      <c r="BH222" s="879"/>
      <c r="BI222" s="877"/>
      <c r="BJ222" s="877"/>
      <c r="BK222" s="877"/>
      <c r="BL222" s="877"/>
      <c r="BM222" s="886"/>
      <c r="BN222" s="877"/>
      <c r="BO222" s="879"/>
      <c r="BP222" s="877"/>
      <c r="BQ222" s="877"/>
      <c r="BR222" s="877"/>
      <c r="BS222" s="877"/>
      <c r="BT222" s="886"/>
      <c r="BU222" s="877"/>
      <c r="BV222" s="879"/>
      <c r="BW222" s="886"/>
    </row>
    <row r="223" spans="1:253" s="406" customFormat="1" ht="17.25">
      <c r="A223" s="359"/>
      <c r="B223" s="360"/>
      <c r="C223" s="83"/>
      <c r="D223" s="54"/>
      <c r="E223" s="1295" t="s">
        <v>320</v>
      </c>
      <c r="F223" s="896">
        <f>SUM(K223:L223)</f>
        <v>2.6887233169129723E-4</v>
      </c>
      <c r="G223" s="896">
        <f>SUM(I223:Q223)</f>
        <v>3.5882947820700933E-4</v>
      </c>
      <c r="H223" s="933">
        <f>SUM(U223:W223)/(1-'Common input data'!$B$140)</f>
        <v>4.2824857167562876E-4</v>
      </c>
      <c r="I223" s="877">
        <f>('Input data plant-based products'!$F$73*('Common input data'!$C$93*'Common input data'!B88+'Common input data'!$C$94*'Common input data'!C88))/'Input data plant-based products'!$E$73</f>
        <v>8.9379380998470741E-5</v>
      </c>
      <c r="J223" s="877">
        <v>0</v>
      </c>
      <c r="K223" s="877">
        <f>(SUM('Input data plant-based products'!F73:H73)*'Input data plant-based products'!$B$257*44/28)/'Input data plant-based products'!E73</f>
        <v>2.4442939244663384E-4</v>
      </c>
      <c r="L223" s="877">
        <f>K223*'Input data plant-based products'!$B$261</f>
        <v>2.4442939244663386E-5</v>
      </c>
      <c r="M223" s="877"/>
      <c r="N223" s="877">
        <f>('Input data plant-based products'!$P$73*'Common input data'!$C$76*'Common input data'!H68)/'Input data plant-based products'!$E$73</f>
        <v>5.7776551724137936E-7</v>
      </c>
      <c r="O223" s="877">
        <v>0</v>
      </c>
      <c r="P223" s="877">
        <v>0</v>
      </c>
      <c r="Q223" s="877">
        <v>0</v>
      </c>
      <c r="R223" s="877">
        <v>0</v>
      </c>
      <c r="S223" s="877">
        <v>0</v>
      </c>
      <c r="T223" s="877">
        <v>0</v>
      </c>
      <c r="U223" s="877">
        <f>(G223+T223)</f>
        <v>3.5882947820700933E-4</v>
      </c>
      <c r="V223" s="877">
        <v>0</v>
      </c>
      <c r="W223" s="877">
        <v>0</v>
      </c>
      <c r="X223" s="864"/>
      <c r="Y223" s="879"/>
      <c r="Z223" s="877"/>
      <c r="AA223" s="877"/>
      <c r="AB223" s="877"/>
      <c r="AC223" s="877"/>
      <c r="AD223" s="886"/>
      <c r="AE223" s="877"/>
      <c r="AF223" s="879"/>
      <c r="AG223" s="877"/>
      <c r="AH223" s="877"/>
      <c r="AI223" s="877"/>
      <c r="AJ223" s="877"/>
      <c r="AK223" s="886"/>
      <c r="AL223" s="877"/>
      <c r="AM223" s="879"/>
      <c r="AN223" s="877"/>
      <c r="AO223" s="877"/>
      <c r="AP223" s="877"/>
      <c r="AQ223" s="877"/>
      <c r="AR223" s="886"/>
      <c r="AS223" s="877"/>
      <c r="AT223" s="879"/>
      <c r="AU223" s="877"/>
      <c r="AV223" s="877"/>
      <c r="AW223" s="877"/>
      <c r="AX223" s="877"/>
      <c r="AY223" s="886"/>
      <c r="AZ223" s="877"/>
      <c r="BA223" s="879"/>
      <c r="BB223" s="877"/>
      <c r="BC223" s="877"/>
      <c r="BD223" s="877"/>
      <c r="BE223" s="877"/>
      <c r="BF223" s="886"/>
      <c r="BG223" s="877"/>
      <c r="BH223" s="879"/>
      <c r="BI223" s="877"/>
      <c r="BJ223" s="877"/>
      <c r="BK223" s="877"/>
      <c r="BL223" s="877"/>
      <c r="BM223" s="886"/>
      <c r="BN223" s="877"/>
      <c r="BO223" s="879"/>
      <c r="BP223" s="877"/>
      <c r="BQ223" s="877"/>
      <c r="BR223" s="877"/>
      <c r="BS223" s="877"/>
      <c r="BT223" s="886"/>
      <c r="BU223" s="877"/>
      <c r="BV223" s="879"/>
      <c r="BW223" s="886"/>
    </row>
    <row r="224" spans="1:253" s="503" customFormat="1" ht="17.25">
      <c r="A224" s="362" t="s">
        <v>496</v>
      </c>
      <c r="B224" s="363"/>
      <c r="C224" s="770"/>
      <c r="D224" s="54"/>
      <c r="E224" s="1296"/>
      <c r="F224" s="1290" t="s">
        <v>497</v>
      </c>
      <c r="G224" s="1290" t="s">
        <v>497</v>
      </c>
      <c r="H224" s="870" t="s">
        <v>497</v>
      </c>
      <c r="I224" s="889"/>
      <c r="J224" s="889"/>
      <c r="K224" s="889"/>
      <c r="L224" s="890"/>
      <c r="M224" s="890"/>
      <c r="N224" s="890"/>
      <c r="O224" s="891"/>
      <c r="P224" s="890"/>
      <c r="Q224" s="890"/>
      <c r="R224" s="890"/>
      <c r="S224" s="890"/>
      <c r="T224" s="890"/>
      <c r="U224" s="890"/>
      <c r="V224" s="890"/>
      <c r="W224" s="890"/>
      <c r="X224" s="864"/>
      <c r="Y224" s="879"/>
      <c r="Z224" s="877"/>
      <c r="AA224" s="877"/>
      <c r="AB224" s="877"/>
      <c r="AC224" s="877"/>
      <c r="AD224" s="886"/>
      <c r="AE224" s="877"/>
      <c r="AF224" s="879"/>
      <c r="AG224" s="877"/>
      <c r="AH224" s="877"/>
      <c r="AI224" s="877"/>
      <c r="AJ224" s="877"/>
      <c r="AK224" s="886"/>
      <c r="AL224" s="877"/>
      <c r="AM224" s="879"/>
      <c r="AN224" s="877"/>
      <c r="AO224" s="877"/>
      <c r="AP224" s="877"/>
      <c r="AQ224" s="877"/>
      <c r="AR224" s="886"/>
      <c r="AS224" s="877"/>
      <c r="AT224" s="879"/>
      <c r="AU224" s="877"/>
      <c r="AV224" s="877"/>
      <c r="AW224" s="877"/>
      <c r="AX224" s="877"/>
      <c r="AY224" s="886"/>
      <c r="AZ224" s="877"/>
      <c r="BA224" s="879"/>
      <c r="BB224" s="877"/>
      <c r="BC224" s="877"/>
      <c r="BD224" s="877"/>
      <c r="BE224" s="877"/>
      <c r="BF224" s="886"/>
      <c r="BG224" s="877"/>
      <c r="BH224" s="879"/>
      <c r="BI224" s="877"/>
      <c r="BJ224" s="877"/>
      <c r="BK224" s="877"/>
      <c r="BL224" s="877"/>
      <c r="BM224" s="886"/>
      <c r="BN224" s="877"/>
      <c r="BO224" s="879"/>
      <c r="BP224" s="877"/>
      <c r="BQ224" s="877"/>
      <c r="BR224" s="877"/>
      <c r="BS224" s="877"/>
      <c r="BT224" s="886"/>
      <c r="BU224" s="877"/>
      <c r="BV224" s="879"/>
      <c r="BW224" s="886"/>
      <c r="BX224" s="406"/>
      <c r="BY224" s="406"/>
      <c r="BZ224" s="406"/>
      <c r="CA224" s="406"/>
      <c r="CB224" s="406"/>
      <c r="CC224" s="406"/>
      <c r="CD224" s="406"/>
      <c r="CE224" s="406"/>
      <c r="CF224" s="406"/>
      <c r="CG224" s="406"/>
      <c r="CH224" s="406"/>
      <c r="CI224" s="406"/>
      <c r="CJ224" s="406"/>
      <c r="CK224" s="406"/>
      <c r="CL224" s="406"/>
      <c r="CM224" s="406"/>
      <c r="CN224" s="406"/>
      <c r="CO224" s="406"/>
      <c r="CP224" s="406"/>
      <c r="CQ224" s="406"/>
      <c r="CR224" s="406"/>
      <c r="CS224" s="406"/>
      <c r="CT224" s="406"/>
      <c r="CU224" s="406"/>
      <c r="CV224" s="406"/>
      <c r="CW224" s="406"/>
      <c r="CX224" s="406"/>
      <c r="CY224" s="406"/>
      <c r="CZ224" s="406"/>
      <c r="DA224" s="406"/>
      <c r="DB224" s="406"/>
      <c r="DC224" s="406"/>
      <c r="DD224" s="406"/>
      <c r="DE224" s="406"/>
      <c r="DF224" s="406"/>
      <c r="DG224" s="406"/>
      <c r="DH224" s="406"/>
      <c r="DI224" s="406"/>
      <c r="DJ224" s="406"/>
      <c r="DK224" s="406"/>
      <c r="DL224" s="406"/>
      <c r="DM224" s="406"/>
      <c r="DN224" s="406"/>
      <c r="DO224" s="406"/>
      <c r="DP224" s="406"/>
      <c r="DQ224" s="406"/>
      <c r="DR224" s="406"/>
      <c r="DS224" s="406"/>
      <c r="DT224" s="406"/>
      <c r="DU224" s="406"/>
      <c r="DV224" s="406"/>
      <c r="DW224" s="406"/>
      <c r="DX224" s="406"/>
      <c r="DY224" s="406"/>
      <c r="DZ224" s="406"/>
      <c r="EA224" s="406"/>
      <c r="EB224" s="406"/>
      <c r="EC224" s="406"/>
      <c r="ED224" s="406"/>
      <c r="EE224" s="406"/>
      <c r="EF224" s="406"/>
      <c r="EG224" s="406"/>
      <c r="EH224" s="406"/>
      <c r="EI224" s="406"/>
      <c r="EJ224" s="406"/>
      <c r="EK224" s="406"/>
      <c r="EL224" s="406"/>
      <c r="EM224" s="406"/>
      <c r="EN224" s="406"/>
      <c r="EO224" s="406"/>
      <c r="EP224" s="406"/>
      <c r="EQ224" s="406"/>
      <c r="ER224" s="406"/>
      <c r="ES224" s="406"/>
      <c r="ET224" s="406"/>
      <c r="EU224" s="406"/>
      <c r="EV224" s="406"/>
      <c r="EW224" s="406"/>
      <c r="EX224" s="406"/>
      <c r="EY224" s="406"/>
      <c r="EZ224" s="406"/>
      <c r="FA224" s="406"/>
      <c r="FB224" s="406"/>
      <c r="FC224" s="406"/>
      <c r="FD224" s="406"/>
      <c r="FE224" s="406"/>
      <c r="FF224" s="406"/>
      <c r="FG224" s="406"/>
      <c r="FH224" s="406"/>
      <c r="FI224" s="406"/>
      <c r="FJ224" s="406"/>
      <c r="FK224" s="406"/>
      <c r="FL224" s="406"/>
      <c r="FM224" s="406"/>
      <c r="FN224" s="406"/>
      <c r="FO224" s="406"/>
      <c r="FP224" s="406"/>
      <c r="FQ224" s="406"/>
      <c r="FR224" s="406"/>
      <c r="FS224" s="406"/>
      <c r="FT224" s="406"/>
      <c r="FU224" s="406"/>
      <c r="FV224" s="406"/>
      <c r="FW224" s="406"/>
      <c r="FX224" s="406"/>
      <c r="FY224" s="406"/>
      <c r="FZ224" s="406"/>
      <c r="GA224" s="406"/>
      <c r="GB224" s="406"/>
      <c r="GC224" s="406"/>
      <c r="GD224" s="406"/>
      <c r="GE224" s="406"/>
      <c r="GF224" s="406"/>
      <c r="GG224" s="406"/>
      <c r="GH224" s="406"/>
      <c r="GI224" s="406"/>
      <c r="GJ224" s="406"/>
      <c r="GK224" s="406"/>
      <c r="GL224" s="406"/>
      <c r="GM224" s="406"/>
      <c r="GN224" s="406"/>
      <c r="GO224" s="406"/>
      <c r="GP224" s="406"/>
      <c r="GQ224" s="406"/>
      <c r="GR224" s="406"/>
      <c r="GS224" s="406"/>
      <c r="GT224" s="406"/>
      <c r="GU224" s="406"/>
      <c r="GV224" s="406"/>
      <c r="GW224" s="406"/>
      <c r="GX224" s="406"/>
      <c r="GY224" s="406"/>
      <c r="GZ224" s="406"/>
      <c r="HA224" s="406"/>
      <c r="HB224" s="406"/>
      <c r="HC224" s="406"/>
      <c r="HD224" s="406"/>
      <c r="HE224" s="406"/>
      <c r="HF224" s="406"/>
      <c r="HG224" s="406"/>
      <c r="HH224" s="406"/>
      <c r="HI224" s="406"/>
      <c r="HJ224" s="406"/>
      <c r="HK224" s="406"/>
      <c r="HL224" s="406"/>
      <c r="HM224" s="406"/>
      <c r="HN224" s="406"/>
      <c r="HO224" s="406"/>
      <c r="HP224" s="406"/>
      <c r="HQ224" s="406"/>
      <c r="HR224" s="406"/>
      <c r="HS224" s="406"/>
      <c r="HT224" s="406"/>
      <c r="HU224" s="406"/>
      <c r="HV224" s="406"/>
      <c r="HW224" s="406"/>
      <c r="HX224" s="406"/>
      <c r="HY224" s="406"/>
      <c r="HZ224" s="406"/>
      <c r="IA224" s="406"/>
      <c r="IB224" s="406"/>
      <c r="IC224" s="406"/>
      <c r="ID224" s="406"/>
      <c r="IE224" s="406"/>
      <c r="IF224" s="406"/>
      <c r="IG224" s="406"/>
      <c r="IH224" s="406"/>
      <c r="II224" s="406"/>
      <c r="IJ224" s="406"/>
      <c r="IK224" s="406"/>
      <c r="IL224" s="406"/>
      <c r="IM224" s="406"/>
      <c r="IN224" s="406"/>
      <c r="IO224" s="406"/>
      <c r="IP224" s="406"/>
      <c r="IQ224" s="406"/>
      <c r="IR224" s="406"/>
      <c r="IS224" s="406"/>
    </row>
    <row r="225" spans="1:253" s="502" customFormat="1" ht="17.25">
      <c r="A225" s="108" t="s">
        <v>122</v>
      </c>
      <c r="B225" s="93" t="s">
        <v>121</v>
      </c>
      <c r="C225" s="903">
        <f>'Input data plant-based products'!D48</f>
        <v>1</v>
      </c>
      <c r="D225" s="26"/>
      <c r="E225" s="1293" t="s">
        <v>316</v>
      </c>
      <c r="F225" s="874">
        <f>SUMPRODUCT($CE$14:$CE$16,F226:F228)</f>
        <v>0.29371846612500202</v>
      </c>
      <c r="G225" s="874">
        <f>SUMPRODUCT($CE$14:$CE$16,G226:G228)</f>
        <v>0.45330264286063421</v>
      </c>
      <c r="H225" s="927">
        <f>SUMPRODUCT($CE$14:$CE$16,H226:H228)</f>
        <v>0.57276931232649109</v>
      </c>
      <c r="I225" s="872"/>
      <c r="J225" s="884"/>
      <c r="K225" s="884"/>
      <c r="L225" s="888"/>
      <c r="M225" s="888"/>
      <c r="N225" s="888"/>
      <c r="O225" s="888"/>
      <c r="P225" s="888"/>
      <c r="Q225" s="888"/>
      <c r="R225" s="888"/>
      <c r="S225" s="888"/>
      <c r="T225" s="888"/>
      <c r="U225" s="888"/>
      <c r="V225" s="888"/>
      <c r="W225" s="888"/>
      <c r="X225" s="864"/>
      <c r="Y225" s="883">
        <f>1/'Input data plant-based products'!E48*10^4</f>
        <v>2.8735632183908044</v>
      </c>
      <c r="Z225" s="884">
        <f>$Y225*'Input data plant-based products'!Z48</f>
        <v>2.8735632183908044</v>
      </c>
      <c r="AA225" s="884">
        <f>$Y225*'Input data plant-based products'!AA48</f>
        <v>2.8735632183908044</v>
      </c>
      <c r="AB225" s="884">
        <f>$Y225*'Input data plant-based products'!AB48</f>
        <v>2.8735632183908044</v>
      </c>
      <c r="AC225" s="884">
        <f>$Y225*'Input data plant-based products'!AC48</f>
        <v>3.086219148841745</v>
      </c>
      <c r="AD225" s="885">
        <f>$Y225*'Input data plant-based products'!AD48</f>
        <v>3.7183363239057172</v>
      </c>
      <c r="AE225" s="877"/>
      <c r="AF225" s="883">
        <f>SUM('Input data plant-based products'!F48,'Input data plant-based products'!Q48)/'Input data plant-based products'!E48</f>
        <v>1.810344827586207E-2</v>
      </c>
      <c r="AG225" s="884">
        <f>$AF225*'Input data plant-based products'!Z48</f>
        <v>1.810344827586207E-2</v>
      </c>
      <c r="AH225" s="884">
        <f>$AF225*'Input data plant-based products'!AA48</f>
        <v>1.810344827586207E-2</v>
      </c>
      <c r="AI225" s="884">
        <f>$AF225*'Input data plant-based products'!AB48</f>
        <v>1.810344827586207E-2</v>
      </c>
      <c r="AJ225" s="884">
        <f>$AF225*'Input data plant-based products'!AC48</f>
        <v>1.9443180637702995E-2</v>
      </c>
      <c r="AK225" s="885">
        <f>$AF225*'Input data plant-based products'!AD48</f>
        <v>2.3425518840606022E-2</v>
      </c>
      <c r="AL225" s="877"/>
      <c r="AM225" s="883">
        <f>'Input data plant-based products'!R48/'Input data plant-based products'!E48</f>
        <v>3.160919540229885E-3</v>
      </c>
      <c r="AN225" s="884">
        <f>$AM225*'Input data plant-based products'!Z48</f>
        <v>3.160919540229885E-3</v>
      </c>
      <c r="AO225" s="884">
        <f>$AM225*'Input data plant-based products'!AA48</f>
        <v>3.160919540229885E-3</v>
      </c>
      <c r="AP225" s="884">
        <f>$AM225*'Input data plant-based products'!AB48</f>
        <v>3.160919540229885E-3</v>
      </c>
      <c r="AQ225" s="884">
        <f>$AM225*'Input data plant-based products'!AC48</f>
        <v>3.3948410637259199E-3</v>
      </c>
      <c r="AR225" s="885">
        <f>$AM225*'Input data plant-based products'!AD48</f>
        <v>4.090169956296289E-3</v>
      </c>
      <c r="AS225" s="877"/>
      <c r="AT225" s="883">
        <f>'Input data plant-based products'!S48</f>
        <v>5.5031237216764898E-3</v>
      </c>
      <c r="AU225" s="884">
        <f>$AT225*'Input data plant-based products'!Z48</f>
        <v>5.5031237216764898E-3</v>
      </c>
      <c r="AV225" s="884">
        <f>$AT225*'Input data plant-based products'!AA48</f>
        <v>5.5031237216764898E-3</v>
      </c>
      <c r="AW225" s="884">
        <f>$AT225*'Input data plant-based products'!AB48</f>
        <v>5.5031237216764898E-3</v>
      </c>
      <c r="AX225" s="884">
        <f>$AT225*'Input data plant-based products'!AC48</f>
        <v>5.9103783412825656E-3</v>
      </c>
      <c r="AY225" s="885">
        <f>$AT225*'Input data plant-based products'!AD48</f>
        <v>7.1209377605814042E-3</v>
      </c>
      <c r="AZ225" s="877"/>
      <c r="BA225" s="883">
        <f>((SUM('Input data plant-based products'!U48:Y48)*Y225)/('Common input data'!$B$192/10^6))/$BB$3</f>
        <v>2.0327284679508706E-11</v>
      </c>
      <c r="BB225" s="884">
        <f>$BA225*'Input data plant-based products'!Z48</f>
        <v>2.0327284679508706E-11</v>
      </c>
      <c r="BC225" s="884">
        <f>$BA225*'Input data plant-based products'!AA48</f>
        <v>2.0327284679508706E-11</v>
      </c>
      <c r="BD225" s="884">
        <f>$BA225*'Input data plant-based products'!AB48</f>
        <v>2.0327284679508706E-11</v>
      </c>
      <c r="BE225" s="884">
        <f>$BA225*'Input data plant-based products'!AC48</f>
        <v>2.1831590417206308E-11</v>
      </c>
      <c r="BF225" s="885">
        <f>$BA225*'Input data plant-based products'!AD48</f>
        <v>2.6303120984585913E-11</v>
      </c>
      <c r="BG225" s="877"/>
      <c r="BH225" s="883">
        <f>'Input data plant-based products'!T48/'Input data plant-based products'!E48</f>
        <v>2.8448275862068967E-4</v>
      </c>
      <c r="BI225" s="884">
        <f>$BH225*'Input data plant-based products'!Z48</f>
        <v>2.8448275862068967E-4</v>
      </c>
      <c r="BJ225" s="884">
        <f>$BH225*'Input data plant-based products'!AA48</f>
        <v>2.8448275862068967E-4</v>
      </c>
      <c r="BK225" s="884">
        <f>$BH225*'Input data plant-based products'!AB48</f>
        <v>2.8448275862068967E-4</v>
      </c>
      <c r="BL225" s="884">
        <f>$BH225*'Input data plant-based products'!AC48</f>
        <v>3.055356957353328E-4</v>
      </c>
      <c r="BM225" s="885">
        <f>$BH225*'Input data plant-based products'!AD48</f>
        <v>3.6811529606666605E-4</v>
      </c>
      <c r="BN225" s="877"/>
      <c r="BO225" s="883">
        <f>('Input data plant-based products'!F48/'Input data plant-based products'!E48*'Common input data'!$B$195+'Input data plant-based products'!G48/'Input data plant-based products'!E48*'Common input data'!$B$196)/'Common input data'!$B$198</f>
        <v>0</v>
      </c>
      <c r="BP225" s="884">
        <f>$BO225*'Input data plant-based products'!Z48</f>
        <v>0</v>
      </c>
      <c r="BQ225" s="884">
        <f>$BO225*'Input data plant-based products'!AA48</f>
        <v>0</v>
      </c>
      <c r="BR225" s="884">
        <f>$BO225*'Input data plant-based products'!AB48</f>
        <v>0</v>
      </c>
      <c r="BS225" s="884">
        <f>$BO225*'Input data plant-based products'!AC48</f>
        <v>0</v>
      </c>
      <c r="BT225" s="885">
        <f>$BO225*'Input data plant-based products'!AD48</f>
        <v>0</v>
      </c>
      <c r="BU225" s="877"/>
      <c r="BV225" s="883">
        <f>'Common input data'!$C$202*'Input data plant-based products'!AC48</f>
        <v>0.15379741057571999</v>
      </c>
      <c r="BW225" s="885">
        <f>'Common input data'!$C$202*'Input data plant-based products'!AD48</f>
        <v>0.18529808503098794</v>
      </c>
      <c r="BX225" s="406"/>
      <c r="BY225" s="406"/>
      <c r="BZ225" s="406"/>
      <c r="CA225" s="406"/>
      <c r="CB225" s="406"/>
      <c r="CC225" s="406"/>
      <c r="CD225" s="406"/>
      <c r="CE225" s="406"/>
      <c r="CF225" s="406"/>
      <c r="CG225" s="406"/>
      <c r="CH225" s="406"/>
      <c r="CI225" s="406"/>
      <c r="CJ225" s="406"/>
      <c r="CK225" s="406"/>
      <c r="CL225" s="406"/>
      <c r="CM225" s="406"/>
      <c r="CN225" s="406"/>
      <c r="CO225" s="406"/>
      <c r="CP225" s="406"/>
      <c r="CQ225" s="406"/>
      <c r="CR225" s="406"/>
      <c r="CS225" s="406"/>
      <c r="CT225" s="406"/>
      <c r="CU225" s="406"/>
      <c r="CV225" s="406"/>
      <c r="CW225" s="406"/>
      <c r="CX225" s="406"/>
      <c r="CY225" s="406"/>
      <c r="CZ225" s="406"/>
      <c r="DA225" s="406"/>
      <c r="DB225" s="406"/>
      <c r="DC225" s="406"/>
      <c r="DD225" s="406"/>
      <c r="DE225" s="406"/>
      <c r="DF225" s="406"/>
      <c r="DG225" s="406"/>
      <c r="DH225" s="406"/>
      <c r="DI225" s="406"/>
      <c r="DJ225" s="406"/>
      <c r="DK225" s="406"/>
      <c r="DL225" s="406"/>
      <c r="DM225" s="406"/>
      <c r="DN225" s="406"/>
      <c r="DO225" s="406"/>
      <c r="DP225" s="406"/>
      <c r="DQ225" s="406"/>
      <c r="DR225" s="406"/>
      <c r="DS225" s="406"/>
      <c r="DT225" s="406"/>
      <c r="DU225" s="406"/>
      <c r="DV225" s="406"/>
      <c r="DW225" s="406"/>
      <c r="DX225" s="406"/>
      <c r="DY225" s="406"/>
      <c r="DZ225" s="406"/>
      <c r="EA225" s="406"/>
      <c r="EB225" s="406"/>
      <c r="EC225" s="406"/>
      <c r="ED225" s="406"/>
      <c r="EE225" s="406"/>
      <c r="EF225" s="406"/>
      <c r="EG225" s="406"/>
      <c r="EH225" s="406"/>
      <c r="EI225" s="406"/>
      <c r="EJ225" s="406"/>
      <c r="EK225" s="406"/>
      <c r="EL225" s="406"/>
      <c r="EM225" s="406"/>
      <c r="EN225" s="406"/>
      <c r="EO225" s="406"/>
      <c r="EP225" s="406"/>
      <c r="EQ225" s="406"/>
      <c r="ER225" s="406"/>
      <c r="ES225" s="406"/>
      <c r="ET225" s="406"/>
      <c r="EU225" s="406"/>
      <c r="EV225" s="406"/>
      <c r="EW225" s="406"/>
      <c r="EX225" s="406"/>
      <c r="EY225" s="406"/>
      <c r="EZ225" s="406"/>
      <c r="FA225" s="406"/>
      <c r="FB225" s="406"/>
      <c r="FC225" s="406"/>
      <c r="FD225" s="406"/>
      <c r="FE225" s="406"/>
      <c r="FF225" s="406"/>
      <c r="FG225" s="406"/>
      <c r="FH225" s="406"/>
      <c r="FI225" s="406"/>
      <c r="FJ225" s="406"/>
      <c r="FK225" s="406"/>
      <c r="FL225" s="406"/>
      <c r="FM225" s="406"/>
      <c r="FN225" s="406"/>
      <c r="FO225" s="406"/>
      <c r="FP225" s="406"/>
      <c r="FQ225" s="406"/>
      <c r="FR225" s="406"/>
      <c r="FS225" s="406"/>
      <c r="FT225" s="406"/>
      <c r="FU225" s="406"/>
      <c r="FV225" s="406"/>
      <c r="FW225" s="406"/>
      <c r="FX225" s="406"/>
      <c r="FY225" s="406"/>
      <c r="FZ225" s="406"/>
      <c r="GA225" s="406"/>
      <c r="GB225" s="406"/>
      <c r="GC225" s="406"/>
      <c r="GD225" s="406"/>
      <c r="GE225" s="406"/>
      <c r="GF225" s="406"/>
      <c r="GG225" s="406"/>
      <c r="GH225" s="406"/>
      <c r="GI225" s="406"/>
      <c r="GJ225" s="406"/>
      <c r="GK225" s="406"/>
      <c r="GL225" s="406"/>
      <c r="GM225" s="406"/>
      <c r="GN225" s="406"/>
      <c r="GO225" s="406"/>
      <c r="GP225" s="406"/>
      <c r="GQ225" s="406"/>
      <c r="GR225" s="406"/>
      <c r="GS225" s="406"/>
      <c r="GT225" s="406"/>
      <c r="GU225" s="406"/>
      <c r="GV225" s="406"/>
      <c r="GW225" s="406"/>
      <c r="GX225" s="406"/>
      <c r="GY225" s="406"/>
      <c r="GZ225" s="406"/>
      <c r="HA225" s="406"/>
      <c r="HB225" s="406"/>
      <c r="HC225" s="406"/>
      <c r="HD225" s="406"/>
      <c r="HE225" s="406"/>
      <c r="HF225" s="406"/>
      <c r="HG225" s="406"/>
      <c r="HH225" s="406"/>
      <c r="HI225" s="406"/>
      <c r="HJ225" s="406"/>
      <c r="HK225" s="406"/>
      <c r="HL225" s="406"/>
      <c r="HM225" s="406"/>
      <c r="HN225" s="406"/>
      <c r="HO225" s="406"/>
      <c r="HP225" s="406"/>
      <c r="HQ225" s="406"/>
      <c r="HR225" s="406"/>
      <c r="HS225" s="406"/>
      <c r="HT225" s="406"/>
      <c r="HU225" s="406"/>
      <c r="HV225" s="406"/>
      <c r="HW225" s="406"/>
      <c r="HX225" s="406"/>
      <c r="HY225" s="406"/>
      <c r="HZ225" s="406"/>
      <c r="IA225" s="406"/>
      <c r="IB225" s="406"/>
      <c r="IC225" s="406"/>
      <c r="ID225" s="406"/>
      <c r="IE225" s="406"/>
      <c r="IF225" s="406"/>
      <c r="IG225" s="406"/>
      <c r="IH225" s="406"/>
      <c r="II225" s="406"/>
      <c r="IJ225" s="406"/>
      <c r="IK225" s="406"/>
      <c r="IL225" s="406"/>
      <c r="IM225" s="406"/>
      <c r="IN225" s="406"/>
      <c r="IO225" s="406"/>
      <c r="IP225" s="406"/>
      <c r="IQ225" s="406"/>
      <c r="IR225" s="406"/>
      <c r="IS225" s="406"/>
    </row>
    <row r="226" spans="1:253" s="406" customFormat="1" ht="17.25">
      <c r="A226" s="68"/>
      <c r="B226" s="55"/>
      <c r="C226" s="917"/>
      <c r="D226" s="5"/>
      <c r="E226" s="1294" t="s">
        <v>317</v>
      </c>
      <c r="F226" s="877">
        <f>IF(AND($G$2="No",$G$3="No"),SUM(K226:L226),IF(AND($G$2="Yes", $G$3="No"), (SUM(K226:L226)+S226), IF(AND($G$2="No", $G$3="Yes"),(SUM(K226:L226)+R226), (SUM(K226:L226)+S226+R226))))</f>
        <v>0.23829120623700201</v>
      </c>
      <c r="G226" s="877">
        <f>IF(AND($G$2="No",$G$3="No"),SUM(I226:Q226),IF(AND($G$2="Yes", $G$3="No"), (SUM(I226:Q226)+S226), IF(AND($G$2="No", $G$3="Yes"),(SUM(I226:Q226)+R226), (SUM(I226:Q226)+S226+R226))))</f>
        <v>0.39580090738642726</v>
      </c>
      <c r="H226" s="878">
        <f>SUM(U226:W226)/(1-'Common input data'!$B$143)</f>
        <v>0.51101220325146979</v>
      </c>
      <c r="I226" s="877">
        <v>0</v>
      </c>
      <c r="J226" s="877">
        <f>'Common input data'!B98</f>
        <v>0.03</v>
      </c>
      <c r="K226" s="877">
        <v>0</v>
      </c>
      <c r="L226" s="877">
        <v>0</v>
      </c>
      <c r="M226" s="877"/>
      <c r="N226" s="877">
        <f>('Input data plant-based products'!$P$48*'Common input data'!$C$76*'Common input data'!H66)/'Input data plant-based products'!$E$48</f>
        <v>0.10750970114942529</v>
      </c>
      <c r="O226" s="877">
        <v>0</v>
      </c>
      <c r="P226" s="877">
        <f>'Input data plant-based products'!G309</f>
        <v>0.02</v>
      </c>
      <c r="Q226" s="877">
        <v>0</v>
      </c>
      <c r="R226" s="877">
        <f>'Common input data'!C19</f>
        <v>0.23829120623700201</v>
      </c>
      <c r="S226" s="877">
        <v>0</v>
      </c>
      <c r="T226" s="877">
        <v>0</v>
      </c>
      <c r="U226" s="877">
        <f>(G226+T226)</f>
        <v>0.39580090738642726</v>
      </c>
      <c r="V226" s="877">
        <f>'Common input data'!$B$105</f>
        <v>0.05</v>
      </c>
      <c r="W226" s="877">
        <f>'Common input data'!C115</f>
        <v>0.03</v>
      </c>
      <c r="X226" s="864"/>
      <c r="Y226" s="879"/>
      <c r="Z226" s="877"/>
      <c r="AA226" s="877"/>
      <c r="AB226" s="877"/>
      <c r="AC226" s="877"/>
      <c r="AD226" s="886"/>
      <c r="AE226" s="877"/>
      <c r="AF226" s="879"/>
      <c r="AG226" s="877"/>
      <c r="AH226" s="877"/>
      <c r="AI226" s="877"/>
      <c r="AJ226" s="877"/>
      <c r="AK226" s="886"/>
      <c r="AL226" s="877"/>
      <c r="AM226" s="879"/>
      <c r="AN226" s="877"/>
      <c r="AO226" s="877"/>
      <c r="AP226" s="877"/>
      <c r="AQ226" s="877"/>
      <c r="AR226" s="886"/>
      <c r="AS226" s="877"/>
      <c r="AT226" s="879"/>
      <c r="AU226" s="877"/>
      <c r="AV226" s="877"/>
      <c r="AW226" s="877"/>
      <c r="AX226" s="877"/>
      <c r="AY226" s="886"/>
      <c r="AZ226" s="877"/>
      <c r="BA226" s="879"/>
      <c r="BB226" s="877"/>
      <c r="BC226" s="877"/>
      <c r="BD226" s="877"/>
      <c r="BE226" s="877"/>
      <c r="BF226" s="886"/>
      <c r="BG226" s="877"/>
      <c r="BH226" s="879"/>
      <c r="BI226" s="877"/>
      <c r="BJ226" s="877"/>
      <c r="BK226" s="877"/>
      <c r="BL226" s="877"/>
      <c r="BM226" s="886"/>
      <c r="BN226" s="877"/>
      <c r="BO226" s="879"/>
      <c r="BP226" s="877"/>
      <c r="BQ226" s="877"/>
      <c r="BR226" s="877"/>
      <c r="BS226" s="877"/>
      <c r="BT226" s="886"/>
      <c r="BU226" s="877"/>
      <c r="BV226" s="879"/>
      <c r="BW226" s="886"/>
    </row>
    <row r="227" spans="1:253" s="406" customFormat="1" ht="17.25">
      <c r="A227" s="68"/>
      <c r="B227" s="55"/>
      <c r="C227" s="595"/>
      <c r="D227" s="50"/>
      <c r="E227" s="1294" t="s">
        <v>367</v>
      </c>
      <c r="F227" s="877">
        <f>SUM(K227:L227)</f>
        <v>0</v>
      </c>
      <c r="G227" s="877">
        <f>SUM(I227:Q227)</f>
        <v>4.762317241379311E-5</v>
      </c>
      <c r="H227" s="878">
        <f>SUM(U227:W227)/(1-'Common input data'!$B$143)</f>
        <v>5.1147490227950007E-5</v>
      </c>
      <c r="I227" s="877">
        <v>0</v>
      </c>
      <c r="J227" s="877">
        <v>0</v>
      </c>
      <c r="K227" s="877">
        <v>0</v>
      </c>
      <c r="L227" s="877">
        <v>0</v>
      </c>
      <c r="M227" s="877"/>
      <c r="N227" s="877">
        <f>('Input data plant-based products'!$P$48*'Common input data'!$C$76*'Common input data'!H67)/'Input data plant-based products'!$E$48</f>
        <v>4.762317241379311E-5</v>
      </c>
      <c r="O227" s="877">
        <v>0</v>
      </c>
      <c r="P227" s="877">
        <v>0</v>
      </c>
      <c r="Q227" s="877">
        <v>0</v>
      </c>
      <c r="R227" s="877">
        <v>0</v>
      </c>
      <c r="S227" s="877">
        <v>0</v>
      </c>
      <c r="T227" s="877">
        <v>0</v>
      </c>
      <c r="U227" s="877">
        <f>(G227+T227)</f>
        <v>4.762317241379311E-5</v>
      </c>
      <c r="V227" s="877">
        <v>0</v>
      </c>
      <c r="W227" s="877">
        <v>0</v>
      </c>
      <c r="X227" s="864"/>
      <c r="Y227" s="879"/>
      <c r="Z227" s="877"/>
      <c r="AA227" s="877"/>
      <c r="AB227" s="877"/>
      <c r="AC227" s="877"/>
      <c r="AD227" s="886"/>
      <c r="AE227" s="877"/>
      <c r="AF227" s="879"/>
      <c r="AG227" s="877"/>
      <c r="AH227" s="877"/>
      <c r="AI227" s="877"/>
      <c r="AJ227" s="877"/>
      <c r="AK227" s="886"/>
      <c r="AL227" s="877"/>
      <c r="AM227" s="879"/>
      <c r="AN227" s="877"/>
      <c r="AO227" s="877"/>
      <c r="AP227" s="877"/>
      <c r="AQ227" s="877"/>
      <c r="AR227" s="886"/>
      <c r="AS227" s="877"/>
      <c r="AT227" s="879"/>
      <c r="AU227" s="877"/>
      <c r="AV227" s="877"/>
      <c r="AW227" s="877"/>
      <c r="AX227" s="877"/>
      <c r="AY227" s="886"/>
      <c r="AZ227" s="877"/>
      <c r="BA227" s="879"/>
      <c r="BB227" s="877"/>
      <c r="BC227" s="877"/>
      <c r="BD227" s="877"/>
      <c r="BE227" s="877"/>
      <c r="BF227" s="886"/>
      <c r="BG227" s="877"/>
      <c r="BH227" s="879"/>
      <c r="BI227" s="877"/>
      <c r="BJ227" s="877"/>
      <c r="BK227" s="877"/>
      <c r="BL227" s="877"/>
      <c r="BM227" s="886"/>
      <c r="BN227" s="877"/>
      <c r="BO227" s="879"/>
      <c r="BP227" s="877"/>
      <c r="BQ227" s="877"/>
      <c r="BR227" s="877"/>
      <c r="BS227" s="877"/>
      <c r="BT227" s="886"/>
      <c r="BU227" s="877"/>
      <c r="BV227" s="879"/>
      <c r="BW227" s="886"/>
    </row>
    <row r="228" spans="1:253" s="406" customFormat="1" ht="17.25">
      <c r="A228" s="359"/>
      <c r="B228" s="360"/>
      <c r="C228" s="83"/>
      <c r="D228" s="54"/>
      <c r="E228" s="1295" t="s">
        <v>320</v>
      </c>
      <c r="F228" s="896">
        <f>SUM(K228:L228)</f>
        <v>2.0303025600000005E-4</v>
      </c>
      <c r="G228" s="896">
        <f>SUM(I228:Q228)</f>
        <v>2.0591908358620693E-4</v>
      </c>
      <c r="H228" s="933">
        <f>SUM(U228:W228)/(1-'Common input data'!$B$143)</f>
        <v>2.2115797376874214E-4</v>
      </c>
      <c r="I228" s="877">
        <v>0</v>
      </c>
      <c r="J228" s="877">
        <v>0</v>
      </c>
      <c r="K228" s="877">
        <f>(SUM(('Input data plant-based products'!$F$48*'Input data plant-based products'!$B$258),(('Input data plant-based products'!$G$48+'Input data plant-based products'!$H$48)*'Input data plant-based products'!$B$259))*44/28)/'Input data plant-based products'!$E$48</f>
        <v>1.8457296000000005E-4</v>
      </c>
      <c r="L228" s="877">
        <f>K228*'Input data plant-based products'!B261</f>
        <v>1.8457296000000006E-5</v>
      </c>
      <c r="M228" s="877"/>
      <c r="N228" s="877">
        <f>('Input data plant-based products'!$P$48*'Common input data'!$C$76*'Common input data'!H68)/'Input data plant-based products'!$E$48</f>
        <v>2.8888275862068968E-6</v>
      </c>
      <c r="O228" s="877">
        <v>0</v>
      </c>
      <c r="P228" s="877">
        <v>0</v>
      </c>
      <c r="Q228" s="877">
        <v>0</v>
      </c>
      <c r="R228" s="877">
        <v>0</v>
      </c>
      <c r="S228" s="877">
        <v>0</v>
      </c>
      <c r="T228" s="877">
        <v>0</v>
      </c>
      <c r="U228" s="877">
        <f>(G228+T228)</f>
        <v>2.0591908358620693E-4</v>
      </c>
      <c r="V228" s="877">
        <v>0</v>
      </c>
      <c r="W228" s="877">
        <v>0</v>
      </c>
      <c r="X228" s="864"/>
      <c r="Y228" s="879"/>
      <c r="Z228" s="877"/>
      <c r="AA228" s="877"/>
      <c r="AB228" s="877"/>
      <c r="AC228" s="877"/>
      <c r="AD228" s="886"/>
      <c r="AE228" s="877"/>
      <c r="AF228" s="879"/>
      <c r="AG228" s="877"/>
      <c r="AH228" s="877"/>
      <c r="AI228" s="877"/>
      <c r="AJ228" s="877"/>
      <c r="AK228" s="886"/>
      <c r="AL228" s="877"/>
      <c r="AM228" s="879"/>
      <c r="AN228" s="877"/>
      <c r="AO228" s="877"/>
      <c r="AP228" s="877"/>
      <c r="AQ228" s="877"/>
      <c r="AR228" s="886"/>
      <c r="AS228" s="877"/>
      <c r="AT228" s="879"/>
      <c r="AU228" s="877"/>
      <c r="AV228" s="877"/>
      <c r="AW228" s="877"/>
      <c r="AX228" s="877"/>
      <c r="AY228" s="886"/>
      <c r="AZ228" s="877"/>
      <c r="BA228" s="879"/>
      <c r="BB228" s="877"/>
      <c r="BC228" s="877"/>
      <c r="BD228" s="877"/>
      <c r="BE228" s="877"/>
      <c r="BF228" s="886"/>
      <c r="BG228" s="877"/>
      <c r="BH228" s="879"/>
      <c r="BI228" s="877"/>
      <c r="BJ228" s="877"/>
      <c r="BK228" s="877"/>
      <c r="BL228" s="877"/>
      <c r="BM228" s="886"/>
      <c r="BN228" s="877"/>
      <c r="BO228" s="879"/>
      <c r="BP228" s="877"/>
      <c r="BQ228" s="877"/>
      <c r="BR228" s="877"/>
      <c r="BS228" s="877"/>
      <c r="BT228" s="886"/>
      <c r="BU228" s="877"/>
      <c r="BV228" s="879"/>
      <c r="BW228" s="886"/>
    </row>
    <row r="229" spans="1:253" s="502" customFormat="1" ht="17.25">
      <c r="A229" s="362" t="s">
        <v>498</v>
      </c>
      <c r="B229" s="363"/>
      <c r="C229" s="770"/>
      <c r="D229" s="54"/>
      <c r="E229" s="1296"/>
      <c r="F229" s="1290" t="s">
        <v>499</v>
      </c>
      <c r="G229" s="1290" t="s">
        <v>499</v>
      </c>
      <c r="H229" s="870" t="s">
        <v>499</v>
      </c>
      <c r="I229" s="889"/>
      <c r="J229" s="889"/>
      <c r="K229" s="889"/>
      <c r="L229" s="890"/>
      <c r="M229" s="890"/>
      <c r="N229" s="890"/>
      <c r="O229" s="891"/>
      <c r="P229" s="890"/>
      <c r="Q229" s="890"/>
      <c r="R229" s="890"/>
      <c r="S229" s="890"/>
      <c r="T229" s="890"/>
      <c r="U229" s="890"/>
      <c r="V229" s="890"/>
      <c r="W229" s="890"/>
      <c r="X229" s="864"/>
      <c r="Y229" s="879"/>
      <c r="Z229" s="877"/>
      <c r="AA229" s="877"/>
      <c r="AB229" s="877"/>
      <c r="AC229" s="877"/>
      <c r="AD229" s="886"/>
      <c r="AE229" s="877"/>
      <c r="AF229" s="879"/>
      <c r="AG229" s="877"/>
      <c r="AH229" s="877"/>
      <c r="AI229" s="877"/>
      <c r="AJ229" s="877"/>
      <c r="AK229" s="886"/>
      <c r="AL229" s="877"/>
      <c r="AM229" s="879"/>
      <c r="AN229" s="877"/>
      <c r="AO229" s="877"/>
      <c r="AP229" s="877"/>
      <c r="AQ229" s="877"/>
      <c r="AR229" s="886"/>
      <c r="AS229" s="877"/>
      <c r="AT229" s="879"/>
      <c r="AU229" s="877"/>
      <c r="AV229" s="877"/>
      <c r="AW229" s="877"/>
      <c r="AX229" s="877"/>
      <c r="AY229" s="886"/>
      <c r="AZ229" s="877"/>
      <c r="BA229" s="879"/>
      <c r="BB229" s="877"/>
      <c r="BC229" s="877"/>
      <c r="BD229" s="877"/>
      <c r="BE229" s="877"/>
      <c r="BF229" s="886"/>
      <c r="BG229" s="877"/>
      <c r="BH229" s="879"/>
      <c r="BI229" s="877"/>
      <c r="BJ229" s="877"/>
      <c r="BK229" s="877"/>
      <c r="BL229" s="877"/>
      <c r="BM229" s="886"/>
      <c r="BN229" s="877"/>
      <c r="BO229" s="879"/>
      <c r="BP229" s="877"/>
      <c r="BQ229" s="877"/>
      <c r="BR229" s="877"/>
      <c r="BS229" s="877"/>
      <c r="BT229" s="886"/>
      <c r="BU229" s="877"/>
      <c r="BV229" s="879"/>
      <c r="BW229" s="886"/>
      <c r="BX229" s="406"/>
      <c r="BY229" s="406"/>
      <c r="BZ229" s="406"/>
      <c r="CA229" s="406"/>
      <c r="CB229" s="406"/>
      <c r="CC229" s="406"/>
      <c r="CD229" s="406"/>
      <c r="CE229" s="406"/>
      <c r="CF229" s="406"/>
      <c r="CG229" s="406"/>
      <c r="CH229" s="406"/>
      <c r="CI229" s="406"/>
      <c r="CJ229" s="406"/>
      <c r="CK229" s="406"/>
      <c r="CL229" s="406"/>
      <c r="CM229" s="406"/>
      <c r="CN229" s="406"/>
      <c r="CO229" s="406"/>
      <c r="CP229" s="406"/>
      <c r="CQ229" s="406"/>
      <c r="CR229" s="406"/>
      <c r="CS229" s="406"/>
      <c r="CT229" s="406"/>
      <c r="CU229" s="406"/>
      <c r="CV229" s="406"/>
      <c r="CW229" s="406"/>
      <c r="CX229" s="406"/>
      <c r="CY229" s="406"/>
      <c r="CZ229" s="406"/>
      <c r="DA229" s="406"/>
      <c r="DB229" s="406"/>
      <c r="DC229" s="406"/>
      <c r="DD229" s="406"/>
      <c r="DE229" s="406"/>
      <c r="DF229" s="406"/>
      <c r="DG229" s="406"/>
      <c r="DH229" s="406"/>
      <c r="DI229" s="406"/>
      <c r="DJ229" s="406"/>
      <c r="DK229" s="406"/>
      <c r="DL229" s="406"/>
      <c r="DM229" s="406"/>
      <c r="DN229" s="406"/>
      <c r="DO229" s="406"/>
      <c r="DP229" s="406"/>
      <c r="DQ229" s="406"/>
      <c r="DR229" s="406"/>
      <c r="DS229" s="406"/>
      <c r="DT229" s="406"/>
      <c r="DU229" s="406"/>
      <c r="DV229" s="406"/>
      <c r="DW229" s="406"/>
      <c r="DX229" s="406"/>
      <c r="DY229" s="406"/>
      <c r="DZ229" s="406"/>
      <c r="EA229" s="406"/>
      <c r="EB229" s="406"/>
      <c r="EC229" s="406"/>
      <c r="ED229" s="406"/>
      <c r="EE229" s="406"/>
      <c r="EF229" s="406"/>
      <c r="EG229" s="406"/>
      <c r="EH229" s="406"/>
      <c r="EI229" s="406"/>
      <c r="EJ229" s="406"/>
      <c r="EK229" s="406"/>
      <c r="EL229" s="406"/>
      <c r="EM229" s="406"/>
      <c r="EN229" s="406"/>
      <c r="EO229" s="406"/>
      <c r="EP229" s="406"/>
      <c r="EQ229" s="406"/>
      <c r="ER229" s="406"/>
      <c r="ES229" s="406"/>
      <c r="ET229" s="406"/>
      <c r="EU229" s="406"/>
      <c r="EV229" s="406"/>
      <c r="EW229" s="406"/>
      <c r="EX229" s="406"/>
      <c r="EY229" s="406"/>
      <c r="EZ229" s="406"/>
      <c r="FA229" s="406"/>
      <c r="FB229" s="406"/>
      <c r="FC229" s="406"/>
      <c r="FD229" s="406"/>
      <c r="FE229" s="406"/>
      <c r="FF229" s="406"/>
      <c r="FG229" s="406"/>
      <c r="FH229" s="406"/>
      <c r="FI229" s="406"/>
      <c r="FJ229" s="406"/>
      <c r="FK229" s="406"/>
      <c r="FL229" s="406"/>
      <c r="FM229" s="406"/>
      <c r="FN229" s="406"/>
      <c r="FO229" s="406"/>
      <c r="FP229" s="406"/>
      <c r="FQ229" s="406"/>
      <c r="FR229" s="406"/>
      <c r="FS229" s="406"/>
      <c r="FT229" s="406"/>
      <c r="FU229" s="406"/>
      <c r="FV229" s="406"/>
      <c r="FW229" s="406"/>
      <c r="FX229" s="406"/>
      <c r="FY229" s="406"/>
      <c r="FZ229" s="406"/>
      <c r="GA229" s="406"/>
      <c r="GB229" s="406"/>
      <c r="GC229" s="406"/>
      <c r="GD229" s="406"/>
      <c r="GE229" s="406"/>
      <c r="GF229" s="406"/>
      <c r="GG229" s="406"/>
      <c r="GH229" s="406"/>
      <c r="GI229" s="406"/>
      <c r="GJ229" s="406"/>
      <c r="GK229" s="406"/>
      <c r="GL229" s="406"/>
      <c r="GM229" s="406"/>
      <c r="GN229" s="406"/>
      <c r="GO229" s="406"/>
      <c r="GP229" s="406"/>
      <c r="GQ229" s="406"/>
      <c r="GR229" s="406"/>
      <c r="GS229" s="406"/>
      <c r="GT229" s="406"/>
      <c r="GU229" s="406"/>
      <c r="GV229" s="406"/>
      <c r="GW229" s="406"/>
      <c r="GX229" s="406"/>
      <c r="GY229" s="406"/>
      <c r="GZ229" s="406"/>
      <c r="HA229" s="406"/>
      <c r="HB229" s="406"/>
      <c r="HC229" s="406"/>
      <c r="HD229" s="406"/>
      <c r="HE229" s="406"/>
      <c r="HF229" s="406"/>
      <c r="HG229" s="406"/>
      <c r="HH229" s="406"/>
      <c r="HI229" s="406"/>
      <c r="HJ229" s="406"/>
      <c r="HK229" s="406"/>
      <c r="HL229" s="406"/>
      <c r="HM229" s="406"/>
      <c r="HN229" s="406"/>
      <c r="HO229" s="406"/>
      <c r="HP229" s="406"/>
      <c r="HQ229" s="406"/>
      <c r="HR229" s="406"/>
      <c r="HS229" s="406"/>
      <c r="HT229" s="406"/>
      <c r="HU229" s="406"/>
      <c r="HV229" s="406"/>
      <c r="HW229" s="406"/>
      <c r="HX229" s="406"/>
      <c r="HY229" s="406"/>
      <c r="HZ229" s="406"/>
      <c r="IA229" s="406"/>
      <c r="IB229" s="406"/>
      <c r="IC229" s="406"/>
      <c r="ID229" s="406"/>
      <c r="IE229" s="406"/>
      <c r="IF229" s="406"/>
      <c r="IG229" s="406"/>
      <c r="IH229" s="406"/>
      <c r="II229" s="406"/>
      <c r="IJ229" s="406"/>
      <c r="IK229" s="406"/>
      <c r="IL229" s="406"/>
      <c r="IM229" s="406"/>
      <c r="IN229" s="406"/>
      <c r="IO229" s="406"/>
      <c r="IP229" s="406"/>
      <c r="IQ229" s="406"/>
      <c r="IR229" s="406"/>
      <c r="IS229" s="406"/>
    </row>
    <row r="230" spans="1:253" s="406" customFormat="1" ht="17.25">
      <c r="A230" s="20" t="s">
        <v>120</v>
      </c>
      <c r="B230" s="93"/>
      <c r="C230" s="903">
        <f>SUM(C234:C249)</f>
        <v>1</v>
      </c>
      <c r="D230" s="26"/>
      <c r="E230" s="1293" t="s">
        <v>316</v>
      </c>
      <c r="F230" s="874">
        <f>SUMPRODUCT($CE$14:$CE$16,F231:F233)</f>
        <v>0.38556971786854755</v>
      </c>
      <c r="G230" s="874">
        <f>SUMPRODUCT($CE$14:$CE$16,G231:G233)</f>
        <v>0.65837214910958686</v>
      </c>
      <c r="H230" s="927">
        <f>SUMPRODUCT($CE$14:$CE$16,H231:H233)</f>
        <v>1.0054460933808858</v>
      </c>
      <c r="I230" s="872"/>
      <c r="J230" s="884"/>
      <c r="K230" s="884"/>
      <c r="L230" s="888"/>
      <c r="M230" s="888"/>
      <c r="N230" s="888"/>
      <c r="O230" s="888"/>
      <c r="P230" s="888"/>
      <c r="Q230" s="888"/>
      <c r="R230" s="888"/>
      <c r="S230" s="888"/>
      <c r="T230" s="888"/>
      <c r="U230" s="888"/>
      <c r="V230" s="888"/>
      <c r="W230" s="888"/>
      <c r="X230" s="864"/>
      <c r="Y230" s="883">
        <f>Y234*$C$234+Y238*$C$238+Y242*$C$242+Y246*$C$246</f>
        <v>5.0000317190592707</v>
      </c>
      <c r="Z230" s="884">
        <f t="shared" ref="Z230:BW230" si="25">Z234*$C$234+Z238*$C$238+Z242*$C$242+Z246*$C$246</f>
        <v>5.0000317190592707</v>
      </c>
      <c r="AA230" s="884">
        <f t="shared" si="25"/>
        <v>5.0000317190592707</v>
      </c>
      <c r="AB230" s="884">
        <f t="shared" si="25"/>
        <v>5.0000317190592707</v>
      </c>
      <c r="AC230" s="884">
        <f t="shared" si="25"/>
        <v>5.534027075416768</v>
      </c>
      <c r="AD230" s="885">
        <f t="shared" si="25"/>
        <v>6.6675025005021311</v>
      </c>
      <c r="AE230" s="877"/>
      <c r="AF230" s="883">
        <f t="shared" si="25"/>
        <v>2.6807193279015484E-2</v>
      </c>
      <c r="AG230" s="884">
        <f t="shared" si="25"/>
        <v>2.6807193279015484E-2</v>
      </c>
      <c r="AH230" s="884">
        <f t="shared" si="25"/>
        <v>2.6807193279015484E-2</v>
      </c>
      <c r="AI230" s="884">
        <f t="shared" si="25"/>
        <v>2.6807193279015484E-2</v>
      </c>
      <c r="AJ230" s="884">
        <f t="shared" si="25"/>
        <v>2.9867787313269778E-2</v>
      </c>
      <c r="AK230" s="885">
        <f t="shared" si="25"/>
        <v>3.5985285919602143E-2</v>
      </c>
      <c r="AL230" s="877"/>
      <c r="AM230" s="883">
        <f t="shared" si="25"/>
        <v>2.0683641995876495E-2</v>
      </c>
      <c r="AN230" s="884">
        <f t="shared" si="25"/>
        <v>2.0683641995876495E-2</v>
      </c>
      <c r="AO230" s="884">
        <f t="shared" si="25"/>
        <v>2.0683641995876495E-2</v>
      </c>
      <c r="AP230" s="884">
        <f t="shared" si="25"/>
        <v>2.0683641995876495E-2</v>
      </c>
      <c r="AQ230" s="884">
        <f t="shared" si="25"/>
        <v>2.2973144237713232E-2</v>
      </c>
      <c r="AR230" s="885">
        <f t="shared" si="25"/>
        <v>2.7678487033389432E-2</v>
      </c>
      <c r="AS230" s="877"/>
      <c r="AT230" s="883">
        <f t="shared" si="25"/>
        <v>1.7463275319873947E-2</v>
      </c>
      <c r="AU230" s="884">
        <f t="shared" si="25"/>
        <v>1.7463275319873947E-2</v>
      </c>
      <c r="AV230" s="884">
        <f t="shared" si="25"/>
        <v>1.7463275319873947E-2</v>
      </c>
      <c r="AW230" s="884">
        <f t="shared" si="25"/>
        <v>1.7463275319873947E-2</v>
      </c>
      <c r="AX230" s="884">
        <f t="shared" si="25"/>
        <v>1.9560144299250966E-2</v>
      </c>
      <c r="AY230" s="885">
        <f t="shared" si="25"/>
        <v>2.35664389147602E-2</v>
      </c>
      <c r="AZ230" s="877"/>
      <c r="BA230" s="883">
        <f t="shared" si="25"/>
        <v>8.5704317238658502E-11</v>
      </c>
      <c r="BB230" s="884">
        <f t="shared" si="25"/>
        <v>8.5704317238658502E-11</v>
      </c>
      <c r="BC230" s="884">
        <f t="shared" si="25"/>
        <v>8.5704317238658502E-11</v>
      </c>
      <c r="BD230" s="884">
        <f t="shared" si="25"/>
        <v>8.5704317238658502E-11</v>
      </c>
      <c r="BE230" s="884">
        <f t="shared" si="25"/>
        <v>9.4870479800126652E-11</v>
      </c>
      <c r="BF230" s="885">
        <f t="shared" si="25"/>
        <v>1.1430178289171888E-10</v>
      </c>
      <c r="BG230" s="877"/>
      <c r="BH230" s="883">
        <f t="shared" si="25"/>
        <v>7.3739819524653306E-5</v>
      </c>
      <c r="BI230" s="884">
        <f t="shared" si="25"/>
        <v>7.3739819524653306E-5</v>
      </c>
      <c r="BJ230" s="884">
        <f t="shared" si="25"/>
        <v>7.3739819524653306E-5</v>
      </c>
      <c r="BK230" s="884">
        <f t="shared" si="25"/>
        <v>7.3739819524653306E-5</v>
      </c>
      <c r="BL230" s="884">
        <f t="shared" si="25"/>
        <v>7.9196880581093576E-5</v>
      </c>
      <c r="BM230" s="885">
        <f t="shared" si="25"/>
        <v>9.5417928410956117E-5</v>
      </c>
      <c r="BN230" s="877"/>
      <c r="BO230" s="883">
        <f t="shared" si="25"/>
        <v>6.5249449047234719E-4</v>
      </c>
      <c r="BP230" s="884">
        <f t="shared" si="25"/>
        <v>6.5249449047234719E-4</v>
      </c>
      <c r="BQ230" s="884">
        <f t="shared" si="25"/>
        <v>6.5249449047234719E-4</v>
      </c>
      <c r="BR230" s="884">
        <f t="shared" si="25"/>
        <v>6.5249449047234719E-4</v>
      </c>
      <c r="BS230" s="884">
        <f t="shared" si="25"/>
        <v>7.2705464750764145E-4</v>
      </c>
      <c r="BT230" s="885">
        <f t="shared" si="25"/>
        <v>8.7596945482848389E-4</v>
      </c>
      <c r="BU230" s="877"/>
      <c r="BV230" s="883">
        <f t="shared" si="25"/>
        <v>2.1668029738846113</v>
      </c>
      <c r="BW230" s="885">
        <f t="shared" si="25"/>
        <v>2.6106059926320624</v>
      </c>
    </row>
    <row r="231" spans="1:253" s="406" customFormat="1" ht="17.25">
      <c r="A231" s="499"/>
      <c r="B231" s="55"/>
      <c r="C231" s="917"/>
      <c r="D231" s="5"/>
      <c r="E231" s="1294" t="s">
        <v>317</v>
      </c>
      <c r="F231" s="877">
        <f>F235*$C$234+F239*$C$238+F247*$C$246+F243*$C$242</f>
        <v>0.23829120623700201</v>
      </c>
      <c r="G231" s="877">
        <f>G235*$C$234+G239*$C$238+G247*$C$246+G243*$C$242</f>
        <v>0.4681668394585996</v>
      </c>
      <c r="H231" s="878">
        <f>H235*$C$234+H239*$C$238+H247*$C$246+H243*$C$242</f>
        <v>0.79301648183078854</v>
      </c>
      <c r="I231" s="877">
        <f t="shared" ref="I231:W231" si="26">I235*$C$234+I239*$C$238+I247*$C$246+I243*$C$242</f>
        <v>6.0798976883039126E-2</v>
      </c>
      <c r="J231" s="877">
        <f t="shared" si="26"/>
        <v>3.0000000000000002E-2</v>
      </c>
      <c r="K231" s="877">
        <f t="shared" si="26"/>
        <v>0</v>
      </c>
      <c r="L231" s="877">
        <f t="shared" si="26"/>
        <v>0</v>
      </c>
      <c r="M231" s="877"/>
      <c r="N231" s="877">
        <f t="shared" si="26"/>
        <v>8.60033710841826E-2</v>
      </c>
      <c r="O231" s="877">
        <f t="shared" si="26"/>
        <v>0</v>
      </c>
      <c r="P231" s="877">
        <f t="shared" si="26"/>
        <v>8.1115481451213261E-3</v>
      </c>
      <c r="Q231" s="877">
        <f t="shared" si="26"/>
        <v>4.4961737109254565E-2</v>
      </c>
      <c r="R231" s="877">
        <f t="shared" si="26"/>
        <v>0.23829120623700201</v>
      </c>
      <c r="S231" s="877">
        <f t="shared" si="26"/>
        <v>0</v>
      </c>
      <c r="T231" s="877">
        <f t="shared" si="26"/>
        <v>0</v>
      </c>
      <c r="U231" s="877">
        <f t="shared" si="26"/>
        <v>0.4681668394585996</v>
      </c>
      <c r="V231" s="877">
        <f t="shared" si="26"/>
        <v>5.000000000000001E-2</v>
      </c>
      <c r="W231" s="877">
        <f t="shared" si="26"/>
        <v>0.1953579719379516</v>
      </c>
      <c r="X231" s="864"/>
      <c r="Y231" s="879"/>
      <c r="Z231" s="877"/>
      <c r="AA231" s="877"/>
      <c r="AB231" s="877"/>
      <c r="AC231" s="877"/>
      <c r="AD231" s="886"/>
      <c r="AE231" s="877"/>
      <c r="AF231" s="879"/>
      <c r="AG231" s="877"/>
      <c r="AH231" s="877"/>
      <c r="AI231" s="877"/>
      <c r="AJ231" s="877"/>
      <c r="AK231" s="886"/>
      <c r="AL231" s="877"/>
      <c r="AM231" s="879"/>
      <c r="AN231" s="877"/>
      <c r="AO231" s="877"/>
      <c r="AP231" s="877"/>
      <c r="AQ231" s="877"/>
      <c r="AR231" s="886"/>
      <c r="AS231" s="877"/>
      <c r="AT231" s="879"/>
      <c r="AU231" s="877"/>
      <c r="AV231" s="877"/>
      <c r="AW231" s="877"/>
      <c r="AX231" s="877"/>
      <c r="AY231" s="886"/>
      <c r="AZ231" s="877"/>
      <c r="BA231" s="879"/>
      <c r="BB231" s="877"/>
      <c r="BC231" s="877"/>
      <c r="BD231" s="877"/>
      <c r="BE231" s="877"/>
      <c r="BF231" s="886"/>
      <c r="BG231" s="877"/>
      <c r="BH231" s="879"/>
      <c r="BI231" s="877"/>
      <c r="BJ231" s="877"/>
      <c r="BK231" s="877"/>
      <c r="BL231" s="877"/>
      <c r="BM231" s="886"/>
      <c r="BN231" s="877"/>
      <c r="BO231" s="879"/>
      <c r="BP231" s="877"/>
      <c r="BQ231" s="877"/>
      <c r="BR231" s="877"/>
      <c r="BS231" s="877"/>
      <c r="BT231" s="886"/>
      <c r="BU231" s="877"/>
      <c r="BV231" s="879"/>
      <c r="BW231" s="886"/>
    </row>
    <row r="232" spans="1:253" s="406" customFormat="1" ht="17.25">
      <c r="A232" s="499"/>
      <c r="B232" s="55"/>
      <c r="C232" s="595"/>
      <c r="D232" s="50"/>
      <c r="E232" s="1294" t="s">
        <v>367</v>
      </c>
      <c r="F232" s="877">
        <f t="shared" ref="F232:W233" si="27">F236*$C$234+F240*$C$238+F248*$C$246+F244*$C$242</f>
        <v>0</v>
      </c>
      <c r="G232" s="877">
        <f t="shared" si="27"/>
        <v>1.7835223959596902E-4</v>
      </c>
      <c r="H232" s="878">
        <f t="shared" si="27"/>
        <v>2.0020487107055352E-4</v>
      </c>
      <c r="I232" s="877">
        <f t="shared" si="27"/>
        <v>1.26078666213974E-4</v>
      </c>
      <c r="J232" s="877">
        <f>J236*$C$234+J240*$C$238+J248*$C$246+J244*$C$242</f>
        <v>0</v>
      </c>
      <c r="K232" s="877">
        <f t="shared" si="27"/>
        <v>0</v>
      </c>
      <c r="L232" s="877">
        <f t="shared" si="27"/>
        <v>0</v>
      </c>
      <c r="M232" s="877"/>
      <c r="N232" s="877">
        <f t="shared" si="27"/>
        <v>3.8096593381995011E-5</v>
      </c>
      <c r="O232" s="877">
        <f t="shared" si="27"/>
        <v>0</v>
      </c>
      <c r="P232" s="877">
        <f t="shared" si="27"/>
        <v>0</v>
      </c>
      <c r="Q232" s="877">
        <f t="shared" si="27"/>
        <v>1.4176980000000002E-5</v>
      </c>
      <c r="R232" s="877">
        <f t="shared" si="27"/>
        <v>0</v>
      </c>
      <c r="S232" s="877">
        <f t="shared" si="27"/>
        <v>0</v>
      </c>
      <c r="T232" s="877">
        <f t="shared" si="27"/>
        <v>0</v>
      </c>
      <c r="U232" s="877">
        <f t="shared" si="27"/>
        <v>1.7835223959596902E-4</v>
      </c>
      <c r="V232" s="877">
        <f t="shared" si="27"/>
        <v>0</v>
      </c>
      <c r="W232" s="877">
        <f t="shared" si="27"/>
        <v>0</v>
      </c>
      <c r="X232" s="864"/>
      <c r="Y232" s="879"/>
      <c r="Z232" s="877"/>
      <c r="AA232" s="877"/>
      <c r="AB232" s="877"/>
      <c r="AC232" s="877"/>
      <c r="AD232" s="886"/>
      <c r="AE232" s="877"/>
      <c r="AF232" s="879"/>
      <c r="AG232" s="877"/>
      <c r="AH232" s="877"/>
      <c r="AI232" s="877"/>
      <c r="AJ232" s="877"/>
      <c r="AK232" s="886"/>
      <c r="AL232" s="877"/>
      <c r="AM232" s="879"/>
      <c r="AN232" s="877"/>
      <c r="AO232" s="877"/>
      <c r="AP232" s="877"/>
      <c r="AQ232" s="877"/>
      <c r="AR232" s="886"/>
      <c r="AS232" s="877"/>
      <c r="AT232" s="879"/>
      <c r="AU232" s="877"/>
      <c r="AV232" s="877"/>
      <c r="AW232" s="877"/>
      <c r="AX232" s="877"/>
      <c r="AY232" s="886"/>
      <c r="AZ232" s="877"/>
      <c r="BA232" s="879"/>
      <c r="BB232" s="877"/>
      <c r="BC232" s="877"/>
      <c r="BD232" s="877"/>
      <c r="BE232" s="877"/>
      <c r="BF232" s="886"/>
      <c r="BG232" s="877"/>
      <c r="BH232" s="879"/>
      <c r="BI232" s="877"/>
      <c r="BJ232" s="877"/>
      <c r="BK232" s="877"/>
      <c r="BL232" s="877"/>
      <c r="BM232" s="886"/>
      <c r="BN232" s="877"/>
      <c r="BO232" s="879"/>
      <c r="BP232" s="877"/>
      <c r="BQ232" s="877"/>
      <c r="BR232" s="877"/>
      <c r="BS232" s="877"/>
      <c r="BT232" s="886"/>
      <c r="BU232" s="877"/>
      <c r="BV232" s="879"/>
      <c r="BW232" s="886"/>
    </row>
    <row r="233" spans="1:253" s="502" customFormat="1" ht="17.25">
      <c r="A233" s="18"/>
      <c r="B233" s="360"/>
      <c r="C233" s="83"/>
      <c r="D233" s="54"/>
      <c r="E233" s="1295" t="s">
        <v>320</v>
      </c>
      <c r="F233" s="877">
        <f>F237*$C$234+F241*$C$238+F249*$C$246+F245*$C$242</f>
        <v>5.3948172758807895E-4</v>
      </c>
      <c r="G233" s="877">
        <f>G237*$C$234+G241*$C$238+G249*$C$246+G245*$C$242</f>
        <v>6.7908351348679858E-4</v>
      </c>
      <c r="H233" s="878">
        <f>H237*$C$234+H241*$C$238+H249*$C$246+H245*$C$242</f>
        <v>7.5832996348422044E-4</v>
      </c>
      <c r="I233" s="877">
        <f t="shared" si="27"/>
        <v>1.3596923220634156E-4</v>
      </c>
      <c r="J233" s="877">
        <f t="shared" si="27"/>
        <v>0</v>
      </c>
      <c r="K233" s="877">
        <f t="shared" si="27"/>
        <v>4.9043793417098095E-4</v>
      </c>
      <c r="L233" s="877">
        <f t="shared" si="27"/>
        <v>4.9043793417098092E-5</v>
      </c>
      <c r="M233" s="877"/>
      <c r="N233" s="877">
        <f t="shared" si="27"/>
        <v>2.310944112377931E-6</v>
      </c>
      <c r="O233" s="877">
        <f t="shared" si="27"/>
        <v>0</v>
      </c>
      <c r="P233" s="877">
        <f t="shared" si="27"/>
        <v>0</v>
      </c>
      <c r="Q233" s="877">
        <f t="shared" si="27"/>
        <v>1.3216095800000002E-6</v>
      </c>
      <c r="R233" s="877">
        <f t="shared" si="27"/>
        <v>0</v>
      </c>
      <c r="S233" s="877">
        <f t="shared" si="27"/>
        <v>0</v>
      </c>
      <c r="T233" s="877">
        <f t="shared" si="27"/>
        <v>0</v>
      </c>
      <c r="U233" s="877">
        <f t="shared" si="27"/>
        <v>6.7908351348679858E-4</v>
      </c>
      <c r="V233" s="877">
        <f t="shared" si="27"/>
        <v>0</v>
      </c>
      <c r="W233" s="877">
        <f t="shared" si="27"/>
        <v>0</v>
      </c>
      <c r="X233" s="864"/>
      <c r="Y233" s="879"/>
      <c r="Z233" s="877"/>
      <c r="AA233" s="877"/>
      <c r="AB233" s="877"/>
      <c r="AC233" s="877"/>
      <c r="AD233" s="886"/>
      <c r="AE233" s="877"/>
      <c r="AF233" s="879"/>
      <c r="AG233" s="877"/>
      <c r="AH233" s="877"/>
      <c r="AI233" s="877"/>
      <c r="AJ233" s="877"/>
      <c r="AK233" s="886"/>
      <c r="AL233" s="877"/>
      <c r="AM233" s="879"/>
      <c r="AN233" s="877"/>
      <c r="AO233" s="877"/>
      <c r="AP233" s="877"/>
      <c r="AQ233" s="877"/>
      <c r="AR233" s="886"/>
      <c r="AS233" s="877"/>
      <c r="AT233" s="879"/>
      <c r="AU233" s="877"/>
      <c r="AV233" s="877"/>
      <c r="AW233" s="877"/>
      <c r="AX233" s="877"/>
      <c r="AY233" s="886"/>
      <c r="AZ233" s="877"/>
      <c r="BA233" s="879"/>
      <c r="BB233" s="877"/>
      <c r="BC233" s="877"/>
      <c r="BD233" s="877"/>
      <c r="BE233" s="877"/>
      <c r="BF233" s="886"/>
      <c r="BG233" s="877"/>
      <c r="BH233" s="879"/>
      <c r="BI233" s="877"/>
      <c r="BJ233" s="877"/>
      <c r="BK233" s="877"/>
      <c r="BL233" s="877"/>
      <c r="BM233" s="886"/>
      <c r="BN233" s="877"/>
      <c r="BO233" s="879"/>
      <c r="BP233" s="877"/>
      <c r="BQ233" s="877"/>
      <c r="BR233" s="877"/>
      <c r="BS233" s="877"/>
      <c r="BT233" s="886"/>
      <c r="BU233" s="877"/>
      <c r="BV233" s="879"/>
      <c r="BW233" s="886"/>
      <c r="BX233" s="406"/>
      <c r="BY233" s="406"/>
      <c r="BZ233" s="406"/>
      <c r="CA233" s="406"/>
      <c r="CB233" s="406"/>
      <c r="CC233" s="406"/>
      <c r="CD233" s="406"/>
      <c r="CE233" s="406"/>
      <c r="CF233" s="406"/>
      <c r="CG233" s="406"/>
      <c r="CH233" s="406"/>
      <c r="CI233" s="406"/>
      <c r="CJ233" s="406"/>
      <c r="CK233" s="406"/>
      <c r="CL233" s="406"/>
      <c r="CM233" s="406"/>
      <c r="CN233" s="406"/>
      <c r="CO233" s="406"/>
      <c r="CP233" s="406"/>
      <c r="CQ233" s="406"/>
      <c r="CR233" s="406"/>
      <c r="CS233" s="406"/>
      <c r="CT233" s="406"/>
      <c r="CU233" s="406"/>
      <c r="CV233" s="406"/>
      <c r="CW233" s="406"/>
      <c r="CX233" s="406"/>
      <c r="CY233" s="406"/>
      <c r="CZ233" s="406"/>
      <c r="DA233" s="406"/>
      <c r="DB233" s="406"/>
      <c r="DC233" s="406"/>
      <c r="DD233" s="406"/>
      <c r="DE233" s="406"/>
      <c r="DF233" s="406"/>
      <c r="DG233" s="406"/>
      <c r="DH233" s="406"/>
      <c r="DI233" s="406"/>
      <c r="DJ233" s="406"/>
      <c r="DK233" s="406"/>
      <c r="DL233" s="406"/>
      <c r="DM233" s="406"/>
      <c r="DN233" s="406"/>
      <c r="DO233" s="406"/>
      <c r="DP233" s="406"/>
      <c r="DQ233" s="406"/>
      <c r="DR233" s="406"/>
      <c r="DS233" s="406"/>
      <c r="DT233" s="406"/>
      <c r="DU233" s="406"/>
      <c r="DV233" s="406"/>
      <c r="DW233" s="406"/>
      <c r="DX233" s="406"/>
      <c r="DY233" s="406"/>
      <c r="DZ233" s="406"/>
      <c r="EA233" s="406"/>
      <c r="EB233" s="406"/>
      <c r="EC233" s="406"/>
      <c r="ED233" s="406"/>
      <c r="EE233" s="406"/>
      <c r="EF233" s="406"/>
      <c r="EG233" s="406"/>
      <c r="EH233" s="406"/>
      <c r="EI233" s="406"/>
      <c r="EJ233" s="406"/>
      <c r="EK233" s="406"/>
      <c r="EL233" s="406"/>
      <c r="EM233" s="406"/>
      <c r="EN233" s="406"/>
      <c r="EO233" s="406"/>
      <c r="EP233" s="406"/>
      <c r="EQ233" s="406"/>
      <c r="ER233" s="406"/>
      <c r="ES233" s="406"/>
      <c r="ET233" s="406"/>
      <c r="EU233" s="406"/>
      <c r="EV233" s="406"/>
      <c r="EW233" s="406"/>
      <c r="EX233" s="406"/>
      <c r="EY233" s="406"/>
      <c r="EZ233" s="406"/>
      <c r="FA233" s="406"/>
      <c r="FB233" s="406"/>
      <c r="FC233" s="406"/>
      <c r="FD233" s="406"/>
      <c r="FE233" s="406"/>
      <c r="FF233" s="406"/>
      <c r="FG233" s="406"/>
      <c r="FH233" s="406"/>
      <c r="FI233" s="406"/>
      <c r="FJ233" s="406"/>
      <c r="FK233" s="406"/>
      <c r="FL233" s="406"/>
      <c r="FM233" s="406"/>
      <c r="FN233" s="406"/>
      <c r="FO233" s="406"/>
      <c r="FP233" s="406"/>
      <c r="FQ233" s="406"/>
      <c r="FR233" s="406"/>
      <c r="FS233" s="406"/>
      <c r="FT233" s="406"/>
      <c r="FU233" s="406"/>
      <c r="FV233" s="406"/>
      <c r="FW233" s="406"/>
      <c r="FX233" s="406"/>
      <c r="FY233" s="406"/>
      <c r="FZ233" s="406"/>
      <c r="GA233" s="406"/>
      <c r="GB233" s="406"/>
      <c r="GC233" s="406"/>
      <c r="GD233" s="406"/>
      <c r="GE233" s="406"/>
      <c r="GF233" s="406"/>
      <c r="GG233" s="406"/>
      <c r="GH233" s="406"/>
      <c r="GI233" s="406"/>
      <c r="GJ233" s="406"/>
      <c r="GK233" s="406"/>
      <c r="GL233" s="406"/>
      <c r="GM233" s="406"/>
      <c r="GN233" s="406"/>
      <c r="GO233" s="406"/>
      <c r="GP233" s="406"/>
      <c r="GQ233" s="406"/>
      <c r="GR233" s="406"/>
      <c r="GS233" s="406"/>
      <c r="GT233" s="406"/>
      <c r="GU233" s="406"/>
      <c r="GV233" s="406"/>
      <c r="GW233" s="406"/>
      <c r="GX233" s="406"/>
      <c r="GY233" s="406"/>
      <c r="GZ233" s="406"/>
      <c r="HA233" s="406"/>
      <c r="HB233" s="406"/>
      <c r="HC233" s="406"/>
      <c r="HD233" s="406"/>
      <c r="HE233" s="406"/>
      <c r="HF233" s="406"/>
      <c r="HG233" s="406"/>
      <c r="HH233" s="406"/>
      <c r="HI233" s="406"/>
      <c r="HJ233" s="406"/>
      <c r="HK233" s="406"/>
      <c r="HL233" s="406"/>
      <c r="HM233" s="406"/>
      <c r="HN233" s="406"/>
      <c r="HO233" s="406"/>
      <c r="HP233" s="406"/>
      <c r="HQ233" s="406"/>
      <c r="HR233" s="406"/>
      <c r="HS233" s="406"/>
      <c r="HT233" s="406"/>
      <c r="HU233" s="406"/>
      <c r="HV233" s="406"/>
      <c r="HW233" s="406"/>
      <c r="HX233" s="406"/>
      <c r="HY233" s="406"/>
      <c r="HZ233" s="406"/>
      <c r="IA233" s="406"/>
      <c r="IB233" s="406"/>
      <c r="IC233" s="406"/>
      <c r="ID233" s="406"/>
      <c r="IE233" s="406"/>
      <c r="IF233" s="406"/>
      <c r="IG233" s="406"/>
      <c r="IH233" s="406"/>
      <c r="II233" s="406"/>
      <c r="IJ233" s="406"/>
      <c r="IK233" s="406"/>
      <c r="IL233" s="406"/>
      <c r="IM233" s="406"/>
      <c r="IN233" s="406"/>
      <c r="IO233" s="406"/>
      <c r="IP233" s="406"/>
      <c r="IQ233" s="406"/>
      <c r="IR233" s="406"/>
      <c r="IS233" s="406"/>
    </row>
    <row r="234" spans="1:253" s="406" customFormat="1" ht="17.25">
      <c r="A234" s="20" t="s">
        <v>122</v>
      </c>
      <c r="B234" s="93" t="s">
        <v>121</v>
      </c>
      <c r="C234" s="87">
        <f>'Input data plant-based products'!D50</f>
        <v>0.14285714290000001</v>
      </c>
      <c r="D234" s="54"/>
      <c r="E234" s="1293" t="s">
        <v>316</v>
      </c>
      <c r="F234" s="872">
        <f>SUMPRODUCT($CE$14:$CE$16,F235:F237)</f>
        <v>0.30488480844239862</v>
      </c>
      <c r="G234" s="872">
        <f>SUMPRODUCT($CE$14:$CE$16,G235:G237)</f>
        <v>0.4725848250522019</v>
      </c>
      <c r="H234" s="873">
        <f>SUMPRODUCT($CE$14:$CE$16,H235:H237)</f>
        <v>0.59347845821554401</v>
      </c>
      <c r="I234" s="888"/>
      <c r="J234" s="888"/>
      <c r="K234" s="888"/>
      <c r="L234" s="888"/>
      <c r="M234" s="888"/>
      <c r="N234" s="888"/>
      <c r="O234" s="888"/>
      <c r="P234" s="888"/>
      <c r="Q234" s="888"/>
      <c r="R234" s="888"/>
      <c r="S234" s="888"/>
      <c r="T234" s="888"/>
      <c r="U234" s="888"/>
      <c r="V234" s="888"/>
      <c r="W234" s="888"/>
      <c r="X234" s="864"/>
      <c r="Y234" s="879">
        <f>1/'Input data plant-based products'!E50*10^4</f>
        <v>5.1361068310220857</v>
      </c>
      <c r="Z234" s="877">
        <f>$Y234*'Input data plant-based products'!Z50</f>
        <v>5.1361068310220857</v>
      </c>
      <c r="AA234" s="877">
        <f>$Y234*'Input data plant-based products'!AA50</f>
        <v>5.1361068310220857</v>
      </c>
      <c r="AB234" s="877">
        <f>$Y234*'Input data plant-based products'!AB50</f>
        <v>5.1361068310220857</v>
      </c>
      <c r="AC234" s="877">
        <f>$Y234*'Input data plant-based products'!AC50</f>
        <v>5.5162006358342444</v>
      </c>
      <c r="AD234" s="886">
        <f>$Y234*'Input data plant-based products'!AD50</f>
        <v>6.6460248624508971</v>
      </c>
      <c r="AE234" s="877"/>
      <c r="AF234" s="879">
        <f>SUM('Input data plant-based products'!F50,'Input data plant-based products'!Q50)/'Input data plant-based products'!E50</f>
        <v>1.2326656394453005E-2</v>
      </c>
      <c r="AG234" s="877">
        <f>$AF234*'Input data plant-based products'!Z50</f>
        <v>1.2326656394453005E-2</v>
      </c>
      <c r="AH234" s="877">
        <f>$AF234*'Input data plant-based products'!AA50</f>
        <v>1.2326656394453005E-2</v>
      </c>
      <c r="AI234" s="877">
        <f>$AF234*'Input data plant-based products'!AB50</f>
        <v>1.2326656394453005E-2</v>
      </c>
      <c r="AJ234" s="877">
        <f>$AF234*'Input data plant-based products'!AC50</f>
        <v>1.3238881526002187E-2</v>
      </c>
      <c r="AK234" s="886">
        <f>$AF234*'Input data plant-based products'!AD50</f>
        <v>1.5950459669882153E-2</v>
      </c>
      <c r="AL234" s="877"/>
      <c r="AM234" s="879">
        <f>'Input data plant-based products'!R50/'Input data plant-based products'!E50</f>
        <v>1.8832391713747645E-3</v>
      </c>
      <c r="AN234" s="877">
        <f>$AM234*'Input data plant-based products'!Z50</f>
        <v>1.8832391713747645E-3</v>
      </c>
      <c r="AO234" s="877">
        <f>$AM234*'Input data plant-based products'!AA50</f>
        <v>1.8832391713747645E-3</v>
      </c>
      <c r="AP234" s="877">
        <f>$AM234*'Input data plant-based products'!AB50</f>
        <v>1.8832391713747645E-3</v>
      </c>
      <c r="AQ234" s="877">
        <f>$AM234*'Input data plant-based products'!AC50</f>
        <v>2.0226068998058897E-3</v>
      </c>
      <c r="AR234" s="886">
        <f>$AM234*'Input data plant-based products'!AD50</f>
        <v>2.4368757828986619E-3</v>
      </c>
      <c r="AS234" s="877"/>
      <c r="AT234" s="879">
        <f>'Input data plant-based products'!S50</f>
        <v>0</v>
      </c>
      <c r="AU234" s="877">
        <f>$AT234*'Input data plant-based products'!Z50</f>
        <v>0</v>
      </c>
      <c r="AV234" s="877">
        <f>$AT234*'Input data plant-based products'!AA50</f>
        <v>0</v>
      </c>
      <c r="AW234" s="877">
        <f>$AT234*'Input data plant-based products'!AB50</f>
        <v>0</v>
      </c>
      <c r="AX234" s="877">
        <f>$AT234*'Input data plant-based products'!AC50</f>
        <v>0</v>
      </c>
      <c r="AY234" s="886">
        <f>$AT234*'Input data plant-based products'!AD50</f>
        <v>0</v>
      </c>
      <c r="AZ234" s="877"/>
      <c r="BA234" s="879">
        <f>((SUM('Input data plant-based products'!U50:Y50)*Y234)/('Common input data'!$B$192/10^6))/$BB$3</f>
        <v>3.6332280783097227E-11</v>
      </c>
      <c r="BB234" s="877">
        <f>$BA234*'Input data plant-based products'!Z50</f>
        <v>3.6332280783097227E-11</v>
      </c>
      <c r="BC234" s="877">
        <f>$BA234*'Input data plant-based products'!AA50</f>
        <v>3.6332280783097227E-11</v>
      </c>
      <c r="BD234" s="877">
        <f>$BA234*'Input data plant-based products'!AB50</f>
        <v>3.6332280783097227E-11</v>
      </c>
      <c r="BE234" s="877">
        <f>$BA234*'Input data plant-based products'!AC50</f>
        <v>3.9021024474513588E-11</v>
      </c>
      <c r="BF234" s="886">
        <f>$BA234*'Input data plant-based products'!AD50</f>
        <v>4.7013282499413961E-11</v>
      </c>
      <c r="BG234" s="877"/>
      <c r="BH234" s="879">
        <f>'Input data plant-based products'!T50/'Input data plant-based products'!E50</f>
        <v>5.1617873651771948E-4</v>
      </c>
      <c r="BI234" s="877">
        <f>$BH234*'Input data plant-based products'!Z50</f>
        <v>5.1617873651771948E-4</v>
      </c>
      <c r="BJ234" s="877">
        <f>$BH234*'Input data plant-based products'!AA50</f>
        <v>5.1617873651771948E-4</v>
      </c>
      <c r="BK234" s="877">
        <f>$BH234*'Input data plant-based products'!AB50</f>
        <v>5.1617873651771948E-4</v>
      </c>
      <c r="BL234" s="877">
        <f>$BH234*'Input data plant-based products'!AC50</f>
        <v>5.5437816390134151E-4</v>
      </c>
      <c r="BM234" s="886">
        <f>$BH234*'Input data plant-based products'!AD50</f>
        <v>6.6792549867631507E-4</v>
      </c>
      <c r="BN234" s="877"/>
      <c r="BO234" s="879">
        <f>('Input data plant-based products'!F50/'Input data plant-based products'!E50*'Common input data'!$B$195+'Input data plant-based products'!G50/'Input data plant-based products'!E50*'Common input data'!$B$196)/'Common input data'!$B$198</f>
        <v>8.2953772215073763E-4</v>
      </c>
      <c r="BP234" s="877">
        <f>$BO234*'Input data plant-based products'!Z50</f>
        <v>8.2953772215073763E-4</v>
      </c>
      <c r="BQ234" s="877">
        <f>$BO234*'Input data plant-based products'!AA50</f>
        <v>8.2953772215073763E-4</v>
      </c>
      <c r="BR234" s="877">
        <f>$BO234*'Input data plant-based products'!AB50</f>
        <v>8.2953772215073763E-4</v>
      </c>
      <c r="BS234" s="877">
        <f>$BO234*'Input data plant-based products'!AC50</f>
        <v>8.9092705057028311E-4</v>
      </c>
      <c r="BT234" s="886">
        <f>$BO234*'Input data plant-based products'!AD50</f>
        <v>1.0734060850244374E-3</v>
      </c>
      <c r="BU234" s="877"/>
      <c r="BV234" s="879">
        <f>'Common input data'!$C$202*'Input data plant-based products'!AC50</f>
        <v>0.15379741057571999</v>
      </c>
      <c r="BW234" s="886">
        <f>'Common input data'!$C$202*'Input data plant-based products'!AD50</f>
        <v>0.18529808503098794</v>
      </c>
    </row>
    <row r="235" spans="1:253" s="406" customFormat="1" ht="17.25">
      <c r="A235" s="499"/>
      <c r="B235" s="55"/>
      <c r="C235" s="917"/>
      <c r="D235" s="5"/>
      <c r="E235" s="1294" t="s">
        <v>317</v>
      </c>
      <c r="F235" s="877">
        <f>IF(AND($G$2="No",$G$3="No"),SUM(K235:L235),IF(AND($G$2="Yes", $G$3="No"), (SUM(K235:L235)+S235), IF(AND($G$2="No", $G$3="Yes"),(SUM(K235:L235)+R235), (SUM(K235:L235)+S235+R235))))</f>
        <v>0.23829120623700201</v>
      </c>
      <c r="G235" s="877">
        <f>IF(AND($G$2="No",$G$3="No"),SUM(I235:Q235),IF(AND($G$2="Yes", $G$3="No"), (SUM(I235:Q235)+S235), IF(AND($G$2="No", $G$3="Yes"),(SUM(I235:Q235)+R235), (SUM(I235:Q235)+S235+R235))))</f>
        <v>0.40339372225960085</v>
      </c>
      <c r="H235" s="878">
        <f>SUM(U235:W235)/(1-'Common input data'!B143)</f>
        <v>0.51916691879947907</v>
      </c>
      <c r="I235" s="877">
        <f>('Input data plant-based products'!$F$50*('Common input data'!$B$93*'Common input data'!B86+'Common input data'!$B$94*'Common input data'!C86))/'Input data plant-based products'!$E$50</f>
        <v>0</v>
      </c>
      <c r="J235" s="877">
        <f>'Common input data'!$B$98</f>
        <v>0.03</v>
      </c>
      <c r="K235" s="877">
        <v>0</v>
      </c>
      <c r="L235" s="877">
        <v>0</v>
      </c>
      <c r="M235" s="877"/>
      <c r="N235" s="877">
        <f>('Input data plant-based products'!$P$50*'Common input data'!$C$76*'Common input data'!H66)/'Input data plant-based products'!$E$50</f>
        <v>9.6079548022598868E-2</v>
      </c>
      <c r="O235" s="877">
        <v>0</v>
      </c>
      <c r="P235" s="877">
        <v>0</v>
      </c>
      <c r="Q235" s="877">
        <f>'Input data plant-based products'!$B$268*'Common input data'!$B$76*'Common input data'!B66+'Input data plant-based products'!C267*'Common input data'!B80</f>
        <v>3.9022968000000005E-2</v>
      </c>
      <c r="R235" s="877">
        <f>'Common input data'!$C$19</f>
        <v>0.23829120623700201</v>
      </c>
      <c r="S235" s="877">
        <v>0</v>
      </c>
      <c r="T235" s="877">
        <v>0</v>
      </c>
      <c r="U235" s="877">
        <f>(G235+T235)</f>
        <v>0.40339372225960085</v>
      </c>
      <c r="V235" s="877">
        <f>'Common input data'!$B$105</f>
        <v>0.05</v>
      </c>
      <c r="W235" s="877">
        <f>'Common input data'!C115</f>
        <v>0.03</v>
      </c>
      <c r="X235" s="864"/>
      <c r="Y235" s="879"/>
      <c r="Z235" s="877"/>
      <c r="AA235" s="877"/>
      <c r="AB235" s="877"/>
      <c r="AC235" s="877"/>
      <c r="AD235" s="886"/>
      <c r="AE235" s="877"/>
      <c r="AF235" s="879"/>
      <c r="AG235" s="877"/>
      <c r="AH235" s="877"/>
      <c r="AI235" s="877"/>
      <c r="AJ235" s="877"/>
      <c r="AK235" s="886"/>
      <c r="AL235" s="877"/>
      <c r="AM235" s="879"/>
      <c r="AN235" s="877"/>
      <c r="AO235" s="877"/>
      <c r="AP235" s="877"/>
      <c r="AQ235" s="877"/>
      <c r="AR235" s="886"/>
      <c r="AS235" s="877"/>
      <c r="AT235" s="879"/>
      <c r="AU235" s="877"/>
      <c r="AV235" s="877"/>
      <c r="AW235" s="877"/>
      <c r="AX235" s="877"/>
      <c r="AY235" s="886"/>
      <c r="AZ235" s="877"/>
      <c r="BA235" s="879"/>
      <c r="BB235" s="877"/>
      <c r="BC235" s="877"/>
      <c r="BD235" s="877"/>
      <c r="BE235" s="877"/>
      <c r="BF235" s="886"/>
      <c r="BG235" s="877"/>
      <c r="BH235" s="879"/>
      <c r="BI235" s="877"/>
      <c r="BJ235" s="877"/>
      <c r="BK235" s="877"/>
      <c r="BL235" s="877"/>
      <c r="BM235" s="886"/>
      <c r="BN235" s="877"/>
      <c r="BO235" s="879"/>
      <c r="BP235" s="877"/>
      <c r="BQ235" s="877"/>
      <c r="BR235" s="877"/>
      <c r="BS235" s="877"/>
      <c r="BT235" s="886"/>
      <c r="BU235" s="877"/>
      <c r="BV235" s="879"/>
      <c r="BW235" s="886"/>
    </row>
    <row r="236" spans="1:253" s="406" customFormat="1" ht="17.25">
      <c r="A236" s="18"/>
      <c r="B236" s="55"/>
      <c r="C236" s="595"/>
      <c r="D236" s="50"/>
      <c r="E236" s="1294" t="s">
        <v>367</v>
      </c>
      <c r="F236" s="877">
        <f>SUM(K236:L236)</f>
        <v>0</v>
      </c>
      <c r="G236" s="877">
        <f>SUM(I236:Q236)</f>
        <v>5.6736980000000008E-5</v>
      </c>
      <c r="H236" s="878">
        <f>SUM(U236:W236)/(1-'Common input data'!B143)</f>
        <v>6.0935758434960999E-5</v>
      </c>
      <c r="I236" s="877">
        <f>('Input data plant-based products'!$F$50*('Common input data'!$B$93*'Common input data'!B87+'Common input data'!$B$94*'Common input data'!C87))/'Input data plant-based products'!$E$50</f>
        <v>0</v>
      </c>
      <c r="J236" s="877">
        <v>0</v>
      </c>
      <c r="K236" s="877">
        <v>0</v>
      </c>
      <c r="L236" s="877">
        <v>0</v>
      </c>
      <c r="M236" s="877"/>
      <c r="N236" s="877">
        <f>('Input data plant-based products'!$P$50*'Common input data'!$C$76*'Common input data'!H67)/'Input data plant-based products'!$E$50</f>
        <v>4.2560000000000006E-5</v>
      </c>
      <c r="O236" s="877">
        <v>0</v>
      </c>
      <c r="P236" s="877">
        <v>0</v>
      </c>
      <c r="Q236" s="877">
        <f>'Input data plant-based products'!$B$268*'Common input data'!$B$76*'Common input data'!B67</f>
        <v>1.4176980000000002E-5</v>
      </c>
      <c r="R236" s="877">
        <v>0</v>
      </c>
      <c r="S236" s="877">
        <v>0</v>
      </c>
      <c r="T236" s="877">
        <v>0</v>
      </c>
      <c r="U236" s="877">
        <f>(G236+T236)</f>
        <v>5.6736980000000008E-5</v>
      </c>
      <c r="V236" s="877">
        <v>0</v>
      </c>
      <c r="W236" s="877">
        <v>0</v>
      </c>
      <c r="X236" s="864"/>
      <c r="Y236" s="879"/>
      <c r="Z236" s="877"/>
      <c r="AA236" s="877"/>
      <c r="AB236" s="877"/>
      <c r="AC236" s="877"/>
      <c r="AD236" s="886"/>
      <c r="AE236" s="877"/>
      <c r="AF236" s="879"/>
      <c r="AG236" s="877"/>
      <c r="AH236" s="877"/>
      <c r="AI236" s="877"/>
      <c r="AJ236" s="877"/>
      <c r="AK236" s="886"/>
      <c r="AL236" s="877"/>
      <c r="AM236" s="879"/>
      <c r="AN236" s="877"/>
      <c r="AO236" s="877"/>
      <c r="AP236" s="877"/>
      <c r="AQ236" s="877"/>
      <c r="AR236" s="886"/>
      <c r="AS236" s="877"/>
      <c r="AT236" s="879"/>
      <c r="AU236" s="877"/>
      <c r="AV236" s="877"/>
      <c r="AW236" s="877"/>
      <c r="AX236" s="877"/>
      <c r="AY236" s="886"/>
      <c r="AZ236" s="877"/>
      <c r="BA236" s="879"/>
      <c r="BB236" s="877"/>
      <c r="BC236" s="877"/>
      <c r="BD236" s="877"/>
      <c r="BE236" s="877"/>
      <c r="BF236" s="886"/>
      <c r="BG236" s="877"/>
      <c r="BH236" s="879"/>
      <c r="BI236" s="877"/>
      <c r="BJ236" s="877"/>
      <c r="BK236" s="877"/>
      <c r="BL236" s="877"/>
      <c r="BM236" s="886"/>
      <c r="BN236" s="877"/>
      <c r="BO236" s="879"/>
      <c r="BP236" s="877"/>
      <c r="BQ236" s="877"/>
      <c r="BR236" s="877"/>
      <c r="BS236" s="877"/>
      <c r="BT236" s="886"/>
      <c r="BU236" s="877"/>
      <c r="BV236" s="879"/>
      <c r="BW236" s="886"/>
    </row>
    <row r="237" spans="1:253" s="502" customFormat="1" ht="17.25">
      <c r="A237" s="359"/>
      <c r="B237" s="360"/>
      <c r="C237" s="83"/>
      <c r="D237" s="54"/>
      <c r="E237" s="1295" t="s">
        <v>320</v>
      </c>
      <c r="F237" s="877">
        <f>SUM(K237:L237)</f>
        <v>2.4393260881097663E-4</v>
      </c>
      <c r="G237" s="877">
        <f>SUM(I237:Q237)</f>
        <v>2.478359133062309E-4</v>
      </c>
      <c r="H237" s="878">
        <f>SUM(U237:W237)/(1-'Common input data'!B143)</f>
        <v>2.6617682761289761E-4</v>
      </c>
      <c r="I237" s="877">
        <f>('Input data plant-based products'!$F$50*('Common input data'!$B$93*'Common input data'!B88+'Common input data'!$B$94*'Common input data'!C88))/'Input data plant-based products'!$E$50</f>
        <v>0</v>
      </c>
      <c r="J237" s="877">
        <v>0</v>
      </c>
      <c r="K237" s="877">
        <f>(SUM(('Input data plant-based products'!$F$50*'Input data plant-based products'!$B$258),(('Input data plant-based products'!$G$50+'Input data plant-based products'!$H$50)*'Input data plant-based products'!$B$259))*44/28)/'Input data plant-based products'!$E$50</f>
        <v>2.2175691710088784E-4</v>
      </c>
      <c r="L237" s="877">
        <f>K237*'Input data plant-based products'!$B$261</f>
        <v>2.2175691710088784E-5</v>
      </c>
      <c r="M237" s="877"/>
      <c r="N237" s="877">
        <f>('Input data plant-based products'!$P$50*'Common input data'!$C$76*'Common input data'!H68)/'Input data plant-based products'!$E$50</f>
        <v>2.5816949152542374E-6</v>
      </c>
      <c r="O237" s="877">
        <v>0</v>
      </c>
      <c r="P237" s="877">
        <v>0</v>
      </c>
      <c r="Q237" s="877">
        <f>'Input data plant-based products'!$B$268*'Common input data'!$B$76*'Common input data'!B68</f>
        <v>1.32160958E-6</v>
      </c>
      <c r="R237" s="877">
        <v>0</v>
      </c>
      <c r="S237" s="877">
        <v>0</v>
      </c>
      <c r="T237" s="877">
        <v>0</v>
      </c>
      <c r="U237" s="877">
        <f>(G237+T237)</f>
        <v>2.478359133062309E-4</v>
      </c>
      <c r="V237" s="877">
        <v>0</v>
      </c>
      <c r="W237" s="877">
        <v>0</v>
      </c>
      <c r="X237" s="864"/>
      <c r="Y237" s="879"/>
      <c r="Z237" s="877"/>
      <c r="AA237" s="877"/>
      <c r="AB237" s="877"/>
      <c r="AC237" s="877"/>
      <c r="AD237" s="886"/>
      <c r="AE237" s="877"/>
      <c r="AF237" s="879"/>
      <c r="AG237" s="877"/>
      <c r="AH237" s="877"/>
      <c r="AI237" s="877"/>
      <c r="AJ237" s="877"/>
      <c r="AK237" s="886"/>
      <c r="AL237" s="877"/>
      <c r="AM237" s="879"/>
      <c r="AN237" s="877"/>
      <c r="AO237" s="877"/>
      <c r="AP237" s="877"/>
      <c r="AQ237" s="877"/>
      <c r="AR237" s="886"/>
      <c r="AS237" s="877"/>
      <c r="AT237" s="879"/>
      <c r="AU237" s="877"/>
      <c r="AV237" s="877"/>
      <c r="AW237" s="877"/>
      <c r="AX237" s="877"/>
      <c r="AY237" s="886"/>
      <c r="AZ237" s="877"/>
      <c r="BA237" s="879"/>
      <c r="BB237" s="877"/>
      <c r="BC237" s="877"/>
      <c r="BD237" s="877"/>
      <c r="BE237" s="877"/>
      <c r="BF237" s="886"/>
      <c r="BG237" s="877"/>
      <c r="BH237" s="879"/>
      <c r="BI237" s="877"/>
      <c r="BJ237" s="877"/>
      <c r="BK237" s="877"/>
      <c r="BL237" s="877"/>
      <c r="BM237" s="886"/>
      <c r="BN237" s="877"/>
      <c r="BO237" s="879"/>
      <c r="BP237" s="877"/>
      <c r="BQ237" s="877"/>
      <c r="BR237" s="877"/>
      <c r="BS237" s="877"/>
      <c r="BT237" s="886"/>
      <c r="BU237" s="877"/>
      <c r="BV237" s="879"/>
      <c r="BW237" s="886"/>
      <c r="BX237" s="406"/>
      <c r="BY237" s="406"/>
      <c r="BZ237" s="406"/>
      <c r="CA237" s="406"/>
      <c r="CB237" s="406"/>
      <c r="CC237" s="406"/>
      <c r="CD237" s="406"/>
      <c r="CE237" s="406"/>
      <c r="CF237" s="406"/>
      <c r="CG237" s="406"/>
      <c r="CH237" s="406"/>
      <c r="CI237" s="406"/>
      <c r="CJ237" s="406"/>
      <c r="CK237" s="406"/>
      <c r="CL237" s="406"/>
      <c r="CM237" s="406"/>
      <c r="CN237" s="406"/>
      <c r="CO237" s="406"/>
      <c r="CP237" s="406"/>
      <c r="CQ237" s="406"/>
      <c r="CR237" s="406"/>
      <c r="CS237" s="406"/>
      <c r="CT237" s="406"/>
      <c r="CU237" s="406"/>
      <c r="CV237" s="406"/>
      <c r="CW237" s="406"/>
      <c r="CX237" s="406"/>
      <c r="CY237" s="406"/>
      <c r="CZ237" s="406"/>
      <c r="DA237" s="406"/>
      <c r="DB237" s="406"/>
      <c r="DC237" s="406"/>
      <c r="DD237" s="406"/>
      <c r="DE237" s="406"/>
      <c r="DF237" s="406"/>
      <c r="DG237" s="406"/>
      <c r="DH237" s="406"/>
      <c r="DI237" s="406"/>
      <c r="DJ237" s="406"/>
      <c r="DK237" s="406"/>
      <c r="DL237" s="406"/>
      <c r="DM237" s="406"/>
      <c r="DN237" s="406"/>
      <c r="DO237" s="406"/>
      <c r="DP237" s="406"/>
      <c r="DQ237" s="406"/>
      <c r="DR237" s="406"/>
      <c r="DS237" s="406"/>
      <c r="DT237" s="406"/>
      <c r="DU237" s="406"/>
      <c r="DV237" s="406"/>
      <c r="DW237" s="406"/>
      <c r="DX237" s="406"/>
      <c r="DY237" s="406"/>
      <c r="DZ237" s="406"/>
      <c r="EA237" s="406"/>
      <c r="EB237" s="406"/>
      <c r="EC237" s="406"/>
      <c r="ED237" s="406"/>
      <c r="EE237" s="406"/>
      <c r="EF237" s="406"/>
      <c r="EG237" s="406"/>
      <c r="EH237" s="406"/>
      <c r="EI237" s="406"/>
      <c r="EJ237" s="406"/>
      <c r="EK237" s="406"/>
      <c r="EL237" s="406"/>
      <c r="EM237" s="406"/>
      <c r="EN237" s="406"/>
      <c r="EO237" s="406"/>
      <c r="EP237" s="406"/>
      <c r="EQ237" s="406"/>
      <c r="ER237" s="406"/>
      <c r="ES237" s="406"/>
      <c r="ET237" s="406"/>
      <c r="EU237" s="406"/>
      <c r="EV237" s="406"/>
      <c r="EW237" s="406"/>
      <c r="EX237" s="406"/>
      <c r="EY237" s="406"/>
      <c r="EZ237" s="406"/>
      <c r="FA237" s="406"/>
      <c r="FB237" s="406"/>
      <c r="FC237" s="406"/>
      <c r="FD237" s="406"/>
      <c r="FE237" s="406"/>
      <c r="FF237" s="406"/>
      <c r="FG237" s="406"/>
      <c r="FH237" s="406"/>
      <c r="FI237" s="406"/>
      <c r="FJ237" s="406"/>
      <c r="FK237" s="406"/>
      <c r="FL237" s="406"/>
      <c r="FM237" s="406"/>
      <c r="FN237" s="406"/>
      <c r="FO237" s="406"/>
      <c r="FP237" s="406"/>
      <c r="FQ237" s="406"/>
      <c r="FR237" s="406"/>
      <c r="FS237" s="406"/>
      <c r="FT237" s="406"/>
      <c r="FU237" s="406"/>
      <c r="FV237" s="406"/>
      <c r="FW237" s="406"/>
      <c r="FX237" s="406"/>
      <c r="FY237" s="406"/>
      <c r="FZ237" s="406"/>
      <c r="GA237" s="406"/>
      <c r="GB237" s="406"/>
      <c r="GC237" s="406"/>
      <c r="GD237" s="406"/>
      <c r="GE237" s="406"/>
      <c r="GF237" s="406"/>
      <c r="GG237" s="406"/>
      <c r="GH237" s="406"/>
      <c r="GI237" s="406"/>
      <c r="GJ237" s="406"/>
      <c r="GK237" s="406"/>
      <c r="GL237" s="406"/>
      <c r="GM237" s="406"/>
      <c r="GN237" s="406"/>
      <c r="GO237" s="406"/>
      <c r="GP237" s="406"/>
      <c r="GQ237" s="406"/>
      <c r="GR237" s="406"/>
      <c r="GS237" s="406"/>
      <c r="GT237" s="406"/>
      <c r="GU237" s="406"/>
      <c r="GV237" s="406"/>
      <c r="GW237" s="406"/>
      <c r="GX237" s="406"/>
      <c r="GY237" s="406"/>
      <c r="GZ237" s="406"/>
      <c r="HA237" s="406"/>
      <c r="HB237" s="406"/>
      <c r="HC237" s="406"/>
      <c r="HD237" s="406"/>
      <c r="HE237" s="406"/>
      <c r="HF237" s="406"/>
      <c r="HG237" s="406"/>
      <c r="HH237" s="406"/>
      <c r="HI237" s="406"/>
      <c r="HJ237" s="406"/>
      <c r="HK237" s="406"/>
      <c r="HL237" s="406"/>
      <c r="HM237" s="406"/>
      <c r="HN237" s="406"/>
      <c r="HO237" s="406"/>
      <c r="HP237" s="406"/>
      <c r="HQ237" s="406"/>
      <c r="HR237" s="406"/>
      <c r="HS237" s="406"/>
      <c r="HT237" s="406"/>
      <c r="HU237" s="406"/>
      <c r="HV237" s="406"/>
      <c r="HW237" s="406"/>
      <c r="HX237" s="406"/>
      <c r="HY237" s="406"/>
      <c r="HZ237" s="406"/>
      <c r="IA237" s="406"/>
      <c r="IB237" s="406"/>
      <c r="IC237" s="406"/>
      <c r="ID237" s="406"/>
      <c r="IE237" s="406"/>
      <c r="IF237" s="406"/>
      <c r="IG237" s="406"/>
      <c r="IH237" s="406"/>
      <c r="II237" s="406"/>
      <c r="IJ237" s="406"/>
      <c r="IK237" s="406"/>
      <c r="IL237" s="406"/>
      <c r="IM237" s="406"/>
      <c r="IN237" s="406"/>
      <c r="IO237" s="406"/>
      <c r="IP237" s="406"/>
      <c r="IQ237" s="406"/>
      <c r="IR237" s="406"/>
      <c r="IS237" s="406"/>
    </row>
    <row r="238" spans="1:253" s="406" customFormat="1" ht="17.25">
      <c r="A238" s="20" t="s">
        <v>126</v>
      </c>
      <c r="B238" s="93" t="s">
        <v>121</v>
      </c>
      <c r="C238" s="87">
        <f>'Input data plant-based products'!D51</f>
        <v>0.45156544984393371</v>
      </c>
      <c r="D238" s="54"/>
      <c r="E238" s="1293" t="s">
        <v>316</v>
      </c>
      <c r="F238" s="872">
        <f>SUMPRODUCT($CE$14:$CE$16,F239:F241)</f>
        <v>0.32513062944982524</v>
      </c>
      <c r="G238" s="872">
        <f>SUMPRODUCT($CE$14:$CE$16,G239:G241)</f>
        <v>0.46909739101827591</v>
      </c>
      <c r="H238" s="873">
        <f>SUMPRODUCT($CE$14:$CE$16,H239:H241)</f>
        <v>0.73388619915098585</v>
      </c>
      <c r="I238" s="888"/>
      <c r="J238" s="888"/>
      <c r="K238" s="888"/>
      <c r="L238" s="888"/>
      <c r="M238" s="888"/>
      <c r="N238" s="888"/>
      <c r="O238" s="888"/>
      <c r="P238" s="888"/>
      <c r="Q238" s="888"/>
      <c r="R238" s="888"/>
      <c r="S238" s="888"/>
      <c r="T238" s="888"/>
      <c r="U238" s="888"/>
      <c r="V238" s="888"/>
      <c r="W238" s="888"/>
      <c r="X238" s="864"/>
      <c r="Y238" s="879">
        <f>1/'Input data plant-based products'!E51*10^4</f>
        <v>2.1432285094315024</v>
      </c>
      <c r="Z238" s="877">
        <f>$Y238*'Input data plant-based products'!Z51</f>
        <v>2.1432285094315024</v>
      </c>
      <c r="AA238" s="877">
        <f>$Y238*'Input data plant-based products'!AA51</f>
        <v>2.1432285094315024</v>
      </c>
      <c r="AB238" s="877">
        <f>$Y238*'Input data plant-based products'!AB51</f>
        <v>2.1432285094315024</v>
      </c>
      <c r="AC238" s="877">
        <f>$Y238*'Input data plant-based products'!AC51</f>
        <v>2.3018365574205668</v>
      </c>
      <c r="AD238" s="886">
        <f>$Y238*'Input data plant-based products'!AD51</f>
        <v>2.7732970571332132</v>
      </c>
      <c r="AE238" s="877"/>
      <c r="AF238" s="879">
        <f>SUM('Input data plant-based products'!F51,'Input data plant-based products'!Q51)/'Input data plant-based products'!E51</f>
        <v>9.4302054414986108E-3</v>
      </c>
      <c r="AG238" s="877">
        <f>$AF238*'Input data plant-based products'!Z51</f>
        <v>9.4302054414986108E-3</v>
      </c>
      <c r="AH238" s="877">
        <f>$AF238*'Input data plant-based products'!AA51</f>
        <v>9.4302054414986108E-3</v>
      </c>
      <c r="AI238" s="877">
        <f>$AF238*'Input data plant-based products'!AB51</f>
        <v>9.4302054414986108E-3</v>
      </c>
      <c r="AJ238" s="877">
        <f>$AF238*'Input data plant-based products'!AC51</f>
        <v>1.0128080852650495E-2</v>
      </c>
      <c r="AK238" s="886">
        <f>$AF238*'Input data plant-based products'!AD51</f>
        <v>1.2202507051386138E-2</v>
      </c>
      <c r="AL238" s="877"/>
      <c r="AM238" s="879">
        <f>'Input data plant-based products'!R51/'Input data plant-based products'!E51</f>
        <v>1.0716142547157513E-2</v>
      </c>
      <c r="AN238" s="877">
        <f>$AM238*'Input data plant-based products'!Z51</f>
        <v>1.0716142547157513E-2</v>
      </c>
      <c r="AO238" s="877">
        <f>$AM238*'Input data plant-based products'!AA51</f>
        <v>1.0716142547157513E-2</v>
      </c>
      <c r="AP238" s="877">
        <f>$AM238*'Input data plant-based products'!AB51</f>
        <v>1.0716142547157513E-2</v>
      </c>
      <c r="AQ238" s="877">
        <f>$AM238*'Input data plant-based products'!AC51</f>
        <v>1.1509182787102836E-2</v>
      </c>
      <c r="AR238" s="886">
        <f>$AM238*'Input data plant-based products'!AD51</f>
        <v>1.3866485285666067E-2</v>
      </c>
      <c r="AS238" s="877"/>
      <c r="AT238" s="879">
        <f>'Input data plant-based products'!S51</f>
        <v>4.8341525268922204E-3</v>
      </c>
      <c r="AU238" s="877">
        <f>$AT238*'Input data plant-based products'!Z51</f>
        <v>4.8341525268922204E-3</v>
      </c>
      <c r="AV238" s="877">
        <f>$AT238*'Input data plant-based products'!AA51</f>
        <v>4.8341525268922204E-3</v>
      </c>
      <c r="AW238" s="877">
        <f>$AT238*'Input data plant-based products'!AB51</f>
        <v>4.8341525268922204E-3</v>
      </c>
      <c r="AX238" s="877">
        <f>$AT238*'Input data plant-based products'!AC51</f>
        <v>5.1919004257269356E-3</v>
      </c>
      <c r="AY238" s="886">
        <f>$AT238*'Input data plant-based products'!AD51</f>
        <v>6.2553017177432958E-3</v>
      </c>
      <c r="AZ238" s="877"/>
      <c r="BA238" s="879">
        <f>((SUM('Input data plant-based products'!U51:Y51)*Y238)/('Common input data'!$B$192/10^6))/$BB$3</f>
        <v>4.8136138420207093E-11</v>
      </c>
      <c r="BB238" s="877">
        <f>$BA238*'Input data plant-based products'!Z51</f>
        <v>4.8136138420207093E-11</v>
      </c>
      <c r="BC238" s="877">
        <f>$BA238*'Input data plant-based products'!AA51</f>
        <v>4.8136138420207093E-11</v>
      </c>
      <c r="BD238" s="877">
        <f>$BA238*'Input data plant-based products'!AB51</f>
        <v>4.8136138420207093E-11</v>
      </c>
      <c r="BE238" s="877">
        <f>$BA238*'Input data plant-based products'!AC51</f>
        <v>5.1698417906021507E-11</v>
      </c>
      <c r="BF238" s="886">
        <f>$BA238*'Input data plant-based products'!AD51</f>
        <v>6.2287250489182544E-11</v>
      </c>
      <c r="BG238" s="877"/>
      <c r="BH238" s="879">
        <f>'Input data plant-based products'!T51/'Input data plant-based products'!E51</f>
        <v>0</v>
      </c>
      <c r="BI238" s="877">
        <f>$BH238*'Input data plant-based products'!Z51</f>
        <v>0</v>
      </c>
      <c r="BJ238" s="877">
        <f>$BH238*'Input data plant-based products'!AA51</f>
        <v>0</v>
      </c>
      <c r="BK238" s="877">
        <f>$BH238*'Input data plant-based products'!AB51</f>
        <v>0</v>
      </c>
      <c r="BL238" s="877">
        <f>$BH238*'Input data plant-based products'!AC51</f>
        <v>0</v>
      </c>
      <c r="BM238" s="886">
        <f>$BH238*'Input data plant-based products'!AD51</f>
        <v>0</v>
      </c>
      <c r="BN238" s="877"/>
      <c r="BO238" s="879">
        <f>('Input data plant-based products'!F51/'Input data plant-based products'!E51*'Common input data'!$B$195+'Input data plant-based products'!G51/'Input data plant-based products'!E51*'Common input data'!$B$196)/'Common input data'!$B$198</f>
        <v>1.0944924960757997E-4</v>
      </c>
      <c r="BP238" s="877">
        <f>$BO238*'Input data plant-based products'!Z51</f>
        <v>1.0944924960757997E-4</v>
      </c>
      <c r="BQ238" s="877">
        <f>$BO238*'Input data plant-based products'!AA51</f>
        <v>1.0944924960757997E-4</v>
      </c>
      <c r="BR238" s="877">
        <f>$BO238*'Input data plant-based products'!AB51</f>
        <v>1.0944924960757997E-4</v>
      </c>
      <c r="BS238" s="877">
        <f>$BO238*'Input data plant-based products'!AC51</f>
        <v>1.1754896074791507E-4</v>
      </c>
      <c r="BT238" s="886">
        <f>$BO238*'Input data plant-based products'!AD51</f>
        <v>1.4162525391315069E-4</v>
      </c>
      <c r="BU238" s="877"/>
      <c r="BV238" s="879">
        <f>('Common input data'!$C$202+'Common input data'!$B$208)*'Input data plant-based products'!AC51</f>
        <v>0.76898705287859992</v>
      </c>
      <c r="BW238" s="886">
        <f>('Common input data'!$C$202+'Common input data'!$B$208)*'Input data plant-based products'!AD51</f>
        <v>0.92649042515493973</v>
      </c>
    </row>
    <row r="239" spans="1:253" s="406" customFormat="1" ht="17.25">
      <c r="A239" s="68"/>
      <c r="B239" s="55"/>
      <c r="C239" s="917"/>
      <c r="D239" s="5"/>
      <c r="E239" s="1294" t="s">
        <v>317</v>
      </c>
      <c r="F239" s="877">
        <f>IF(AND($G$2="No",$G$3="No"),SUM(K239:L239),IF(AND($G$2="Yes", $G$3="No"), (SUM(K239:L239)+S239), IF(AND($G$2="No", $G$3="Yes"),(SUM(K239:L239)+R239), (SUM(K239:L239)+S239+R239))))</f>
        <v>0.23829120623700201</v>
      </c>
      <c r="G239" s="877">
        <f>IF(AND($G$2="No",$G$3="No"),SUM(I239:Q239),IF(AND($G$2="Yes", $G$3="No"), (SUM(I239:Q239)+S239), IF(AND($G$2="No", $G$3="Yes"),(SUM(I239:Q239)+R239), (SUM(I239:Q239)+S239+R239))))</f>
        <v>0.37026111184770605</v>
      </c>
      <c r="H239" s="878">
        <f>SUM(U239:W239)/(1-'Common input data'!H143)</f>
        <v>0.62213936075293574</v>
      </c>
      <c r="I239" s="877">
        <f>('Input data plant-based products'!$F$51*('Common input data'!$C$93*'Common input data'!B86+'Common input data'!$C$94*'Common input data'!C86))/'Input data plant-based products'!$E$51</f>
        <v>1.6138403305261093E-2</v>
      </c>
      <c r="J239" s="877">
        <f>'Common input data'!$B$98</f>
        <v>0.03</v>
      </c>
      <c r="K239" s="877">
        <v>0</v>
      </c>
      <c r="L239" s="877">
        <v>0</v>
      </c>
      <c r="M239" s="877"/>
      <c r="N239" s="877">
        <f>('Input data plant-based products'!$P$51*'Common input data'!$C$76*'Common input data'!H66)/'Input data plant-based products'!$E$51</f>
        <v>4.009270703864018E-2</v>
      </c>
      <c r="O239" s="877">
        <v>0</v>
      </c>
      <c r="P239" s="877">
        <v>0</v>
      </c>
      <c r="Q239" s="877">
        <f>'Input data plant-based products'!$B$268*'Common input data'!$B$76*'Common input data'!B66+'Input data plant-based products'!C267*'Common input data'!C80</f>
        <v>4.5738795266802759E-2</v>
      </c>
      <c r="R239" s="877">
        <f>'Common input data'!$C$19</f>
        <v>0.23829120623700201</v>
      </c>
      <c r="S239" s="877">
        <v>0</v>
      </c>
      <c r="T239" s="877">
        <v>0</v>
      </c>
      <c r="U239" s="877">
        <f>(G239+T239)</f>
        <v>0.37026111184770605</v>
      </c>
      <c r="V239" s="877">
        <f>'Common input data'!$B$105</f>
        <v>0.05</v>
      </c>
      <c r="W239" s="877">
        <f>'Common input data'!B116+'Common input data'!C116</f>
        <v>0.13</v>
      </c>
      <c r="X239" s="864"/>
      <c r="Y239" s="879"/>
      <c r="Z239" s="877"/>
      <c r="AA239" s="877"/>
      <c r="AB239" s="877"/>
      <c r="AC239" s="877"/>
      <c r="AD239" s="886"/>
      <c r="AE239" s="877"/>
      <c r="AF239" s="879"/>
      <c r="AG239" s="877"/>
      <c r="AH239" s="877"/>
      <c r="AI239" s="877"/>
      <c r="AJ239" s="877"/>
      <c r="AK239" s="886"/>
      <c r="AL239" s="877"/>
      <c r="AM239" s="879"/>
      <c r="AN239" s="877"/>
      <c r="AO239" s="877"/>
      <c r="AP239" s="877"/>
      <c r="AQ239" s="877"/>
      <c r="AR239" s="886"/>
      <c r="AS239" s="877"/>
      <c r="AT239" s="879"/>
      <c r="AU239" s="877"/>
      <c r="AV239" s="877"/>
      <c r="AW239" s="877"/>
      <c r="AX239" s="877"/>
      <c r="AY239" s="886"/>
      <c r="AZ239" s="877"/>
      <c r="BA239" s="879"/>
      <c r="BB239" s="877"/>
      <c r="BC239" s="877"/>
      <c r="BD239" s="877"/>
      <c r="BE239" s="877"/>
      <c r="BF239" s="886"/>
      <c r="BG239" s="877"/>
      <c r="BH239" s="879"/>
      <c r="BI239" s="877"/>
      <c r="BJ239" s="877"/>
      <c r="BK239" s="877"/>
      <c r="BL239" s="877"/>
      <c r="BM239" s="886"/>
      <c r="BN239" s="877"/>
      <c r="BO239" s="879"/>
      <c r="BP239" s="877"/>
      <c r="BQ239" s="877"/>
      <c r="BR239" s="877"/>
      <c r="BS239" s="877"/>
      <c r="BT239" s="886"/>
      <c r="BU239" s="877"/>
      <c r="BV239" s="879"/>
      <c r="BW239" s="886"/>
    </row>
    <row r="240" spans="1:253" s="406" customFormat="1" ht="17.25">
      <c r="A240" s="18"/>
      <c r="B240" s="55"/>
      <c r="C240" s="595"/>
      <c r="D240" s="50"/>
      <c r="E240" s="1294" t="s">
        <v>367</v>
      </c>
      <c r="F240" s="877">
        <f>SUM(K240:L240)</f>
        <v>0</v>
      </c>
      <c r="G240" s="877">
        <f>SUM(I240:Q240)</f>
        <v>6.1541797070134178E-5</v>
      </c>
      <c r="H240" s="878">
        <f>SUM(U240:W240)/(1-'Common input data'!H143)</f>
        <v>6.9580738061309519E-5</v>
      </c>
      <c r="I240" s="877">
        <f>('Input data plant-based products'!$F$51*('Common input data'!$C$93*'Common input data'!B87+'Common input data'!$C$94*'Common input data'!C87))/'Input data plant-based products'!$E$51</f>
        <v>2.960509976626866E-5</v>
      </c>
      <c r="J240" s="877">
        <v>0</v>
      </c>
      <c r="K240" s="877">
        <v>0</v>
      </c>
      <c r="L240" s="877">
        <v>0</v>
      </c>
      <c r="M240" s="877"/>
      <c r="N240" s="877">
        <f>('Input data plant-based products'!$P$51*'Common input data'!$C$76*'Common input data'!H67)/'Input data plant-based products'!$E$51</f>
        <v>1.7759717303865506E-5</v>
      </c>
      <c r="O240" s="877">
        <v>0</v>
      </c>
      <c r="P240" s="877">
        <v>0</v>
      </c>
      <c r="Q240" s="877">
        <f>'Input data plant-based products'!$B$268*'Common input data'!$B$76*'Common input data'!B67</f>
        <v>1.4176980000000002E-5</v>
      </c>
      <c r="R240" s="877">
        <v>0</v>
      </c>
      <c r="S240" s="877">
        <v>0</v>
      </c>
      <c r="T240" s="877">
        <v>0</v>
      </c>
      <c r="U240" s="877">
        <f>(G240+T240)</f>
        <v>6.1541797070134178E-5</v>
      </c>
      <c r="V240" s="877">
        <v>0</v>
      </c>
      <c r="W240" s="877">
        <v>0</v>
      </c>
      <c r="X240" s="864"/>
      <c r="Y240" s="879"/>
      <c r="Z240" s="877"/>
      <c r="AA240" s="877"/>
      <c r="AB240" s="877"/>
      <c r="AC240" s="877"/>
      <c r="AD240" s="886"/>
      <c r="AE240" s="877"/>
      <c r="AF240" s="879"/>
      <c r="AG240" s="877"/>
      <c r="AH240" s="877"/>
      <c r="AI240" s="877"/>
      <c r="AJ240" s="877"/>
      <c r="AK240" s="886"/>
      <c r="AL240" s="877"/>
      <c r="AM240" s="879"/>
      <c r="AN240" s="877"/>
      <c r="AO240" s="877"/>
      <c r="AP240" s="877"/>
      <c r="AQ240" s="877"/>
      <c r="AR240" s="886"/>
      <c r="AS240" s="877"/>
      <c r="AT240" s="879"/>
      <c r="AU240" s="877"/>
      <c r="AV240" s="877"/>
      <c r="AW240" s="877"/>
      <c r="AX240" s="877"/>
      <c r="AY240" s="886"/>
      <c r="AZ240" s="877"/>
      <c r="BA240" s="879"/>
      <c r="BB240" s="877"/>
      <c r="BC240" s="877"/>
      <c r="BD240" s="877"/>
      <c r="BE240" s="877"/>
      <c r="BF240" s="886"/>
      <c r="BG240" s="877"/>
      <c r="BH240" s="879"/>
      <c r="BI240" s="877"/>
      <c r="BJ240" s="877"/>
      <c r="BK240" s="877"/>
      <c r="BL240" s="877"/>
      <c r="BM240" s="886"/>
      <c r="BN240" s="877"/>
      <c r="BO240" s="879"/>
      <c r="BP240" s="877"/>
      <c r="BQ240" s="877"/>
      <c r="BR240" s="877"/>
      <c r="BS240" s="877"/>
      <c r="BT240" s="886"/>
      <c r="BU240" s="877"/>
      <c r="BV240" s="879"/>
      <c r="BW240" s="886"/>
    </row>
    <row r="241" spans="1:253" s="502" customFormat="1" ht="17.25">
      <c r="A241" s="359"/>
      <c r="B241" s="360"/>
      <c r="C241" s="83"/>
      <c r="D241" s="54"/>
      <c r="E241" s="1295" t="s">
        <v>320</v>
      </c>
      <c r="F241" s="877">
        <f>SUM(K241:L241)</f>
        <v>3.1809312532169685E-4</v>
      </c>
      <c r="G241" s="877">
        <f>SUM(I241:Q241)</f>
        <v>3.5595110128086528E-4</v>
      </c>
      <c r="H241" s="878">
        <f>SUM(U241:W241)/(1-'Common input data'!H143)</f>
        <v>4.0244746692452314E-4</v>
      </c>
      <c r="I241" s="877">
        <f>('Input data plant-based products'!$F$51*('Common input data'!$C$93*'Common input data'!B88+'Common input data'!$C$94*'Common input data'!C88))/'Input data plant-based products'!$E$51</f>
        <v>3.5459059709531624E-5</v>
      </c>
      <c r="J241" s="877">
        <v>0</v>
      </c>
      <c r="K241" s="877">
        <f>(SUM(('Input data plant-based products'!$F$51*'Input data plant-based products'!$B$258),(('Input data plant-based products'!$G$51+'Input data plant-based products'!$H$51)*'Input data plant-based products'!$B$259))*44/28)/'Input data plant-based products'!$E$51</f>
        <v>2.8917556847426985E-4</v>
      </c>
      <c r="L241" s="877">
        <f>K241*'Input data plant-based products'!$B$261</f>
        <v>2.8917556847426986E-5</v>
      </c>
      <c r="M241" s="877"/>
      <c r="N241" s="877">
        <f>('Input data plant-based products'!$P$51*'Common input data'!$C$76*'Common input data'!H68)/'Input data plant-based products'!$E$51</f>
        <v>1.0773066696368015E-6</v>
      </c>
      <c r="O241" s="877">
        <v>0</v>
      </c>
      <c r="P241" s="877">
        <v>0</v>
      </c>
      <c r="Q241" s="877">
        <f>'Input data plant-based products'!$B$268*'Common input data'!$B$76*'Common input data'!B68</f>
        <v>1.32160958E-6</v>
      </c>
      <c r="R241" s="877">
        <v>0</v>
      </c>
      <c r="S241" s="877">
        <v>0</v>
      </c>
      <c r="T241" s="877">
        <v>0</v>
      </c>
      <c r="U241" s="877">
        <f>(G241+T241)</f>
        <v>3.5595110128086528E-4</v>
      </c>
      <c r="V241" s="877">
        <v>0</v>
      </c>
      <c r="W241" s="877">
        <v>0</v>
      </c>
      <c r="X241" s="864"/>
      <c r="Y241" s="879"/>
      <c r="Z241" s="877"/>
      <c r="AA241" s="877"/>
      <c r="AB241" s="877"/>
      <c r="AC241" s="877"/>
      <c r="AD241" s="886"/>
      <c r="AE241" s="877"/>
      <c r="AF241" s="879"/>
      <c r="AG241" s="877"/>
      <c r="AH241" s="877"/>
      <c r="AI241" s="877"/>
      <c r="AJ241" s="877"/>
      <c r="AK241" s="886"/>
      <c r="AL241" s="877"/>
      <c r="AM241" s="879"/>
      <c r="AN241" s="877"/>
      <c r="AO241" s="877"/>
      <c r="AP241" s="877"/>
      <c r="AQ241" s="877"/>
      <c r="AR241" s="886"/>
      <c r="AS241" s="877"/>
      <c r="AT241" s="879"/>
      <c r="AU241" s="877"/>
      <c r="AV241" s="877"/>
      <c r="AW241" s="877"/>
      <c r="AX241" s="877"/>
      <c r="AY241" s="886"/>
      <c r="AZ241" s="877"/>
      <c r="BA241" s="879"/>
      <c r="BB241" s="877"/>
      <c r="BC241" s="877"/>
      <c r="BD241" s="877"/>
      <c r="BE241" s="877"/>
      <c r="BF241" s="886"/>
      <c r="BG241" s="877"/>
      <c r="BH241" s="879"/>
      <c r="BI241" s="877"/>
      <c r="BJ241" s="877"/>
      <c r="BK241" s="877"/>
      <c r="BL241" s="877"/>
      <c r="BM241" s="886"/>
      <c r="BN241" s="877"/>
      <c r="BO241" s="879"/>
      <c r="BP241" s="877"/>
      <c r="BQ241" s="877"/>
      <c r="BR241" s="877"/>
      <c r="BS241" s="877"/>
      <c r="BT241" s="886"/>
      <c r="BU241" s="877"/>
      <c r="BV241" s="879"/>
      <c r="BW241" s="886"/>
      <c r="BX241" s="406"/>
      <c r="BY241" s="406"/>
      <c r="BZ241" s="406"/>
      <c r="CA241" s="406"/>
      <c r="CB241" s="406"/>
      <c r="CC241" s="406"/>
      <c r="CD241" s="406"/>
      <c r="CE241" s="406"/>
      <c r="CF241" s="406"/>
      <c r="CG241" s="406"/>
      <c r="CH241" s="406"/>
      <c r="CI241" s="406"/>
      <c r="CJ241" s="406"/>
      <c r="CK241" s="406"/>
      <c r="CL241" s="406"/>
      <c r="CM241" s="406"/>
      <c r="CN241" s="406"/>
      <c r="CO241" s="406"/>
      <c r="CP241" s="406"/>
      <c r="CQ241" s="406"/>
      <c r="CR241" s="406"/>
      <c r="CS241" s="406"/>
      <c r="CT241" s="406"/>
      <c r="CU241" s="406"/>
      <c r="CV241" s="406"/>
      <c r="CW241" s="406"/>
      <c r="CX241" s="406"/>
      <c r="CY241" s="406"/>
      <c r="CZ241" s="406"/>
      <c r="DA241" s="406"/>
      <c r="DB241" s="406"/>
      <c r="DC241" s="406"/>
      <c r="DD241" s="406"/>
      <c r="DE241" s="406"/>
      <c r="DF241" s="406"/>
      <c r="DG241" s="406"/>
      <c r="DH241" s="406"/>
      <c r="DI241" s="406"/>
      <c r="DJ241" s="406"/>
      <c r="DK241" s="406"/>
      <c r="DL241" s="406"/>
      <c r="DM241" s="406"/>
      <c r="DN241" s="406"/>
      <c r="DO241" s="406"/>
      <c r="DP241" s="406"/>
      <c r="DQ241" s="406"/>
      <c r="DR241" s="406"/>
      <c r="DS241" s="406"/>
      <c r="DT241" s="406"/>
      <c r="DU241" s="406"/>
      <c r="DV241" s="406"/>
      <c r="DW241" s="406"/>
      <c r="DX241" s="406"/>
      <c r="DY241" s="406"/>
      <c r="DZ241" s="406"/>
      <c r="EA241" s="406"/>
      <c r="EB241" s="406"/>
      <c r="EC241" s="406"/>
      <c r="ED241" s="406"/>
      <c r="EE241" s="406"/>
      <c r="EF241" s="406"/>
      <c r="EG241" s="406"/>
      <c r="EH241" s="406"/>
      <c r="EI241" s="406"/>
      <c r="EJ241" s="406"/>
      <c r="EK241" s="406"/>
      <c r="EL241" s="406"/>
      <c r="EM241" s="406"/>
      <c r="EN241" s="406"/>
      <c r="EO241" s="406"/>
      <c r="EP241" s="406"/>
      <c r="EQ241" s="406"/>
      <c r="ER241" s="406"/>
      <c r="ES241" s="406"/>
      <c r="ET241" s="406"/>
      <c r="EU241" s="406"/>
      <c r="EV241" s="406"/>
      <c r="EW241" s="406"/>
      <c r="EX241" s="406"/>
      <c r="EY241" s="406"/>
      <c r="EZ241" s="406"/>
      <c r="FA241" s="406"/>
      <c r="FB241" s="406"/>
      <c r="FC241" s="406"/>
      <c r="FD241" s="406"/>
      <c r="FE241" s="406"/>
      <c r="FF241" s="406"/>
      <c r="FG241" s="406"/>
      <c r="FH241" s="406"/>
      <c r="FI241" s="406"/>
      <c r="FJ241" s="406"/>
      <c r="FK241" s="406"/>
      <c r="FL241" s="406"/>
      <c r="FM241" s="406"/>
      <c r="FN241" s="406"/>
      <c r="FO241" s="406"/>
      <c r="FP241" s="406"/>
      <c r="FQ241" s="406"/>
      <c r="FR241" s="406"/>
      <c r="FS241" s="406"/>
      <c r="FT241" s="406"/>
      <c r="FU241" s="406"/>
      <c r="FV241" s="406"/>
      <c r="FW241" s="406"/>
      <c r="FX241" s="406"/>
      <c r="FY241" s="406"/>
      <c r="FZ241" s="406"/>
      <c r="GA241" s="406"/>
      <c r="GB241" s="406"/>
      <c r="GC241" s="406"/>
      <c r="GD241" s="406"/>
      <c r="GE241" s="406"/>
      <c r="GF241" s="406"/>
      <c r="GG241" s="406"/>
      <c r="GH241" s="406"/>
      <c r="GI241" s="406"/>
      <c r="GJ241" s="406"/>
      <c r="GK241" s="406"/>
      <c r="GL241" s="406"/>
      <c r="GM241" s="406"/>
      <c r="GN241" s="406"/>
      <c r="GO241" s="406"/>
      <c r="GP241" s="406"/>
      <c r="GQ241" s="406"/>
      <c r="GR241" s="406"/>
      <c r="GS241" s="406"/>
      <c r="GT241" s="406"/>
      <c r="GU241" s="406"/>
      <c r="GV241" s="406"/>
      <c r="GW241" s="406"/>
      <c r="GX241" s="406"/>
      <c r="GY241" s="406"/>
      <c r="GZ241" s="406"/>
      <c r="HA241" s="406"/>
      <c r="HB241" s="406"/>
      <c r="HC241" s="406"/>
      <c r="HD241" s="406"/>
      <c r="HE241" s="406"/>
      <c r="HF241" s="406"/>
      <c r="HG241" s="406"/>
      <c r="HH241" s="406"/>
      <c r="HI241" s="406"/>
      <c r="HJ241" s="406"/>
      <c r="HK241" s="406"/>
      <c r="HL241" s="406"/>
      <c r="HM241" s="406"/>
      <c r="HN241" s="406"/>
      <c r="HO241" s="406"/>
      <c r="HP241" s="406"/>
      <c r="HQ241" s="406"/>
      <c r="HR241" s="406"/>
      <c r="HS241" s="406"/>
      <c r="HT241" s="406"/>
      <c r="HU241" s="406"/>
      <c r="HV241" s="406"/>
      <c r="HW241" s="406"/>
      <c r="HX241" s="406"/>
      <c r="HY241" s="406"/>
      <c r="HZ241" s="406"/>
      <c r="IA241" s="406"/>
      <c r="IB241" s="406"/>
      <c r="IC241" s="406"/>
      <c r="ID241" s="406"/>
      <c r="IE241" s="406"/>
      <c r="IF241" s="406"/>
      <c r="IG241" s="406"/>
      <c r="IH241" s="406"/>
      <c r="II241" s="406"/>
      <c r="IJ241" s="406"/>
      <c r="IK241" s="406"/>
      <c r="IL241" s="406"/>
      <c r="IM241" s="406"/>
      <c r="IN241" s="406"/>
      <c r="IO241" s="406"/>
      <c r="IP241" s="406"/>
      <c r="IQ241" s="406"/>
      <c r="IR241" s="406"/>
      <c r="IS241" s="406"/>
    </row>
    <row r="242" spans="1:253" s="406" customFormat="1" ht="17.25">
      <c r="A242" s="20" t="s">
        <v>148</v>
      </c>
      <c r="B242" s="93" t="s">
        <v>121</v>
      </c>
      <c r="C242" s="87">
        <f>'Input data plant-based products'!D52</f>
        <v>0.1400984531628944</v>
      </c>
      <c r="D242" s="54"/>
      <c r="E242" s="1293" t="s">
        <v>316</v>
      </c>
      <c r="F242" s="872">
        <f>SUMPRODUCT($CE$14:$CE$16,F243:F245)</f>
        <v>0.33615748656605687</v>
      </c>
      <c r="G242" s="872">
        <f>SUMPRODUCT($CE$14:$CE$16,G243:G245)</f>
        <v>0.46832693197880837</v>
      </c>
      <c r="H242" s="873">
        <f>SUMPRODUCT($CE$14:$CE$16,H243:H245)</f>
        <v>0.64832693197880831</v>
      </c>
      <c r="I242" s="888"/>
      <c r="J242" s="888"/>
      <c r="K242" s="888"/>
      <c r="L242" s="888"/>
      <c r="M242" s="888"/>
      <c r="N242" s="888"/>
      <c r="O242" s="888"/>
      <c r="P242" s="888"/>
      <c r="Q242" s="888"/>
      <c r="R242" s="888"/>
      <c r="S242" s="888"/>
      <c r="T242" s="888"/>
      <c r="U242" s="888"/>
      <c r="V242" s="888"/>
      <c r="W242" s="888"/>
      <c r="X242" s="864"/>
      <c r="Y242" s="879">
        <f>1/'Input data plant-based products'!E52*10^4</f>
        <v>2.8734452606123417</v>
      </c>
      <c r="Z242" s="877">
        <f>$Y242*'Input data plant-based products'!Z52</f>
        <v>2.8734452606123417</v>
      </c>
      <c r="AA242" s="877">
        <f>$Y242*'Input data plant-based products'!AA52</f>
        <v>2.8734452606123417</v>
      </c>
      <c r="AB242" s="877">
        <f>$Y242*'Input data plant-based products'!AB52</f>
        <v>2.8734452606123417</v>
      </c>
      <c r="AC242" s="877">
        <f>$Y242*'Input data plant-based products'!AC52</f>
        <v>3.0860924616847281</v>
      </c>
      <c r="AD242" s="886">
        <f>$Y242*'Input data plant-based products'!AD52</f>
        <v>3.7181836887767812</v>
      </c>
      <c r="AE242" s="877"/>
      <c r="AF242" s="879">
        <f>SUM('Input data plant-based products'!F52,'Input data plant-based products'!Q52)/'Input data plant-based products'!E52</f>
        <v>1.2643159146694304E-2</v>
      </c>
      <c r="AG242" s="877">
        <f>$AF242*'Input data plant-based products'!Z52</f>
        <v>1.2643159146694304E-2</v>
      </c>
      <c r="AH242" s="877">
        <f>$AF242*'Input data plant-based products'!AA52</f>
        <v>1.2643159146694304E-2</v>
      </c>
      <c r="AI242" s="877">
        <f>$AF242*'Input data plant-based products'!AB52</f>
        <v>1.2643159146694304E-2</v>
      </c>
      <c r="AJ242" s="877">
        <f>$AF242*'Input data plant-based products'!AC52</f>
        <v>1.3578806831412804E-2</v>
      </c>
      <c r="AK242" s="886">
        <f>$AF242*'Input data plant-based products'!AD52</f>
        <v>1.6360008230617836E-2</v>
      </c>
      <c r="AL242" s="877"/>
      <c r="AM242" s="879">
        <f>'Input data plant-based products'!R52/'Input data plant-based products'!E52</f>
        <v>1.5516604407306645E-2</v>
      </c>
      <c r="AN242" s="877">
        <f>$AM242*'Input data plant-based products'!Z52</f>
        <v>1.5516604407306645E-2</v>
      </c>
      <c r="AO242" s="877">
        <f>$AM242*'Input data plant-based products'!AA52</f>
        <v>1.5516604407306645E-2</v>
      </c>
      <c r="AP242" s="877">
        <f>$AM242*'Input data plant-based products'!AB52</f>
        <v>1.5516604407306645E-2</v>
      </c>
      <c r="AQ242" s="877">
        <f>$AM242*'Input data plant-based products'!AC52</f>
        <v>1.6664899293097533E-2</v>
      </c>
      <c r="AR242" s="886">
        <f>$AM242*'Input data plant-based products'!AD52</f>
        <v>2.0078191919394618E-2</v>
      </c>
      <c r="AS242" s="877"/>
      <c r="AT242" s="879">
        <f>'Input data plant-based products'!S52</f>
        <v>7.6498170100851E-3</v>
      </c>
      <c r="AU242" s="877">
        <f>$AT242*'Input data plant-based products'!Z52</f>
        <v>7.6498170100851E-3</v>
      </c>
      <c r="AV242" s="877">
        <f>$AT242*'Input data plant-based products'!AA52</f>
        <v>7.6498170100851E-3</v>
      </c>
      <c r="AW242" s="877">
        <f>$AT242*'Input data plant-based products'!AB52</f>
        <v>7.6498170100851E-3</v>
      </c>
      <c r="AX242" s="877">
        <f>$AT242*'Input data plant-based products'!AC52</f>
        <v>8.2159360860976603E-3</v>
      </c>
      <c r="AY242" s="886">
        <f>$AT242*'Input data plant-based products'!AD52</f>
        <v>9.8987181760212765E-3</v>
      </c>
      <c r="AZ242" s="877"/>
      <c r="BA242" s="879">
        <f>((SUM('Input data plant-based products'!U52:Y52)*Y242)/('Common input data'!$B$192/10^6))/$BB$3</f>
        <v>6.358366584876561E-11</v>
      </c>
      <c r="BB242" s="877">
        <f>$BA242*'Input data plant-based products'!Z52</f>
        <v>6.358366584876561E-11</v>
      </c>
      <c r="BC242" s="877">
        <f>$BA242*'Input data plant-based products'!AA52</f>
        <v>6.358366584876561E-11</v>
      </c>
      <c r="BD242" s="877">
        <f>$BA242*'Input data plant-based products'!AB52</f>
        <v>6.358366584876561E-11</v>
      </c>
      <c r="BE242" s="877">
        <f>$BA242*'Input data plant-based products'!AC52</f>
        <v>6.8289128229413339E-11</v>
      </c>
      <c r="BF242" s="886">
        <f>$BA242*'Input data plant-based products'!AD52</f>
        <v>8.2276058107726922E-11</v>
      </c>
      <c r="BG242" s="877"/>
      <c r="BH242" s="879">
        <f>'Input data plant-based products'!T52/'Input data plant-based products'!E52</f>
        <v>0</v>
      </c>
      <c r="BI242" s="877">
        <f>$BH242*'Input data plant-based products'!Z52</f>
        <v>0</v>
      </c>
      <c r="BJ242" s="877">
        <f>$BH242*'Input data plant-based products'!AA52</f>
        <v>0</v>
      </c>
      <c r="BK242" s="877">
        <f>$BH242*'Input data plant-based products'!AB52</f>
        <v>0</v>
      </c>
      <c r="BL242" s="877">
        <f>$BH242*'Input data plant-based products'!AC52</f>
        <v>0</v>
      </c>
      <c r="BM242" s="886">
        <f>$BH242*'Input data plant-based products'!AD52</f>
        <v>0</v>
      </c>
      <c r="BN242" s="877"/>
      <c r="BO242" s="879">
        <f>('Input data plant-based products'!F52/'Input data plant-based products'!E52*'Common input data'!$B$195+'Input data plant-based products'!G52/'Input data plant-based products'!E52*'Common input data'!$B$196)/'Common input data'!$B$198</f>
        <v>1.4673956891600838E-4</v>
      </c>
      <c r="BP242" s="877">
        <f>$BO242*'Input data plant-based products'!Z52</f>
        <v>1.4673956891600838E-4</v>
      </c>
      <c r="BQ242" s="877">
        <f>$BO242*'Input data plant-based products'!AA52</f>
        <v>1.4673956891600838E-4</v>
      </c>
      <c r="BR242" s="877">
        <f>$BO242*'Input data plant-based products'!AB52</f>
        <v>1.4673956891600838E-4</v>
      </c>
      <c r="BS242" s="877">
        <f>$BO242*'Input data plant-based products'!AC52</f>
        <v>1.5759892268351608E-4</v>
      </c>
      <c r="BT242" s="886">
        <f>$BO242*'Input data plant-based products'!AD52</f>
        <v>1.8987822010062177E-4</v>
      </c>
      <c r="BU242" s="877"/>
      <c r="BV242" s="879">
        <f>('Common input data'!$C$202+'Common input data'!$B$209)*'Input data plant-based products'!AC52</f>
        <v>0.72065686100773829</v>
      </c>
      <c r="BW242" s="886">
        <f>('Common input data'!$C$202+'Common input data'!$B$209)*'Input data plant-based products'!AD52</f>
        <v>0.86826127832257627</v>
      </c>
    </row>
    <row r="243" spans="1:253" s="406" customFormat="1" ht="17.25">
      <c r="A243" s="68"/>
      <c r="B243" s="55"/>
      <c r="C243" s="917"/>
      <c r="D243" s="5"/>
      <c r="E243" s="1294" t="s">
        <v>317</v>
      </c>
      <c r="F243" s="877">
        <f>IF(AND($G$2="No",$G$3="No"),SUM(K243:L243),IF(AND($G$2="Yes", $G$3="No"), (SUM(K243:L243)+S243), IF(AND($G$2="No", $G$3="Yes"),(SUM(K243:L243)+R243), (SUM(K243:L243)+S243+R243))))</f>
        <v>0.23829120623700201</v>
      </c>
      <c r="G243" s="877">
        <f>IF(AND($G$2="No",$G$3="No"),SUM(I243:Q243),IF(AND($G$2="Yes", $G$3="No"), (SUM(I243:Q243)+S243), IF(AND($G$2="No", $G$3="Yes"),(SUM(I243:Q243)+R243), (SUM(I243:Q243)+S243+R243))))</f>
        <v>0.35566690036329857</v>
      </c>
      <c r="H243" s="878">
        <f>SUM(U243:W243)/(1-'Common input data'!H147)</f>
        <v>0.53566690036329856</v>
      </c>
      <c r="I243" s="877">
        <f>('Input data plant-based products'!$F$52*('Common input data'!$C$93*'Common input data'!B86+'Common input data'!$C$94*'Common input data'!C86))/'Input data plant-based products'!$E$52</f>
        <v>2.1636898859493783E-2</v>
      </c>
      <c r="J243" s="877">
        <f>'Common input data'!$B$98</f>
        <v>0.03</v>
      </c>
      <c r="K243" s="877">
        <v>0</v>
      </c>
      <c r="L243" s="877">
        <v>0</v>
      </c>
      <c r="M243" s="877"/>
      <c r="N243" s="877">
        <f>('Input data plant-based products'!$P$52*'Common input data'!$C$76*'Common input data'!H70)/'Input data plant-based products'!$E$52</f>
        <v>0</v>
      </c>
      <c r="O243" s="877">
        <v>0</v>
      </c>
      <c r="P243" s="877">
        <f>'Input data plant-based products'!$G$309</f>
        <v>0.02</v>
      </c>
      <c r="Q243" s="877">
        <f>'Input data plant-based products'!$B$268*'Common input data'!$B$76*'Common input data'!B66+'Input data plant-based products'!C267*'Common input data'!C80</f>
        <v>4.5738795266802759E-2</v>
      </c>
      <c r="R243" s="877">
        <f>'Common input data'!$C$19</f>
        <v>0.23829120623700201</v>
      </c>
      <c r="S243" s="877">
        <v>0</v>
      </c>
      <c r="T243" s="877">
        <v>0</v>
      </c>
      <c r="U243" s="877">
        <f>(G243+T243)</f>
        <v>0.35566690036329857</v>
      </c>
      <c r="V243" s="877">
        <f>'Common input data'!$B$105</f>
        <v>0.05</v>
      </c>
      <c r="W243" s="877">
        <f>'Common input data'!B116+'Common input data'!C116</f>
        <v>0.13</v>
      </c>
      <c r="X243" s="864"/>
      <c r="Y243" s="879"/>
      <c r="Z243" s="877"/>
      <c r="AA243" s="877"/>
      <c r="AB243" s="877"/>
      <c r="AC243" s="877"/>
      <c r="AD243" s="886"/>
      <c r="AE243" s="877"/>
      <c r="AF243" s="879"/>
      <c r="AG243" s="877"/>
      <c r="AH243" s="877"/>
      <c r="AI243" s="877"/>
      <c r="AJ243" s="877"/>
      <c r="AK243" s="886"/>
      <c r="AL243" s="877"/>
      <c r="AM243" s="879"/>
      <c r="AN243" s="877"/>
      <c r="AO243" s="877"/>
      <c r="AP243" s="877"/>
      <c r="AQ243" s="877"/>
      <c r="AR243" s="886"/>
      <c r="AS243" s="877"/>
      <c r="AT243" s="879"/>
      <c r="AU243" s="877"/>
      <c r="AV243" s="877"/>
      <c r="AW243" s="877"/>
      <c r="AX243" s="877"/>
      <c r="AY243" s="886"/>
      <c r="AZ243" s="877"/>
      <c r="BA243" s="879"/>
      <c r="BB243" s="877"/>
      <c r="BC243" s="877"/>
      <c r="BD243" s="877"/>
      <c r="BE243" s="877"/>
      <c r="BF243" s="886"/>
      <c r="BG243" s="877"/>
      <c r="BH243" s="879"/>
      <c r="BI243" s="877"/>
      <c r="BJ243" s="877"/>
      <c r="BK243" s="877"/>
      <c r="BL243" s="877"/>
      <c r="BM243" s="886"/>
      <c r="BN243" s="877"/>
      <c r="BO243" s="879"/>
      <c r="BP243" s="877"/>
      <c r="BQ243" s="877"/>
      <c r="BR243" s="877"/>
      <c r="BS243" s="877"/>
      <c r="BT243" s="886"/>
      <c r="BU243" s="877"/>
      <c r="BV243" s="879"/>
      <c r="BW243" s="886"/>
    </row>
    <row r="244" spans="1:253" s="406" customFormat="1" ht="17.25">
      <c r="A244" s="18"/>
      <c r="B244" s="55"/>
      <c r="C244" s="595"/>
      <c r="D244" s="50"/>
      <c r="E244" s="1294" t="s">
        <v>367</v>
      </c>
      <c r="F244" s="877">
        <f>SUM(K244:L244)</f>
        <v>0</v>
      </c>
      <c r="G244" s="877">
        <f>SUM(I244:Q244)</f>
        <v>5.3868796919654975E-5</v>
      </c>
      <c r="H244" s="878">
        <f>SUM(U244:W244)/(1-'Common input data'!H147)</f>
        <v>5.3868796919654975E-5</v>
      </c>
      <c r="I244" s="877">
        <f>('Input data plant-based products'!$F$52*('Common input data'!$C$93*'Common input data'!B87+'Common input data'!$C$94*'Common input data'!C87))/'Input data plant-based products'!$E$52</f>
        <v>3.9691816919654973E-5</v>
      </c>
      <c r="J244" s="877">
        <v>0</v>
      </c>
      <c r="K244" s="877">
        <v>0</v>
      </c>
      <c r="L244" s="877">
        <v>0</v>
      </c>
      <c r="M244" s="877"/>
      <c r="N244" s="877">
        <f>('Input data plant-based products'!$P$52*'Common input data'!$C$76*'Common input data'!H71)/'Input data plant-based products'!$E$52</f>
        <v>0</v>
      </c>
      <c r="O244" s="877">
        <v>0</v>
      </c>
      <c r="P244" s="877">
        <v>0</v>
      </c>
      <c r="Q244" s="877">
        <f>'Input data plant-based products'!$B$268*'Common input data'!$B$76*'Common input data'!B67</f>
        <v>1.4176980000000002E-5</v>
      </c>
      <c r="R244" s="877">
        <v>0</v>
      </c>
      <c r="S244" s="877">
        <v>0</v>
      </c>
      <c r="T244" s="877">
        <v>0</v>
      </c>
      <c r="U244" s="877">
        <f>(G244+T244)</f>
        <v>5.3868796919654975E-5</v>
      </c>
      <c r="V244" s="877">
        <v>0</v>
      </c>
      <c r="W244" s="877">
        <v>0</v>
      </c>
      <c r="X244" s="864"/>
      <c r="Y244" s="879"/>
      <c r="Z244" s="877"/>
      <c r="AA244" s="877"/>
      <c r="AB244" s="877"/>
      <c r="AC244" s="877"/>
      <c r="AD244" s="886"/>
      <c r="AE244" s="877"/>
      <c r="AF244" s="879"/>
      <c r="AG244" s="877"/>
      <c r="AH244" s="877"/>
      <c r="AI244" s="877"/>
      <c r="AJ244" s="877"/>
      <c r="AK244" s="886"/>
      <c r="AL244" s="877"/>
      <c r="AM244" s="879"/>
      <c r="AN244" s="877"/>
      <c r="AO244" s="877"/>
      <c r="AP244" s="877"/>
      <c r="AQ244" s="877"/>
      <c r="AR244" s="886"/>
      <c r="AS244" s="877"/>
      <c r="AT244" s="879"/>
      <c r="AU244" s="877"/>
      <c r="AV244" s="877"/>
      <c r="AW244" s="877"/>
      <c r="AX244" s="877"/>
      <c r="AY244" s="886"/>
      <c r="AZ244" s="877"/>
      <c r="BA244" s="879"/>
      <c r="BB244" s="877"/>
      <c r="BC244" s="877"/>
      <c r="BD244" s="877"/>
      <c r="BE244" s="877"/>
      <c r="BF244" s="886"/>
      <c r="BG244" s="877"/>
      <c r="BH244" s="879"/>
      <c r="BI244" s="877"/>
      <c r="BJ244" s="877"/>
      <c r="BK244" s="877"/>
      <c r="BL244" s="877"/>
      <c r="BM244" s="886"/>
      <c r="BN244" s="877"/>
      <c r="BO244" s="879"/>
      <c r="BP244" s="877"/>
      <c r="BQ244" s="877"/>
      <c r="BR244" s="877"/>
      <c r="BS244" s="877"/>
      <c r="BT244" s="886"/>
      <c r="BU244" s="877"/>
      <c r="BV244" s="879"/>
      <c r="BW244" s="886"/>
    </row>
    <row r="245" spans="1:253" s="502" customFormat="1" ht="17.25">
      <c r="A245" s="359"/>
      <c r="B245" s="360"/>
      <c r="C245" s="83"/>
      <c r="D245" s="54"/>
      <c r="E245" s="1295" t="s">
        <v>320</v>
      </c>
      <c r="F245" s="877">
        <f>SUM(K245:L245)</f>
        <v>3.5848454332987128E-4</v>
      </c>
      <c r="G245" s="877">
        <f>SUM(I245:Q245)</f>
        <v>4.073464252698868E-4</v>
      </c>
      <c r="H245" s="878">
        <f>SUM(U245:W245)/(1-'Common input data'!H147)</f>
        <v>4.073464252698868E-4</v>
      </c>
      <c r="I245" s="877">
        <f>('Input data plant-based products'!$F$52*('Common input data'!$C$93*'Common input data'!B88+'Common input data'!$C$94*'Common input data'!C88))/'Input data plant-based products'!$E$52</f>
        <v>4.7540272360015497E-5</v>
      </c>
      <c r="J245" s="877">
        <v>0</v>
      </c>
      <c r="K245" s="877">
        <f>(SUM(('Input data plant-based products'!$F$52*'Input data plant-based products'!$B$258),(('Input data plant-based products'!$G$52+'Input data plant-based products'!$H$52)*'Input data plant-based products'!$B$259))*44/28)/'Input data plant-based products'!$E$52</f>
        <v>3.258950393907921E-4</v>
      </c>
      <c r="L245" s="877">
        <f>K245*'Input data plant-based products'!$B$261</f>
        <v>3.258950393907921E-5</v>
      </c>
      <c r="M245" s="877"/>
      <c r="N245" s="877">
        <f>('Input data plant-based products'!$P$52*'Common input data'!$C$76*'Common input data'!H72)/'Input data plant-based products'!$E$52</f>
        <v>0</v>
      </c>
      <c r="O245" s="877">
        <v>0</v>
      </c>
      <c r="P245" s="877">
        <v>0</v>
      </c>
      <c r="Q245" s="877">
        <f>'Input data plant-based products'!$B$268*'Common input data'!$B$76*'Common input data'!B68</f>
        <v>1.32160958E-6</v>
      </c>
      <c r="R245" s="877">
        <v>0</v>
      </c>
      <c r="S245" s="877">
        <v>0</v>
      </c>
      <c r="T245" s="877">
        <v>0</v>
      </c>
      <c r="U245" s="877">
        <f>(G245+T245)</f>
        <v>4.073464252698868E-4</v>
      </c>
      <c r="V245" s="877">
        <v>0</v>
      </c>
      <c r="W245" s="877">
        <v>0</v>
      </c>
      <c r="X245" s="864"/>
      <c r="Y245" s="879"/>
      <c r="Z245" s="877"/>
      <c r="AA245" s="877"/>
      <c r="AB245" s="877"/>
      <c r="AC245" s="877"/>
      <c r="AD245" s="886"/>
      <c r="AE245" s="877"/>
      <c r="AF245" s="879"/>
      <c r="AG245" s="877"/>
      <c r="AH245" s="877"/>
      <c r="AI245" s="877"/>
      <c r="AJ245" s="877"/>
      <c r="AK245" s="886"/>
      <c r="AL245" s="877"/>
      <c r="AM245" s="879"/>
      <c r="AN245" s="877"/>
      <c r="AO245" s="877"/>
      <c r="AP245" s="877"/>
      <c r="AQ245" s="877"/>
      <c r="AR245" s="886"/>
      <c r="AS245" s="877"/>
      <c r="AT245" s="879"/>
      <c r="AU245" s="877"/>
      <c r="AV245" s="877"/>
      <c r="AW245" s="877"/>
      <c r="AX245" s="877"/>
      <c r="AY245" s="886"/>
      <c r="AZ245" s="877"/>
      <c r="BA245" s="879"/>
      <c r="BB245" s="877"/>
      <c r="BC245" s="877"/>
      <c r="BD245" s="877"/>
      <c r="BE245" s="877"/>
      <c r="BF245" s="886"/>
      <c r="BG245" s="877"/>
      <c r="BH245" s="879"/>
      <c r="BI245" s="877"/>
      <c r="BJ245" s="877"/>
      <c r="BK245" s="877"/>
      <c r="BL245" s="877"/>
      <c r="BM245" s="886"/>
      <c r="BN245" s="877"/>
      <c r="BO245" s="879"/>
      <c r="BP245" s="877"/>
      <c r="BQ245" s="877"/>
      <c r="BR245" s="877"/>
      <c r="BS245" s="877"/>
      <c r="BT245" s="886"/>
      <c r="BU245" s="877"/>
      <c r="BV245" s="879"/>
      <c r="BW245" s="886"/>
      <c r="BX245" s="406"/>
      <c r="BY245" s="406"/>
      <c r="BZ245" s="406"/>
      <c r="CA245" s="406"/>
      <c r="CB245" s="406"/>
      <c r="CC245" s="406"/>
      <c r="CD245" s="406"/>
      <c r="CE245" s="406"/>
      <c r="CF245" s="406"/>
      <c r="CG245" s="406"/>
      <c r="CH245" s="406"/>
      <c r="CI245" s="406"/>
      <c r="CJ245" s="406"/>
      <c r="CK245" s="406"/>
      <c r="CL245" s="406"/>
      <c r="CM245" s="406"/>
      <c r="CN245" s="406"/>
      <c r="CO245" s="406"/>
      <c r="CP245" s="406"/>
      <c r="CQ245" s="406"/>
      <c r="CR245" s="406"/>
      <c r="CS245" s="406"/>
      <c r="CT245" s="406"/>
      <c r="CU245" s="406"/>
      <c r="CV245" s="406"/>
      <c r="CW245" s="406"/>
      <c r="CX245" s="406"/>
      <c r="CY245" s="406"/>
      <c r="CZ245" s="406"/>
      <c r="DA245" s="406"/>
      <c r="DB245" s="406"/>
      <c r="DC245" s="406"/>
      <c r="DD245" s="406"/>
      <c r="DE245" s="406"/>
      <c r="DF245" s="406"/>
      <c r="DG245" s="406"/>
      <c r="DH245" s="406"/>
      <c r="DI245" s="406"/>
      <c r="DJ245" s="406"/>
      <c r="DK245" s="406"/>
      <c r="DL245" s="406"/>
      <c r="DM245" s="406"/>
      <c r="DN245" s="406"/>
      <c r="DO245" s="406"/>
      <c r="DP245" s="406"/>
      <c r="DQ245" s="406"/>
      <c r="DR245" s="406"/>
      <c r="DS245" s="406"/>
      <c r="DT245" s="406"/>
      <c r="DU245" s="406"/>
      <c r="DV245" s="406"/>
      <c r="DW245" s="406"/>
      <c r="DX245" s="406"/>
      <c r="DY245" s="406"/>
      <c r="DZ245" s="406"/>
      <c r="EA245" s="406"/>
      <c r="EB245" s="406"/>
      <c r="EC245" s="406"/>
      <c r="ED245" s="406"/>
      <c r="EE245" s="406"/>
      <c r="EF245" s="406"/>
      <c r="EG245" s="406"/>
      <c r="EH245" s="406"/>
      <c r="EI245" s="406"/>
      <c r="EJ245" s="406"/>
      <c r="EK245" s="406"/>
      <c r="EL245" s="406"/>
      <c r="EM245" s="406"/>
      <c r="EN245" s="406"/>
      <c r="EO245" s="406"/>
      <c r="EP245" s="406"/>
      <c r="EQ245" s="406"/>
      <c r="ER245" s="406"/>
      <c r="ES245" s="406"/>
      <c r="ET245" s="406"/>
      <c r="EU245" s="406"/>
      <c r="EV245" s="406"/>
      <c r="EW245" s="406"/>
      <c r="EX245" s="406"/>
      <c r="EY245" s="406"/>
      <c r="EZ245" s="406"/>
      <c r="FA245" s="406"/>
      <c r="FB245" s="406"/>
      <c r="FC245" s="406"/>
      <c r="FD245" s="406"/>
      <c r="FE245" s="406"/>
      <c r="FF245" s="406"/>
      <c r="FG245" s="406"/>
      <c r="FH245" s="406"/>
      <c r="FI245" s="406"/>
      <c r="FJ245" s="406"/>
      <c r="FK245" s="406"/>
      <c r="FL245" s="406"/>
      <c r="FM245" s="406"/>
      <c r="FN245" s="406"/>
      <c r="FO245" s="406"/>
      <c r="FP245" s="406"/>
      <c r="FQ245" s="406"/>
      <c r="FR245" s="406"/>
      <c r="FS245" s="406"/>
      <c r="FT245" s="406"/>
      <c r="FU245" s="406"/>
      <c r="FV245" s="406"/>
      <c r="FW245" s="406"/>
      <c r="FX245" s="406"/>
      <c r="FY245" s="406"/>
      <c r="FZ245" s="406"/>
      <c r="GA245" s="406"/>
      <c r="GB245" s="406"/>
      <c r="GC245" s="406"/>
      <c r="GD245" s="406"/>
      <c r="GE245" s="406"/>
      <c r="GF245" s="406"/>
      <c r="GG245" s="406"/>
      <c r="GH245" s="406"/>
      <c r="GI245" s="406"/>
      <c r="GJ245" s="406"/>
      <c r="GK245" s="406"/>
      <c r="GL245" s="406"/>
      <c r="GM245" s="406"/>
      <c r="GN245" s="406"/>
      <c r="GO245" s="406"/>
      <c r="GP245" s="406"/>
      <c r="GQ245" s="406"/>
      <c r="GR245" s="406"/>
      <c r="GS245" s="406"/>
      <c r="GT245" s="406"/>
      <c r="GU245" s="406"/>
      <c r="GV245" s="406"/>
      <c r="GW245" s="406"/>
      <c r="GX245" s="406"/>
      <c r="GY245" s="406"/>
      <c r="GZ245" s="406"/>
      <c r="HA245" s="406"/>
      <c r="HB245" s="406"/>
      <c r="HC245" s="406"/>
      <c r="HD245" s="406"/>
      <c r="HE245" s="406"/>
      <c r="HF245" s="406"/>
      <c r="HG245" s="406"/>
      <c r="HH245" s="406"/>
      <c r="HI245" s="406"/>
      <c r="HJ245" s="406"/>
      <c r="HK245" s="406"/>
      <c r="HL245" s="406"/>
      <c r="HM245" s="406"/>
      <c r="HN245" s="406"/>
      <c r="HO245" s="406"/>
      <c r="HP245" s="406"/>
      <c r="HQ245" s="406"/>
      <c r="HR245" s="406"/>
      <c r="HS245" s="406"/>
      <c r="HT245" s="406"/>
      <c r="HU245" s="406"/>
      <c r="HV245" s="406"/>
      <c r="HW245" s="406"/>
      <c r="HX245" s="406"/>
      <c r="HY245" s="406"/>
      <c r="HZ245" s="406"/>
      <c r="IA245" s="406"/>
      <c r="IB245" s="406"/>
      <c r="IC245" s="406"/>
      <c r="ID245" s="406"/>
      <c r="IE245" s="406"/>
      <c r="IF245" s="406"/>
      <c r="IG245" s="406"/>
      <c r="IH245" s="406"/>
      <c r="II245" s="406"/>
      <c r="IJ245" s="406"/>
      <c r="IK245" s="406"/>
      <c r="IL245" s="406"/>
      <c r="IM245" s="406"/>
      <c r="IN245" s="406"/>
      <c r="IO245" s="406"/>
      <c r="IP245" s="406"/>
      <c r="IQ245" s="406"/>
      <c r="IR245" s="406"/>
      <c r="IS245" s="406"/>
    </row>
    <row r="246" spans="1:253" s="406" customFormat="1" ht="17.25">
      <c r="A246" s="918" t="s">
        <v>134</v>
      </c>
      <c r="B246" s="919" t="s">
        <v>121</v>
      </c>
      <c r="C246" s="920">
        <f>'Input data plant-based products'!D53</f>
        <v>0.2654789540931719</v>
      </c>
      <c r="D246" s="54"/>
      <c r="E246" s="1293" t="s">
        <v>316</v>
      </c>
      <c r="F246" s="872">
        <f>SUMPRODUCT($CE$14:$CE$16,F247:F249)</f>
        <v>0.5578666033778803</v>
      </c>
      <c r="G246" s="872">
        <f>SUMPRODUCT($CE$14:$CE$16,G247:G249)</f>
        <v>1.1805831432279832</v>
      </c>
      <c r="H246" s="873">
        <f>SUMPRODUCT($CE$14:$CE$16,H247:H249)</f>
        <v>1.8774979967890042</v>
      </c>
      <c r="I246" s="888"/>
      <c r="J246" s="888"/>
      <c r="K246" s="888"/>
      <c r="L246" s="888"/>
      <c r="M246" s="888"/>
      <c r="N246" s="888"/>
      <c r="O246" s="888"/>
      <c r="P246" s="888"/>
      <c r="Q246" s="888"/>
      <c r="R246" s="888"/>
      <c r="S246" s="888"/>
      <c r="T246" s="888"/>
      <c r="U246" s="888"/>
      <c r="V246" s="888"/>
      <c r="W246" s="888"/>
      <c r="X246" s="864"/>
      <c r="Y246" s="879">
        <f>1/'Input data plant-based products'!E53*10^4</f>
        <v>10.908318511357834</v>
      </c>
      <c r="Z246" s="877">
        <f>$Y246*'Input data plant-based products'!Z53</f>
        <v>10.908318511357834</v>
      </c>
      <c r="AA246" s="877">
        <f>$Y246*'Input data plant-based products'!AA53</f>
        <v>10.908318511357834</v>
      </c>
      <c r="AB246" s="877">
        <f>$Y246*'Input data plant-based products'!AB53</f>
        <v>10.908318511357834</v>
      </c>
      <c r="AC246" s="877">
        <f>$Y246*'Input data plant-based products'!AC53</f>
        <v>12.333225371419402</v>
      </c>
      <c r="AD246" s="886">
        <f>$Y246*'Input data plant-based products'!AD53</f>
        <v>14.859307676408921</v>
      </c>
      <c r="AE246" s="877"/>
      <c r="AF246" s="879">
        <f>SUM('Input data plant-based products'!F53,'Input data plant-based products'!Q53)/'Input data plant-based products'!E53</f>
        <v>7.1631291557916435E-2</v>
      </c>
      <c r="AG246" s="877">
        <f>$AF246*'Input data plant-based products'!Z53</f>
        <v>7.1631291557916435E-2</v>
      </c>
      <c r="AH246" s="877">
        <f>$AF246*'Input data plant-based products'!AA53</f>
        <v>7.1631291557916435E-2</v>
      </c>
      <c r="AI246" s="877">
        <f>$AF246*'Input data plant-based products'!AB53</f>
        <v>7.1631291557916435E-2</v>
      </c>
      <c r="AJ246" s="877">
        <f>$AF246*'Input data plant-based products'!AC53</f>
        <v>8.0988179938987409E-2</v>
      </c>
      <c r="AK246" s="886">
        <f>$AF246*'Input data plant-based products'!AD53</f>
        <v>9.7576120408418565E-2</v>
      </c>
      <c r="AL246" s="877"/>
      <c r="AM246" s="879">
        <f>'Input data plant-based products'!R53/'Input data plant-based products'!E53</f>
        <v>5.0481273999783756E-2</v>
      </c>
      <c r="AN246" s="877">
        <f>$AM246*'Input data plant-based products'!Z53</f>
        <v>5.0481273999783756E-2</v>
      </c>
      <c r="AO246" s="877">
        <f>$AM246*'Input data plant-based products'!AA53</f>
        <v>5.0481273999783756E-2</v>
      </c>
      <c r="AP246" s="877">
        <f>$AM246*'Input data plant-based products'!AB53</f>
        <v>5.0481273999783756E-2</v>
      </c>
      <c r="AQ246" s="877">
        <f>$AM246*'Input data plant-based products'!AC53</f>
        <v>5.7075426302179794E-2</v>
      </c>
      <c r="AR246" s="886">
        <f>$AM246*'Input data plant-based products'!AD53</f>
        <v>6.8765573858047949E-2</v>
      </c>
      <c r="AS246" s="877"/>
      <c r="AT246" s="879">
        <f>'Input data plant-based products'!S53</f>
        <v>5.3520670133327897E-2</v>
      </c>
      <c r="AU246" s="877">
        <f>$AT246*'Input data plant-based products'!Z53</f>
        <v>5.3520670133327897E-2</v>
      </c>
      <c r="AV246" s="877">
        <f>$AT246*'Input data plant-based products'!AA53</f>
        <v>5.3520670133327897E-2</v>
      </c>
      <c r="AW246" s="877">
        <f>$AT246*'Input data plant-based products'!AB53</f>
        <v>5.3520670133327897E-2</v>
      </c>
      <c r="AX246" s="877">
        <f>$AT246*'Input data plant-based products'!AC53</f>
        <v>6.0511845716316848E-2</v>
      </c>
      <c r="AY246" s="886">
        <f>$AT246*'Input data plant-based products'!AD53</f>
        <v>7.2905838212429949E-2</v>
      </c>
      <c r="AZ246" s="877"/>
      <c r="BA246" s="879">
        <f>((SUM('Input data plant-based products'!U53:Y53)*Y246)/('Common input data'!$B$192/10^6))/$BB$3</f>
        <v>1.8784690993672331E-10</v>
      </c>
      <c r="BB246" s="877">
        <f>$BA246*'Input data plant-based products'!Z53</f>
        <v>1.8784690993672331E-10</v>
      </c>
      <c r="BC246" s="877">
        <f>$BA246*'Input data plant-based products'!AA53</f>
        <v>1.8784690993672331E-10</v>
      </c>
      <c r="BD246" s="877">
        <f>$BA246*'Input data plant-based products'!AB53</f>
        <v>1.8784690993672331E-10</v>
      </c>
      <c r="BE246" s="877">
        <f>$BA246*'Input data plant-based products'!AC53</f>
        <v>2.1238454608399114E-10</v>
      </c>
      <c r="BF246" s="886">
        <f>$BA246*'Input data plant-based products'!AD53</f>
        <v>2.5588499528191708E-10</v>
      </c>
      <c r="BG246" s="877"/>
      <c r="BH246" s="879">
        <f>'Input data plant-based products'!T53/'Input data plant-based products'!E53</f>
        <v>0</v>
      </c>
      <c r="BI246" s="877">
        <f>$BH246*'Input data plant-based products'!Z53</f>
        <v>0</v>
      </c>
      <c r="BJ246" s="877">
        <f>$BH246*'Input data plant-based products'!AA53</f>
        <v>0</v>
      </c>
      <c r="BK246" s="877">
        <f>$BH246*'Input data plant-based products'!AB53</f>
        <v>0</v>
      </c>
      <c r="BL246" s="877">
        <f>$BH246*'Input data plant-based products'!AC53</f>
        <v>0</v>
      </c>
      <c r="BM246" s="886">
        <f>$BH246*'Input data plant-based products'!AD53</f>
        <v>0</v>
      </c>
      <c r="BN246" s="877"/>
      <c r="BO246" s="879">
        <f>('Input data plant-based products'!F53/'Input data plant-based products'!E53*'Common input data'!$B$195+'Input data plant-based products'!G53/'Input data plant-based products'!E53*'Common input data'!$B$196)/'Common input data'!$B$198</f>
        <v>1.7478131812219701E-3</v>
      </c>
      <c r="BP246" s="877">
        <f>$BO246*'Input data plant-based products'!Z53</f>
        <v>1.7478131812219701E-3</v>
      </c>
      <c r="BQ246" s="877">
        <f>$BO246*'Input data plant-based products'!AA53</f>
        <v>1.7478131812219701E-3</v>
      </c>
      <c r="BR246" s="877">
        <f>$BO246*'Input data plant-based products'!AB53</f>
        <v>1.7478131812219701E-3</v>
      </c>
      <c r="BS246" s="877">
        <f>$BO246*'Input data plant-based products'!AC53</f>
        <v>1.9761225205061246E-3</v>
      </c>
      <c r="BT246" s="886">
        <f>$BO246*'Input data plant-based products'!AD53</f>
        <v>2.3808705066338857E-3</v>
      </c>
      <c r="BU246" s="877"/>
      <c r="BV246" s="879">
        <f>('Common input data'!$C$202+'Common input data'!$B$228)*'Input data plant-based products'!AC53</f>
        <v>6.3907929164253314</v>
      </c>
      <c r="BW246" s="886">
        <f>('Common input data'!$C$202+'Common input data'!$B$228)*'Input data plant-based products'!AD53</f>
        <v>7.6997505017172685</v>
      </c>
    </row>
    <row r="247" spans="1:253" s="406" customFormat="1" ht="17.25">
      <c r="A247" s="68"/>
      <c r="B247" s="55"/>
      <c r="C247" s="917"/>
      <c r="D247" s="5"/>
      <c r="E247" s="1294" t="s">
        <v>317</v>
      </c>
      <c r="F247" s="877">
        <f>IF(AND($G$2="No",$G$3="No"),SUM(K247:L247),IF(AND($G$2="Yes", $G$3="No"), (SUM(K247:L247)+S247), IF(AND($G$2="No", $G$3="Yes"),(SUM(K247:L247)+R247), (SUM(K247:L247)+S247+R247))))</f>
        <v>0.23829120623700201</v>
      </c>
      <c r="G247" s="877">
        <f>IF(AND($G$2="No",$G$3="No"),SUM(I247:Q247),IF(AND($G$2="Yes", $G$3="No"), (SUM(I247:Q247)+S247), IF(AND($G$2="No", $G$3="Yes"),(SUM(I247:Q247)+R247), (SUM(I247:Q247)+S247+R247))))</f>
        <v>0.72892277800491101</v>
      </c>
      <c r="H247" s="878">
        <f>SUM(U247:W247)/(1-'Common input data'!I143)</f>
        <v>1.366839175281934</v>
      </c>
      <c r="I247" s="877">
        <f>('Input data plant-based products'!$F$53*('Common input data'!$D$93*'Common input data'!B86+'Common input data'!$D$94*'Common input data'!C86))/'Input data plant-based products'!$E$53</f>
        <v>0.19014740978511843</v>
      </c>
      <c r="J247" s="877">
        <f>'Common input data'!$B$98</f>
        <v>0.03</v>
      </c>
      <c r="K247" s="877">
        <v>0</v>
      </c>
      <c r="L247" s="877">
        <v>0</v>
      </c>
      <c r="M247" s="877"/>
      <c r="N247" s="877">
        <f>('Input data plant-based products'!$P$53*'Common input data'!$C$76*'Common input data'!H66)/'Input data plant-based products'!$E$53</f>
        <v>0.20405851099659547</v>
      </c>
      <c r="O247" s="877">
        <v>0</v>
      </c>
      <c r="P247" s="877">
        <f>'Input data plant-based products'!$G$309</f>
        <v>0.02</v>
      </c>
      <c r="Q247" s="877">
        <f>'Input data plant-based products'!$B$268*'Common input data'!$B$76*'Common input data'!B66+'Input data plant-based products'!C267*'Common input data'!K80</f>
        <v>4.6425650986195E-2</v>
      </c>
      <c r="R247" s="877">
        <f>'Common input data'!$C$19</f>
        <v>0.23829120623700201</v>
      </c>
      <c r="S247" s="877">
        <v>0</v>
      </c>
      <c r="T247" s="877">
        <v>0</v>
      </c>
      <c r="U247" s="877">
        <f>(G247+T247)</f>
        <v>0.72892277800491101</v>
      </c>
      <c r="V247" s="877">
        <f>'Common input data'!$B$105</f>
        <v>0.05</v>
      </c>
      <c r="W247" s="877">
        <f>'Common input data'!B128+'Common input data'!C128</f>
        <v>0.43000000000000005</v>
      </c>
      <c r="X247" s="864"/>
      <c r="Y247" s="864"/>
      <c r="Z247" s="869"/>
      <c r="AA247" s="869"/>
      <c r="AB247" s="869"/>
      <c r="AC247" s="869"/>
      <c r="AD247" s="1174"/>
      <c r="AE247" s="869"/>
      <c r="AF247" s="864"/>
      <c r="AG247" s="869"/>
      <c r="AH247" s="869"/>
      <c r="AI247" s="869"/>
      <c r="AJ247" s="869"/>
      <c r="AK247" s="1174"/>
      <c r="AL247" s="869"/>
      <c r="AM247" s="864"/>
      <c r="AN247" s="869"/>
      <c r="AO247" s="869"/>
      <c r="AP247" s="869"/>
      <c r="AQ247" s="869"/>
      <c r="AR247" s="1174"/>
      <c r="AS247" s="869"/>
      <c r="AT247" s="864"/>
      <c r="AU247" s="869"/>
      <c r="AV247" s="869"/>
      <c r="AW247" s="869"/>
      <c r="AX247" s="869"/>
      <c r="AY247" s="1174"/>
      <c r="AZ247" s="869"/>
      <c r="BA247" s="864"/>
      <c r="BB247" s="869"/>
      <c r="BC247" s="869"/>
      <c r="BD247" s="869"/>
      <c r="BE247" s="869"/>
      <c r="BF247" s="1174"/>
      <c r="BH247" s="864"/>
      <c r="BI247" s="869"/>
      <c r="BJ247" s="869"/>
      <c r="BK247" s="869"/>
      <c r="BL247" s="869"/>
      <c r="BM247" s="1174"/>
      <c r="BO247" s="864"/>
      <c r="BP247" s="869"/>
      <c r="BQ247" s="869"/>
      <c r="BR247" s="869"/>
      <c r="BS247" s="869"/>
      <c r="BT247" s="1174"/>
      <c r="BV247" s="864"/>
      <c r="BW247" s="1174"/>
    </row>
    <row r="248" spans="1:253" s="406" customFormat="1" ht="17.25">
      <c r="A248" s="18"/>
      <c r="B248" s="55"/>
      <c r="C248" s="595"/>
      <c r="D248" s="50"/>
      <c r="E248" s="1294" t="s">
        <v>367</v>
      </c>
      <c r="F248" s="877">
        <f>SUM(K248:L248)</f>
        <v>0</v>
      </c>
      <c r="G248" s="877">
        <f>SUM(I248:Q248)</f>
        <v>5.081753949078687E-4</v>
      </c>
      <c r="H248" s="878">
        <f>SUM(U248:W248)/(1-'Common input data'!I143)</f>
        <v>5.7455616711989913E-4</v>
      </c>
      <c r="I248" s="877">
        <f>('Input data plant-based products'!$F$53*('Common input data'!$D$93*'Common input data'!B87+'Common input data'!$D$94*'Common input data'!C87))/'Input data plant-based products'!$E$53</f>
        <v>4.0360737532916082E-4</v>
      </c>
      <c r="J248" s="877">
        <v>0</v>
      </c>
      <c r="K248" s="877">
        <v>0</v>
      </c>
      <c r="L248" s="877">
        <v>0</v>
      </c>
      <c r="M248" s="877"/>
      <c r="N248" s="877">
        <f>('Input data plant-based products'!$P$53*'Common input data'!$C$76*'Common input data'!H67)/'Input data plant-based products'!$E$53</f>
        <v>9.0391039578707928E-5</v>
      </c>
      <c r="O248" s="877">
        <v>0</v>
      </c>
      <c r="P248" s="877">
        <v>0</v>
      </c>
      <c r="Q248" s="877">
        <f>'Input data plant-based products'!$B$268*'Common input data'!$B$76*'Common input data'!B67</f>
        <v>1.4176980000000002E-5</v>
      </c>
      <c r="R248" s="877">
        <v>0</v>
      </c>
      <c r="S248" s="877">
        <v>0</v>
      </c>
      <c r="T248" s="877">
        <v>0</v>
      </c>
      <c r="U248" s="877">
        <f>(G248+T248)</f>
        <v>5.081753949078687E-4</v>
      </c>
      <c r="V248" s="877">
        <v>0</v>
      </c>
      <c r="W248" s="886">
        <v>0</v>
      </c>
      <c r="X248" s="864"/>
      <c r="Y248" s="864"/>
      <c r="Z248" s="869"/>
      <c r="AA248" s="869"/>
      <c r="AB248" s="869"/>
      <c r="AC248" s="869"/>
      <c r="AD248" s="1174"/>
      <c r="AE248" s="869"/>
      <c r="AF248" s="864"/>
      <c r="AG248" s="869"/>
      <c r="AH248" s="869"/>
      <c r="AI248" s="869"/>
      <c r="AJ248" s="869"/>
      <c r="AK248" s="1174"/>
      <c r="AL248" s="869"/>
      <c r="AM248" s="864"/>
      <c r="AN248" s="869"/>
      <c r="AO248" s="869"/>
      <c r="AP248" s="869"/>
      <c r="AQ248" s="869"/>
      <c r="AR248" s="1174"/>
      <c r="AS248" s="869"/>
      <c r="AT248" s="864"/>
      <c r="AU248" s="869"/>
      <c r="AV248" s="869"/>
      <c r="AW248" s="869"/>
      <c r="AX248" s="869"/>
      <c r="AY248" s="1174"/>
      <c r="AZ248" s="869"/>
      <c r="BA248" s="864"/>
      <c r="BB248" s="869"/>
      <c r="BC248" s="869"/>
      <c r="BD248" s="869"/>
      <c r="BE248" s="869"/>
      <c r="BF248" s="1174"/>
      <c r="BH248" s="864"/>
      <c r="BI248" s="869"/>
      <c r="BJ248" s="869"/>
      <c r="BK248" s="869"/>
      <c r="BL248" s="869"/>
      <c r="BM248" s="1174"/>
      <c r="BO248" s="864"/>
      <c r="BP248" s="869"/>
      <c r="BQ248" s="869"/>
      <c r="BR248" s="869"/>
      <c r="BS248" s="869"/>
      <c r="BT248" s="1174"/>
      <c r="BV248" s="864"/>
      <c r="BW248" s="1174"/>
    </row>
    <row r="249" spans="1:253" s="502" customFormat="1" ht="17.25">
      <c r="A249" s="437"/>
      <c r="B249" s="438"/>
      <c r="C249" s="88"/>
      <c r="D249" s="54"/>
      <c r="E249" s="1295" t="s">
        <v>320</v>
      </c>
      <c r="F249" s="877">
        <f>SUM(K249:L249)</f>
        <v>1.1706058503328876E-3</v>
      </c>
      <c r="G249" s="877">
        <f>SUM(I249:Q249)</f>
        <v>1.6041744672547981E-3</v>
      </c>
      <c r="H249" s="878">
        <f>SUM(U249:W249)/(1-'Common input data'!I143)</f>
        <v>1.8137208974169704E-3</v>
      </c>
      <c r="I249" s="877">
        <f>('Input data plant-based products'!$F$53*('Common input data'!$D$93*'Common input data'!B88+'Common input data'!$D$94*'Common input data'!C88))/'Input data plant-based products'!$E$53</f>
        <v>4.2676387559226534E-4</v>
      </c>
      <c r="J249" s="877">
        <v>0</v>
      </c>
      <c r="K249" s="877">
        <f>(SUM('Input data plant-based products'!F53:H53)*'Input data plant-based products'!$B$257*44/28)/'Input data plant-based products'!E53</f>
        <v>1.0641871366662615E-3</v>
      </c>
      <c r="L249" s="877">
        <f>K249*'Input data plant-based products'!$B$261</f>
        <v>1.0641871366662616E-4</v>
      </c>
      <c r="M249" s="877"/>
      <c r="N249" s="877">
        <f>('Input data plant-based products'!$P$53*'Common input data'!$C$76*'Common input data'!H68)/'Input data plant-based products'!$E$53</f>
        <v>5.4831317496450841E-6</v>
      </c>
      <c r="O249" s="877">
        <v>0</v>
      </c>
      <c r="P249" s="877">
        <v>0</v>
      </c>
      <c r="Q249" s="877">
        <f>'Input data plant-based products'!$B$268*'Common input data'!$B$76*'Common input data'!B68</f>
        <v>1.32160958E-6</v>
      </c>
      <c r="R249" s="877">
        <v>0</v>
      </c>
      <c r="S249" s="877">
        <v>0</v>
      </c>
      <c r="T249" s="877">
        <v>0</v>
      </c>
      <c r="U249" s="877">
        <f>(G249+T249)</f>
        <v>1.6041744672547981E-3</v>
      </c>
      <c r="V249" s="877">
        <v>0</v>
      </c>
      <c r="W249" s="886">
        <v>0</v>
      </c>
      <c r="X249" s="864"/>
      <c r="Y249" s="864"/>
      <c r="Z249" s="869"/>
      <c r="AA249" s="869"/>
      <c r="AB249" s="869"/>
      <c r="AC249" s="869"/>
      <c r="AD249" s="1174"/>
      <c r="AE249" s="869"/>
      <c r="AF249" s="864"/>
      <c r="AG249" s="869"/>
      <c r="AH249" s="869"/>
      <c r="AI249" s="869"/>
      <c r="AJ249" s="869"/>
      <c r="AK249" s="1174"/>
      <c r="AL249" s="869"/>
      <c r="AM249" s="864"/>
      <c r="AN249" s="869"/>
      <c r="AO249" s="869"/>
      <c r="AP249" s="869"/>
      <c r="AQ249" s="869"/>
      <c r="AR249" s="1174"/>
      <c r="AS249" s="869"/>
      <c r="AT249" s="864"/>
      <c r="AU249" s="869"/>
      <c r="AV249" s="869"/>
      <c r="AW249" s="869"/>
      <c r="AX249" s="869"/>
      <c r="AY249" s="1174"/>
      <c r="AZ249" s="869"/>
      <c r="BA249" s="864"/>
      <c r="BB249" s="869"/>
      <c r="BC249" s="869"/>
      <c r="BD249" s="869"/>
      <c r="BE249" s="869"/>
      <c r="BF249" s="1174"/>
      <c r="BG249" s="406"/>
      <c r="BH249" s="864"/>
      <c r="BI249" s="869"/>
      <c r="BJ249" s="869"/>
      <c r="BK249" s="869"/>
      <c r="BL249" s="869"/>
      <c r="BM249" s="1174"/>
      <c r="BN249" s="406"/>
      <c r="BO249" s="864"/>
      <c r="BP249" s="869"/>
      <c r="BQ249" s="869"/>
      <c r="BR249" s="869"/>
      <c r="BS249" s="869"/>
      <c r="BT249" s="1174"/>
      <c r="BU249" s="406"/>
      <c r="BV249" s="864"/>
      <c r="BW249" s="1174"/>
      <c r="BX249" s="406"/>
      <c r="BY249" s="406"/>
      <c r="BZ249" s="406"/>
      <c r="CA249" s="406"/>
      <c r="CB249" s="406"/>
      <c r="CC249" s="406"/>
      <c r="CD249" s="406"/>
      <c r="CE249" s="406"/>
      <c r="CF249" s="406"/>
      <c r="CG249" s="406"/>
      <c r="CH249" s="406"/>
      <c r="CI249" s="406"/>
      <c r="CJ249" s="406"/>
      <c r="CK249" s="406"/>
      <c r="CL249" s="406"/>
      <c r="CM249" s="406"/>
      <c r="CN249" s="406"/>
      <c r="CO249" s="406"/>
      <c r="CP249" s="406"/>
      <c r="CQ249" s="406"/>
      <c r="CR249" s="406"/>
      <c r="CS249" s="406"/>
      <c r="CT249" s="406"/>
      <c r="CU249" s="406"/>
      <c r="CV249" s="406"/>
      <c r="CW249" s="406"/>
      <c r="CX249" s="406"/>
      <c r="CY249" s="406"/>
      <c r="CZ249" s="406"/>
      <c r="DA249" s="406"/>
      <c r="DB249" s="406"/>
      <c r="DC249" s="406"/>
      <c r="DD249" s="406"/>
      <c r="DE249" s="406"/>
      <c r="DF249" s="406"/>
      <c r="DG249" s="406"/>
      <c r="DH249" s="406"/>
      <c r="DI249" s="406"/>
      <c r="DJ249" s="406"/>
      <c r="DK249" s="406"/>
      <c r="DL249" s="406"/>
      <c r="DM249" s="406"/>
      <c r="DN249" s="406"/>
      <c r="DO249" s="406"/>
      <c r="DP249" s="406"/>
      <c r="DQ249" s="406"/>
      <c r="DR249" s="406"/>
      <c r="DS249" s="406"/>
      <c r="DT249" s="406"/>
      <c r="DU249" s="406"/>
      <c r="DV249" s="406"/>
      <c r="DW249" s="406"/>
      <c r="DX249" s="406"/>
      <c r="DY249" s="406"/>
      <c r="DZ249" s="406"/>
      <c r="EA249" s="406"/>
      <c r="EB249" s="406"/>
      <c r="EC249" s="406"/>
      <c r="ED249" s="406"/>
      <c r="EE249" s="406"/>
      <c r="EF249" s="406"/>
      <c r="EG249" s="406"/>
      <c r="EH249" s="406"/>
      <c r="EI249" s="406"/>
      <c r="EJ249" s="406"/>
      <c r="EK249" s="406"/>
      <c r="EL249" s="406"/>
      <c r="EM249" s="406"/>
      <c r="EN249" s="406"/>
      <c r="EO249" s="406"/>
      <c r="EP249" s="406"/>
      <c r="EQ249" s="406"/>
      <c r="ER249" s="406"/>
      <c r="ES249" s="406"/>
      <c r="ET249" s="406"/>
      <c r="EU249" s="406"/>
      <c r="EV249" s="406"/>
      <c r="EW249" s="406"/>
      <c r="EX249" s="406"/>
      <c r="EY249" s="406"/>
      <c r="EZ249" s="406"/>
      <c r="FA249" s="406"/>
      <c r="FB249" s="406"/>
      <c r="FC249" s="406"/>
      <c r="FD249" s="406"/>
      <c r="FE249" s="406"/>
      <c r="FF249" s="406"/>
      <c r="FG249" s="406"/>
      <c r="FH249" s="406"/>
      <c r="FI249" s="406"/>
      <c r="FJ249" s="406"/>
      <c r="FK249" s="406"/>
      <c r="FL249" s="406"/>
      <c r="FM249" s="406"/>
      <c r="FN249" s="406"/>
      <c r="FO249" s="406"/>
      <c r="FP249" s="406"/>
      <c r="FQ249" s="406"/>
      <c r="FR249" s="406"/>
      <c r="FS249" s="406"/>
      <c r="FT249" s="406"/>
      <c r="FU249" s="406"/>
      <c r="FV249" s="406"/>
      <c r="FW249" s="406"/>
      <c r="FX249" s="406"/>
      <c r="FY249" s="406"/>
      <c r="FZ249" s="406"/>
      <c r="GA249" s="406"/>
      <c r="GB249" s="406"/>
      <c r="GC249" s="406"/>
      <c r="GD249" s="406"/>
      <c r="GE249" s="406"/>
      <c r="GF249" s="406"/>
      <c r="GG249" s="406"/>
      <c r="GH249" s="406"/>
      <c r="GI249" s="406"/>
      <c r="GJ249" s="406"/>
      <c r="GK249" s="406"/>
      <c r="GL249" s="406"/>
      <c r="GM249" s="406"/>
      <c r="GN249" s="406"/>
      <c r="GO249" s="406"/>
      <c r="GP249" s="406"/>
      <c r="GQ249" s="406"/>
      <c r="GR249" s="406"/>
      <c r="GS249" s="406"/>
      <c r="GT249" s="406"/>
      <c r="GU249" s="406"/>
      <c r="GV249" s="406"/>
      <c r="GW249" s="406"/>
      <c r="GX249" s="406"/>
      <c r="GY249" s="406"/>
      <c r="GZ249" s="406"/>
      <c r="HA249" s="406"/>
      <c r="HB249" s="406"/>
      <c r="HC249" s="406"/>
      <c r="HD249" s="406"/>
      <c r="HE249" s="406"/>
      <c r="HF249" s="406"/>
      <c r="HG249" s="406"/>
      <c r="HH249" s="406"/>
      <c r="HI249" s="406"/>
      <c r="HJ249" s="406"/>
      <c r="HK249" s="406"/>
      <c r="HL249" s="406"/>
      <c r="HM249" s="406"/>
      <c r="HN249" s="406"/>
      <c r="HO249" s="406"/>
      <c r="HP249" s="406"/>
      <c r="HQ249" s="406"/>
      <c r="HR249" s="406"/>
      <c r="HS249" s="406"/>
      <c r="HT249" s="406"/>
      <c r="HU249" s="406"/>
      <c r="HV249" s="406"/>
      <c r="HW249" s="406"/>
      <c r="HX249" s="406"/>
      <c r="HY249" s="406"/>
      <c r="HZ249" s="406"/>
      <c r="IA249" s="406"/>
      <c r="IB249" s="406"/>
      <c r="IC249" s="406"/>
      <c r="ID249" s="406"/>
      <c r="IE249" s="406"/>
      <c r="IF249" s="406"/>
      <c r="IG249" s="406"/>
      <c r="IH249" s="406"/>
      <c r="II249" s="406"/>
      <c r="IJ249" s="406"/>
      <c r="IK249" s="406"/>
      <c r="IL249" s="406"/>
      <c r="IM249" s="406"/>
      <c r="IN249" s="406"/>
      <c r="IO249" s="406"/>
      <c r="IP249" s="406"/>
      <c r="IQ249" s="406"/>
      <c r="IR249" s="406"/>
      <c r="IS249" s="406"/>
    </row>
    <row r="250" spans="1:253">
      <c r="A250" s="1197" t="s">
        <v>500</v>
      </c>
      <c r="B250" s="363"/>
      <c r="C250" s="770"/>
      <c r="D250" s="54"/>
      <c r="E250" s="1296"/>
      <c r="F250" s="892" t="s">
        <v>501</v>
      </c>
      <c r="G250" s="892" t="s">
        <v>501</v>
      </c>
      <c r="H250" s="970" t="s">
        <v>501</v>
      </c>
      <c r="I250" s="892"/>
      <c r="J250" s="892"/>
      <c r="K250" s="892"/>
      <c r="L250" s="892"/>
      <c r="M250" s="892"/>
      <c r="N250" s="892"/>
      <c r="O250" s="892"/>
      <c r="P250" s="892"/>
      <c r="Q250" s="892"/>
      <c r="R250" s="892"/>
      <c r="S250" s="892"/>
      <c r="T250" s="892"/>
      <c r="U250" s="892"/>
      <c r="V250" s="892"/>
      <c r="W250" s="1291"/>
      <c r="Y250" s="879"/>
      <c r="Z250" s="877"/>
      <c r="AA250" s="877"/>
      <c r="AB250" s="877"/>
      <c r="AC250" s="877"/>
      <c r="AD250" s="886"/>
      <c r="AF250" s="879"/>
      <c r="AG250" s="877"/>
      <c r="AH250" s="877"/>
      <c r="AI250" s="877"/>
      <c r="AJ250" s="877"/>
      <c r="AK250" s="886"/>
      <c r="AM250" s="879"/>
      <c r="AN250" s="877"/>
      <c r="AO250" s="877"/>
      <c r="AP250" s="877"/>
      <c r="AQ250" s="877"/>
      <c r="AR250" s="886"/>
      <c r="AT250" s="879"/>
      <c r="AU250" s="877"/>
      <c r="AV250" s="877"/>
      <c r="AW250" s="877"/>
      <c r="AX250" s="877"/>
      <c r="AY250" s="886"/>
      <c r="BA250" s="879"/>
      <c r="BB250" s="877"/>
      <c r="BC250" s="877"/>
      <c r="BD250" s="877"/>
      <c r="BE250" s="877"/>
      <c r="BF250" s="886"/>
      <c r="BH250" s="879"/>
      <c r="BI250" s="877"/>
      <c r="BJ250" s="877"/>
      <c r="BK250" s="877"/>
      <c r="BL250" s="877"/>
      <c r="BM250" s="886"/>
      <c r="BO250" s="879"/>
      <c r="BP250" s="877"/>
      <c r="BQ250" s="877"/>
      <c r="BR250" s="877"/>
      <c r="BS250" s="877"/>
      <c r="BT250" s="886"/>
      <c r="BU250" s="188"/>
      <c r="BV250" s="879"/>
      <c r="BW250" s="886"/>
    </row>
    <row r="251" spans="1:253">
      <c r="A251" s="497" t="s">
        <v>120</v>
      </c>
      <c r="B251" s="382"/>
      <c r="C251" s="772">
        <f>SUM(C255:C259)</f>
        <v>1</v>
      </c>
      <c r="D251" s="26"/>
      <c r="E251" s="1293" t="s">
        <v>316</v>
      </c>
      <c r="F251" s="872">
        <f>SUMPRODUCT($CE$14:$CE$16,F252:F254)</f>
        <v>0</v>
      </c>
      <c r="G251" s="872">
        <f>SUMPRODUCT($CE$14:$CE$16,G252:G254)</f>
        <v>0</v>
      </c>
      <c r="H251" s="873">
        <f>SUMPRODUCT($CE$14:$CE$16,H252:H254)</f>
        <v>0</v>
      </c>
      <c r="I251" s="1300"/>
      <c r="J251" s="876"/>
      <c r="K251" s="876"/>
      <c r="L251" s="876"/>
      <c r="M251" s="876"/>
      <c r="N251" s="876"/>
      <c r="O251" s="876"/>
      <c r="P251" s="876"/>
      <c r="Q251" s="876"/>
      <c r="R251" s="876"/>
      <c r="S251" s="876"/>
      <c r="T251" s="876"/>
      <c r="U251" s="876"/>
      <c r="V251" s="876"/>
      <c r="W251" s="893"/>
      <c r="Y251" s="883">
        <f t="shared" ref="Y251:AD251" si="28">Y255*$C$255+Y259*$C$259</f>
        <v>0.63259459675731566</v>
      </c>
      <c r="Z251" s="884">
        <f t="shared" si="28"/>
        <v>0.63259459675731566</v>
      </c>
      <c r="AA251" s="884">
        <f t="shared" si="28"/>
        <v>0.63259459675731566</v>
      </c>
      <c r="AB251" s="884">
        <f t="shared" si="28"/>
        <v>0.63259459675731566</v>
      </c>
      <c r="AC251" s="884">
        <f t="shared" si="28"/>
        <v>0.88541689913399746</v>
      </c>
      <c r="AD251" s="885">
        <f t="shared" si="28"/>
        <v>1.0667673483542139</v>
      </c>
      <c r="AF251" s="883">
        <f t="shared" ref="AF251:AR251" si="29">AF255*$C$255+AF259*$C$259</f>
        <v>7.9074324594664465E-3</v>
      </c>
      <c r="AG251" s="884">
        <f t="shared" si="29"/>
        <v>7.9074324594664465E-3</v>
      </c>
      <c r="AH251" s="884">
        <f t="shared" si="29"/>
        <v>7.9074324594664465E-3</v>
      </c>
      <c r="AI251" s="884">
        <f t="shared" si="29"/>
        <v>7.9074324594664465E-3</v>
      </c>
      <c r="AJ251" s="884">
        <f t="shared" si="29"/>
        <v>1.1067711239174969E-2</v>
      </c>
      <c r="AK251" s="885">
        <f t="shared" si="29"/>
        <v>1.3334591854427674E-2</v>
      </c>
      <c r="AL251" s="188">
        <f t="shared" si="29"/>
        <v>0</v>
      </c>
      <c r="AM251" s="883">
        <f t="shared" si="29"/>
        <v>5.0501648998581214E-3</v>
      </c>
      <c r="AN251" s="884">
        <f t="shared" si="29"/>
        <v>5.0501648998581214E-3</v>
      </c>
      <c r="AO251" s="884">
        <f t="shared" si="29"/>
        <v>5.0501648998581214E-3</v>
      </c>
      <c r="AP251" s="884">
        <f t="shared" si="29"/>
        <v>5.0501648998581214E-3</v>
      </c>
      <c r="AQ251" s="884">
        <f t="shared" si="29"/>
        <v>7.1256597243127915E-3</v>
      </c>
      <c r="AR251" s="885">
        <f t="shared" si="29"/>
        <v>8.5851321979672178E-3</v>
      </c>
      <c r="AT251" s="883">
        <f t="shared" ref="AT251:AY251" si="30">AT255*$C$255+AT259*$C$259</f>
        <v>4.5592425738490688E-3</v>
      </c>
      <c r="AU251" s="884">
        <f t="shared" si="30"/>
        <v>4.5592425738490688E-3</v>
      </c>
      <c r="AV251" s="884">
        <f t="shared" si="30"/>
        <v>4.5592425738490688E-3</v>
      </c>
      <c r="AW251" s="884">
        <f t="shared" si="30"/>
        <v>4.5592425738490688E-3</v>
      </c>
      <c r="AX251" s="884">
        <f t="shared" si="30"/>
        <v>6.3549407512673312E-3</v>
      </c>
      <c r="AY251" s="885">
        <f t="shared" si="30"/>
        <v>7.6565551220088325E-3</v>
      </c>
      <c r="BA251" s="883">
        <f t="shared" ref="BA251:BF251" si="31">BA255*$C$255+BA259*$C$259</f>
        <v>1.0567497174472751E-10</v>
      </c>
      <c r="BB251" s="884">
        <f t="shared" si="31"/>
        <v>1.0567497174472751E-10</v>
      </c>
      <c r="BC251" s="884">
        <f t="shared" si="31"/>
        <v>1.0567497174472751E-10</v>
      </c>
      <c r="BD251" s="884">
        <f t="shared" si="31"/>
        <v>1.0567497174472751E-10</v>
      </c>
      <c r="BE251" s="884">
        <f t="shared" si="31"/>
        <v>1.4790895508420635E-10</v>
      </c>
      <c r="BF251" s="885">
        <f t="shared" si="31"/>
        <v>1.7820356034241728E-10</v>
      </c>
      <c r="BG251" s="188"/>
      <c r="BH251" s="883">
        <f t="shared" ref="BH251:BM251" si="32">BH255*$C$255+BH259*$C$259</f>
        <v>0</v>
      </c>
      <c r="BI251" s="884">
        <f t="shared" si="32"/>
        <v>0</v>
      </c>
      <c r="BJ251" s="884">
        <f t="shared" si="32"/>
        <v>0</v>
      </c>
      <c r="BK251" s="884">
        <f t="shared" si="32"/>
        <v>0</v>
      </c>
      <c r="BL251" s="884">
        <f t="shared" si="32"/>
        <v>0</v>
      </c>
      <c r="BM251" s="885">
        <f t="shared" si="32"/>
        <v>0</v>
      </c>
      <c r="BN251" s="188"/>
      <c r="BO251" s="883">
        <f t="shared" ref="BO251:BT251" si="33">BO255*$C$255+BO259*$C$259</f>
        <v>2.0190627019066426E-4</v>
      </c>
      <c r="BP251" s="884">
        <f t="shared" si="33"/>
        <v>2.0190627019066426E-4</v>
      </c>
      <c r="BQ251" s="884">
        <f t="shared" si="33"/>
        <v>2.0190627019066426E-4</v>
      </c>
      <c r="BR251" s="884">
        <f t="shared" si="33"/>
        <v>2.0190627019066426E-4</v>
      </c>
      <c r="BS251" s="884">
        <f t="shared" si="33"/>
        <v>2.8259998517899385E-4</v>
      </c>
      <c r="BT251" s="885">
        <f t="shared" si="33"/>
        <v>3.4048190985420951E-4</v>
      </c>
      <c r="BV251" s="883">
        <f>BV255*$C$255+BV259*$C$259</f>
        <v>10.288264568035885</v>
      </c>
      <c r="BW251" s="885">
        <f>BW255*$C$255+BW259*$C$259</f>
        <v>12.395499479561307</v>
      </c>
    </row>
    <row r="252" spans="1:253">
      <c r="A252" s="499"/>
      <c r="B252" s="55"/>
      <c r="C252" s="917"/>
      <c r="E252" s="1294" t="s">
        <v>317</v>
      </c>
      <c r="F252" s="877">
        <f>F256*$C$255+F260*$C$259</f>
        <v>0</v>
      </c>
      <c r="G252" s="877">
        <f t="shared" ref="G252:W254" si="34">G256*$C$255+G260*$C$259</f>
        <v>0</v>
      </c>
      <c r="H252" s="878">
        <f t="shared" si="34"/>
        <v>0</v>
      </c>
      <c r="I252" s="928">
        <f t="shared" si="34"/>
        <v>0</v>
      </c>
      <c r="J252" s="877">
        <f t="shared" si="34"/>
        <v>0</v>
      </c>
      <c r="K252" s="877">
        <f t="shared" si="34"/>
        <v>0</v>
      </c>
      <c r="L252" s="877">
        <f t="shared" si="34"/>
        <v>0</v>
      </c>
      <c r="M252" s="877">
        <f t="shared" si="34"/>
        <v>0</v>
      </c>
      <c r="N252" s="877">
        <f t="shared" si="34"/>
        <v>0</v>
      </c>
      <c r="O252" s="877">
        <f t="shared" si="34"/>
        <v>0</v>
      </c>
      <c r="P252" s="877">
        <f t="shared" si="34"/>
        <v>0</v>
      </c>
      <c r="Q252" s="877">
        <f t="shared" si="34"/>
        <v>0</v>
      </c>
      <c r="R252" s="877">
        <f t="shared" si="34"/>
        <v>0</v>
      </c>
      <c r="S252" s="877">
        <f t="shared" si="34"/>
        <v>0</v>
      </c>
      <c r="T252" s="877">
        <f t="shared" si="34"/>
        <v>0</v>
      </c>
      <c r="U252" s="877">
        <f t="shared" si="34"/>
        <v>0</v>
      </c>
      <c r="V252" s="877">
        <f t="shared" si="34"/>
        <v>0</v>
      </c>
      <c r="W252" s="886">
        <f t="shared" si="34"/>
        <v>0</v>
      </c>
      <c r="Y252" s="879"/>
      <c r="Z252" s="877"/>
      <c r="AA252" s="877"/>
      <c r="AB252" s="877"/>
      <c r="AC252" s="877"/>
      <c r="AD252" s="886"/>
      <c r="AF252" s="879"/>
      <c r="AG252" s="877"/>
      <c r="AH252" s="877"/>
      <c r="AI252" s="877"/>
      <c r="AJ252" s="877"/>
      <c r="AK252" s="886"/>
      <c r="AM252" s="879"/>
      <c r="AN252" s="877"/>
      <c r="AO252" s="877"/>
      <c r="AP252" s="877"/>
      <c r="AQ252" s="877"/>
      <c r="AR252" s="886"/>
      <c r="AT252" s="879"/>
      <c r="AU252" s="877"/>
      <c r="AV252" s="877"/>
      <c r="AW252" s="877"/>
      <c r="AX252" s="877"/>
      <c r="AY252" s="886"/>
      <c r="BA252" s="879"/>
      <c r="BB252" s="877"/>
      <c r="BC252" s="877"/>
      <c r="BD252" s="877"/>
      <c r="BE252" s="877"/>
      <c r="BF252" s="886"/>
      <c r="BH252" s="879"/>
      <c r="BI252" s="877"/>
      <c r="BJ252" s="877"/>
      <c r="BK252" s="877"/>
      <c r="BL252" s="877"/>
      <c r="BM252" s="886"/>
      <c r="BO252" s="879"/>
      <c r="BP252" s="877"/>
      <c r="BQ252" s="877"/>
      <c r="BR252" s="877"/>
      <c r="BS252" s="877"/>
      <c r="BT252" s="886"/>
      <c r="BV252" s="879"/>
      <c r="BW252" s="886"/>
    </row>
    <row r="253" spans="1:253">
      <c r="A253" s="499"/>
      <c r="B253" s="55"/>
      <c r="C253" s="595"/>
      <c r="D253" s="50"/>
      <c r="E253" s="1294" t="s">
        <v>367</v>
      </c>
      <c r="F253" s="877">
        <f t="shared" ref="F253:U254" si="35">F257*$C$255+F261*$C$259</f>
        <v>0</v>
      </c>
      <c r="G253" s="877">
        <f t="shared" si="35"/>
        <v>0</v>
      </c>
      <c r="H253" s="878">
        <f t="shared" si="35"/>
        <v>0</v>
      </c>
      <c r="I253" s="928">
        <f t="shared" si="35"/>
        <v>0</v>
      </c>
      <c r="J253" s="877">
        <f t="shared" si="35"/>
        <v>0</v>
      </c>
      <c r="K253" s="877">
        <f t="shared" si="35"/>
        <v>0</v>
      </c>
      <c r="L253" s="877">
        <f t="shared" si="35"/>
        <v>0</v>
      </c>
      <c r="M253" s="877">
        <f t="shared" si="35"/>
        <v>0</v>
      </c>
      <c r="N253" s="877">
        <f t="shared" si="35"/>
        <v>0</v>
      </c>
      <c r="O253" s="877">
        <f t="shared" si="35"/>
        <v>0</v>
      </c>
      <c r="P253" s="877">
        <f t="shared" si="35"/>
        <v>0</v>
      </c>
      <c r="Q253" s="877">
        <f t="shared" si="35"/>
        <v>0</v>
      </c>
      <c r="R253" s="877">
        <f t="shared" si="35"/>
        <v>0</v>
      </c>
      <c r="S253" s="877">
        <f t="shared" si="35"/>
        <v>0</v>
      </c>
      <c r="T253" s="877">
        <f t="shared" si="35"/>
        <v>0</v>
      </c>
      <c r="U253" s="877">
        <f t="shared" si="35"/>
        <v>0</v>
      </c>
      <c r="V253" s="877">
        <f t="shared" si="34"/>
        <v>0</v>
      </c>
      <c r="W253" s="886">
        <f t="shared" si="34"/>
        <v>0</v>
      </c>
      <c r="Y253" s="879"/>
      <c r="Z253" s="877"/>
      <c r="AA253" s="877"/>
      <c r="AB253" s="877"/>
      <c r="AC253" s="877"/>
      <c r="AD253" s="886"/>
      <c r="AF253" s="879"/>
      <c r="AG253" s="877"/>
      <c r="AH253" s="877"/>
      <c r="AI253" s="877"/>
      <c r="AJ253" s="877"/>
      <c r="AK253" s="886"/>
      <c r="AM253" s="879"/>
      <c r="AN253" s="877"/>
      <c r="AO253" s="877"/>
      <c r="AP253" s="877"/>
      <c r="AQ253" s="877"/>
      <c r="AR253" s="886"/>
      <c r="AT253" s="879"/>
      <c r="AU253" s="877"/>
      <c r="AV253" s="877"/>
      <c r="AW253" s="877"/>
      <c r="AX253" s="877"/>
      <c r="AY253" s="886"/>
      <c r="BA253" s="879"/>
      <c r="BB253" s="877"/>
      <c r="BC253" s="877"/>
      <c r="BD253" s="877"/>
      <c r="BE253" s="877"/>
      <c r="BF253" s="886"/>
      <c r="BH253" s="879"/>
      <c r="BI253" s="877"/>
      <c r="BJ253" s="877"/>
      <c r="BK253" s="877"/>
      <c r="BL253" s="877"/>
      <c r="BM253" s="886"/>
      <c r="BO253" s="879"/>
      <c r="BP253" s="877"/>
      <c r="BQ253" s="877"/>
      <c r="BR253" s="877"/>
      <c r="BS253" s="877"/>
      <c r="BT253" s="886"/>
      <c r="BV253" s="879"/>
      <c r="BW253" s="886"/>
    </row>
    <row r="254" spans="1:253">
      <c r="A254" s="18"/>
      <c r="B254" s="360"/>
      <c r="C254" s="83"/>
      <c r="D254" s="54"/>
      <c r="E254" s="1295" t="s">
        <v>320</v>
      </c>
      <c r="F254" s="877">
        <f t="shared" si="35"/>
        <v>0</v>
      </c>
      <c r="G254" s="877">
        <f t="shared" si="34"/>
        <v>0</v>
      </c>
      <c r="H254" s="878">
        <f t="shared" si="34"/>
        <v>0</v>
      </c>
      <c r="I254" s="928">
        <f t="shared" si="34"/>
        <v>0</v>
      </c>
      <c r="J254" s="877">
        <f t="shared" si="34"/>
        <v>0</v>
      </c>
      <c r="K254" s="877">
        <f t="shared" si="34"/>
        <v>0</v>
      </c>
      <c r="L254" s="877">
        <f t="shared" si="34"/>
        <v>0</v>
      </c>
      <c r="M254" s="877">
        <f t="shared" si="34"/>
        <v>0</v>
      </c>
      <c r="N254" s="877">
        <f t="shared" si="34"/>
        <v>0</v>
      </c>
      <c r="O254" s="877">
        <f t="shared" si="34"/>
        <v>0</v>
      </c>
      <c r="P254" s="877">
        <f t="shared" si="34"/>
        <v>0</v>
      </c>
      <c r="Q254" s="877">
        <f t="shared" si="34"/>
        <v>0</v>
      </c>
      <c r="R254" s="877">
        <f t="shared" si="34"/>
        <v>0</v>
      </c>
      <c r="S254" s="877">
        <f t="shared" si="34"/>
        <v>0</v>
      </c>
      <c r="T254" s="877">
        <f t="shared" si="34"/>
        <v>0</v>
      </c>
      <c r="U254" s="877">
        <f t="shared" si="34"/>
        <v>0</v>
      </c>
      <c r="V254" s="877">
        <f t="shared" si="34"/>
        <v>0</v>
      </c>
      <c r="W254" s="886">
        <f t="shared" si="34"/>
        <v>0</v>
      </c>
      <c r="Y254" s="879"/>
      <c r="Z254" s="877"/>
      <c r="AA254" s="877"/>
      <c r="AB254" s="877"/>
      <c r="AC254" s="877"/>
      <c r="AD254" s="886"/>
      <c r="AF254" s="879"/>
      <c r="AG254" s="877"/>
      <c r="AH254" s="877"/>
      <c r="AI254" s="877"/>
      <c r="AJ254" s="877"/>
      <c r="AK254" s="886"/>
      <c r="AM254" s="879"/>
      <c r="AN254" s="877"/>
      <c r="AO254" s="877"/>
      <c r="AP254" s="877"/>
      <c r="AQ254" s="877"/>
      <c r="AR254" s="886"/>
      <c r="AT254" s="879"/>
      <c r="AU254" s="877"/>
      <c r="AV254" s="877"/>
      <c r="AW254" s="877"/>
      <c r="AX254" s="877"/>
      <c r="AY254" s="886"/>
      <c r="BA254" s="879"/>
      <c r="BB254" s="877"/>
      <c r="BC254" s="877"/>
      <c r="BD254" s="877"/>
      <c r="BE254" s="877"/>
      <c r="BF254" s="886"/>
      <c r="BH254" s="879"/>
      <c r="BI254" s="877"/>
      <c r="BJ254" s="877"/>
      <c r="BK254" s="877"/>
      <c r="BL254" s="877"/>
      <c r="BM254" s="886"/>
      <c r="BO254" s="879"/>
      <c r="BP254" s="877"/>
      <c r="BQ254" s="877"/>
      <c r="BR254" s="877"/>
      <c r="BS254" s="877"/>
      <c r="BT254" s="886"/>
      <c r="BV254" s="879"/>
      <c r="BW254" s="886"/>
    </row>
    <row r="255" spans="1:253">
      <c r="A255" s="20" t="s">
        <v>145</v>
      </c>
      <c r="B255" s="93" t="s">
        <v>121</v>
      </c>
      <c r="C255" s="87">
        <f>'Input data plant-based products'!D169</f>
        <v>0.58868589580958097</v>
      </c>
      <c r="D255" s="54"/>
      <c r="E255" s="1293" t="s">
        <v>316</v>
      </c>
      <c r="F255" s="872">
        <f>SUMPRODUCT($CE$14:$CE$16,F256:F258)</f>
        <v>0</v>
      </c>
      <c r="G255" s="872">
        <f>SUMPRODUCT($CE$14:$CE$16,G256:G258)</f>
        <v>0</v>
      </c>
      <c r="H255" s="873">
        <f>SUMPRODUCT($CE$14:$CE$16,H256:H258)</f>
        <v>0</v>
      </c>
      <c r="I255" s="1301"/>
      <c r="J255" s="888"/>
      <c r="K255" s="888"/>
      <c r="L255" s="888"/>
      <c r="M255" s="888"/>
      <c r="N255" s="888"/>
      <c r="O255" s="888"/>
      <c r="P255" s="888"/>
      <c r="Q255" s="888"/>
      <c r="R255" s="888"/>
      <c r="S255" s="888"/>
      <c r="T255" s="888"/>
      <c r="U255" s="888"/>
      <c r="V255" s="888"/>
      <c r="W255" s="936"/>
      <c r="Y255" s="879">
        <f>1/'Input data plant-based products'!E169*10^4</f>
        <v>0.46685863893899832</v>
      </c>
      <c r="Z255" s="877">
        <f>$Y255*'Input data plant-based products'!Z169</f>
        <v>0.46685863893899832</v>
      </c>
      <c r="AA255" s="877">
        <f>$Y255*'Input data plant-based products'!AA169</f>
        <v>0.46685863893899832</v>
      </c>
      <c r="AB255" s="877">
        <f>$Y255*'Input data plant-based products'!AB169</f>
        <v>0.46685863893899832</v>
      </c>
      <c r="AC255" s="877">
        <f>$Y255*'Input data plant-based products'!AC169</f>
        <v>0.6350392618514189</v>
      </c>
      <c r="AD255" s="886">
        <f>$Y255*'Input data plant-based products'!AD169</f>
        <v>0.76510754439929984</v>
      </c>
      <c r="AE255"/>
      <c r="AF255" s="879">
        <f>SUM('Input data plant-based products'!F169,'Input data plant-based products'!AE169)/'Input data plant-based products'!E169</f>
        <v>5.8357329867374796E-3</v>
      </c>
      <c r="AG255" s="877">
        <f>$AF255*'Input data plant-based products'!Z169</f>
        <v>5.8357329867374796E-3</v>
      </c>
      <c r="AH255" s="877">
        <f>$AF255*'Input data plant-based products'!AA169</f>
        <v>5.8357329867374796E-3</v>
      </c>
      <c r="AI255" s="877">
        <f>$AF255*'Input data plant-based products'!AB169</f>
        <v>5.8357329867374796E-3</v>
      </c>
      <c r="AJ255" s="877">
        <f>$AF255*'Input data plant-based products'!AC169</f>
        <v>7.9379907731427363E-3</v>
      </c>
      <c r="AK255" s="886">
        <f>$AF255*'Input data plant-based products'!AD169</f>
        <v>9.5638443049912494E-3</v>
      </c>
      <c r="AL255"/>
      <c r="AM255" s="879">
        <f>'Input data plant-based products'!R169/'Input data plant-based products'!E169</f>
        <v>2.3342931946949918E-3</v>
      </c>
      <c r="AN255" s="877">
        <f>$AM255*'Input data plant-based products'!Z169</f>
        <v>2.3342931946949918E-3</v>
      </c>
      <c r="AO255" s="877">
        <f>$AM255*'Input data plant-based products'!AA169</f>
        <v>2.3342931946949918E-3</v>
      </c>
      <c r="AP255" s="877">
        <f>$AM255*'Input data plant-based products'!AB169</f>
        <v>2.3342931946949918E-3</v>
      </c>
      <c r="AQ255" s="877">
        <f>$AM255*'Input data plant-based products'!AC169</f>
        <v>3.1751963092570947E-3</v>
      </c>
      <c r="AR255" s="886">
        <f>$AM255*'Input data plant-based products'!AD169</f>
        <v>3.8255377219964999E-3</v>
      </c>
      <c r="AS255" s="189"/>
      <c r="AT255" s="879">
        <f>'Input data plant-based products'!S169</f>
        <v>4.0092352696275806E-3</v>
      </c>
      <c r="AU255" s="877">
        <f>$AT255*'Input data plant-based products'!Z169</f>
        <v>4.0092352696275806E-3</v>
      </c>
      <c r="AV255" s="877">
        <f>$AT255*'Input data plant-based products'!AA169</f>
        <v>4.0092352696275806E-3</v>
      </c>
      <c r="AW255" s="877">
        <f>$AT255*'Input data plant-based products'!AB169</f>
        <v>4.0092352696275806E-3</v>
      </c>
      <c r="AX255" s="877">
        <f>$AT255*'Input data plant-based products'!AC169</f>
        <v>5.4535176043848397E-3</v>
      </c>
      <c r="AY255" s="886">
        <f>$AT255*'Input data plant-based products'!AD169</f>
        <v>6.5705031378130605E-3</v>
      </c>
      <c r="AZ255" s="189"/>
      <c r="BA255" s="879">
        <f>((SUM('Input data plant-based products'!U169:Y169)*Y255)/('Common input data'!$B$192/10^6))/$BB$3</f>
        <v>7.7988768370064405E-11</v>
      </c>
      <c r="BB255" s="877">
        <f>$BA255*'Input data plant-based products'!Z169</f>
        <v>7.7988768370064405E-11</v>
      </c>
      <c r="BC255" s="877">
        <f>$BA255*'Input data plant-based products'!AA169</f>
        <v>7.7988768370064405E-11</v>
      </c>
      <c r="BD255" s="877">
        <f>$BA255*'Input data plant-based products'!AB169</f>
        <v>7.7988768370064405E-11</v>
      </c>
      <c r="BE255" s="877">
        <f>$BA255*'Input data plant-based products'!AC169</f>
        <v>1.0608335322011306E-10</v>
      </c>
      <c r="BF255" s="886">
        <f>$BA255*'Input data plant-based products'!AD169</f>
        <v>1.2781126893989525E-10</v>
      </c>
      <c r="BH255" s="879">
        <f>'Input data plant-based products'!T169/'Input data plant-based products'!E169</f>
        <v>0</v>
      </c>
      <c r="BI255" s="877">
        <f>$BH255*'Input data plant-based products'!Z169</f>
        <v>0</v>
      </c>
      <c r="BJ255" s="877">
        <f>$BH255*'Input data plant-based products'!AA169</f>
        <v>0</v>
      </c>
      <c r="BK255" s="877">
        <f>$BH255*'Input data plant-based products'!AB169</f>
        <v>0</v>
      </c>
      <c r="BL255" s="877">
        <f>$BH255*'Input data plant-based products'!AC169</f>
        <v>0</v>
      </c>
      <c r="BM255" s="886">
        <f>$BH255*'Input data plant-based products'!AD169</f>
        <v>0</v>
      </c>
      <c r="BO255" s="879">
        <f>('Input data plant-based products'!F169/'Input data plant-based products'!E169*'Common input data'!$B$195+'Input data plant-based products'!G169/'Input data plant-based products'!E169*'Common input data'!$B$196)/'Common input data'!$B$198</f>
        <v>1.4900804872132836E-4</v>
      </c>
      <c r="BP255" s="877">
        <f>$BO255*'Input data plant-based products'!Z169</f>
        <v>1.4900804872132836E-4</v>
      </c>
      <c r="BQ255" s="877">
        <f>$BO255*'Input data plant-based products'!AA169</f>
        <v>1.4900804872132836E-4</v>
      </c>
      <c r="BR255" s="877">
        <f>$BO255*'Input data plant-based products'!AB169</f>
        <v>1.4900804872132836E-4</v>
      </c>
      <c r="BS255" s="877">
        <f>$BO255*'Input data plant-based products'!AC169</f>
        <v>2.0268653801708237E-4</v>
      </c>
      <c r="BT255" s="886">
        <f>$BO255*'Input data plant-based products'!AD169</f>
        <v>2.4420064821335227E-4</v>
      </c>
      <c r="BV255" s="879">
        <f>('Common input data'!$B$223+'Common input data'!$C$223)*'Input data plant-based products'!AC169</f>
        <v>11.829317228105255</v>
      </c>
      <c r="BW255" s="886">
        <f>('Common input data'!$B$223+'Common input data'!$C$223)*'Input data plant-based products'!AD169</f>
        <v>14.252189431452114</v>
      </c>
    </row>
    <row r="256" spans="1:253">
      <c r="A256" s="499"/>
      <c r="B256" s="55"/>
      <c r="C256" s="917"/>
      <c r="E256" s="1294" t="s">
        <v>317</v>
      </c>
      <c r="F256" s="877">
        <f>IF(AND($G$2="No",$G$3="No"),SUM(L256:M256),IF(AND($G$2="Yes", $G$3="No"), (SUM(L256:M256)+S256), IF(AND($G$2="No", $G$3="Yes"),(SUM(L256:M256)+R256), (SUM(L256:M256)+S256+R256))))</f>
        <v>0</v>
      </c>
      <c r="G256" s="877">
        <f>IF(AND($G$2="No",$G$3="No"),SUM(I256:Q256),IF(AND($G$2="Yes", $G$3="No"), (SUM(I256:Q256)+S256), IF(AND($G$2="No", $G$3="Yes"),(SUM(I256:Q256)+R256), (SUM(I256:Q256)+S256+R256))))</f>
        <v>0</v>
      </c>
      <c r="H256" s="878">
        <f>SUM(U256:W256)/(1-'Common input data'!B164)</f>
        <v>0</v>
      </c>
      <c r="I256" s="1298"/>
      <c r="W256" s="859"/>
      <c r="Y256" s="879"/>
      <c r="Z256" s="877"/>
      <c r="AA256" s="877"/>
      <c r="AB256" s="877"/>
      <c r="AC256" s="877"/>
      <c r="AD256" s="886"/>
      <c r="AF256" s="879"/>
      <c r="AG256" s="877"/>
      <c r="AH256" s="877"/>
      <c r="AI256" s="877"/>
      <c r="AJ256" s="877"/>
      <c r="AK256" s="886"/>
      <c r="AM256" s="879"/>
      <c r="AN256" s="877"/>
      <c r="AO256" s="877"/>
      <c r="AP256" s="877"/>
      <c r="AQ256" s="877"/>
      <c r="AR256" s="886"/>
      <c r="AT256" s="879"/>
      <c r="AU256" s="877"/>
      <c r="AV256" s="877"/>
      <c r="AW256" s="877"/>
      <c r="AX256" s="877"/>
      <c r="AY256" s="886"/>
      <c r="BA256" s="879"/>
      <c r="BB256" s="877"/>
      <c r="BC256" s="877"/>
      <c r="BD256" s="877"/>
      <c r="BE256" s="877"/>
      <c r="BF256" s="886"/>
      <c r="BH256" s="879"/>
      <c r="BI256" s="877"/>
      <c r="BJ256" s="877"/>
      <c r="BK256" s="877"/>
      <c r="BL256" s="877"/>
      <c r="BM256" s="886"/>
      <c r="BO256" s="879"/>
      <c r="BP256" s="877"/>
      <c r="BQ256" s="877"/>
      <c r="BR256" s="877"/>
      <c r="BS256" s="877"/>
      <c r="BT256" s="886"/>
      <c r="BV256" s="879"/>
      <c r="BW256" s="886"/>
    </row>
    <row r="257" spans="1:75">
      <c r="A257" s="18"/>
      <c r="B257" s="55"/>
      <c r="C257" s="595"/>
      <c r="D257" s="50"/>
      <c r="E257" s="1294" t="s">
        <v>367</v>
      </c>
      <c r="F257" s="877">
        <f>SUM(L257:M257)</f>
        <v>0</v>
      </c>
      <c r="G257" s="877">
        <f>SUM(I257:Q257)</f>
        <v>0</v>
      </c>
      <c r="H257" s="878">
        <f>SUM(U257:W257)/(1-'Common input data'!B164)</f>
        <v>0</v>
      </c>
      <c r="I257" s="1298"/>
      <c r="W257" s="859"/>
      <c r="Y257" s="879"/>
      <c r="Z257" s="877"/>
      <c r="AA257" s="877"/>
      <c r="AB257" s="877"/>
      <c r="AC257" s="877"/>
      <c r="AD257" s="886"/>
      <c r="AF257" s="879"/>
      <c r="AG257" s="877"/>
      <c r="AH257" s="877"/>
      <c r="AI257" s="877"/>
      <c r="AJ257" s="877"/>
      <c r="AK257" s="886"/>
      <c r="AM257" s="879"/>
      <c r="AN257" s="877"/>
      <c r="AO257" s="877"/>
      <c r="AP257" s="877"/>
      <c r="AQ257" s="877"/>
      <c r="AR257" s="886"/>
      <c r="AT257" s="879"/>
      <c r="AU257" s="877"/>
      <c r="AV257" s="877"/>
      <c r="AW257" s="877"/>
      <c r="AX257" s="877"/>
      <c r="AY257" s="886"/>
      <c r="BA257" s="879"/>
      <c r="BB257" s="877"/>
      <c r="BC257" s="877"/>
      <c r="BD257" s="877"/>
      <c r="BE257" s="877"/>
      <c r="BF257" s="886"/>
      <c r="BH257" s="879"/>
      <c r="BI257" s="877"/>
      <c r="BJ257" s="877"/>
      <c r="BK257" s="877"/>
      <c r="BL257" s="877"/>
      <c r="BM257" s="886"/>
      <c r="BO257" s="879"/>
      <c r="BP257" s="877"/>
      <c r="BQ257" s="877"/>
      <c r="BR257" s="877"/>
      <c r="BS257" s="877"/>
      <c r="BT257" s="886"/>
      <c r="BV257" s="879"/>
      <c r="BW257" s="886"/>
    </row>
    <row r="258" spans="1:75">
      <c r="A258" s="359"/>
      <c r="B258" s="360"/>
      <c r="C258" s="83"/>
      <c r="D258" s="54"/>
      <c r="E258" s="1295" t="s">
        <v>320</v>
      </c>
      <c r="F258" s="877">
        <f>SUM(L258:M258)</f>
        <v>0</v>
      </c>
      <c r="G258" s="877">
        <f>SUM(I258:Q258)</f>
        <v>0</v>
      </c>
      <c r="H258" s="878">
        <f>SUM(U258:W258)/(1-'Common input data'!B164)</f>
        <v>0</v>
      </c>
      <c r="I258" s="1298"/>
      <c r="W258" s="859"/>
      <c r="Y258" s="879"/>
      <c r="Z258" s="877"/>
      <c r="AA258" s="877"/>
      <c r="AB258" s="877"/>
      <c r="AC258" s="877"/>
      <c r="AD258" s="886"/>
      <c r="AF258" s="879"/>
      <c r="AG258" s="877"/>
      <c r="AH258" s="877"/>
      <c r="AI258" s="877"/>
      <c r="AJ258" s="877"/>
      <c r="AK258" s="886"/>
      <c r="AM258" s="879"/>
      <c r="AN258" s="877"/>
      <c r="AO258" s="877"/>
      <c r="AP258" s="877"/>
      <c r="AQ258" s="877"/>
      <c r="AR258" s="886"/>
      <c r="AT258" s="879"/>
      <c r="AU258" s="877"/>
      <c r="AV258" s="877"/>
      <c r="AW258" s="877"/>
      <c r="AX258" s="877"/>
      <c r="AY258" s="886"/>
      <c r="BA258" s="879"/>
      <c r="BB258" s="877"/>
      <c r="BC258" s="877"/>
      <c r="BD258" s="877"/>
      <c r="BE258" s="877"/>
      <c r="BF258" s="886"/>
      <c r="BH258" s="879"/>
      <c r="BI258" s="877"/>
      <c r="BJ258" s="877"/>
      <c r="BK258" s="877"/>
      <c r="BL258" s="877"/>
      <c r="BM258" s="886"/>
      <c r="BO258" s="879"/>
      <c r="BP258" s="877"/>
      <c r="BQ258" s="877"/>
      <c r="BR258" s="877"/>
      <c r="BS258" s="877"/>
      <c r="BT258" s="886"/>
      <c r="BV258" s="879"/>
      <c r="BW258" s="886"/>
    </row>
    <row r="259" spans="1:75">
      <c r="A259" s="20" t="s">
        <v>134</v>
      </c>
      <c r="B259" s="93" t="s">
        <v>121</v>
      </c>
      <c r="C259" s="87">
        <f>'Input data plant-based products'!D170</f>
        <v>0.41131410419041903</v>
      </c>
      <c r="D259" s="54"/>
      <c r="E259" s="1293" t="s">
        <v>316</v>
      </c>
      <c r="F259" s="872">
        <f>SUMPRODUCT($CE$14:$CE$16,F260:F262)</f>
        <v>0</v>
      </c>
      <c r="G259" s="872">
        <f>SUMPRODUCT($CE$14:$CE$16,G260:G262)</f>
        <v>0</v>
      </c>
      <c r="H259" s="873">
        <f>SUMPRODUCT($CE$14:$CE$16,H260:H262)</f>
        <v>0</v>
      </c>
      <c r="I259" s="1301"/>
      <c r="J259" s="888"/>
      <c r="K259" s="888"/>
      <c r="L259" s="888"/>
      <c r="M259" s="888"/>
      <c r="N259" s="888"/>
      <c r="O259" s="888"/>
      <c r="P259" s="888"/>
      <c r="Q259" s="888"/>
      <c r="R259" s="888"/>
      <c r="S259" s="888"/>
      <c r="T259" s="888"/>
      <c r="U259" s="888"/>
      <c r="V259" s="888"/>
      <c r="W259" s="936"/>
      <c r="Y259" s="879">
        <f>1/'Input data plant-based products'!E170*10^4</f>
        <v>0.86980119823813062</v>
      </c>
      <c r="Z259" s="877">
        <f>$Y259*'Input data plant-based products'!Z170</f>
        <v>0.86980119823813062</v>
      </c>
      <c r="AA259" s="877">
        <f>$Y259*'Input data plant-based products'!AA170</f>
        <v>0.86980119823813062</v>
      </c>
      <c r="AB259" s="877">
        <f>$Y259*'Input data plant-based products'!AB170</f>
        <v>0.86980119823813062</v>
      </c>
      <c r="AC259" s="877">
        <f>$Y259*'Input data plant-based products'!AC170</f>
        <v>1.243765378295667</v>
      </c>
      <c r="AD259" s="886">
        <f>$Y259*'Input data plant-based products'!AD170</f>
        <v>1.4985125039706833</v>
      </c>
      <c r="AE259"/>
      <c r="AF259" s="879">
        <f>SUM('Input data plant-based products'!F170,'Input data plant-based products'!AE170)/'Input data plant-based products'!E170</f>
        <v>1.0872514977976633E-2</v>
      </c>
      <c r="AG259" s="877">
        <f>$AF259*'Input data plant-based products'!Z170</f>
        <v>1.0872514977976633E-2</v>
      </c>
      <c r="AH259" s="877">
        <f>$AF259*'Input data plant-based products'!AA170</f>
        <v>1.0872514977976633E-2</v>
      </c>
      <c r="AI259" s="877">
        <f>$AF259*'Input data plant-based products'!AB170</f>
        <v>1.0872514977976633E-2</v>
      </c>
      <c r="AJ259" s="877">
        <f>$AF259*'Input data plant-based products'!AC170</f>
        <v>1.554706722869584E-2</v>
      </c>
      <c r="AK259" s="886">
        <f>$AF259*'Input data plant-based products'!AD170</f>
        <v>1.8731406299633543E-2</v>
      </c>
      <c r="AL259"/>
      <c r="AM259" s="879">
        <f>'Input data plant-based products'!R170/'Input data plant-based products'!E170</f>
        <v>8.9372073118967922E-3</v>
      </c>
      <c r="AN259" s="877">
        <f>$AM259*'Input data plant-based products'!Z170</f>
        <v>8.9372073118967922E-3</v>
      </c>
      <c r="AO259" s="877">
        <f>$AM259*'Input data plant-based products'!AA170</f>
        <v>8.9372073118967922E-3</v>
      </c>
      <c r="AP259" s="877">
        <f>$AM259*'Input data plant-based products'!AB170</f>
        <v>8.9372073118967922E-3</v>
      </c>
      <c r="AQ259" s="877">
        <f>$AM259*'Input data plant-based products'!AC170</f>
        <v>1.277968926198798E-2</v>
      </c>
      <c r="AR259" s="886">
        <f>$AM259*'Input data plant-based products'!AD170</f>
        <v>1.5397215978298771E-2</v>
      </c>
      <c r="AS259" s="189"/>
      <c r="AT259" s="879">
        <f>'Input data plant-based products'!S170</f>
        <v>5.3464306116255298E-3</v>
      </c>
      <c r="AU259" s="877">
        <f>$AT259*'Input data plant-based products'!Z170</f>
        <v>5.3464306116255298E-3</v>
      </c>
      <c r="AV259" s="877">
        <f>$AT259*'Input data plant-based products'!AA170</f>
        <v>5.3464306116255298E-3</v>
      </c>
      <c r="AW259" s="877">
        <f>$AT259*'Input data plant-based products'!AB170</f>
        <v>5.3464306116255298E-3</v>
      </c>
      <c r="AX259" s="877">
        <f>$AT259*'Input data plant-based products'!AC170</f>
        <v>7.6450863779787903E-3</v>
      </c>
      <c r="AY259" s="886">
        <f>$AT259*'Input data plant-based products'!AD170</f>
        <v>9.2109474433479405E-3</v>
      </c>
      <c r="AZ259" s="189"/>
      <c r="BA259" s="879">
        <f>((SUM('Input data plant-based products'!U170:Y170)*Y259)/('Common input data'!$B$192/10^6))/$BB$3</f>
        <v>1.4530035115460635E-10</v>
      </c>
      <c r="BB259" s="877">
        <f>$BA259*'Input data plant-based products'!Z170</f>
        <v>1.4530035115460635E-10</v>
      </c>
      <c r="BC259" s="877">
        <f>$BA259*'Input data plant-based products'!AA170</f>
        <v>1.4530035115460635E-10</v>
      </c>
      <c r="BD259" s="877">
        <f>$BA259*'Input data plant-based products'!AB170</f>
        <v>1.4530035115460635E-10</v>
      </c>
      <c r="BE259" s="877">
        <f>$BA259*'Input data plant-based products'!AC170</f>
        <v>2.0777109365492684E-10</v>
      </c>
      <c r="BF259" s="886">
        <f>$BA259*'Input data plant-based products'!AD170</f>
        <v>2.5032661886135765E-10</v>
      </c>
      <c r="BH259" s="879">
        <f>'Input data plant-based products'!T170/'Input data plant-based products'!E170</f>
        <v>0</v>
      </c>
      <c r="BI259" s="877">
        <f>$BH259*'Input data plant-based products'!Z170</f>
        <v>0</v>
      </c>
      <c r="BJ259" s="877">
        <f>$BH259*'Input data plant-based products'!AA170</f>
        <v>0</v>
      </c>
      <c r="BK259" s="877">
        <f>$BH259*'Input data plant-based products'!AB170</f>
        <v>0</v>
      </c>
      <c r="BL259" s="877">
        <f>$BH259*'Input data plant-based products'!AC170</f>
        <v>0</v>
      </c>
      <c r="BM259" s="886">
        <f>$BH259*'Input data plant-based products'!AD170</f>
        <v>0</v>
      </c>
      <c r="BO259" s="879">
        <f>('Input data plant-based products'!F170/'Input data plant-based products'!E170*'Common input data'!$B$195+'Input data plant-based products'!G170/'Input data plant-based products'!E170*'Common input data'!$B$196)/'Common input data'!$B$198</f>
        <v>2.7761589593691162E-4</v>
      </c>
      <c r="BP259" s="877">
        <f>$BO259*'Input data plant-based products'!Z170</f>
        <v>2.7761589593691162E-4</v>
      </c>
      <c r="BQ259" s="877">
        <f>$BO259*'Input data plant-based products'!AA170</f>
        <v>2.7761589593691162E-4</v>
      </c>
      <c r="BR259" s="877">
        <f>$BO259*'Input data plant-based products'!AB170</f>
        <v>2.7761589593691162E-4</v>
      </c>
      <c r="BS259" s="877">
        <f>$BO259*'Input data plant-based products'!AC170</f>
        <v>3.9697466562506572E-4</v>
      </c>
      <c r="BT259" s="886">
        <f>$BO259*'Input data plant-based products'!AD170</f>
        <v>4.7828272966875392E-4</v>
      </c>
      <c r="BV259" s="879">
        <f>('Common input data'!$B$228+'Common input data'!$C$228)*'Input data plant-based products'!AC170</f>
        <v>8.0826607328153806</v>
      </c>
      <c r="BW259" s="886">
        <f>('Common input data'!$B$228+'Common input data'!$C$228)*'Input data plant-based products'!AD170</f>
        <v>9.7381454612233505</v>
      </c>
    </row>
    <row r="260" spans="1:75">
      <c r="A260" s="68"/>
      <c r="B260" s="55"/>
      <c r="C260" s="917"/>
      <c r="E260" s="1294" t="s">
        <v>317</v>
      </c>
      <c r="F260" s="877">
        <f>IF(AND($G$2="No",$G$3="No"),SUM(L260:M260),IF(AND($G$2="Yes", $G$3="No"), (SUM(L260:M260)+S260), IF(AND($G$2="No", $G$3="Yes"),(SUM(L260:M260)+R260), (SUM(L260:M260)+S260+R260))))</f>
        <v>0</v>
      </c>
      <c r="G260" s="877">
        <f>IF(AND($G$2="No",$G$3="No"),SUM(I260:Q260),IF(AND($G$2="Yes", $G$3="No"), (SUM(I260:Q260)+S260), IF(AND($G$2="No", $G$3="Yes"),(SUM(I260:Q260)+R260), (SUM(I260:Q260)+S260+R260))))</f>
        <v>0</v>
      </c>
      <c r="H260" s="878">
        <f>SUM(U260:W260)/(1-'Common input data'!H164)</f>
        <v>0</v>
      </c>
      <c r="I260" s="1298"/>
      <c r="W260" s="859"/>
      <c r="Y260" s="858"/>
      <c r="AD260" s="859"/>
      <c r="AF260" s="858"/>
      <c r="AK260" s="859"/>
      <c r="AM260" s="858"/>
      <c r="AR260" s="859"/>
      <c r="AT260" s="858"/>
      <c r="AY260" s="859"/>
      <c r="BA260" s="858"/>
      <c r="BF260" s="859"/>
      <c r="BH260" s="858"/>
      <c r="BI260" s="188"/>
      <c r="BJ260" s="188"/>
      <c r="BK260" s="188"/>
      <c r="BL260" s="188"/>
      <c r="BM260" s="859"/>
      <c r="BO260" s="858"/>
      <c r="BP260" s="188"/>
      <c r="BQ260" s="188"/>
      <c r="BR260" s="188"/>
      <c r="BS260" s="188"/>
      <c r="BT260" s="859"/>
      <c r="BV260" s="858"/>
      <c r="BW260" s="859"/>
    </row>
    <row r="261" spans="1:75">
      <c r="A261" s="86"/>
      <c r="B261" s="56"/>
      <c r="C261" s="1302"/>
      <c r="D261" s="50"/>
      <c r="E261" s="1294" t="s">
        <v>367</v>
      </c>
      <c r="F261" s="877">
        <f>SUM(L261:M261)</f>
        <v>0</v>
      </c>
      <c r="G261" s="877">
        <f>SUM(I261:Q261)</f>
        <v>0</v>
      </c>
      <c r="H261" s="878">
        <f>SUM(U261:W261)/(1-'Common input data'!H164)</f>
        <v>0</v>
      </c>
      <c r="I261" s="1298"/>
      <c r="W261" s="859"/>
      <c r="Y261" s="858"/>
      <c r="AD261" s="859"/>
      <c r="AF261" s="858"/>
      <c r="AK261" s="859"/>
      <c r="AM261" s="858"/>
      <c r="AR261" s="859"/>
      <c r="AT261" s="858"/>
      <c r="AY261" s="859"/>
      <c r="BA261" s="858"/>
      <c r="BF261" s="859"/>
      <c r="BH261" s="858"/>
      <c r="BI261" s="188"/>
      <c r="BJ261" s="188"/>
      <c r="BK261" s="188"/>
      <c r="BL261" s="188"/>
      <c r="BM261" s="859"/>
      <c r="BO261" s="858"/>
      <c r="BP261" s="188"/>
      <c r="BQ261" s="188"/>
      <c r="BR261" s="188"/>
      <c r="BS261" s="188"/>
      <c r="BT261" s="859"/>
      <c r="BV261" s="858"/>
      <c r="BW261" s="859"/>
    </row>
    <row r="262" spans="1:75" ht="15.75" thickBot="1">
      <c r="A262" s="359"/>
      <c r="B262" s="360"/>
      <c r="C262" s="83"/>
      <c r="D262" s="54"/>
      <c r="E262" s="1297" t="s">
        <v>320</v>
      </c>
      <c r="F262" s="894">
        <f>SUM(L262:M262)</f>
        <v>0</v>
      </c>
      <c r="G262" s="894">
        <f>SUM(I262:Q262)</f>
        <v>0</v>
      </c>
      <c r="H262" s="895">
        <f>SUM(U262:W262)/(1-'Common input data'!H164)</f>
        <v>0</v>
      </c>
      <c r="I262" s="1299"/>
      <c r="J262" s="1223"/>
      <c r="K262" s="1223"/>
      <c r="L262" s="1223"/>
      <c r="M262" s="1223"/>
      <c r="N262" s="1223"/>
      <c r="O262" s="1223"/>
      <c r="P262" s="1223"/>
      <c r="Q262" s="1223"/>
      <c r="R262" s="1223"/>
      <c r="S262" s="1223"/>
      <c r="T262" s="1223"/>
      <c r="U262" s="1223"/>
      <c r="V262" s="1223"/>
      <c r="W262" s="1224"/>
      <c r="Y262" s="1222"/>
      <c r="Z262" s="1223"/>
      <c r="AA262" s="1223"/>
      <c r="AB262" s="1223"/>
      <c r="AC262" s="1223"/>
      <c r="AD262" s="1224"/>
      <c r="AF262" s="1222"/>
      <c r="AG262" s="1223"/>
      <c r="AH262" s="1223"/>
      <c r="AI262" s="1223"/>
      <c r="AJ262" s="1223"/>
      <c r="AK262" s="1224"/>
      <c r="AM262" s="1222"/>
      <c r="AN262" s="1223"/>
      <c r="AO262" s="1223"/>
      <c r="AP262" s="1223"/>
      <c r="AQ262" s="1223"/>
      <c r="AR262" s="1224"/>
      <c r="AT262" s="1222"/>
      <c r="AU262" s="1223"/>
      <c r="AV262" s="1223"/>
      <c r="AW262" s="1223"/>
      <c r="AX262" s="1223"/>
      <c r="AY262" s="1224"/>
      <c r="BA262" s="1222"/>
      <c r="BB262" s="1223"/>
      <c r="BC262" s="1223"/>
      <c r="BD262" s="1223"/>
      <c r="BE262" s="1223"/>
      <c r="BF262" s="1224"/>
      <c r="BH262" s="1222"/>
      <c r="BI262" s="1223"/>
      <c r="BJ262" s="1223"/>
      <c r="BK262" s="1223"/>
      <c r="BL262" s="1223"/>
      <c r="BM262" s="1224"/>
      <c r="BO262" s="1222"/>
      <c r="BP262" s="1223"/>
      <c r="BQ262" s="1223"/>
      <c r="BR262" s="1223"/>
      <c r="BS262" s="1223"/>
      <c r="BT262" s="1224"/>
      <c r="BV262" s="1222"/>
      <c r="BW262" s="1224"/>
    </row>
  </sheetData>
  <dataValidations count="2">
    <dataValidation type="list" allowBlank="1" showInputMessage="1" showErrorMessage="1" sqref="G2:G5" xr:uid="{00000000-0002-0000-0800-000000000000}">
      <formula1>"Yes, No"</formula1>
    </dataValidation>
    <dataValidation type="list" allowBlank="1" showInputMessage="1" showErrorMessage="1" sqref="BB3" xr:uid="{00000000-0002-0000-0800-000001000000}">
      <formula1>"1,20,100,500"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2000000}">
          <x14:formula1>
            <xm:f>'Common input data'!$A$5:$A$15</xm:f>
          </x14:formula1>
          <xm:sqref>G1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39997558519241921"/>
  </sheetPr>
  <dimension ref="A1:IS373"/>
  <sheetViews>
    <sheetView topLeftCell="A343" zoomScale="69" workbookViewId="0">
      <pane xSplit="8565" topLeftCell="AZ1"/>
      <selection activeCell="A242" sqref="A242"/>
      <selection pane="topRight" activeCell="AZ7" sqref="AZ7"/>
    </sheetView>
  </sheetViews>
  <sheetFormatPr defaultColWidth="8.7109375" defaultRowHeight="15"/>
  <cols>
    <col min="1" max="1" width="52.7109375" bestFit="1" customWidth="1"/>
    <col min="2" max="2" width="37.42578125" customWidth="1"/>
    <col min="3" max="3" width="19.7109375" style="5" bestFit="1" customWidth="1"/>
    <col min="4" max="4" width="19.7109375" style="5" customWidth="1"/>
    <col min="5" max="5" width="28" customWidth="1"/>
    <col min="6" max="8" width="38.7109375" style="877" customWidth="1"/>
    <col min="9" max="9" width="34.42578125" style="877" bestFit="1" customWidth="1"/>
    <col min="10" max="10" width="35.42578125" style="877" bestFit="1" customWidth="1"/>
    <col min="11" max="11" width="18.42578125" style="877" bestFit="1" customWidth="1"/>
    <col min="12" max="12" width="23.28515625" style="877" bestFit="1" customWidth="1"/>
    <col min="13" max="13" width="23.28515625" style="877" customWidth="1"/>
    <col min="14" max="14" width="19.28515625" style="877" bestFit="1" customWidth="1"/>
    <col min="15" max="15" width="29.42578125" style="877" bestFit="1" customWidth="1"/>
    <col min="16" max="16" width="28.7109375" style="877" bestFit="1" customWidth="1"/>
    <col min="17" max="19" width="28.42578125" style="877" customWidth="1"/>
    <col min="20" max="20" width="27.7109375" style="877" bestFit="1" customWidth="1"/>
    <col min="21" max="21" width="27.28515625" style="877" bestFit="1" customWidth="1"/>
    <col min="22" max="22" width="19.28515625" style="877" bestFit="1" customWidth="1"/>
    <col min="23" max="23" width="22.42578125" style="877" bestFit="1" customWidth="1"/>
    <col min="24" max="24" width="8.7109375" style="877"/>
    <col min="25" max="58" width="16.7109375" style="877" customWidth="1"/>
    <col min="59" max="75" width="16.7109375" customWidth="1"/>
    <col min="85" max="87" width="0" hidden="1" customWidth="1"/>
  </cols>
  <sheetData>
    <row r="1" spans="1:253" ht="31.5">
      <c r="A1" s="326" t="s">
        <v>16</v>
      </c>
      <c r="F1" s="971" t="s">
        <v>269</v>
      </c>
      <c r="G1" s="869" t="s">
        <v>251</v>
      </c>
    </row>
    <row r="2" spans="1:253" ht="17.25">
      <c r="F2" s="971" t="s">
        <v>271</v>
      </c>
      <c r="G2" s="869" t="s">
        <v>2471</v>
      </c>
      <c r="H2" s="971"/>
      <c r="J2" s="834"/>
      <c r="K2" s="835"/>
      <c r="L2" s="834"/>
      <c r="M2" s="834"/>
      <c r="N2" s="834"/>
      <c r="O2" s="834"/>
      <c r="P2" s="834"/>
      <c r="Q2" s="834"/>
      <c r="R2" s="834"/>
      <c r="S2" s="834"/>
      <c r="T2" s="834"/>
      <c r="U2" s="834"/>
      <c r="V2" s="834"/>
      <c r="W2" s="834"/>
      <c r="X2" s="834"/>
      <c r="CG2" s="864"/>
      <c r="CH2" s="834"/>
      <c r="CI2" s="869"/>
      <c r="CJ2" s="869"/>
    </row>
    <row r="3" spans="1:253" ht="69">
      <c r="F3" s="860" t="s">
        <v>273</v>
      </c>
      <c r="G3" s="869" t="s">
        <v>272</v>
      </c>
      <c r="H3" s="971"/>
      <c r="BA3" s="1168" t="s">
        <v>274</v>
      </c>
      <c r="BB3" s="1169">
        <v>1</v>
      </c>
      <c r="CG3" s="864"/>
      <c r="CH3" s="877" t="s">
        <v>252</v>
      </c>
      <c r="CI3" s="877"/>
      <c r="CJ3" s="869"/>
    </row>
    <row r="4" spans="1:253" ht="17.25">
      <c r="H4" s="971"/>
      <c r="CG4" s="869"/>
      <c r="CH4" s="877" t="s">
        <v>253</v>
      </c>
      <c r="CI4" s="877">
        <v>1</v>
      </c>
      <c r="CJ4" s="869"/>
    </row>
    <row r="5" spans="1:253" ht="21.75" thickBot="1">
      <c r="E5" s="774" t="s">
        <v>275</v>
      </c>
      <c r="F5" s="972"/>
      <c r="G5" s="973"/>
      <c r="H5" s="974"/>
      <c r="I5" s="975"/>
      <c r="J5" s="975"/>
      <c r="K5" s="975"/>
      <c r="L5" s="975"/>
      <c r="M5" s="975"/>
      <c r="N5" s="975"/>
      <c r="O5" s="975"/>
      <c r="P5" s="975"/>
      <c r="Q5" s="975"/>
      <c r="R5" s="975"/>
      <c r="S5" s="975"/>
      <c r="T5" s="975"/>
      <c r="U5" s="975"/>
      <c r="V5" s="975"/>
      <c r="W5" s="975"/>
      <c r="Y5" s="1309" t="s">
        <v>276</v>
      </c>
      <c r="Z5" s="1310"/>
      <c r="AA5" s="1310"/>
      <c r="AB5" s="1310"/>
      <c r="AC5" s="1310"/>
      <c r="AD5" s="1311"/>
      <c r="AF5" s="1309" t="s">
        <v>278</v>
      </c>
      <c r="AG5" s="1310"/>
      <c r="AH5" s="1310"/>
      <c r="AI5" s="1310"/>
      <c r="AJ5" s="1310"/>
      <c r="AK5" s="1311"/>
      <c r="AM5" s="1309" t="s">
        <v>279</v>
      </c>
      <c r="AN5" s="1310"/>
      <c r="AO5" s="1310"/>
      <c r="AP5" s="1310"/>
      <c r="AQ5" s="1310"/>
      <c r="AR5" s="1311"/>
      <c r="AT5" s="1309" t="s">
        <v>280</v>
      </c>
      <c r="AU5" s="1310"/>
      <c r="AV5" s="1310"/>
      <c r="AW5" s="1310"/>
      <c r="AX5" s="1310"/>
      <c r="AY5" s="1311"/>
      <c r="BA5" s="1309" t="s">
        <v>281</v>
      </c>
      <c r="BB5" s="1310"/>
      <c r="BC5" s="1310"/>
      <c r="BD5" s="1310"/>
      <c r="BE5" s="1310"/>
      <c r="BF5" s="1311"/>
      <c r="BH5" s="1309" t="s">
        <v>282</v>
      </c>
      <c r="BI5" s="1310"/>
      <c r="BJ5" s="1310"/>
      <c r="BK5" s="1310"/>
      <c r="BL5" s="1310"/>
      <c r="BM5" s="1311"/>
      <c r="BN5" s="406"/>
      <c r="BO5" s="1309" t="s">
        <v>283</v>
      </c>
      <c r="BP5" s="1310"/>
      <c r="BQ5" s="1310"/>
      <c r="BR5" s="1310"/>
      <c r="BS5" s="1310"/>
      <c r="BT5" s="1311"/>
      <c r="BV5" s="1309" t="s">
        <v>284</v>
      </c>
      <c r="BW5" s="1311"/>
      <c r="CG5" s="869"/>
      <c r="CH5" s="877" t="s">
        <v>397</v>
      </c>
      <c r="CI5" s="982">
        <f>INDEX('Common input data'!A5:F15,MATCH(G1,'Common input data'!A5:A15,0),3)</f>
        <v>27</v>
      </c>
      <c r="CJ5" s="869"/>
    </row>
    <row r="6" spans="1:253" ht="21">
      <c r="E6" s="775" t="s">
        <v>285</v>
      </c>
      <c r="F6" s="976"/>
      <c r="G6" s="976"/>
      <c r="H6" s="977"/>
      <c r="I6" s="978" t="s">
        <v>286</v>
      </c>
      <c r="J6" s="871"/>
      <c r="K6" s="871"/>
      <c r="L6" s="871"/>
      <c r="M6" s="871"/>
      <c r="N6" s="871"/>
      <c r="O6" s="871"/>
      <c r="P6" s="871"/>
      <c r="Q6" s="871"/>
      <c r="R6" s="871"/>
      <c r="S6" s="871"/>
      <c r="T6" s="871"/>
      <c r="U6" s="871"/>
      <c r="V6" s="871"/>
      <c r="W6" s="871"/>
      <c r="Y6" s="1312" t="s">
        <v>286</v>
      </c>
      <c r="Z6" s="1313"/>
      <c r="AA6" s="1313"/>
      <c r="AB6" s="1313"/>
      <c r="AC6" s="1313"/>
      <c r="AD6" s="1314"/>
      <c r="AF6" s="1312" t="s">
        <v>286</v>
      </c>
      <c r="AG6" s="1313"/>
      <c r="AH6" s="1313"/>
      <c r="AI6" s="1313"/>
      <c r="AJ6" s="1313"/>
      <c r="AK6" s="1314"/>
      <c r="AM6" s="1312" t="s">
        <v>286</v>
      </c>
      <c r="AN6" s="1313"/>
      <c r="AO6" s="1313"/>
      <c r="AP6" s="1313"/>
      <c r="AQ6" s="1313"/>
      <c r="AR6" s="1314"/>
      <c r="AT6" s="1312" t="s">
        <v>286</v>
      </c>
      <c r="AU6" s="1313"/>
      <c r="AV6" s="1313"/>
      <c r="AW6" s="1313"/>
      <c r="AX6" s="1313"/>
      <c r="AY6" s="1314"/>
      <c r="BA6" s="1312" t="s">
        <v>286</v>
      </c>
      <c r="BB6" s="1313"/>
      <c r="BC6" s="1313"/>
      <c r="BD6" s="1313"/>
      <c r="BE6" s="1313"/>
      <c r="BF6" s="1314"/>
      <c r="BH6" s="1312" t="s">
        <v>286</v>
      </c>
      <c r="BI6" s="1313"/>
      <c r="BJ6" s="1313"/>
      <c r="BK6" s="1313"/>
      <c r="BL6" s="1313"/>
      <c r="BM6" s="1314"/>
      <c r="BN6" s="406"/>
      <c r="BO6" s="1312" t="s">
        <v>286</v>
      </c>
      <c r="BP6" s="1313"/>
      <c r="BQ6" s="1313"/>
      <c r="BR6" s="1313"/>
      <c r="BS6" s="1313"/>
      <c r="BT6" s="1314"/>
      <c r="BV6" s="1312" t="s">
        <v>286</v>
      </c>
      <c r="BW6" s="1314"/>
      <c r="CG6" s="869"/>
      <c r="CH6" s="877" t="s">
        <v>256</v>
      </c>
      <c r="CI6" s="982">
        <f>INDEX('Common input data'!A5:F15,MATCH(G1,'Common input data'!A5:A15,0),5)</f>
        <v>273</v>
      </c>
      <c r="CJ6" s="869"/>
    </row>
    <row r="7" spans="1:253" ht="17.25">
      <c r="A7" s="339"/>
      <c r="B7" s="332"/>
      <c r="C7" s="915"/>
      <c r="D7" s="956"/>
      <c r="E7" s="773"/>
      <c r="F7" s="971"/>
      <c r="G7" s="971"/>
      <c r="H7" s="979"/>
      <c r="I7" s="853"/>
      <c r="J7" s="854"/>
      <c r="K7" s="853" t="s">
        <v>298</v>
      </c>
      <c r="L7" s="980"/>
      <c r="M7" s="980"/>
      <c r="N7" s="980"/>
      <c r="O7" s="980"/>
      <c r="P7" s="980"/>
      <c r="Q7" s="980"/>
      <c r="R7" s="980"/>
      <c r="S7" s="980"/>
      <c r="T7" s="980"/>
      <c r="U7" s="980"/>
      <c r="V7" s="980"/>
      <c r="W7" s="980"/>
      <c r="X7" s="1332"/>
      <c r="Y7" s="869"/>
      <c r="Z7" s="869"/>
      <c r="AA7" s="869"/>
      <c r="AB7" s="869"/>
      <c r="AC7" s="869"/>
      <c r="AD7" s="1174"/>
      <c r="AF7" s="864"/>
      <c r="AG7" s="869"/>
      <c r="AH7" s="869"/>
      <c r="AI7" s="869"/>
      <c r="AJ7" s="869"/>
      <c r="AK7" s="1174"/>
      <c r="AM7" s="864"/>
      <c r="AN7" s="869"/>
      <c r="AO7" s="869"/>
      <c r="AP7" s="869"/>
      <c r="AQ7" s="869"/>
      <c r="AR7" s="1174"/>
      <c r="AT7" s="864"/>
      <c r="AU7" s="869"/>
      <c r="AV7" s="869"/>
      <c r="AW7" s="869"/>
      <c r="AX7" s="869"/>
      <c r="AY7" s="1174"/>
      <c r="BA7" s="864"/>
      <c r="BB7" s="869"/>
      <c r="BC7" s="869"/>
      <c r="BD7" s="869"/>
      <c r="BE7" s="869"/>
      <c r="BF7" s="1174"/>
      <c r="BH7" s="864"/>
      <c r="BI7" s="869"/>
      <c r="BJ7" s="869"/>
      <c r="BK7" s="869"/>
      <c r="BL7" s="869"/>
      <c r="BM7" s="1174"/>
      <c r="BO7" s="864"/>
      <c r="BP7" s="869"/>
      <c r="BQ7" s="869"/>
      <c r="BR7" s="869"/>
      <c r="BS7" s="869"/>
      <c r="BT7" s="1174"/>
      <c r="BV7" s="864"/>
      <c r="BW7" s="1174"/>
      <c r="CG7" s="869"/>
      <c r="CH7" s="877" t="s">
        <v>257</v>
      </c>
      <c r="CI7" s="982">
        <f>INDEX('Common input data'!A5:F15,MATCH(G1,'Common input data'!A5:A15,0),6)</f>
        <v>1960</v>
      </c>
      <c r="CJ7" s="869"/>
    </row>
    <row r="8" spans="1:253" s="496" customFormat="1" ht="103.5">
      <c r="A8" s="404"/>
      <c r="B8" s="342" t="s">
        <v>107</v>
      </c>
      <c r="C8" s="916" t="s">
        <v>108</v>
      </c>
      <c r="D8" s="914"/>
      <c r="E8" s="344"/>
      <c r="F8" s="860" t="s">
        <v>295</v>
      </c>
      <c r="G8" s="860" t="s">
        <v>290</v>
      </c>
      <c r="H8" s="861" t="s">
        <v>296</v>
      </c>
      <c r="I8" s="862" t="s">
        <v>417</v>
      </c>
      <c r="J8" s="862" t="s">
        <v>418</v>
      </c>
      <c r="K8" s="862" t="s">
        <v>299</v>
      </c>
      <c r="L8" s="862" t="s">
        <v>300</v>
      </c>
      <c r="M8" s="1331" t="s">
        <v>419</v>
      </c>
      <c r="N8" s="862" t="s">
        <v>420</v>
      </c>
      <c r="O8" s="862" t="s">
        <v>421</v>
      </c>
      <c r="P8" s="862" t="s">
        <v>422</v>
      </c>
      <c r="Q8" s="862" t="s">
        <v>423</v>
      </c>
      <c r="R8" s="862" t="s">
        <v>302</v>
      </c>
      <c r="S8" s="862" t="s">
        <v>303</v>
      </c>
      <c r="T8" s="862" t="s">
        <v>424</v>
      </c>
      <c r="U8" s="862" t="s">
        <v>306</v>
      </c>
      <c r="V8" s="862" t="s">
        <v>307</v>
      </c>
      <c r="W8" s="862" t="s">
        <v>308</v>
      </c>
      <c r="X8" s="1333"/>
      <c r="Y8" s="854" t="s">
        <v>425</v>
      </c>
      <c r="Z8" s="854" t="s">
        <v>426</v>
      </c>
      <c r="AA8" s="854" t="s">
        <v>427</v>
      </c>
      <c r="AB8" s="958" t="s">
        <v>428</v>
      </c>
      <c r="AC8" s="958" t="s">
        <v>291</v>
      </c>
      <c r="AD8" s="959" t="s">
        <v>292</v>
      </c>
      <c r="AE8" s="869"/>
      <c r="AF8" s="957" t="s">
        <v>429</v>
      </c>
      <c r="AG8" s="854" t="s">
        <v>426</v>
      </c>
      <c r="AH8" s="854" t="s">
        <v>427</v>
      </c>
      <c r="AI8" s="958" t="s">
        <v>428</v>
      </c>
      <c r="AJ8" s="958" t="s">
        <v>291</v>
      </c>
      <c r="AK8" s="959" t="s">
        <v>292</v>
      </c>
      <c r="AL8" s="869"/>
      <c r="AM8" s="957" t="s">
        <v>429</v>
      </c>
      <c r="AN8" s="854" t="s">
        <v>426</v>
      </c>
      <c r="AO8" s="854" t="s">
        <v>427</v>
      </c>
      <c r="AP8" s="958" t="s">
        <v>428</v>
      </c>
      <c r="AQ8" s="958" t="s">
        <v>291</v>
      </c>
      <c r="AR8" s="959" t="s">
        <v>292</v>
      </c>
      <c r="AS8" s="869"/>
      <c r="AT8" s="957" t="s">
        <v>429</v>
      </c>
      <c r="AU8" s="854" t="s">
        <v>426</v>
      </c>
      <c r="AV8" s="854" t="s">
        <v>427</v>
      </c>
      <c r="AW8" s="958" t="s">
        <v>428</v>
      </c>
      <c r="AX8" s="958" t="s">
        <v>291</v>
      </c>
      <c r="AY8" s="959" t="s">
        <v>292</v>
      </c>
      <c r="AZ8" s="869"/>
      <c r="BA8" s="957" t="s">
        <v>429</v>
      </c>
      <c r="BB8" s="854" t="s">
        <v>426</v>
      </c>
      <c r="BC8" s="854" t="s">
        <v>427</v>
      </c>
      <c r="BD8" s="958" t="s">
        <v>428</v>
      </c>
      <c r="BE8" s="958" t="s">
        <v>291</v>
      </c>
      <c r="BF8" s="959" t="s">
        <v>292</v>
      </c>
      <c r="BG8" s="406"/>
      <c r="BH8" s="957" t="s">
        <v>429</v>
      </c>
      <c r="BI8" s="854" t="s">
        <v>426</v>
      </c>
      <c r="BJ8" s="854" t="s">
        <v>427</v>
      </c>
      <c r="BK8" s="958" t="s">
        <v>428</v>
      </c>
      <c r="BL8" s="958" t="s">
        <v>291</v>
      </c>
      <c r="BM8" s="959" t="s">
        <v>292</v>
      </c>
      <c r="BN8" s="406"/>
      <c r="BO8" s="957" t="s">
        <v>429</v>
      </c>
      <c r="BP8" s="854" t="s">
        <v>426</v>
      </c>
      <c r="BQ8" s="854" t="s">
        <v>427</v>
      </c>
      <c r="BR8" s="958" t="s">
        <v>428</v>
      </c>
      <c r="BS8" s="958" t="s">
        <v>291</v>
      </c>
      <c r="BT8" s="959" t="s">
        <v>292</v>
      </c>
      <c r="BU8" s="406"/>
      <c r="BV8" s="1323" t="s">
        <v>291</v>
      </c>
      <c r="BW8" s="959" t="s">
        <v>292</v>
      </c>
      <c r="BX8" s="406"/>
      <c r="BY8" s="406"/>
      <c r="BZ8" s="406"/>
      <c r="CA8" s="406"/>
      <c r="CB8" s="406"/>
      <c r="CC8" s="406"/>
      <c r="CD8" s="406"/>
      <c r="CE8" s="406"/>
      <c r="CF8" s="406"/>
      <c r="CG8" s="869"/>
      <c r="CH8" s="834"/>
      <c r="CI8" s="869"/>
      <c r="CJ8" s="869"/>
      <c r="CK8" s="406"/>
      <c r="CL8" s="406"/>
      <c r="CM8" s="406"/>
      <c r="CN8" s="406"/>
      <c r="CO8" s="406"/>
      <c r="CP8" s="406"/>
      <c r="CQ8" s="406"/>
      <c r="CR8" s="406"/>
      <c r="CS8" s="406"/>
      <c r="CT8" s="406"/>
      <c r="CU8" s="406"/>
      <c r="CV8" s="406"/>
      <c r="CW8" s="406"/>
      <c r="CX8" s="406"/>
      <c r="CY8" s="406"/>
      <c r="CZ8" s="406"/>
      <c r="DA8" s="406"/>
      <c r="DB8" s="406"/>
      <c r="DC8" s="406"/>
      <c r="DD8" s="406"/>
      <c r="DE8" s="406"/>
      <c r="DF8" s="406"/>
      <c r="DG8" s="406"/>
      <c r="DH8" s="406"/>
      <c r="DI8" s="406"/>
      <c r="DJ8" s="406"/>
      <c r="DK8" s="406"/>
      <c r="DL8" s="406"/>
      <c r="DM8" s="406"/>
      <c r="DN8" s="406"/>
      <c r="DO8" s="406"/>
      <c r="DP8" s="406"/>
      <c r="DQ8" s="406"/>
      <c r="DR8" s="406"/>
      <c r="DS8" s="406"/>
      <c r="DT8" s="406"/>
      <c r="DU8" s="406"/>
      <c r="DV8" s="406"/>
      <c r="DW8" s="406"/>
      <c r="DX8" s="406"/>
      <c r="DY8" s="406"/>
      <c r="DZ8" s="406"/>
      <c r="EA8" s="406"/>
      <c r="EB8" s="406"/>
      <c r="EC8" s="406"/>
      <c r="ED8" s="406"/>
      <c r="EE8" s="406"/>
      <c r="EF8" s="406"/>
      <c r="EG8" s="406"/>
      <c r="EH8" s="406"/>
      <c r="EI8" s="406"/>
      <c r="EJ8" s="406"/>
      <c r="EK8" s="406"/>
      <c r="EL8" s="406"/>
      <c r="EM8" s="406"/>
      <c r="EN8" s="406"/>
      <c r="EO8" s="406"/>
      <c r="EP8" s="406"/>
      <c r="EQ8" s="406"/>
      <c r="ER8" s="406"/>
      <c r="ES8" s="406"/>
      <c r="ET8" s="406"/>
      <c r="EU8" s="406"/>
      <c r="EV8" s="406"/>
      <c r="EW8" s="406"/>
      <c r="EX8" s="406"/>
      <c r="EY8" s="406"/>
      <c r="EZ8" s="406"/>
      <c r="FA8" s="406"/>
      <c r="FB8" s="406"/>
      <c r="FC8" s="406"/>
      <c r="FD8" s="406"/>
      <c r="FE8" s="406"/>
      <c r="FF8" s="406"/>
      <c r="FG8" s="406"/>
      <c r="FH8" s="406"/>
      <c r="FI8" s="406"/>
      <c r="FJ8" s="406"/>
      <c r="FK8" s="406"/>
      <c r="FL8" s="406"/>
      <c r="FM8" s="406"/>
      <c r="FN8" s="406"/>
      <c r="FO8" s="406"/>
      <c r="FP8" s="406"/>
      <c r="FQ8" s="406"/>
      <c r="FR8" s="406"/>
      <c r="FS8" s="406"/>
      <c r="FT8" s="406"/>
      <c r="FU8" s="406"/>
      <c r="FV8" s="406"/>
      <c r="FW8" s="406"/>
      <c r="FX8" s="406"/>
      <c r="FY8" s="406"/>
      <c r="FZ8" s="406"/>
      <c r="GA8" s="406"/>
      <c r="GB8" s="406"/>
      <c r="GC8" s="406"/>
      <c r="GD8" s="406"/>
      <c r="GE8" s="406"/>
      <c r="GF8" s="406"/>
      <c r="GG8" s="406"/>
      <c r="GH8" s="406"/>
      <c r="GI8" s="406"/>
      <c r="GJ8" s="406"/>
      <c r="GK8" s="406"/>
      <c r="GL8" s="406"/>
      <c r="GM8" s="406"/>
      <c r="GN8" s="406"/>
      <c r="GO8" s="406"/>
      <c r="GP8" s="406"/>
      <c r="GQ8" s="406"/>
      <c r="GR8" s="406"/>
      <c r="GS8" s="406"/>
      <c r="GT8" s="406"/>
      <c r="GU8" s="406"/>
      <c r="GV8" s="406"/>
      <c r="GW8" s="406"/>
      <c r="GX8" s="406"/>
      <c r="GY8" s="406"/>
      <c r="GZ8" s="406"/>
      <c r="HA8" s="406"/>
      <c r="HB8" s="406"/>
      <c r="HC8" s="406"/>
      <c r="HD8" s="406"/>
      <c r="HE8" s="406"/>
      <c r="HF8" s="406"/>
      <c r="HG8" s="406"/>
      <c r="HH8" s="406"/>
      <c r="HI8" s="406"/>
      <c r="HJ8" s="406"/>
      <c r="HK8" s="406"/>
      <c r="HL8" s="406"/>
      <c r="HM8" s="406"/>
      <c r="HN8" s="406"/>
      <c r="HO8" s="406"/>
      <c r="HP8" s="406"/>
      <c r="HQ8" s="406"/>
      <c r="HR8" s="406"/>
      <c r="HS8" s="406"/>
      <c r="HT8" s="406"/>
      <c r="HU8" s="406"/>
      <c r="HV8" s="406"/>
      <c r="HW8" s="406"/>
      <c r="HX8" s="406"/>
      <c r="HY8" s="406"/>
      <c r="HZ8" s="406"/>
      <c r="IA8" s="406"/>
      <c r="IB8" s="406"/>
      <c r="IC8" s="406"/>
      <c r="ID8" s="406"/>
      <c r="IE8" s="406"/>
      <c r="IF8" s="406"/>
      <c r="IG8" s="406"/>
      <c r="IH8" s="406"/>
      <c r="II8" s="406"/>
      <c r="IJ8" s="406"/>
      <c r="IK8" s="406"/>
      <c r="IL8" s="406"/>
      <c r="IM8" s="406"/>
      <c r="IN8" s="406"/>
      <c r="IO8" s="406"/>
      <c r="IP8" s="406"/>
      <c r="IQ8" s="406"/>
      <c r="IR8" s="406"/>
      <c r="IS8" s="406"/>
    </row>
    <row r="9" spans="1:253" s="503" customFormat="1" ht="18" thickBot="1">
      <c r="A9" s="362" t="s">
        <v>502</v>
      </c>
      <c r="B9" s="363"/>
      <c r="C9" s="770"/>
      <c r="D9" s="54"/>
      <c r="E9" s="1292"/>
      <c r="F9" s="942" t="s">
        <v>503</v>
      </c>
      <c r="G9" s="943" t="s">
        <v>503</v>
      </c>
      <c r="H9" s="944" t="s">
        <v>503</v>
      </c>
      <c r="I9" s="880"/>
      <c r="J9" s="880"/>
      <c r="K9" s="871"/>
      <c r="L9" s="871"/>
      <c r="M9" s="871"/>
      <c r="N9" s="880"/>
      <c r="O9" s="882"/>
      <c r="P9" s="880"/>
      <c r="Q9" s="880"/>
      <c r="R9" s="880"/>
      <c r="S9" s="880"/>
      <c r="T9" s="880"/>
      <c r="U9" s="880"/>
      <c r="V9" s="880"/>
      <c r="W9" s="880"/>
      <c r="X9" s="1333"/>
      <c r="Y9" s="880" t="s">
        <v>309</v>
      </c>
      <c r="Z9" s="880" t="s">
        <v>309</v>
      </c>
      <c r="AA9" s="880" t="s">
        <v>309</v>
      </c>
      <c r="AB9" s="880" t="s">
        <v>309</v>
      </c>
      <c r="AC9" s="880" t="s">
        <v>309</v>
      </c>
      <c r="AD9" s="938" t="s">
        <v>309</v>
      </c>
      <c r="AE9" s="869"/>
      <c r="AF9" s="937" t="s">
        <v>309</v>
      </c>
      <c r="AG9" s="880" t="s">
        <v>309</v>
      </c>
      <c r="AH9" s="880" t="s">
        <v>309</v>
      </c>
      <c r="AI9" s="880" t="s">
        <v>309</v>
      </c>
      <c r="AJ9" s="880" t="s">
        <v>309</v>
      </c>
      <c r="AK9" s="938" t="s">
        <v>309</v>
      </c>
      <c r="AL9" s="869"/>
      <c r="AM9" s="937" t="s">
        <v>309</v>
      </c>
      <c r="AN9" s="880" t="s">
        <v>309</v>
      </c>
      <c r="AO9" s="880" t="s">
        <v>309</v>
      </c>
      <c r="AP9" s="880" t="s">
        <v>309</v>
      </c>
      <c r="AQ9" s="880" t="s">
        <v>309</v>
      </c>
      <c r="AR9" s="938" t="s">
        <v>309</v>
      </c>
      <c r="AS9" s="869"/>
      <c r="AT9" s="937" t="s">
        <v>309</v>
      </c>
      <c r="AU9" s="880" t="s">
        <v>309</v>
      </c>
      <c r="AV9" s="880" t="s">
        <v>309</v>
      </c>
      <c r="AW9" s="880" t="s">
        <v>309</v>
      </c>
      <c r="AX9" s="880" t="s">
        <v>309</v>
      </c>
      <c r="AY9" s="938" t="s">
        <v>309</v>
      </c>
      <c r="AZ9" s="869"/>
      <c r="BA9" s="937" t="s">
        <v>309</v>
      </c>
      <c r="BB9" s="880" t="s">
        <v>309</v>
      </c>
      <c r="BC9" s="880" t="s">
        <v>309</v>
      </c>
      <c r="BD9" s="880" t="s">
        <v>309</v>
      </c>
      <c r="BE9" s="880" t="s">
        <v>309</v>
      </c>
      <c r="BF9" s="938" t="s">
        <v>309</v>
      </c>
      <c r="BG9" s="406"/>
      <c r="BH9" s="937" t="s">
        <v>309</v>
      </c>
      <c r="BI9" s="880" t="s">
        <v>309</v>
      </c>
      <c r="BJ9" s="880" t="s">
        <v>309</v>
      </c>
      <c r="BK9" s="880" t="s">
        <v>309</v>
      </c>
      <c r="BL9" s="880" t="s">
        <v>309</v>
      </c>
      <c r="BM9" s="938" t="s">
        <v>309</v>
      </c>
      <c r="BN9" s="406"/>
      <c r="BO9" s="937" t="s">
        <v>309</v>
      </c>
      <c r="BP9" s="880" t="s">
        <v>309</v>
      </c>
      <c r="BQ9" s="880" t="s">
        <v>309</v>
      </c>
      <c r="BR9" s="880" t="s">
        <v>309</v>
      </c>
      <c r="BS9" s="880" t="s">
        <v>309</v>
      </c>
      <c r="BT9" s="938" t="s">
        <v>309</v>
      </c>
      <c r="BU9" s="406"/>
      <c r="BV9" s="937" t="s">
        <v>309</v>
      </c>
      <c r="BW9" s="938" t="s">
        <v>309</v>
      </c>
      <c r="BX9" s="406"/>
      <c r="BY9" s="406"/>
      <c r="BZ9" s="406"/>
      <c r="CA9" s="406"/>
      <c r="CB9" s="406"/>
      <c r="CC9" s="406"/>
      <c r="CD9" s="406"/>
      <c r="CE9" s="406"/>
      <c r="CF9" s="406"/>
      <c r="CG9" s="406"/>
      <c r="CH9" s="406"/>
      <c r="CI9" s="406"/>
      <c r="CJ9" s="406"/>
      <c r="CK9" s="406"/>
      <c r="CL9" s="406"/>
      <c r="CM9" s="406"/>
      <c r="CN9" s="406"/>
      <c r="CO9" s="406"/>
      <c r="CP9" s="406"/>
      <c r="CQ9" s="406"/>
      <c r="CR9" s="406"/>
      <c r="CS9" s="406"/>
      <c r="CT9" s="406"/>
      <c r="CU9" s="406"/>
      <c r="CV9" s="406"/>
      <c r="CW9" s="406"/>
      <c r="CX9" s="406"/>
      <c r="CY9" s="406"/>
      <c r="CZ9" s="406"/>
      <c r="DA9" s="406"/>
      <c r="DB9" s="406"/>
      <c r="DC9" s="406"/>
      <c r="DD9" s="406"/>
      <c r="DE9" s="406"/>
      <c r="DF9" s="406"/>
      <c r="DG9" s="406"/>
      <c r="DH9" s="406"/>
      <c r="DI9" s="406"/>
      <c r="DJ9" s="406"/>
      <c r="DK9" s="406"/>
      <c r="DL9" s="406"/>
      <c r="DM9" s="406"/>
      <c r="DN9" s="406"/>
      <c r="DO9" s="406"/>
      <c r="DP9" s="406"/>
      <c r="DQ9" s="406"/>
      <c r="DR9" s="406"/>
      <c r="DS9" s="406"/>
      <c r="DT9" s="406"/>
      <c r="DU9" s="406"/>
      <c r="DV9" s="406"/>
      <c r="DW9" s="406"/>
      <c r="DX9" s="406"/>
      <c r="DY9" s="406"/>
      <c r="DZ9" s="406"/>
      <c r="EA9" s="406"/>
      <c r="EB9" s="406"/>
      <c r="EC9" s="406"/>
      <c r="ED9" s="406"/>
      <c r="EE9" s="406"/>
      <c r="EF9" s="406"/>
      <c r="EG9" s="406"/>
      <c r="EH9" s="406"/>
      <c r="EI9" s="406"/>
      <c r="EJ9" s="406"/>
      <c r="EK9" s="406"/>
      <c r="EL9" s="406"/>
      <c r="EM9" s="406"/>
      <c r="EN9" s="406"/>
      <c r="EO9" s="406"/>
      <c r="EP9" s="406"/>
      <c r="EQ9" s="406"/>
      <c r="ER9" s="406"/>
      <c r="ES9" s="406"/>
      <c r="ET9" s="406"/>
      <c r="EU9" s="406"/>
      <c r="EV9" s="406"/>
      <c r="EW9" s="406"/>
      <c r="EX9" s="406"/>
      <c r="EY9" s="406"/>
      <c r="EZ9" s="406"/>
      <c r="FA9" s="406"/>
      <c r="FB9" s="406"/>
      <c r="FC9" s="406"/>
      <c r="FD9" s="406"/>
      <c r="FE9" s="406"/>
      <c r="FF9" s="406"/>
      <c r="FG9" s="406"/>
      <c r="FH9" s="406"/>
      <c r="FI9" s="406"/>
      <c r="FJ9" s="406"/>
      <c r="FK9" s="406"/>
      <c r="FL9" s="406"/>
      <c r="FM9" s="406"/>
      <c r="FN9" s="406"/>
      <c r="FO9" s="406"/>
      <c r="FP9" s="406"/>
      <c r="FQ9" s="406"/>
      <c r="FR9" s="406"/>
      <c r="FS9" s="406"/>
      <c r="FT9" s="406"/>
      <c r="FU9" s="406"/>
      <c r="FV9" s="406"/>
      <c r="FW9" s="406"/>
      <c r="FX9" s="406"/>
      <c r="FY9" s="406"/>
      <c r="FZ9" s="406"/>
      <c r="GA9" s="406"/>
      <c r="GB9" s="406"/>
      <c r="GC9" s="406"/>
      <c r="GD9" s="406"/>
      <c r="GE9" s="406"/>
      <c r="GF9" s="406"/>
      <c r="GG9" s="406"/>
      <c r="GH9" s="406"/>
      <c r="GI9" s="406"/>
      <c r="GJ9" s="406"/>
      <c r="GK9" s="406"/>
      <c r="GL9" s="406"/>
      <c r="GM9" s="406"/>
      <c r="GN9" s="406"/>
      <c r="GO9" s="406"/>
      <c r="GP9" s="406"/>
      <c r="GQ9" s="406"/>
      <c r="GR9" s="406"/>
      <c r="GS9" s="406"/>
      <c r="GT9" s="406"/>
      <c r="GU9" s="406"/>
      <c r="GV9" s="406"/>
      <c r="GW9" s="406"/>
      <c r="GX9" s="406"/>
      <c r="GY9" s="406"/>
      <c r="GZ9" s="406"/>
      <c r="HA9" s="406"/>
      <c r="HB9" s="406"/>
      <c r="HC9" s="406"/>
      <c r="HD9" s="406"/>
      <c r="HE9" s="406"/>
      <c r="HF9" s="406"/>
      <c r="HG9" s="406"/>
      <c r="HH9" s="406"/>
      <c r="HI9" s="406"/>
      <c r="HJ9" s="406"/>
      <c r="HK9" s="406"/>
      <c r="HL9" s="406"/>
      <c r="HM9" s="406"/>
      <c r="HN9" s="406"/>
      <c r="HO9" s="406"/>
      <c r="HP9" s="406"/>
      <c r="HQ9" s="406"/>
      <c r="HR9" s="406"/>
      <c r="HS9" s="406"/>
      <c r="HT9" s="406"/>
      <c r="HU9" s="406"/>
      <c r="HV9" s="406"/>
      <c r="HW9" s="406"/>
      <c r="HX9" s="406"/>
      <c r="HY9" s="406"/>
      <c r="HZ9" s="406"/>
      <c r="IA9" s="406"/>
      <c r="IB9" s="406"/>
      <c r="IC9" s="406"/>
      <c r="ID9" s="406"/>
      <c r="IE9" s="406"/>
      <c r="IF9" s="406"/>
      <c r="IG9" s="406"/>
      <c r="IH9" s="406"/>
      <c r="II9" s="406"/>
      <c r="IJ9" s="406"/>
      <c r="IK9" s="406"/>
      <c r="IL9" s="406"/>
      <c r="IM9" s="406"/>
      <c r="IN9" s="406"/>
      <c r="IO9" s="406"/>
      <c r="IP9" s="406"/>
      <c r="IQ9" s="406"/>
      <c r="IR9" s="406"/>
      <c r="IS9" s="406"/>
    </row>
    <row r="10" spans="1:253" s="502" customFormat="1" ht="17.25">
      <c r="A10" s="20" t="s">
        <v>120</v>
      </c>
      <c r="B10" s="93"/>
      <c r="C10" s="771">
        <f>SUM(C14:C29)</f>
        <v>1</v>
      </c>
      <c r="D10" s="50"/>
      <c r="E10" s="1293" t="s">
        <v>316</v>
      </c>
      <c r="F10" s="963">
        <f>SUMPRODUCT($CI$4:$CI$6,F11:F13)</f>
        <v>-8.0096072575267394E-2</v>
      </c>
      <c r="G10" s="964">
        <f>SUMPRODUCT($CI$4:$CI$6,G11:G13)</f>
        <v>5.8734001214011816E-2</v>
      </c>
      <c r="H10" s="965">
        <f>SUMPRODUCT($CI$4:$CI$6,H11:H13)</f>
        <v>0.37875242695311118</v>
      </c>
      <c r="I10" s="874"/>
      <c r="J10" s="875"/>
      <c r="K10" s="875"/>
      <c r="L10" s="875"/>
      <c r="M10" s="875"/>
      <c r="N10" s="875"/>
      <c r="O10" s="875"/>
      <c r="P10" s="875"/>
      <c r="Q10" s="875"/>
      <c r="R10" s="875"/>
      <c r="S10" s="875"/>
      <c r="T10" s="875"/>
      <c r="U10" s="875"/>
      <c r="V10" s="875"/>
      <c r="W10" s="875"/>
      <c r="X10" s="1332"/>
      <c r="Y10" s="884">
        <f>Y14*$C$14+Y18*$C$18+Y22*$C$22+Y26*$C$26</f>
        <v>0.50205670542461855</v>
      </c>
      <c r="Z10" s="884">
        <f t="shared" ref="Z10:BW10" si="0">Z14*$C$14+Z18*$C$18+Z22*$C$22+Z26*$C$26</f>
        <v>0.50205670542461855</v>
      </c>
      <c r="AA10" s="884">
        <f t="shared" si="0"/>
        <v>0.50205670542461855</v>
      </c>
      <c r="AB10" s="884">
        <f t="shared" si="0"/>
        <v>0.50205670542461855</v>
      </c>
      <c r="AC10" s="884">
        <f t="shared" si="0"/>
        <v>0.59918451536534012</v>
      </c>
      <c r="AD10" s="885">
        <f t="shared" si="0"/>
        <v>0.73973396958683968</v>
      </c>
      <c r="AE10" s="877"/>
      <c r="AF10" s="883">
        <f t="shared" si="0"/>
        <v>1.7513319209334021E-3</v>
      </c>
      <c r="AG10" s="884">
        <f t="shared" si="0"/>
        <v>1.7513319209334021E-3</v>
      </c>
      <c r="AH10" s="884">
        <f t="shared" si="0"/>
        <v>1.7513319209334021E-3</v>
      </c>
      <c r="AI10" s="884">
        <f t="shared" si="0"/>
        <v>1.7513319209334021E-3</v>
      </c>
      <c r="AJ10" s="884">
        <f t="shared" si="0"/>
        <v>2.0901443142778402E-3</v>
      </c>
      <c r="AK10" s="885">
        <f t="shared" si="0"/>
        <v>2.5804250793553573E-3</v>
      </c>
      <c r="AL10" s="877"/>
      <c r="AM10" s="883">
        <f t="shared" si="0"/>
        <v>9.688445705841915E-4</v>
      </c>
      <c r="AN10" s="884">
        <f t="shared" si="0"/>
        <v>9.688445705841915E-4</v>
      </c>
      <c r="AO10" s="884">
        <f t="shared" si="0"/>
        <v>9.688445705841915E-4</v>
      </c>
      <c r="AP10" s="884">
        <f t="shared" si="0"/>
        <v>9.688445705841915E-4</v>
      </c>
      <c r="AQ10" s="884">
        <f t="shared" si="0"/>
        <v>1.1562770862682797E-3</v>
      </c>
      <c r="AR10" s="885">
        <f t="shared" si="0"/>
        <v>1.4275025756398511E-3</v>
      </c>
      <c r="AS10" s="877"/>
      <c r="AT10" s="883">
        <f t="shared" si="0"/>
        <v>2.2048195492409342E-2</v>
      </c>
      <c r="AU10" s="884">
        <f t="shared" si="0"/>
        <v>2.2048195492409342E-2</v>
      </c>
      <c r="AV10" s="884">
        <f t="shared" si="0"/>
        <v>2.2048195492409342E-2</v>
      </c>
      <c r="AW10" s="884">
        <f t="shared" si="0"/>
        <v>2.2048195492409342E-2</v>
      </c>
      <c r="AX10" s="884">
        <f t="shared" si="0"/>
        <v>2.6313635866343648E-2</v>
      </c>
      <c r="AY10" s="885">
        <f t="shared" si="0"/>
        <v>3.2485970205362522E-2</v>
      </c>
      <c r="AZ10" s="877"/>
      <c r="BA10" s="883">
        <f t="shared" si="0"/>
        <v>2.1618206992852879E-10</v>
      </c>
      <c r="BB10" s="884">
        <f t="shared" si="0"/>
        <v>2.1618206992852879E-10</v>
      </c>
      <c r="BC10" s="884">
        <f t="shared" si="0"/>
        <v>2.1618206992852879E-10</v>
      </c>
      <c r="BD10" s="884">
        <f t="shared" si="0"/>
        <v>2.1618206992852879E-10</v>
      </c>
      <c r="BE10" s="884">
        <f t="shared" si="0"/>
        <v>2.5800461860428305E-10</v>
      </c>
      <c r="BF10" s="885">
        <f t="shared" si="0"/>
        <v>3.1852422049911482E-10</v>
      </c>
      <c r="BG10" s="877"/>
      <c r="BH10" s="883">
        <f t="shared" si="0"/>
        <v>3.53972912644211E-4</v>
      </c>
      <c r="BI10" s="884">
        <f t="shared" si="0"/>
        <v>3.53972912644211E-4</v>
      </c>
      <c r="BJ10" s="884">
        <f t="shared" si="0"/>
        <v>3.53972912644211E-4</v>
      </c>
      <c r="BK10" s="884">
        <f t="shared" si="0"/>
        <v>3.53972912644211E-4</v>
      </c>
      <c r="BL10" s="884">
        <f t="shared" si="0"/>
        <v>4.2245245571573102E-4</v>
      </c>
      <c r="BM10" s="885">
        <f t="shared" si="0"/>
        <v>5.215462416243592E-4</v>
      </c>
      <c r="BN10" s="877"/>
      <c r="BO10" s="883">
        <f t="shared" si="0"/>
        <v>4.4718041897176566E-5</v>
      </c>
      <c r="BP10" s="884">
        <f t="shared" si="0"/>
        <v>4.4718041897176566E-5</v>
      </c>
      <c r="BQ10" s="884">
        <f t="shared" si="0"/>
        <v>4.4718041897176566E-5</v>
      </c>
      <c r="BR10" s="884">
        <f t="shared" si="0"/>
        <v>4.4718041897176566E-5</v>
      </c>
      <c r="BS10" s="884">
        <f t="shared" si="0"/>
        <v>5.3369187131133272E-5</v>
      </c>
      <c r="BT10" s="885">
        <f t="shared" si="0"/>
        <v>6.5887885347078108E-5</v>
      </c>
      <c r="BU10" s="877"/>
      <c r="BV10" s="883">
        <f t="shared" si="0"/>
        <v>1.0150916566964721</v>
      </c>
      <c r="BW10" s="885">
        <f t="shared" si="0"/>
        <v>1.253199576168484</v>
      </c>
      <c r="BX10" s="406"/>
      <c r="BY10" s="406"/>
      <c r="BZ10" s="406"/>
      <c r="CA10" s="406"/>
      <c r="CB10" s="406"/>
      <c r="CC10" s="406"/>
      <c r="CD10" s="406"/>
      <c r="CE10" s="406"/>
      <c r="CF10" s="406"/>
      <c r="CG10" s="406"/>
      <c r="CH10" s="406"/>
      <c r="CI10" s="406"/>
      <c r="CJ10" s="406"/>
      <c r="CK10" s="406"/>
      <c r="CL10" s="406"/>
      <c r="CM10" s="406"/>
      <c r="CN10" s="406"/>
      <c r="CO10" s="406"/>
      <c r="CP10" s="406"/>
      <c r="CQ10" s="406"/>
      <c r="CR10" s="406"/>
      <c r="CS10" s="406"/>
      <c r="CT10" s="406"/>
      <c r="CU10" s="406"/>
      <c r="CV10" s="406"/>
      <c r="CW10" s="406"/>
      <c r="CX10" s="406"/>
      <c r="CY10" s="406"/>
      <c r="CZ10" s="406"/>
      <c r="DA10" s="406"/>
      <c r="DB10" s="406"/>
      <c r="DC10" s="406"/>
      <c r="DD10" s="406"/>
      <c r="DE10" s="406"/>
      <c r="DF10" s="406"/>
      <c r="DG10" s="406"/>
      <c r="DH10" s="406"/>
      <c r="DI10" s="406"/>
      <c r="DJ10" s="406"/>
      <c r="DK10" s="406"/>
      <c r="DL10" s="406"/>
      <c r="DM10" s="406"/>
      <c r="DN10" s="406"/>
      <c r="DO10" s="406"/>
      <c r="DP10" s="406"/>
      <c r="DQ10" s="406"/>
      <c r="DR10" s="406"/>
      <c r="DS10" s="406"/>
      <c r="DT10" s="406"/>
      <c r="DU10" s="406"/>
      <c r="DV10" s="406"/>
      <c r="DW10" s="406"/>
      <c r="DX10" s="406"/>
      <c r="DY10" s="406"/>
      <c r="DZ10" s="406"/>
      <c r="EA10" s="406"/>
      <c r="EB10" s="406"/>
      <c r="EC10" s="406"/>
      <c r="ED10" s="406"/>
      <c r="EE10" s="406"/>
      <c r="EF10" s="406"/>
      <c r="EG10" s="406"/>
      <c r="EH10" s="406"/>
      <c r="EI10" s="406"/>
      <c r="EJ10" s="406"/>
      <c r="EK10" s="406"/>
      <c r="EL10" s="406"/>
      <c r="EM10" s="406"/>
      <c r="EN10" s="406"/>
      <c r="EO10" s="406"/>
      <c r="EP10" s="406"/>
      <c r="EQ10" s="406"/>
      <c r="ER10" s="406"/>
      <c r="ES10" s="406"/>
      <c r="ET10" s="406"/>
      <c r="EU10" s="406"/>
      <c r="EV10" s="406"/>
      <c r="EW10" s="406"/>
      <c r="EX10" s="406"/>
      <c r="EY10" s="406"/>
      <c r="EZ10" s="406"/>
      <c r="FA10" s="406"/>
      <c r="FB10" s="406"/>
      <c r="FC10" s="406"/>
      <c r="FD10" s="406"/>
      <c r="FE10" s="406"/>
      <c r="FF10" s="406"/>
      <c r="FG10" s="406"/>
      <c r="FH10" s="406"/>
      <c r="FI10" s="406"/>
      <c r="FJ10" s="406"/>
      <c r="FK10" s="406"/>
      <c r="FL10" s="406"/>
      <c r="FM10" s="406"/>
      <c r="FN10" s="406"/>
      <c r="FO10" s="406"/>
      <c r="FP10" s="406"/>
      <c r="FQ10" s="406"/>
      <c r="FR10" s="406"/>
      <c r="FS10" s="406"/>
      <c r="FT10" s="406"/>
      <c r="FU10" s="406"/>
      <c r="FV10" s="406"/>
      <c r="FW10" s="406"/>
      <c r="FX10" s="406"/>
      <c r="FY10" s="406"/>
      <c r="FZ10" s="406"/>
      <c r="GA10" s="406"/>
      <c r="GB10" s="406"/>
      <c r="GC10" s="406"/>
      <c r="GD10" s="406"/>
      <c r="GE10" s="406"/>
      <c r="GF10" s="406"/>
      <c r="GG10" s="406"/>
      <c r="GH10" s="406"/>
      <c r="GI10" s="406"/>
      <c r="GJ10" s="406"/>
      <c r="GK10" s="406"/>
      <c r="GL10" s="406"/>
      <c r="GM10" s="406"/>
      <c r="GN10" s="406"/>
      <c r="GO10" s="406"/>
      <c r="GP10" s="406"/>
      <c r="GQ10" s="406"/>
      <c r="GR10" s="406"/>
      <c r="GS10" s="406"/>
      <c r="GT10" s="406"/>
      <c r="GU10" s="406"/>
      <c r="GV10" s="406"/>
      <c r="GW10" s="406"/>
      <c r="GX10" s="406"/>
      <c r="GY10" s="406"/>
      <c r="GZ10" s="406"/>
      <c r="HA10" s="406"/>
      <c r="HB10" s="406"/>
      <c r="HC10" s="406"/>
      <c r="HD10" s="406"/>
      <c r="HE10" s="406"/>
      <c r="HF10" s="406"/>
      <c r="HG10" s="406"/>
      <c r="HH10" s="406"/>
      <c r="HI10" s="406"/>
      <c r="HJ10" s="406"/>
      <c r="HK10" s="406"/>
      <c r="HL10" s="406"/>
      <c r="HM10" s="406"/>
      <c r="HN10" s="406"/>
      <c r="HO10" s="406"/>
      <c r="HP10" s="406"/>
      <c r="HQ10" s="406"/>
      <c r="HR10" s="406"/>
      <c r="HS10" s="406"/>
      <c r="HT10" s="406"/>
      <c r="HU10" s="406"/>
      <c r="HV10" s="406"/>
      <c r="HW10" s="406"/>
      <c r="HX10" s="406"/>
      <c r="HY10" s="406"/>
      <c r="HZ10" s="406"/>
      <c r="IA10" s="406"/>
      <c r="IB10" s="406"/>
      <c r="IC10" s="406"/>
      <c r="ID10" s="406"/>
      <c r="IE10" s="406"/>
      <c r="IF10" s="406"/>
      <c r="IG10" s="406"/>
      <c r="IH10" s="406"/>
      <c r="II10" s="406"/>
      <c r="IJ10" s="406"/>
      <c r="IK10" s="406"/>
      <c r="IL10" s="406"/>
      <c r="IM10" s="406"/>
      <c r="IN10" s="406"/>
      <c r="IO10" s="406"/>
      <c r="IP10" s="406"/>
      <c r="IQ10" s="406"/>
      <c r="IR10" s="406"/>
      <c r="IS10" s="406"/>
    </row>
    <row r="11" spans="1:253" s="406" customFormat="1" ht="17.25">
      <c r="A11" s="499"/>
      <c r="B11" s="55"/>
      <c r="C11" s="917"/>
      <c r="D11" s="5"/>
      <c r="E11" s="1294" t="s">
        <v>317</v>
      </c>
      <c r="F11" s="928">
        <f>F15*$C$14+F19*$C$18+$C$26*F27+F23*$C$22</f>
        <v>-9.1139048141381296E-2</v>
      </c>
      <c r="G11" s="877">
        <f t="shared" ref="G11:W13" si="1">G15*$C$14+G19*$C$18+$C$26*G27+G23*$C$22</f>
        <v>4.2465954762090648E-2</v>
      </c>
      <c r="H11" s="878">
        <f t="shared" si="1"/>
        <v>0.35933716683624617</v>
      </c>
      <c r="I11" s="877">
        <f t="shared" si="1"/>
        <v>6.3347740083460674E-3</v>
      </c>
      <c r="J11" s="877">
        <f t="shared" si="1"/>
        <v>0.03</v>
      </c>
      <c r="K11" s="877">
        <f t="shared" si="1"/>
        <v>0</v>
      </c>
      <c r="L11" s="877">
        <f t="shared" si="1"/>
        <v>0</v>
      </c>
      <c r="M11" s="877"/>
      <c r="N11" s="877">
        <f t="shared" si="1"/>
        <v>6.0375973800125875E-2</v>
      </c>
      <c r="O11" s="877">
        <f t="shared" si="1"/>
        <v>0</v>
      </c>
      <c r="P11" s="877">
        <f t="shared" si="1"/>
        <v>3.6894255095000002E-2</v>
      </c>
      <c r="Q11" s="877">
        <f t="shared" si="1"/>
        <v>0</v>
      </c>
      <c r="R11" s="877">
        <f t="shared" si="1"/>
        <v>-9.1139048141381296E-2</v>
      </c>
      <c r="S11" s="877">
        <f t="shared" si="1"/>
        <v>0</v>
      </c>
      <c r="T11" s="877">
        <f t="shared" si="1"/>
        <v>0</v>
      </c>
      <c r="U11" s="877">
        <f t="shared" si="1"/>
        <v>4.2465954762090648E-2</v>
      </c>
      <c r="V11" s="877">
        <f t="shared" si="1"/>
        <v>4.9999999999999996E-2</v>
      </c>
      <c r="W11" s="886">
        <f t="shared" si="1"/>
        <v>0.20862265732999999</v>
      </c>
      <c r="X11" s="877"/>
      <c r="Y11" s="879"/>
      <c r="Z11" s="877"/>
      <c r="AA11" s="877"/>
      <c r="AB11" s="877"/>
      <c r="AC11" s="877"/>
      <c r="AD11" s="886"/>
      <c r="AE11" s="877"/>
      <c r="AF11" s="879"/>
      <c r="AG11" s="877"/>
      <c r="AH11" s="877"/>
      <c r="AI11" s="877"/>
      <c r="AJ11" s="877"/>
      <c r="AK11" s="886"/>
      <c r="AL11" s="877"/>
      <c r="AM11" s="879"/>
      <c r="AN11" s="877"/>
      <c r="AO11" s="877"/>
      <c r="AP11" s="877"/>
      <c r="AQ11" s="877"/>
      <c r="AR11" s="886"/>
      <c r="AS11" s="877"/>
      <c r="AT11" s="879"/>
      <c r="AU11" s="877"/>
      <c r="AV11" s="877"/>
      <c r="AW11" s="877"/>
      <c r="AX11" s="877"/>
      <c r="AY11" s="886"/>
      <c r="AZ11" s="877"/>
      <c r="BA11" s="879"/>
      <c r="BB11" s="877"/>
      <c r="BC11" s="877"/>
      <c r="BD11" s="877"/>
      <c r="BE11" s="877"/>
      <c r="BF11" s="886"/>
      <c r="BG11" s="877"/>
      <c r="BH11" s="879"/>
      <c r="BI11" s="877"/>
      <c r="BJ11" s="877"/>
      <c r="BK11" s="877"/>
      <c r="BL11" s="877"/>
      <c r="BM11" s="886"/>
      <c r="BN11" s="877"/>
      <c r="BO11" s="879"/>
      <c r="BP11" s="877"/>
      <c r="BQ11" s="877"/>
      <c r="BR11" s="877"/>
      <c r="BS11" s="877"/>
      <c r="BT11" s="886"/>
      <c r="BU11" s="877"/>
      <c r="BV11" s="879"/>
      <c r="BW11" s="886"/>
    </row>
    <row r="12" spans="1:253" s="406" customFormat="1" ht="17.25">
      <c r="A12" s="499"/>
      <c r="B12" s="55"/>
      <c r="C12" s="595"/>
      <c r="D12" s="50"/>
      <c r="E12" s="1294" t="s">
        <v>367</v>
      </c>
      <c r="F12" s="928">
        <f t="shared" ref="F12:V13" si="2">F16*$C$14+F20*$C$18+$C$26*F28+F24*$C$22</f>
        <v>0</v>
      </c>
      <c r="G12" s="877">
        <f t="shared" si="2"/>
        <v>3.7619563115188295E-5</v>
      </c>
      <c r="H12" s="878">
        <f t="shared" si="2"/>
        <v>4.4897437779195951E-5</v>
      </c>
      <c r="I12" s="877">
        <f t="shared" si="2"/>
        <v>1.0875042581755298E-5</v>
      </c>
      <c r="J12" s="877">
        <f t="shared" si="2"/>
        <v>0</v>
      </c>
      <c r="K12" s="877">
        <f t="shared" si="2"/>
        <v>0</v>
      </c>
      <c r="L12" s="877">
        <f t="shared" si="2"/>
        <v>0</v>
      </c>
      <c r="M12" s="877"/>
      <c r="N12" s="877">
        <f t="shared" si="2"/>
        <v>2.6744520533432994E-5</v>
      </c>
      <c r="O12" s="877">
        <f t="shared" si="2"/>
        <v>0</v>
      </c>
      <c r="P12" s="877">
        <f t="shared" si="2"/>
        <v>0</v>
      </c>
      <c r="Q12" s="877">
        <f t="shared" si="2"/>
        <v>0</v>
      </c>
      <c r="R12" s="877">
        <f t="shared" si="2"/>
        <v>0</v>
      </c>
      <c r="S12" s="877">
        <f t="shared" si="2"/>
        <v>0</v>
      </c>
      <c r="T12" s="877">
        <f t="shared" si="2"/>
        <v>0</v>
      </c>
      <c r="U12" s="877">
        <f t="shared" si="2"/>
        <v>3.7619563115188295E-5</v>
      </c>
      <c r="V12" s="877">
        <f t="shared" si="2"/>
        <v>0</v>
      </c>
      <c r="W12" s="886">
        <f t="shared" si="1"/>
        <v>0</v>
      </c>
      <c r="X12" s="877"/>
      <c r="Y12" s="879"/>
      <c r="Z12" s="877"/>
      <c r="AA12" s="877"/>
      <c r="AB12" s="877"/>
      <c r="AC12" s="877"/>
      <c r="AD12" s="886"/>
      <c r="AE12" s="877"/>
      <c r="AF12" s="879"/>
      <c r="AG12" s="877"/>
      <c r="AH12" s="877"/>
      <c r="AI12" s="877"/>
      <c r="AJ12" s="877"/>
      <c r="AK12" s="886"/>
      <c r="AL12" s="877"/>
      <c r="AM12" s="879"/>
      <c r="AN12" s="877"/>
      <c r="AO12" s="877"/>
      <c r="AP12" s="877"/>
      <c r="AQ12" s="877"/>
      <c r="AR12" s="886"/>
      <c r="AS12" s="877"/>
      <c r="AT12" s="879"/>
      <c r="AU12" s="877"/>
      <c r="AV12" s="877"/>
      <c r="AW12" s="877"/>
      <c r="AX12" s="877"/>
      <c r="AY12" s="886"/>
      <c r="AZ12" s="877"/>
      <c r="BA12" s="879"/>
      <c r="BB12" s="877"/>
      <c r="BC12" s="877"/>
      <c r="BD12" s="877"/>
      <c r="BE12" s="877"/>
      <c r="BF12" s="886"/>
      <c r="BG12" s="877"/>
      <c r="BH12" s="879"/>
      <c r="BI12" s="877"/>
      <c r="BJ12" s="877"/>
      <c r="BK12" s="877"/>
      <c r="BL12" s="877"/>
      <c r="BM12" s="886"/>
      <c r="BN12" s="877"/>
      <c r="BO12" s="879"/>
      <c r="BP12" s="877"/>
      <c r="BQ12" s="877"/>
      <c r="BR12" s="877"/>
      <c r="BS12" s="877"/>
      <c r="BT12" s="886"/>
      <c r="BU12" s="877"/>
      <c r="BV12" s="879"/>
      <c r="BW12" s="886"/>
    </row>
    <row r="13" spans="1:253" s="406" customFormat="1" ht="17.25">
      <c r="A13" s="18"/>
      <c r="B13" s="360"/>
      <c r="C13" s="83"/>
      <c r="D13" s="54"/>
      <c r="E13" s="1295" t="s">
        <v>320</v>
      </c>
      <c r="F13" s="928">
        <f t="shared" si="2"/>
        <v>4.0450459949135176E-5</v>
      </c>
      <c r="G13" s="877">
        <f t="shared" si="1"/>
        <v>5.5869297611029601E-5</v>
      </c>
      <c r="H13" s="878">
        <f t="shared" si="1"/>
        <v>6.6677762992039164E-5</v>
      </c>
      <c r="I13" s="877">
        <f t="shared" si="1"/>
        <v>1.3796511706253531E-5</v>
      </c>
      <c r="J13" s="877">
        <f t="shared" si="1"/>
        <v>0</v>
      </c>
      <c r="K13" s="877">
        <f t="shared" si="1"/>
        <v>3.6773145408304709E-5</v>
      </c>
      <c r="L13" s="877">
        <f t="shared" si="1"/>
        <v>3.6773145408304702E-6</v>
      </c>
      <c r="M13" s="877"/>
      <c r="N13" s="877">
        <f t="shared" si="1"/>
        <v>1.6223259556408956E-6</v>
      </c>
      <c r="O13" s="877">
        <f t="shared" si="1"/>
        <v>0</v>
      </c>
      <c r="P13" s="877">
        <f t="shared" si="1"/>
        <v>0</v>
      </c>
      <c r="Q13" s="877">
        <f t="shared" si="1"/>
        <v>0</v>
      </c>
      <c r="R13" s="877">
        <f t="shared" si="1"/>
        <v>0</v>
      </c>
      <c r="S13" s="877">
        <f t="shared" si="1"/>
        <v>0</v>
      </c>
      <c r="T13" s="877">
        <f t="shared" si="1"/>
        <v>0</v>
      </c>
      <c r="U13" s="877">
        <f t="shared" si="1"/>
        <v>5.5869297611029601E-5</v>
      </c>
      <c r="V13" s="877">
        <f t="shared" si="1"/>
        <v>0</v>
      </c>
      <c r="W13" s="886">
        <f t="shared" si="1"/>
        <v>0</v>
      </c>
      <c r="X13" s="877"/>
      <c r="Y13" s="879"/>
      <c r="Z13" s="877"/>
      <c r="AA13" s="877"/>
      <c r="AB13" s="877"/>
      <c r="AC13" s="877"/>
      <c r="AD13" s="886"/>
      <c r="AE13" s="877"/>
      <c r="AF13" s="879"/>
      <c r="AG13" s="877"/>
      <c r="AH13" s="877"/>
      <c r="AI13" s="877"/>
      <c r="AJ13" s="877"/>
      <c r="AK13" s="886"/>
      <c r="AL13" s="877"/>
      <c r="AM13" s="879"/>
      <c r="AN13" s="877"/>
      <c r="AO13" s="877"/>
      <c r="AP13" s="877"/>
      <c r="AQ13" s="877"/>
      <c r="AR13" s="886"/>
      <c r="AS13" s="877"/>
      <c r="AT13" s="879"/>
      <c r="AU13" s="877"/>
      <c r="AV13" s="877"/>
      <c r="AW13" s="877"/>
      <c r="AX13" s="877"/>
      <c r="AY13" s="886"/>
      <c r="AZ13" s="877"/>
      <c r="BA13" s="879"/>
      <c r="BB13" s="877"/>
      <c r="BC13" s="877"/>
      <c r="BD13" s="877"/>
      <c r="BE13" s="877"/>
      <c r="BF13" s="886"/>
      <c r="BG13" s="877"/>
      <c r="BH13" s="879"/>
      <c r="BI13" s="877"/>
      <c r="BJ13" s="877"/>
      <c r="BK13" s="877"/>
      <c r="BL13" s="877"/>
      <c r="BM13" s="886"/>
      <c r="BN13" s="877"/>
      <c r="BO13" s="879"/>
      <c r="BP13" s="877"/>
      <c r="BQ13" s="877"/>
      <c r="BR13" s="877"/>
      <c r="BS13" s="877"/>
      <c r="BT13" s="886"/>
      <c r="BU13" s="877"/>
      <c r="BV13" s="879"/>
      <c r="BW13" s="886"/>
    </row>
    <row r="14" spans="1:253" s="502" customFormat="1" ht="17.25">
      <c r="A14" s="20" t="s">
        <v>122</v>
      </c>
      <c r="B14" s="93" t="s">
        <v>121</v>
      </c>
      <c r="C14" s="87">
        <f>'Input data plant-based products'!D85</f>
        <v>0.1586294416</v>
      </c>
      <c r="D14" s="54"/>
      <c r="E14" s="1293" t="s">
        <v>316</v>
      </c>
      <c r="F14" s="930">
        <f>SUMPRODUCT($CI$4:$CI$6,F15:F17)</f>
        <v>-7.1508008141381293E-2</v>
      </c>
      <c r="G14" s="872">
        <f>SUMPRODUCT($CI$4:$CI$6,G15:G17)</f>
        <v>4.8425420505361472E-2</v>
      </c>
      <c r="H14" s="873">
        <f>SUMPRODUCT($CI$4:$CI$6,H15:H17)</f>
        <v>0.15327058181807074</v>
      </c>
      <c r="I14" s="884"/>
      <c r="J14" s="884"/>
      <c r="K14" s="884"/>
      <c r="L14" s="884"/>
      <c r="M14" s="884"/>
      <c r="N14" s="884"/>
      <c r="O14" s="884"/>
      <c r="P14" s="884"/>
      <c r="Q14" s="884"/>
      <c r="R14" s="884"/>
      <c r="S14" s="884"/>
      <c r="T14" s="884"/>
      <c r="U14" s="884"/>
      <c r="V14" s="884"/>
      <c r="W14" s="885"/>
      <c r="X14" s="877"/>
      <c r="Y14" s="879">
        <f>1/'Input data plant-based products'!E85*10^4</f>
        <v>0.62668421382465367</v>
      </c>
      <c r="Z14" s="877">
        <f>$Y14*'Input data plant-based products'!Z85</f>
        <v>0.62668421382465367</v>
      </c>
      <c r="AA14" s="877">
        <f>$Y14*'Input data plant-based products'!AA85</f>
        <v>0.62668421382465367</v>
      </c>
      <c r="AB14" s="877">
        <f>$Y14*'Input data plant-based products'!AB85</f>
        <v>0.62668421382465367</v>
      </c>
      <c r="AC14" s="877">
        <f>$Y14*'Input data plant-based products'!AC85</f>
        <v>0.747922441609564</v>
      </c>
      <c r="AD14" s="886">
        <f>$Y14*'Input data plant-based products'!AD85</f>
        <v>0.9233610390241529</v>
      </c>
      <c r="AE14" s="877"/>
      <c r="AF14" s="879">
        <f>SUM('Input data plant-based products'!F85,'Input data plant-based products'!Q85)/'Input data plant-based products'!E85</f>
        <v>2.5999999999999999E-3</v>
      </c>
      <c r="AG14" s="877">
        <f>$AF14*'Input data plant-based products'!Z85</f>
        <v>2.5999999999999999E-3</v>
      </c>
      <c r="AH14" s="877">
        <f>$AF14*'Input data plant-based products'!AA85</f>
        <v>2.5999999999999999E-3</v>
      </c>
      <c r="AI14" s="877">
        <f>$AF14*'Input data plant-based products'!AB85</f>
        <v>2.5999999999999999E-3</v>
      </c>
      <c r="AJ14" s="877">
        <f>$AF14*'Input data plant-based products'!AC85</f>
        <v>3.1029955841985913E-3</v>
      </c>
      <c r="AK14" s="886">
        <f>$AF14*'Input data plant-based products'!AD85</f>
        <v>3.8308587459241865E-3</v>
      </c>
      <c r="AL14" s="877"/>
      <c r="AM14" s="879">
        <f>'Input data plant-based products'!R85/'Input data plant-based products'!E85</f>
        <v>4.0000000000000002E-4</v>
      </c>
      <c r="AN14" s="877">
        <f>$AM14*'Input data plant-based products'!Z85</f>
        <v>4.0000000000000002E-4</v>
      </c>
      <c r="AO14" s="877">
        <f>$AM14*'Input data plant-based products'!AA85</f>
        <v>4.0000000000000002E-4</v>
      </c>
      <c r="AP14" s="877">
        <f>$AM14*'Input data plant-based products'!AB85</f>
        <v>4.0000000000000002E-4</v>
      </c>
      <c r="AQ14" s="877">
        <f>$AM14*'Input data plant-based products'!AC85</f>
        <v>4.7738393603055261E-4</v>
      </c>
      <c r="AR14" s="886">
        <f>$AM14*'Input data plant-based products'!AD85</f>
        <v>5.8936288398833648E-4</v>
      </c>
      <c r="AS14" s="877"/>
      <c r="AT14" s="879">
        <f>'Input data plant-based products'!S85</f>
        <v>0</v>
      </c>
      <c r="AU14" s="877">
        <f>$AT14*'Input data plant-based products'!Z85</f>
        <v>0</v>
      </c>
      <c r="AV14" s="877">
        <f>$AT14*'Input data plant-based products'!AA85</f>
        <v>0</v>
      </c>
      <c r="AW14" s="877">
        <f>$AT14*'Input data plant-based products'!AB85</f>
        <v>0</v>
      </c>
      <c r="AX14" s="877">
        <f>$AT14*'Input data plant-based products'!AC85</f>
        <v>0</v>
      </c>
      <c r="AY14" s="886">
        <f>$AT14*'Input data plant-based products'!AD85</f>
        <v>0</v>
      </c>
      <c r="AZ14" s="877"/>
      <c r="BA14" s="879">
        <f>((SUM('Input data plant-based products'!U85:Y85)*Y14)/('Common input data'!$B$192/10^6))/$BB$3</f>
        <v>4.4330983696616086E-12</v>
      </c>
      <c r="BB14" s="877">
        <f>$BA14*'Input data plant-based products'!Z85</f>
        <v>4.4330983696616086E-12</v>
      </c>
      <c r="BC14" s="877">
        <f>$BA14*'Input data plant-based products'!AA85</f>
        <v>4.4330983696616086E-12</v>
      </c>
      <c r="BD14" s="877">
        <f>$BA14*'Input data plant-based products'!AB85</f>
        <v>4.4330983696616086E-12</v>
      </c>
      <c r="BE14" s="877">
        <f>$BA14*'Input data plant-based products'!AC85</f>
        <v>5.2907248712992104E-12</v>
      </c>
      <c r="BF14" s="886">
        <f>$BA14*'Input data plant-based products'!AD85</f>
        <v>6.531759100369395E-12</v>
      </c>
      <c r="BG14" s="877"/>
      <c r="BH14" s="879">
        <f>'Input data plant-based products'!T85/'Input data plant-based products'!E85</f>
        <v>3.1835558062292413E-4</v>
      </c>
      <c r="BI14" s="877">
        <f>$BH14*'Input data plant-based products'!Z85</f>
        <v>3.1835558062292413E-4</v>
      </c>
      <c r="BJ14" s="877">
        <f>$BH14*'Input data plant-based products'!AA85</f>
        <v>3.1835558062292413E-4</v>
      </c>
      <c r="BK14" s="877">
        <f>$BH14*'Input data plant-based products'!AB85</f>
        <v>3.1835558062292413E-4</v>
      </c>
      <c r="BL14" s="877">
        <f>$BH14*'Input data plant-based products'!AC85</f>
        <v>3.7994460033765855E-4</v>
      </c>
      <c r="BM14" s="886">
        <f>$BH14*'Input data plant-based products'!AD85</f>
        <v>4.6906740782426978E-4</v>
      </c>
      <c r="BN14" s="877"/>
      <c r="BO14" s="879">
        <f>('Input data plant-based products'!F85/'Input data plant-based products'!E85*'Common input data'!$B$195+'Input data plant-based products'!G85/'Input data plant-based products'!E85*'Common input data'!$B$196)/'Common input data'!$B$198</f>
        <v>6.6387706146926536E-5</v>
      </c>
      <c r="BP14" s="877">
        <f>$BO14*'Input data plant-based products'!Z85</f>
        <v>6.6387706146926536E-5</v>
      </c>
      <c r="BQ14" s="877">
        <f>$BO14*'Input data plant-based products'!AA85</f>
        <v>6.6387706146926536E-5</v>
      </c>
      <c r="BR14" s="877">
        <f>$BO14*'Input data plant-based products'!AB85</f>
        <v>6.6387706146926536E-5</v>
      </c>
      <c r="BS14" s="877">
        <f>$BO14*'Input data plant-based products'!AC85</f>
        <v>7.9231061161148751E-5</v>
      </c>
      <c r="BT14" s="886">
        <f>$BO14*'Input data plant-based products'!AD85</f>
        <v>9.781612489030708E-5</v>
      </c>
      <c r="BU14" s="877"/>
      <c r="BV14" s="879">
        <f>'Common input data'!$C$202*'Input data plant-based products'!AC85</f>
        <v>0.17090344909893782</v>
      </c>
      <c r="BW14" s="886">
        <f>'Common input data'!$C$202*'Input data plant-based products'!AD85</f>
        <v>0.21099191246782442</v>
      </c>
      <c r="BX14" s="406"/>
      <c r="BY14" s="406"/>
      <c r="BZ14" s="406"/>
      <c r="CA14" s="406"/>
      <c r="CB14" s="406"/>
      <c r="CC14" s="406"/>
      <c r="CD14" s="406"/>
      <c r="CE14" s="406"/>
      <c r="CF14" s="406"/>
      <c r="CG14" s="406"/>
      <c r="CH14" s="406"/>
      <c r="CI14" s="406"/>
      <c r="CJ14" s="406"/>
      <c r="CK14" s="406"/>
      <c r="CL14" s="406"/>
      <c r="CM14" s="406"/>
      <c r="CN14" s="406"/>
      <c r="CO14" s="406"/>
      <c r="CP14" s="406"/>
      <c r="CQ14" s="406"/>
      <c r="CR14" s="406"/>
      <c r="CS14" s="406"/>
      <c r="CT14" s="406"/>
      <c r="CU14" s="406"/>
      <c r="CV14" s="406"/>
      <c r="CW14" s="406"/>
      <c r="CX14" s="406"/>
      <c r="CY14" s="406"/>
      <c r="CZ14" s="406"/>
      <c r="DA14" s="406"/>
      <c r="DB14" s="406"/>
      <c r="DC14" s="406"/>
      <c r="DD14" s="406"/>
      <c r="DE14" s="406"/>
      <c r="DF14" s="406"/>
      <c r="DG14" s="406"/>
      <c r="DH14" s="406"/>
      <c r="DI14" s="406"/>
      <c r="DJ14" s="406"/>
      <c r="DK14" s="406"/>
      <c r="DL14" s="406"/>
      <c r="DM14" s="406"/>
      <c r="DN14" s="406"/>
      <c r="DO14" s="406"/>
      <c r="DP14" s="406"/>
      <c r="DQ14" s="406"/>
      <c r="DR14" s="406"/>
      <c r="DS14" s="406"/>
      <c r="DT14" s="406"/>
      <c r="DU14" s="406"/>
      <c r="DV14" s="406"/>
      <c r="DW14" s="406"/>
      <c r="DX14" s="406"/>
      <c r="DY14" s="406"/>
      <c r="DZ14" s="406"/>
      <c r="EA14" s="406"/>
      <c r="EB14" s="406"/>
      <c r="EC14" s="406"/>
      <c r="ED14" s="406"/>
      <c r="EE14" s="406"/>
      <c r="EF14" s="406"/>
      <c r="EG14" s="406"/>
      <c r="EH14" s="406"/>
      <c r="EI14" s="406"/>
      <c r="EJ14" s="406"/>
      <c r="EK14" s="406"/>
      <c r="EL14" s="406"/>
      <c r="EM14" s="406"/>
      <c r="EN14" s="406"/>
      <c r="EO14" s="406"/>
      <c r="EP14" s="406"/>
      <c r="EQ14" s="406"/>
      <c r="ER14" s="406"/>
      <c r="ES14" s="406"/>
      <c r="ET14" s="406"/>
      <c r="EU14" s="406"/>
      <c r="EV14" s="406"/>
      <c r="EW14" s="406"/>
      <c r="EX14" s="406"/>
      <c r="EY14" s="406"/>
      <c r="EZ14" s="406"/>
      <c r="FA14" s="406"/>
      <c r="FB14" s="406"/>
      <c r="FC14" s="406"/>
      <c r="FD14" s="406"/>
      <c r="FE14" s="406"/>
      <c r="FF14" s="406"/>
      <c r="FG14" s="406"/>
      <c r="FH14" s="406"/>
      <c r="FI14" s="406"/>
      <c r="FJ14" s="406"/>
      <c r="FK14" s="406"/>
      <c r="FL14" s="406"/>
      <c r="FM14" s="406"/>
      <c r="FN14" s="406"/>
      <c r="FO14" s="406"/>
      <c r="FP14" s="406"/>
      <c r="FQ14" s="406"/>
      <c r="FR14" s="406"/>
      <c r="FS14" s="406"/>
      <c r="FT14" s="406"/>
      <c r="FU14" s="406"/>
      <c r="FV14" s="406"/>
      <c r="FW14" s="406"/>
      <c r="FX14" s="406"/>
      <c r="FY14" s="406"/>
      <c r="FZ14" s="406"/>
      <c r="GA14" s="406"/>
      <c r="GB14" s="406"/>
      <c r="GC14" s="406"/>
      <c r="GD14" s="406"/>
      <c r="GE14" s="406"/>
      <c r="GF14" s="406"/>
      <c r="GG14" s="406"/>
      <c r="GH14" s="406"/>
      <c r="GI14" s="406"/>
      <c r="GJ14" s="406"/>
      <c r="GK14" s="406"/>
      <c r="GL14" s="406"/>
      <c r="GM14" s="406"/>
      <c r="GN14" s="406"/>
      <c r="GO14" s="406"/>
      <c r="GP14" s="406"/>
      <c r="GQ14" s="406"/>
      <c r="GR14" s="406"/>
      <c r="GS14" s="406"/>
      <c r="GT14" s="406"/>
      <c r="GU14" s="406"/>
      <c r="GV14" s="406"/>
      <c r="GW14" s="406"/>
      <c r="GX14" s="406"/>
      <c r="GY14" s="406"/>
      <c r="GZ14" s="406"/>
      <c r="HA14" s="406"/>
      <c r="HB14" s="406"/>
      <c r="HC14" s="406"/>
      <c r="HD14" s="406"/>
      <c r="HE14" s="406"/>
      <c r="HF14" s="406"/>
      <c r="HG14" s="406"/>
      <c r="HH14" s="406"/>
      <c r="HI14" s="406"/>
      <c r="HJ14" s="406"/>
      <c r="HK14" s="406"/>
      <c r="HL14" s="406"/>
      <c r="HM14" s="406"/>
      <c r="HN14" s="406"/>
      <c r="HO14" s="406"/>
      <c r="HP14" s="406"/>
      <c r="HQ14" s="406"/>
      <c r="HR14" s="406"/>
      <c r="HS14" s="406"/>
      <c r="HT14" s="406"/>
      <c r="HU14" s="406"/>
      <c r="HV14" s="406"/>
      <c r="HW14" s="406"/>
      <c r="HX14" s="406"/>
      <c r="HY14" s="406"/>
      <c r="HZ14" s="406"/>
      <c r="IA14" s="406"/>
      <c r="IB14" s="406"/>
      <c r="IC14" s="406"/>
      <c r="ID14" s="406"/>
      <c r="IE14" s="406"/>
      <c r="IF14" s="406"/>
      <c r="IG14" s="406"/>
      <c r="IH14" s="406"/>
      <c r="II14" s="406"/>
      <c r="IJ14" s="406"/>
      <c r="IK14" s="406"/>
      <c r="IL14" s="406"/>
      <c r="IM14" s="406"/>
      <c r="IN14" s="406"/>
      <c r="IO14" s="406"/>
      <c r="IP14" s="406"/>
      <c r="IQ14" s="406"/>
      <c r="IR14" s="406"/>
      <c r="IS14" s="406"/>
    </row>
    <row r="15" spans="1:253" s="406" customFormat="1" ht="17.25">
      <c r="A15" s="499"/>
      <c r="B15" s="55"/>
      <c r="C15" s="917"/>
      <c r="D15" s="5"/>
      <c r="E15" s="1294" t="s">
        <v>317</v>
      </c>
      <c r="F15" s="928">
        <f>IF(AND($G$2="No",$G$3="No"),SUM(K15:L15),IF(AND($G$2="Yes", $G$3="No"), SUM(K15:L15)+S15, IF(AND($G$2="No", $G$3="Yes"),SUM(K15:L15)+R15, SUM(K15:L15)+S15+R15)))</f>
        <v>-9.1139048141381296E-2</v>
      </c>
      <c r="G15" s="877">
        <f>IF(AND($G$2="No",$G$3="No"),SUM(I15:Q15),IF(AND($G$2="Yes", $G$3="No"), SUM(I15:Q15)+S15, IF(AND($G$2="No", $G$3="Yes"),SUM(I15:Q15)+R15, SUM(I15:Q15)+S15+R15)))</f>
        <v>2.2380825045268171E-2</v>
      </c>
      <c r="H15" s="878">
        <f>SUM(U15:W15)/(1-'Common input data'!$B$140)</f>
        <v>0.12218740308541375</v>
      </c>
      <c r="I15" s="877">
        <f>('Input data plant-based products'!$F$85*('Common input data'!$B$93*'Common input data'!B86+'Common input data'!$B$94*'Common input data'!C86))/'Input data plant-based products'!$E$85</f>
        <v>8.1565342131582081E-3</v>
      </c>
      <c r="J15" s="877">
        <f>'Common input data'!$B$98</f>
        <v>0.03</v>
      </c>
      <c r="K15" s="877">
        <v>0</v>
      </c>
      <c r="L15" s="877">
        <v>0</v>
      </c>
      <c r="M15" s="877"/>
      <c r="N15" s="877">
        <f>('Input data plant-based products'!$P$85*'Common input data'!$C$76*'Common input data'!H66)/'Input data plant-based products'!$E$85</f>
        <v>7.5363338973491262E-2</v>
      </c>
      <c r="O15" s="877">
        <v>0</v>
      </c>
      <c r="P15" s="877">
        <v>0</v>
      </c>
      <c r="Q15" s="877">
        <v>0</v>
      </c>
      <c r="R15" s="877">
        <f>'Common input data'!$F$19</f>
        <v>-9.1139048141381296E-2</v>
      </c>
      <c r="S15" s="877">
        <v>0</v>
      </c>
      <c r="T15" s="877">
        <v>0</v>
      </c>
      <c r="U15" s="877">
        <f>G15+T15</f>
        <v>2.2380825045268171E-2</v>
      </c>
      <c r="V15" s="877">
        <f>'Common input data'!$B$105</f>
        <v>0.05</v>
      </c>
      <c r="W15" s="886">
        <f>'Common input data'!C115</f>
        <v>0.03</v>
      </c>
      <c r="X15" s="877"/>
      <c r="Y15" s="879"/>
      <c r="Z15" s="877"/>
      <c r="AA15" s="877"/>
      <c r="AB15" s="877"/>
      <c r="AC15" s="877"/>
      <c r="AD15" s="886"/>
      <c r="AE15" s="877"/>
      <c r="AF15" s="879"/>
      <c r="AG15" s="877"/>
      <c r="AH15" s="877"/>
      <c r="AI15" s="877"/>
      <c r="AJ15" s="877"/>
      <c r="AK15" s="886"/>
      <c r="AL15" s="877"/>
      <c r="AM15" s="879"/>
      <c r="AN15" s="877"/>
      <c r="AO15" s="877"/>
      <c r="AP15" s="877"/>
      <c r="AQ15" s="877"/>
      <c r="AR15" s="886"/>
      <c r="AS15" s="877"/>
      <c r="AT15" s="879"/>
      <c r="AU15" s="877"/>
      <c r="AV15" s="877"/>
      <c r="AW15" s="877"/>
      <c r="AX15" s="877"/>
      <c r="AY15" s="886"/>
      <c r="AZ15" s="877"/>
      <c r="BA15" s="879"/>
      <c r="BB15" s="877"/>
      <c r="BC15" s="877"/>
      <c r="BD15" s="877"/>
      <c r="BE15" s="877"/>
      <c r="BF15" s="886"/>
      <c r="BG15" s="877"/>
      <c r="BH15" s="879"/>
      <c r="BI15" s="877"/>
      <c r="BJ15" s="877"/>
      <c r="BK15" s="877"/>
      <c r="BL15" s="877"/>
      <c r="BM15" s="886"/>
      <c r="BN15" s="877"/>
      <c r="BO15" s="879"/>
      <c r="BP15" s="877"/>
      <c r="BQ15" s="877"/>
      <c r="BR15" s="877"/>
      <c r="BS15" s="877"/>
      <c r="BT15" s="886"/>
      <c r="BU15" s="877"/>
      <c r="BV15" s="879"/>
      <c r="BW15" s="886"/>
    </row>
    <row r="16" spans="1:253" s="406" customFormat="1" ht="17.25">
      <c r="A16" s="18"/>
      <c r="B16" s="55"/>
      <c r="C16" s="595"/>
      <c r="D16" s="50"/>
      <c r="E16" s="1294" t="s">
        <v>367</v>
      </c>
      <c r="F16" s="928">
        <f>SUM(K16:L16)</f>
        <v>0</v>
      </c>
      <c r="G16" s="877">
        <f>SUM(I16:Q16)</f>
        <v>4.3644740855582798E-5</v>
      </c>
      <c r="H16" s="878">
        <f>SUM(U16:W16)/(1-'Common input data'!$B$140)</f>
        <v>5.2088245441678957E-5</v>
      </c>
      <c r="I16" s="877">
        <f>('Input data plant-based products'!$F$85*('Common input data'!$B$93*'Common input data'!B87+'Common input data'!$B$94*'Common input data'!C87))/'Input data plant-based products'!$E$85</f>
        <v>1.0261322919880596E-5</v>
      </c>
      <c r="J16" s="877">
        <v>0</v>
      </c>
      <c r="K16" s="877">
        <v>0</v>
      </c>
      <c r="L16" s="877">
        <v>0</v>
      </c>
      <c r="M16" s="877"/>
      <c r="N16" s="877">
        <f>('Input data plant-based products'!$P$85*'Common input data'!$C$76*'Common input data'!H67)/'Input data plant-based products'!$E$85</f>
        <v>3.3383417935702202E-5</v>
      </c>
      <c r="O16" s="877">
        <v>0</v>
      </c>
      <c r="P16" s="877">
        <v>0</v>
      </c>
      <c r="Q16" s="877">
        <v>0</v>
      </c>
      <c r="R16" s="877">
        <v>0</v>
      </c>
      <c r="S16" s="877">
        <v>0</v>
      </c>
      <c r="T16" s="877">
        <v>0</v>
      </c>
      <c r="U16" s="877">
        <f>G16+T16</f>
        <v>4.3644740855582798E-5</v>
      </c>
      <c r="V16" s="877">
        <v>0</v>
      </c>
      <c r="W16" s="886">
        <v>0</v>
      </c>
      <c r="X16" s="877"/>
      <c r="Y16" s="879"/>
      <c r="Z16" s="877"/>
      <c r="AA16" s="877"/>
      <c r="AB16" s="877"/>
      <c r="AC16" s="877"/>
      <c r="AD16" s="886"/>
      <c r="AE16" s="877"/>
      <c r="AF16" s="879"/>
      <c r="AG16" s="877"/>
      <c r="AH16" s="877"/>
      <c r="AI16" s="877"/>
      <c r="AJ16" s="877"/>
      <c r="AK16" s="886"/>
      <c r="AL16" s="877"/>
      <c r="AM16" s="879"/>
      <c r="AN16" s="877"/>
      <c r="AO16" s="877"/>
      <c r="AP16" s="877"/>
      <c r="AQ16" s="877"/>
      <c r="AR16" s="886"/>
      <c r="AS16" s="877"/>
      <c r="AT16" s="879"/>
      <c r="AU16" s="877"/>
      <c r="AV16" s="877"/>
      <c r="AW16" s="877"/>
      <c r="AX16" s="877"/>
      <c r="AY16" s="886"/>
      <c r="AZ16" s="877"/>
      <c r="BA16" s="879"/>
      <c r="BB16" s="877"/>
      <c r="BC16" s="877"/>
      <c r="BD16" s="877"/>
      <c r="BE16" s="877"/>
      <c r="BF16" s="886"/>
      <c r="BG16" s="877"/>
      <c r="BH16" s="879"/>
      <c r="BI16" s="877"/>
      <c r="BJ16" s="877"/>
      <c r="BK16" s="877"/>
      <c r="BL16" s="877"/>
      <c r="BM16" s="886"/>
      <c r="BN16" s="877"/>
      <c r="BO16" s="879"/>
      <c r="BP16" s="877"/>
      <c r="BQ16" s="877"/>
      <c r="BR16" s="877"/>
      <c r="BS16" s="877"/>
      <c r="BT16" s="886"/>
      <c r="BU16" s="877"/>
      <c r="BV16" s="879"/>
      <c r="BW16" s="886"/>
    </row>
    <row r="17" spans="1:253" s="406" customFormat="1" ht="17.25">
      <c r="A17" s="359"/>
      <c r="B17" s="360"/>
      <c r="C17" s="83"/>
      <c r="D17" s="54"/>
      <c r="E17" s="1295" t="s">
        <v>320</v>
      </c>
      <c r="F17" s="928">
        <f>SUM(K17:L17)</f>
        <v>7.1908571428571443E-5</v>
      </c>
      <c r="G17" s="877">
        <f>SUM(I17:Q17)</f>
        <v>9.1084935739899517E-5</v>
      </c>
      <c r="H17" s="878">
        <f>SUM(U17:W17)/(1-'Common input data'!$B$140)</f>
        <v>1.0870621284150795E-4</v>
      </c>
      <c r="I17" s="877">
        <f>('Input data plant-based products'!$F$85*('Common input data'!$B$93*'Common input data'!B88+'Common input data'!$B$94*'Common input data'!C88))/'Input data plant-based products'!$E$85</f>
        <v>1.7151322010143646E-5</v>
      </c>
      <c r="J17" s="877">
        <v>0</v>
      </c>
      <c r="K17" s="877">
        <f>(SUM(('Input data plant-based products'!$F$85*'Input data plant-based products'!$B$258),(('Input data plant-based products'!$G$85+'Input data plant-based products'!$H$85)*'Input data plant-based products'!$B$259))*44/28)/'Input data plant-based products'!$E$85</f>
        <v>6.5371428571428584E-5</v>
      </c>
      <c r="L17" s="877">
        <f>K17*'Input data plant-based products'!$B$261</f>
        <v>6.5371428571428584E-6</v>
      </c>
      <c r="M17" s="877"/>
      <c r="N17" s="877">
        <f>('Input data plant-based products'!$P$85*'Common input data'!$C$76*'Common input data'!H68)/'Input data plant-based products'!$E$85</f>
        <v>2.0250423011844335E-6</v>
      </c>
      <c r="O17" s="877">
        <v>0</v>
      </c>
      <c r="P17" s="877">
        <v>0</v>
      </c>
      <c r="Q17" s="877">
        <v>0</v>
      </c>
      <c r="R17" s="877">
        <v>0</v>
      </c>
      <c r="S17" s="877">
        <v>0</v>
      </c>
      <c r="T17" s="877">
        <v>0</v>
      </c>
      <c r="U17" s="877">
        <f>G17+T17</f>
        <v>9.1084935739899517E-5</v>
      </c>
      <c r="V17" s="877">
        <v>0</v>
      </c>
      <c r="W17" s="886">
        <v>0</v>
      </c>
      <c r="X17" s="877"/>
      <c r="Y17" s="879"/>
      <c r="Z17" s="877"/>
      <c r="AA17" s="877"/>
      <c r="AB17" s="877"/>
      <c r="AC17" s="877"/>
      <c r="AD17" s="886"/>
      <c r="AE17" s="877"/>
      <c r="AF17" s="879"/>
      <c r="AG17" s="877"/>
      <c r="AH17" s="877"/>
      <c r="AI17" s="877"/>
      <c r="AJ17" s="877"/>
      <c r="AK17" s="886"/>
      <c r="AL17" s="877"/>
      <c r="AM17" s="879"/>
      <c r="AN17" s="877"/>
      <c r="AO17" s="877"/>
      <c r="AP17" s="877"/>
      <c r="AQ17" s="877"/>
      <c r="AR17" s="886"/>
      <c r="AS17" s="877"/>
      <c r="AT17" s="879"/>
      <c r="AU17" s="877"/>
      <c r="AV17" s="877"/>
      <c r="AW17" s="877"/>
      <c r="AX17" s="877"/>
      <c r="AY17" s="886"/>
      <c r="AZ17" s="877"/>
      <c r="BA17" s="879"/>
      <c r="BB17" s="877"/>
      <c r="BC17" s="877"/>
      <c r="BD17" s="877"/>
      <c r="BE17" s="877"/>
      <c r="BF17" s="886"/>
      <c r="BG17" s="877"/>
      <c r="BH17" s="879"/>
      <c r="BI17" s="877"/>
      <c r="BJ17" s="877"/>
      <c r="BK17" s="877"/>
      <c r="BL17" s="877"/>
      <c r="BM17" s="886"/>
      <c r="BN17" s="877"/>
      <c r="BO17" s="879"/>
      <c r="BP17" s="877"/>
      <c r="BQ17" s="877"/>
      <c r="BR17" s="877"/>
      <c r="BS17" s="877"/>
      <c r="BT17" s="886"/>
      <c r="BU17" s="877"/>
      <c r="BV17" s="879"/>
      <c r="BW17" s="886"/>
    </row>
    <row r="18" spans="1:253" s="502" customFormat="1" ht="17.25">
      <c r="A18" s="20" t="s">
        <v>123</v>
      </c>
      <c r="B18" s="93" t="s">
        <v>121</v>
      </c>
      <c r="C18" s="87">
        <f>'Input data plant-based products'!D86</f>
        <v>0.30710109028615906</v>
      </c>
      <c r="D18" s="54"/>
      <c r="E18" s="1293" t="s">
        <v>316</v>
      </c>
      <c r="F18" s="930">
        <f>SUMPRODUCT($CI$4:$CI$6,F19:F21)</f>
        <v>-8.1701048141381294E-2</v>
      </c>
      <c r="G18" s="872">
        <f>SUMPRODUCT($CI$4:$CI$6,G19:G21)</f>
        <v>3.5476108682477941E-2</v>
      </c>
      <c r="H18" s="873">
        <f>SUMPRODUCT($CI$4:$CI$6,H19:H21)</f>
        <v>0.37650806621610933</v>
      </c>
      <c r="I18" s="884"/>
      <c r="J18" s="884"/>
      <c r="K18" s="884"/>
      <c r="L18" s="884"/>
      <c r="M18" s="884"/>
      <c r="N18" s="884"/>
      <c r="O18" s="884"/>
      <c r="P18" s="884"/>
      <c r="Q18" s="884"/>
      <c r="R18" s="884"/>
      <c r="S18" s="884"/>
      <c r="T18" s="884"/>
      <c r="U18" s="884"/>
      <c r="V18" s="884"/>
      <c r="W18" s="885"/>
      <c r="X18" s="877"/>
      <c r="Y18" s="879">
        <f>1/'Input data plant-based products'!E86*10^4</f>
        <v>0.23996936622101755</v>
      </c>
      <c r="Z18" s="877">
        <f>$Y18*'Input data plant-based products'!Z86</f>
        <v>0.23996936622101755</v>
      </c>
      <c r="AA18" s="877">
        <f>$Y18*'Input data plant-based products'!AA86</f>
        <v>0.23996936622101755</v>
      </c>
      <c r="AB18" s="877">
        <f>$Y18*'Input data plant-based products'!AB86</f>
        <v>0.23996936622101755</v>
      </c>
      <c r="AC18" s="877">
        <f>$Y18*'Input data plant-based products'!AC86</f>
        <v>0.28639380143336624</v>
      </c>
      <c r="AD18" s="886">
        <f>$Y18*'Input data plant-based products'!AD86</f>
        <v>0.35357259436218047</v>
      </c>
      <c r="AE18" s="877"/>
      <c r="AF18" s="879">
        <f>SUM('Input data plant-based products'!F86,'Input data plant-based products'!Q86)/'Input data plant-based products'!E86</f>
        <v>1.25E-3</v>
      </c>
      <c r="AG18" s="877">
        <f>$AF18*'Input data plant-based products'!Z86</f>
        <v>1.25E-3</v>
      </c>
      <c r="AH18" s="877">
        <f>$AF18*'Input data plant-based products'!AA86</f>
        <v>1.25E-3</v>
      </c>
      <c r="AI18" s="877">
        <f>$AF18*'Input data plant-based products'!AB86</f>
        <v>1.25E-3</v>
      </c>
      <c r="AJ18" s="877">
        <f>$AF18*'Input data plant-based products'!AC86</f>
        <v>1.4918248000954767E-3</v>
      </c>
      <c r="AK18" s="886">
        <f>$AF18*'Input data plant-based products'!AD86</f>
        <v>1.8417590124635513E-3</v>
      </c>
      <c r="AL18" s="877"/>
      <c r="AM18" s="879">
        <f>'Input data plant-based products'!R86/'Input data plant-based products'!E86</f>
        <v>8.7500000000000002E-4</v>
      </c>
      <c r="AN18" s="877">
        <f>$AM18*'Input data plant-based products'!Z86</f>
        <v>8.7500000000000002E-4</v>
      </c>
      <c r="AO18" s="877">
        <f>$AM18*'Input data plant-based products'!AA86</f>
        <v>8.7500000000000002E-4</v>
      </c>
      <c r="AP18" s="877">
        <f>$AM18*'Input data plant-based products'!AB86</f>
        <v>8.7500000000000002E-4</v>
      </c>
      <c r="AQ18" s="877">
        <f>$AM18*'Input data plant-based products'!AC86</f>
        <v>1.0442773600668337E-3</v>
      </c>
      <c r="AR18" s="886">
        <f>$AM18*'Input data plant-based products'!AD86</f>
        <v>1.2892313087244859E-3</v>
      </c>
      <c r="AS18" s="877"/>
      <c r="AT18" s="879">
        <f>'Input data plant-based products'!S86</f>
        <v>4.2000000000000003E-2</v>
      </c>
      <c r="AU18" s="877">
        <f>$AT18*'Input data plant-based products'!Z86</f>
        <v>4.2000000000000003E-2</v>
      </c>
      <c r="AV18" s="877">
        <f>$AT18*'Input data plant-based products'!AA86</f>
        <v>4.2000000000000003E-2</v>
      </c>
      <c r="AW18" s="877">
        <f>$AT18*'Input data plant-based products'!AB86</f>
        <v>4.2000000000000003E-2</v>
      </c>
      <c r="AX18" s="877">
        <f>$AT18*'Input data plant-based products'!AC86</f>
        <v>5.0125313283208024E-2</v>
      </c>
      <c r="AY18" s="886">
        <f>$AT18*'Input data plant-based products'!AD86</f>
        <v>6.1883102818775328E-2</v>
      </c>
      <c r="AZ18" s="877"/>
      <c r="BA18" s="879">
        <f>((SUM('Input data plant-based products'!U86:Y86)*Y18)/('Common input data'!$B$192/10^6))/$BB$3</f>
        <v>2.4474136904182792E-10</v>
      </c>
      <c r="BB18" s="877">
        <f>$BA18*'Input data plant-based products'!Z86</f>
        <v>2.4474136904182792E-10</v>
      </c>
      <c r="BC18" s="877">
        <f>$BA18*'Input data plant-based products'!AA86</f>
        <v>2.4474136904182792E-10</v>
      </c>
      <c r="BD18" s="877">
        <f>$BA18*'Input data plant-based products'!AB86</f>
        <v>2.4474136904182792E-10</v>
      </c>
      <c r="BE18" s="877">
        <f>$BA18*'Input data plant-based products'!AC86</f>
        <v>2.9208899515673459E-10</v>
      </c>
      <c r="BF18" s="886">
        <f>$BA18*'Input data plant-based products'!AD86</f>
        <v>3.6060369772436365E-10</v>
      </c>
      <c r="BG18" s="877"/>
      <c r="BH18" s="879">
        <f>'Input data plant-based products'!T86/'Input data plant-based products'!E86</f>
        <v>3.513151521475696E-4</v>
      </c>
      <c r="BI18" s="877">
        <f>$BH18*'Input data plant-based products'!Z86</f>
        <v>3.513151521475696E-4</v>
      </c>
      <c r="BJ18" s="877">
        <f>$BH18*'Input data plant-based products'!AA86</f>
        <v>3.513151521475696E-4</v>
      </c>
      <c r="BK18" s="877">
        <f>$BH18*'Input data plant-based products'!AB86</f>
        <v>3.513151521475696E-4</v>
      </c>
      <c r="BL18" s="877">
        <f>$BH18*'Input data plant-based products'!AC86</f>
        <v>4.1928052529844803E-4</v>
      </c>
      <c r="BM18" s="886">
        <f>$BH18*'Input data plant-based products'!AD86</f>
        <v>5.1763027814623211E-4</v>
      </c>
      <c r="BN18" s="877"/>
      <c r="BO18" s="879">
        <f>('Input data plant-based products'!F86/'Input data plant-based products'!E86*'Common input data'!$B$195+'Input data plant-based products'!G86/'Input data plant-based products'!E86*'Common input data'!$B$196)/'Common input data'!$B$198</f>
        <v>3.1917166416791602E-5</v>
      </c>
      <c r="BP18" s="877">
        <f>$BO18*'Input data plant-based products'!Z86</f>
        <v>3.1917166416791602E-5</v>
      </c>
      <c r="BQ18" s="877">
        <f>$BO18*'Input data plant-based products'!AA86</f>
        <v>3.1917166416791602E-5</v>
      </c>
      <c r="BR18" s="877">
        <f>$BO18*'Input data plant-based products'!AB86</f>
        <v>3.1917166416791602E-5</v>
      </c>
      <c r="BS18" s="877">
        <f>$BO18*'Input data plant-based products'!AC86</f>
        <v>3.8091856327475358E-5</v>
      </c>
      <c r="BT18" s="886">
        <f>$BO18*'Input data plant-based products'!AD86</f>
        <v>4.7026983120339938E-5</v>
      </c>
      <c r="BU18" s="877"/>
      <c r="BV18" s="879">
        <f>('Common input data'!$C$202+'Common input data'!$B$207)*'Input data plant-based products'!AC86</f>
        <v>1.304093567251462</v>
      </c>
      <c r="BW18" s="886">
        <f>('Common input data'!$C$202+'Common input data'!$B$207)*'Input data plant-based products'!AD86</f>
        <v>1.6099920583351381</v>
      </c>
      <c r="BX18" s="406"/>
      <c r="BY18" s="406"/>
      <c r="BZ18" s="406"/>
      <c r="CA18" s="406"/>
      <c r="CB18" s="406"/>
      <c r="CC18" s="406"/>
      <c r="CD18" s="406"/>
      <c r="CE18" s="406"/>
      <c r="CF18" s="406"/>
      <c r="CG18" s="406"/>
      <c r="CH18" s="406"/>
      <c r="CI18" s="406"/>
      <c r="CJ18" s="406"/>
      <c r="CK18" s="406"/>
      <c r="CL18" s="406"/>
      <c r="CM18" s="406"/>
      <c r="CN18" s="406"/>
      <c r="CO18" s="406"/>
      <c r="CP18" s="406"/>
      <c r="CQ18" s="406"/>
      <c r="CR18" s="406"/>
      <c r="CS18" s="406"/>
      <c r="CT18" s="406"/>
      <c r="CU18" s="406"/>
      <c r="CV18" s="406"/>
      <c r="CW18" s="406"/>
      <c r="CX18" s="406"/>
      <c r="CY18" s="406"/>
      <c r="CZ18" s="406"/>
      <c r="DA18" s="406"/>
      <c r="DB18" s="406"/>
      <c r="DC18" s="406"/>
      <c r="DD18" s="406"/>
      <c r="DE18" s="406"/>
      <c r="DF18" s="406"/>
      <c r="DG18" s="406"/>
      <c r="DH18" s="406"/>
      <c r="DI18" s="406"/>
      <c r="DJ18" s="406"/>
      <c r="DK18" s="406"/>
      <c r="DL18" s="406"/>
      <c r="DM18" s="406"/>
      <c r="DN18" s="406"/>
      <c r="DO18" s="406"/>
      <c r="DP18" s="406"/>
      <c r="DQ18" s="406"/>
      <c r="DR18" s="406"/>
      <c r="DS18" s="406"/>
      <c r="DT18" s="406"/>
      <c r="DU18" s="406"/>
      <c r="DV18" s="406"/>
      <c r="DW18" s="406"/>
      <c r="DX18" s="406"/>
      <c r="DY18" s="406"/>
      <c r="DZ18" s="406"/>
      <c r="EA18" s="406"/>
      <c r="EB18" s="406"/>
      <c r="EC18" s="406"/>
      <c r="ED18" s="406"/>
      <c r="EE18" s="406"/>
      <c r="EF18" s="406"/>
      <c r="EG18" s="406"/>
      <c r="EH18" s="406"/>
      <c r="EI18" s="406"/>
      <c r="EJ18" s="406"/>
      <c r="EK18" s="406"/>
      <c r="EL18" s="406"/>
      <c r="EM18" s="406"/>
      <c r="EN18" s="406"/>
      <c r="EO18" s="406"/>
      <c r="EP18" s="406"/>
      <c r="EQ18" s="406"/>
      <c r="ER18" s="406"/>
      <c r="ES18" s="406"/>
      <c r="ET18" s="406"/>
      <c r="EU18" s="406"/>
      <c r="EV18" s="406"/>
      <c r="EW18" s="406"/>
      <c r="EX18" s="406"/>
      <c r="EY18" s="406"/>
      <c r="EZ18" s="406"/>
      <c r="FA18" s="406"/>
      <c r="FB18" s="406"/>
      <c r="FC18" s="406"/>
      <c r="FD18" s="406"/>
      <c r="FE18" s="406"/>
      <c r="FF18" s="406"/>
      <c r="FG18" s="406"/>
      <c r="FH18" s="406"/>
      <c r="FI18" s="406"/>
      <c r="FJ18" s="406"/>
      <c r="FK18" s="406"/>
      <c r="FL18" s="406"/>
      <c r="FM18" s="406"/>
      <c r="FN18" s="406"/>
      <c r="FO18" s="406"/>
      <c r="FP18" s="406"/>
      <c r="FQ18" s="406"/>
      <c r="FR18" s="406"/>
      <c r="FS18" s="406"/>
      <c r="FT18" s="406"/>
      <c r="FU18" s="406"/>
      <c r="FV18" s="406"/>
      <c r="FW18" s="406"/>
      <c r="FX18" s="406"/>
      <c r="FY18" s="406"/>
      <c r="FZ18" s="406"/>
      <c r="GA18" s="406"/>
      <c r="GB18" s="406"/>
      <c r="GC18" s="406"/>
      <c r="GD18" s="406"/>
      <c r="GE18" s="406"/>
      <c r="GF18" s="406"/>
      <c r="GG18" s="406"/>
      <c r="GH18" s="406"/>
      <c r="GI18" s="406"/>
      <c r="GJ18" s="406"/>
      <c r="GK18" s="406"/>
      <c r="GL18" s="406"/>
      <c r="GM18" s="406"/>
      <c r="GN18" s="406"/>
      <c r="GO18" s="406"/>
      <c r="GP18" s="406"/>
      <c r="GQ18" s="406"/>
      <c r="GR18" s="406"/>
      <c r="GS18" s="406"/>
      <c r="GT18" s="406"/>
      <c r="GU18" s="406"/>
      <c r="GV18" s="406"/>
      <c r="GW18" s="406"/>
      <c r="GX18" s="406"/>
      <c r="GY18" s="406"/>
      <c r="GZ18" s="406"/>
      <c r="HA18" s="406"/>
      <c r="HB18" s="406"/>
      <c r="HC18" s="406"/>
      <c r="HD18" s="406"/>
      <c r="HE18" s="406"/>
      <c r="HF18" s="406"/>
      <c r="HG18" s="406"/>
      <c r="HH18" s="406"/>
      <c r="HI18" s="406"/>
      <c r="HJ18" s="406"/>
      <c r="HK18" s="406"/>
      <c r="HL18" s="406"/>
      <c r="HM18" s="406"/>
      <c r="HN18" s="406"/>
      <c r="HO18" s="406"/>
      <c r="HP18" s="406"/>
      <c r="HQ18" s="406"/>
      <c r="HR18" s="406"/>
      <c r="HS18" s="406"/>
      <c r="HT18" s="406"/>
      <c r="HU18" s="406"/>
      <c r="HV18" s="406"/>
      <c r="HW18" s="406"/>
      <c r="HX18" s="406"/>
      <c r="HY18" s="406"/>
      <c r="HZ18" s="406"/>
      <c r="IA18" s="406"/>
      <c r="IB18" s="406"/>
      <c r="IC18" s="406"/>
      <c r="ID18" s="406"/>
      <c r="IE18" s="406"/>
      <c r="IF18" s="406"/>
      <c r="IG18" s="406"/>
      <c r="IH18" s="406"/>
      <c r="II18" s="406"/>
      <c r="IJ18" s="406"/>
      <c r="IK18" s="406"/>
      <c r="IL18" s="406"/>
      <c r="IM18" s="406"/>
      <c r="IN18" s="406"/>
      <c r="IO18" s="406"/>
      <c r="IP18" s="406"/>
      <c r="IQ18" s="406"/>
      <c r="IR18" s="406"/>
      <c r="IS18" s="406"/>
    </row>
    <row r="19" spans="1:253" s="406" customFormat="1" ht="17.25">
      <c r="A19" s="68"/>
      <c r="B19" s="55"/>
      <c r="C19" s="917"/>
      <c r="D19" s="5"/>
      <c r="E19" s="1294" t="s">
        <v>317</v>
      </c>
      <c r="F19" s="928">
        <f>IF(AND($G$2="No",$G$3="No"),SUM(K19:L19),IF(AND($G$2="Yes", $G$3="No"), SUM(K19:L19)+S19, IF(AND($G$2="No", $G$3="Yes"),SUM(K19:L19)+R19, SUM(K19:L19)+S19+R19)))</f>
        <v>-9.1139048141381296E-2</v>
      </c>
      <c r="G19" s="877">
        <f>IF(AND($G$2="No",$G$3="No"),SUM(I19:Q19),IF(AND($G$2="Yes", $G$3="No"), SUM(I19:Q19)+S19, IF(AND($G$2="No", $G$3="Yes"),SUM(I19:Q19)+R19, SUM(I19:Q19)+S19+R19)))</f>
        <v>2.2425233812637377E-2</v>
      </c>
      <c r="H19" s="878">
        <f>SUM(U19:W19)/(1-'Common input data'!$B$140)</f>
        <v>0.3609323711810925</v>
      </c>
      <c r="I19" s="877">
        <f>('Input data plant-based products'!$F$86*('Common input data'!$C$93*'Common input data'!B86+'Common input data'!$C$94*'Common input data'!C86))/'Input data plant-based products'!$E$86</f>
        <v>4.7062186889552243E-3</v>
      </c>
      <c r="J19" s="877">
        <f>'Common input data'!$B$98</f>
        <v>0.03</v>
      </c>
      <c r="K19" s="877">
        <v>0</v>
      </c>
      <c r="L19" s="877">
        <v>0</v>
      </c>
      <c r="M19" s="877"/>
      <c r="N19" s="877">
        <f>('Input data plant-based products'!$P$86*'Common input data'!$C$76*'Common input data'!H66)/'Input data plant-based products'!$E$86</f>
        <v>2.8858063265063454E-2</v>
      </c>
      <c r="O19" s="877">
        <v>0</v>
      </c>
      <c r="P19" s="877">
        <f>'Input data plant-based products'!F$309</f>
        <v>0.05</v>
      </c>
      <c r="Q19" s="877">
        <v>0</v>
      </c>
      <c r="R19" s="877">
        <f>'Common input data'!$F$19</f>
        <v>-9.1139048141381296E-2</v>
      </c>
      <c r="S19" s="877">
        <v>0</v>
      </c>
      <c r="T19" s="877">
        <v>0</v>
      </c>
      <c r="U19" s="877">
        <f>G19+T19</f>
        <v>2.2425233812637377E-2</v>
      </c>
      <c r="V19" s="877">
        <f>'Common input data'!$B$105</f>
        <v>0.05</v>
      </c>
      <c r="W19" s="886">
        <f>'Common input data'!B117+'Common input data'!C117</f>
        <v>0.23</v>
      </c>
      <c r="X19" s="877"/>
      <c r="Y19" s="879"/>
      <c r="Z19" s="877"/>
      <c r="AA19" s="877"/>
      <c r="AB19" s="877"/>
      <c r="AC19" s="877"/>
      <c r="AD19" s="886"/>
      <c r="AE19" s="877"/>
      <c r="AF19" s="879"/>
      <c r="AG19" s="877"/>
      <c r="AH19" s="877"/>
      <c r="AI19" s="877"/>
      <c r="AJ19" s="877"/>
      <c r="AK19" s="886"/>
      <c r="AL19" s="877"/>
      <c r="AM19" s="879"/>
      <c r="AN19" s="877"/>
      <c r="AO19" s="877"/>
      <c r="AP19" s="877"/>
      <c r="AQ19" s="877"/>
      <c r="AR19" s="886"/>
      <c r="AS19" s="877"/>
      <c r="AT19" s="879"/>
      <c r="AU19" s="877"/>
      <c r="AV19" s="877"/>
      <c r="AW19" s="877"/>
      <c r="AX19" s="877"/>
      <c r="AY19" s="886"/>
      <c r="AZ19" s="877"/>
      <c r="BA19" s="879"/>
      <c r="BB19" s="877"/>
      <c r="BC19" s="877"/>
      <c r="BD19" s="877"/>
      <c r="BE19" s="877"/>
      <c r="BF19" s="886"/>
      <c r="BG19" s="877"/>
      <c r="BH19" s="879"/>
      <c r="BI19" s="877"/>
      <c r="BJ19" s="877"/>
      <c r="BK19" s="877"/>
      <c r="BL19" s="877"/>
      <c r="BM19" s="886"/>
      <c r="BN19" s="877"/>
      <c r="BO19" s="879"/>
      <c r="BP19" s="877"/>
      <c r="BQ19" s="877"/>
      <c r="BR19" s="877"/>
      <c r="BS19" s="877"/>
      <c r="BT19" s="886"/>
      <c r="BU19" s="877"/>
      <c r="BV19" s="879"/>
      <c r="BW19" s="886"/>
    </row>
    <row r="20" spans="1:253" s="406" customFormat="1" ht="17.25">
      <c r="A20" s="18"/>
      <c r="B20" s="55"/>
      <c r="C20" s="595"/>
      <c r="D20" s="50"/>
      <c r="E20" s="1294" t="s">
        <v>367</v>
      </c>
      <c r="F20" s="928">
        <f>SUM(K20:L20)</f>
        <v>0</v>
      </c>
      <c r="G20" s="877">
        <f>SUM(I20:Q20)</f>
        <v>2.1416473513059234E-5</v>
      </c>
      <c r="H20" s="878">
        <f>SUM(U20:W20)/(1-'Common input data'!$B$140)</f>
        <v>2.5559701053895732E-5</v>
      </c>
      <c r="I20" s="877">
        <f>('Input data plant-based products'!$F$86*('Common input data'!$C$93*'Common input data'!B87+'Common input data'!$C$94*'Common input data'!C87))/'Input data plant-based products'!$E$86</f>
        <v>8.6333245720149253E-6</v>
      </c>
      <c r="J20" s="877">
        <v>0</v>
      </c>
      <c r="K20" s="877">
        <v>0</v>
      </c>
      <c r="L20" s="877">
        <v>0</v>
      </c>
      <c r="M20" s="877"/>
      <c r="N20" s="877">
        <f>('Input data plant-based products'!$P$86*'Common input data'!$C$76*'Common input data'!H67)/'Input data plant-based products'!$E$86</f>
        <v>1.2783148941044308E-5</v>
      </c>
      <c r="O20" s="877">
        <v>0</v>
      </c>
      <c r="P20" s="877">
        <v>0</v>
      </c>
      <c r="Q20" s="877">
        <v>0</v>
      </c>
      <c r="R20" s="877">
        <v>0</v>
      </c>
      <c r="S20" s="877">
        <v>0</v>
      </c>
      <c r="T20" s="877">
        <v>0</v>
      </c>
      <c r="U20" s="877">
        <f>G20+T20</f>
        <v>2.1416473513059234E-5</v>
      </c>
      <c r="V20" s="877">
        <v>0</v>
      </c>
      <c r="W20" s="886">
        <v>0</v>
      </c>
      <c r="X20" s="877"/>
      <c r="Y20" s="879"/>
      <c r="Z20" s="877"/>
      <c r="AA20" s="877"/>
      <c r="AB20" s="877"/>
      <c r="AC20" s="877"/>
      <c r="AD20" s="886"/>
      <c r="AE20" s="877"/>
      <c r="AF20" s="879"/>
      <c r="AG20" s="877"/>
      <c r="AH20" s="877"/>
      <c r="AI20" s="877"/>
      <c r="AJ20" s="877"/>
      <c r="AK20" s="886"/>
      <c r="AL20" s="877"/>
      <c r="AM20" s="879"/>
      <c r="AN20" s="877"/>
      <c r="AO20" s="877"/>
      <c r="AP20" s="877"/>
      <c r="AQ20" s="877"/>
      <c r="AR20" s="886"/>
      <c r="AS20" s="877"/>
      <c r="AT20" s="879"/>
      <c r="AU20" s="877"/>
      <c r="AV20" s="877"/>
      <c r="AW20" s="877"/>
      <c r="AX20" s="877"/>
      <c r="AY20" s="886"/>
      <c r="AZ20" s="877"/>
      <c r="BA20" s="879"/>
      <c r="BB20" s="877"/>
      <c r="BC20" s="877"/>
      <c r="BD20" s="877"/>
      <c r="BE20" s="877"/>
      <c r="BF20" s="886"/>
      <c r="BG20" s="877"/>
      <c r="BH20" s="879"/>
      <c r="BI20" s="877"/>
      <c r="BJ20" s="877"/>
      <c r="BK20" s="877"/>
      <c r="BL20" s="877"/>
      <c r="BM20" s="886"/>
      <c r="BN20" s="877"/>
      <c r="BO20" s="879"/>
      <c r="BP20" s="877"/>
      <c r="BQ20" s="877"/>
      <c r="BR20" s="877"/>
      <c r="BS20" s="877"/>
      <c r="BT20" s="886"/>
      <c r="BU20" s="877"/>
      <c r="BV20" s="879"/>
      <c r="BW20" s="886"/>
    </row>
    <row r="21" spans="1:253" s="406" customFormat="1" ht="17.25">
      <c r="A21" s="359"/>
      <c r="B21" s="360"/>
      <c r="C21" s="83"/>
      <c r="D21" s="54"/>
      <c r="E21" s="1295" t="s">
        <v>320</v>
      </c>
      <c r="F21" s="928">
        <f>SUM(K21:L21)</f>
        <v>3.4571428571428574E-5</v>
      </c>
      <c r="G21" s="877">
        <f>SUM(I21:Q21)</f>
        <v>4.568728968860062E-5</v>
      </c>
      <c r="H21" s="878">
        <f>SUM(U21:W21)/(1-'Common input data'!$B$140)</f>
        <v>5.4525945445280608E-5</v>
      </c>
      <c r="I21" s="877">
        <f>('Input data plant-based products'!$F$86*('Common input data'!$C$93*'Common input data'!B88+'Common input data'!$C$94*'Common input data'!C88))/'Input data plant-based products'!$E$86</f>
        <v>1.0340433705940098E-5</v>
      </c>
      <c r="J21" s="877">
        <v>0</v>
      </c>
      <c r="K21" s="877">
        <f>(SUM(('Input data plant-based products'!$F$86*'Input data plant-based products'!$B$258),(('Input data plant-based products'!$G$86+'Input data plant-based products'!$H$86)*'Input data plant-based products'!$B$259))*44/28)/'Input data plant-based products'!$E$86</f>
        <v>3.1428571428571431E-5</v>
      </c>
      <c r="L21" s="877">
        <f>K21*'Input data plant-based products'!$B$261</f>
        <v>3.1428571428571433E-6</v>
      </c>
      <c r="M21" s="877"/>
      <c r="N21" s="877">
        <f>('Input data plant-based products'!$P$86*'Common input data'!$C$76*'Common input data'!H68)/'Input data plant-based products'!$E$86</f>
        <v>7.7542741123194741E-7</v>
      </c>
      <c r="O21" s="877">
        <v>0</v>
      </c>
      <c r="P21" s="877">
        <v>0</v>
      </c>
      <c r="Q21" s="877">
        <v>0</v>
      </c>
      <c r="R21" s="877">
        <v>0</v>
      </c>
      <c r="S21" s="877">
        <v>0</v>
      </c>
      <c r="T21" s="877">
        <v>0</v>
      </c>
      <c r="U21" s="877">
        <f>G21+T21</f>
        <v>4.568728968860062E-5</v>
      </c>
      <c r="V21" s="877">
        <v>0</v>
      </c>
      <c r="W21" s="886">
        <v>0</v>
      </c>
      <c r="X21" s="877"/>
      <c r="Y21" s="879"/>
      <c r="Z21" s="877"/>
      <c r="AA21" s="877"/>
      <c r="AB21" s="877"/>
      <c r="AC21" s="877"/>
      <c r="AD21" s="886"/>
      <c r="AE21" s="877"/>
      <c r="AF21" s="879"/>
      <c r="AG21" s="877"/>
      <c r="AH21" s="877"/>
      <c r="AI21" s="877"/>
      <c r="AJ21" s="877"/>
      <c r="AK21" s="886"/>
      <c r="AL21" s="877"/>
      <c r="AM21" s="879"/>
      <c r="AN21" s="877"/>
      <c r="AO21" s="877"/>
      <c r="AP21" s="877"/>
      <c r="AQ21" s="877"/>
      <c r="AR21" s="886"/>
      <c r="AS21" s="877"/>
      <c r="AT21" s="879"/>
      <c r="AU21" s="877"/>
      <c r="AV21" s="877"/>
      <c r="AW21" s="877"/>
      <c r="AX21" s="877"/>
      <c r="AY21" s="886"/>
      <c r="AZ21" s="877"/>
      <c r="BA21" s="879"/>
      <c r="BB21" s="877"/>
      <c r="BC21" s="877"/>
      <c r="BD21" s="877"/>
      <c r="BE21" s="877"/>
      <c r="BF21" s="886"/>
      <c r="BG21" s="877"/>
      <c r="BH21" s="879"/>
      <c r="BI21" s="877"/>
      <c r="BJ21" s="877"/>
      <c r="BK21" s="877"/>
      <c r="BL21" s="877"/>
      <c r="BM21" s="886"/>
      <c r="BN21" s="877"/>
      <c r="BO21" s="879"/>
      <c r="BP21" s="877"/>
      <c r="BQ21" s="877"/>
      <c r="BR21" s="877"/>
      <c r="BS21" s="877"/>
      <c r="BT21" s="886"/>
      <c r="BU21" s="877"/>
      <c r="BV21" s="879"/>
      <c r="BW21" s="886"/>
    </row>
    <row r="22" spans="1:253" s="502" customFormat="1" ht="17.25">
      <c r="A22" s="20" t="s">
        <v>124</v>
      </c>
      <c r="B22" s="93" t="s">
        <v>121</v>
      </c>
      <c r="C22" s="87">
        <f>'Input data plant-based products'!D87</f>
        <v>0.1034854565</v>
      </c>
      <c r="D22" s="54"/>
      <c r="E22" s="1293" t="s">
        <v>316</v>
      </c>
      <c r="F22" s="930">
        <f>SUMPRODUCT($CI$4:$CI$6,F23:F25)</f>
        <v>-7.7642533811404513E-2</v>
      </c>
      <c r="G22" s="872">
        <f>SUMPRODUCT($CI$4:$CI$6,G23:G25)</f>
        <v>3.4874481207283363E-2</v>
      </c>
      <c r="H22" s="873">
        <f>SUMPRODUCT($CI$4:$CI$6,H23:H25)</f>
        <v>0.49513603199341605</v>
      </c>
      <c r="I22" s="884"/>
      <c r="J22" s="884"/>
      <c r="K22" s="884"/>
      <c r="L22" s="884"/>
      <c r="M22" s="884"/>
      <c r="N22" s="884"/>
      <c r="O22" s="884"/>
      <c r="P22" s="884"/>
      <c r="Q22" s="884"/>
      <c r="R22" s="884"/>
      <c r="S22" s="884"/>
      <c r="T22" s="884"/>
      <c r="U22" s="884"/>
      <c r="V22" s="884"/>
      <c r="W22" s="885"/>
      <c r="X22" s="877"/>
      <c r="Y22" s="879">
        <f>1/'Input data plant-based products'!E87*10^4</f>
        <v>0.58262495848797169</v>
      </c>
      <c r="Z22" s="877">
        <f>$Y22*'Input data plant-based products'!Z87</f>
        <v>0.58262495848797169</v>
      </c>
      <c r="AA22" s="877">
        <f>$Y22*'Input data plant-based products'!AA87</f>
        <v>0.58262495848797169</v>
      </c>
      <c r="AB22" s="877">
        <f>$Y22*'Input data plant-based products'!AB87</f>
        <v>0.58262495848797169</v>
      </c>
      <c r="AC22" s="877">
        <f>$Y22*'Input data plant-based products'!AC87</f>
        <v>0.69533948978156301</v>
      </c>
      <c r="AD22" s="886">
        <f>$Y22*'Input data plant-based products'!AD87</f>
        <v>0.85844381454513952</v>
      </c>
      <c r="AE22" s="877"/>
      <c r="AF22" s="879">
        <f>SUM('Input data plant-based products'!F87,'Input data plant-based products'!Q87)/'Input data plant-based products'!E87</f>
        <v>1.7875230888398999E-3</v>
      </c>
      <c r="AG22" s="877">
        <f>$AF22*'Input data plant-based products'!Z87</f>
        <v>1.7875230888398999E-3</v>
      </c>
      <c r="AH22" s="877">
        <f>$AF22*'Input data plant-based products'!AA87</f>
        <v>1.7875230888398999E-3</v>
      </c>
      <c r="AI22" s="877">
        <f>$AF22*'Input data plant-based products'!AB87</f>
        <v>1.7875230888398999E-3</v>
      </c>
      <c r="AJ22" s="877">
        <f>$AF22*'Input data plant-based products'!AC87</f>
        <v>2.1333370197397063E-3</v>
      </c>
      <c r="AK22" s="886">
        <f>$AF22*'Input data plant-based products'!AD87</f>
        <v>2.6337494070860566E-3</v>
      </c>
      <c r="AL22" s="877"/>
      <c r="AM22" s="879">
        <f>'Input data plant-based products'!R87/'Input data plant-based products'!E87</f>
        <v>1.1916820592266001E-3</v>
      </c>
      <c r="AN22" s="877">
        <f>$AM22*'Input data plant-based products'!Z87</f>
        <v>1.1916820592266001E-3</v>
      </c>
      <c r="AO22" s="877">
        <f>$AM22*'Input data plant-based products'!AA87</f>
        <v>1.1916820592266001E-3</v>
      </c>
      <c r="AP22" s="877">
        <f>$AM22*'Input data plant-based products'!AB87</f>
        <v>1.1916820592266001E-3</v>
      </c>
      <c r="AQ22" s="877">
        <f>$AM22*'Input data plant-based products'!AC87</f>
        <v>1.4222246798264711E-3</v>
      </c>
      <c r="AR22" s="886">
        <f>$AM22*'Input data plant-based products'!AD87</f>
        <v>1.7558329380573715E-3</v>
      </c>
      <c r="AS22" s="877"/>
      <c r="AT22" s="879">
        <f>'Input data plant-based products'!S87</f>
        <v>1E-3</v>
      </c>
      <c r="AU22" s="877">
        <f>$AT22*'Input data plant-based products'!Z87</f>
        <v>1E-3</v>
      </c>
      <c r="AV22" s="877">
        <f>$AT22*'Input data plant-based products'!AA87</f>
        <v>1E-3</v>
      </c>
      <c r="AW22" s="877">
        <f>$AT22*'Input data plant-based products'!AB87</f>
        <v>1E-3</v>
      </c>
      <c r="AX22" s="877">
        <f>$AT22*'Input data plant-based products'!AC87</f>
        <v>1.1934598400763815E-3</v>
      </c>
      <c r="AY22" s="886">
        <f>$AT22*'Input data plant-based products'!AD87</f>
        <v>1.4734072099708412E-3</v>
      </c>
      <c r="AZ22" s="877"/>
      <c r="BA22" s="879">
        <f>((SUM('Input data plant-based products'!U87:Y87)*Y22)/('Common input data'!$B$192/10^6))/$BB$3</f>
        <v>2.2882348639049718E-11</v>
      </c>
      <c r="BB22" s="877">
        <f>$BA22*'Input data plant-based products'!Z87</f>
        <v>2.2882348639049718E-11</v>
      </c>
      <c r="BC22" s="877">
        <f>$BA22*'Input data plant-based products'!AA87</f>
        <v>2.2882348639049718E-11</v>
      </c>
      <c r="BD22" s="877">
        <f>$BA22*'Input data plant-based products'!AB87</f>
        <v>2.2882348639049718E-11</v>
      </c>
      <c r="BE22" s="877">
        <f>$BA22*'Input data plant-based products'!AC87</f>
        <v>2.7309164147332279E-11</v>
      </c>
      <c r="BF22" s="886">
        <f>$BA22*'Input data plant-based products'!AD87</f>
        <v>3.3715017465842317E-11</v>
      </c>
      <c r="BG22" s="877"/>
      <c r="BH22" s="879">
        <f>'Input data plant-based products'!T87/'Input data plant-based products'!E87</f>
        <v>0</v>
      </c>
      <c r="BI22" s="877">
        <f>$BH22*'Input data plant-based products'!Z87</f>
        <v>0</v>
      </c>
      <c r="BJ22" s="877">
        <f>$BH22*'Input data plant-based products'!AA87</f>
        <v>0</v>
      </c>
      <c r="BK22" s="877">
        <f>$BH22*'Input data plant-based products'!AB87</f>
        <v>0</v>
      </c>
      <c r="BL22" s="877">
        <f>$BH22*'Input data plant-based products'!AC87</f>
        <v>0</v>
      </c>
      <c r="BM22" s="886">
        <f>$BH22*'Input data plant-based products'!AD87</f>
        <v>0</v>
      </c>
      <c r="BN22" s="877"/>
      <c r="BO22" s="879">
        <f>('Input data plant-based products'!F87/'Input data plant-based products'!E87*'Common input data'!$B$195+'Input data plant-based products'!G87/'Input data plant-based products'!E87*'Common input data'!$B$196)/'Common input data'!$B$198</f>
        <v>4.5642137520288357E-5</v>
      </c>
      <c r="BP22" s="877">
        <f>$BO22*'Input data plant-based products'!Z87</f>
        <v>4.5642137520288357E-5</v>
      </c>
      <c r="BQ22" s="877">
        <f>$BO22*'Input data plant-based products'!AA87</f>
        <v>4.5642137520288357E-5</v>
      </c>
      <c r="BR22" s="877">
        <f>$BO22*'Input data plant-based products'!AB87</f>
        <v>4.5642137520288357E-5</v>
      </c>
      <c r="BS22" s="877">
        <f>$BO22*'Input data plant-based products'!AC87</f>
        <v>5.4472058145707551E-5</v>
      </c>
      <c r="BT22" s="886">
        <f>$BO22*'Input data plant-based products'!AD87</f>
        <v>6.7249454500873507E-5</v>
      </c>
      <c r="BU22" s="877"/>
      <c r="BV22" s="879">
        <f>('Common input data'!$C$202+'Common input data'!$B$205)*'Input data plant-based products'!AC87</f>
        <v>0.95655806182121972</v>
      </c>
      <c r="BW22" s="886">
        <f>('Common input data'!$C$202+'Common input data'!$B$205)*'Input data plant-based products'!AD87</f>
        <v>1.1809358787916291</v>
      </c>
      <c r="BX22" s="406"/>
      <c r="BY22" s="406"/>
      <c r="BZ22" s="406"/>
      <c r="CA22" s="406"/>
      <c r="CB22" s="406"/>
      <c r="CC22" s="406"/>
      <c r="CD22" s="406"/>
      <c r="CE22" s="406"/>
      <c r="CF22" s="406"/>
      <c r="CG22" s="406"/>
      <c r="CH22" s="406"/>
      <c r="CI22" s="406"/>
      <c r="CJ22" s="406"/>
      <c r="CK22" s="406"/>
      <c r="CL22" s="406"/>
      <c r="CM22" s="406"/>
      <c r="CN22" s="406"/>
      <c r="CO22" s="406"/>
      <c r="CP22" s="406"/>
      <c r="CQ22" s="406"/>
      <c r="CR22" s="406"/>
      <c r="CS22" s="406"/>
      <c r="CT22" s="406"/>
      <c r="CU22" s="406"/>
      <c r="CV22" s="406"/>
      <c r="CW22" s="406"/>
      <c r="CX22" s="406"/>
      <c r="CY22" s="406"/>
      <c r="CZ22" s="406"/>
      <c r="DA22" s="406"/>
      <c r="DB22" s="406"/>
      <c r="DC22" s="406"/>
      <c r="DD22" s="406"/>
      <c r="DE22" s="406"/>
      <c r="DF22" s="406"/>
      <c r="DG22" s="406"/>
      <c r="DH22" s="406"/>
      <c r="DI22" s="406"/>
      <c r="DJ22" s="406"/>
      <c r="DK22" s="406"/>
      <c r="DL22" s="406"/>
      <c r="DM22" s="406"/>
      <c r="DN22" s="406"/>
      <c r="DO22" s="406"/>
      <c r="DP22" s="406"/>
      <c r="DQ22" s="406"/>
      <c r="DR22" s="406"/>
      <c r="DS22" s="406"/>
      <c r="DT22" s="406"/>
      <c r="DU22" s="406"/>
      <c r="DV22" s="406"/>
      <c r="DW22" s="406"/>
      <c r="DX22" s="406"/>
      <c r="DY22" s="406"/>
      <c r="DZ22" s="406"/>
      <c r="EA22" s="406"/>
      <c r="EB22" s="406"/>
      <c r="EC22" s="406"/>
      <c r="ED22" s="406"/>
      <c r="EE22" s="406"/>
      <c r="EF22" s="406"/>
      <c r="EG22" s="406"/>
      <c r="EH22" s="406"/>
      <c r="EI22" s="406"/>
      <c r="EJ22" s="406"/>
      <c r="EK22" s="406"/>
      <c r="EL22" s="406"/>
      <c r="EM22" s="406"/>
      <c r="EN22" s="406"/>
      <c r="EO22" s="406"/>
      <c r="EP22" s="406"/>
      <c r="EQ22" s="406"/>
      <c r="ER22" s="406"/>
      <c r="ES22" s="406"/>
      <c r="ET22" s="406"/>
      <c r="EU22" s="406"/>
      <c r="EV22" s="406"/>
      <c r="EW22" s="406"/>
      <c r="EX22" s="406"/>
      <c r="EY22" s="406"/>
      <c r="EZ22" s="406"/>
      <c r="FA22" s="406"/>
      <c r="FB22" s="406"/>
      <c r="FC22" s="406"/>
      <c r="FD22" s="406"/>
      <c r="FE22" s="406"/>
      <c r="FF22" s="406"/>
      <c r="FG22" s="406"/>
      <c r="FH22" s="406"/>
      <c r="FI22" s="406"/>
      <c r="FJ22" s="406"/>
      <c r="FK22" s="406"/>
      <c r="FL22" s="406"/>
      <c r="FM22" s="406"/>
      <c r="FN22" s="406"/>
      <c r="FO22" s="406"/>
      <c r="FP22" s="406"/>
      <c r="FQ22" s="406"/>
      <c r="FR22" s="406"/>
      <c r="FS22" s="406"/>
      <c r="FT22" s="406"/>
      <c r="FU22" s="406"/>
      <c r="FV22" s="406"/>
      <c r="FW22" s="406"/>
      <c r="FX22" s="406"/>
      <c r="FY22" s="406"/>
      <c r="FZ22" s="406"/>
      <c r="GA22" s="406"/>
      <c r="GB22" s="406"/>
      <c r="GC22" s="406"/>
      <c r="GD22" s="406"/>
      <c r="GE22" s="406"/>
      <c r="GF22" s="406"/>
      <c r="GG22" s="406"/>
      <c r="GH22" s="406"/>
      <c r="GI22" s="406"/>
      <c r="GJ22" s="406"/>
      <c r="GK22" s="406"/>
      <c r="GL22" s="406"/>
      <c r="GM22" s="406"/>
      <c r="GN22" s="406"/>
      <c r="GO22" s="406"/>
      <c r="GP22" s="406"/>
      <c r="GQ22" s="406"/>
      <c r="GR22" s="406"/>
      <c r="GS22" s="406"/>
      <c r="GT22" s="406"/>
      <c r="GU22" s="406"/>
      <c r="GV22" s="406"/>
      <c r="GW22" s="406"/>
      <c r="GX22" s="406"/>
      <c r="GY22" s="406"/>
      <c r="GZ22" s="406"/>
      <c r="HA22" s="406"/>
      <c r="HB22" s="406"/>
      <c r="HC22" s="406"/>
      <c r="HD22" s="406"/>
      <c r="HE22" s="406"/>
      <c r="HF22" s="406"/>
      <c r="HG22" s="406"/>
      <c r="HH22" s="406"/>
      <c r="HI22" s="406"/>
      <c r="HJ22" s="406"/>
      <c r="HK22" s="406"/>
      <c r="HL22" s="406"/>
      <c r="HM22" s="406"/>
      <c r="HN22" s="406"/>
      <c r="HO22" s="406"/>
      <c r="HP22" s="406"/>
      <c r="HQ22" s="406"/>
      <c r="HR22" s="406"/>
      <c r="HS22" s="406"/>
      <c r="HT22" s="406"/>
      <c r="HU22" s="406"/>
      <c r="HV22" s="406"/>
      <c r="HW22" s="406"/>
      <c r="HX22" s="406"/>
      <c r="HY22" s="406"/>
      <c r="HZ22" s="406"/>
      <c r="IA22" s="406"/>
      <c r="IB22" s="406"/>
      <c r="IC22" s="406"/>
      <c r="ID22" s="406"/>
      <c r="IE22" s="406"/>
      <c r="IF22" s="406"/>
      <c r="IG22" s="406"/>
      <c r="IH22" s="406"/>
      <c r="II22" s="406"/>
      <c r="IJ22" s="406"/>
      <c r="IK22" s="406"/>
      <c r="IL22" s="406"/>
      <c r="IM22" s="406"/>
      <c r="IN22" s="406"/>
      <c r="IO22" s="406"/>
      <c r="IP22" s="406"/>
      <c r="IQ22" s="406"/>
      <c r="IR22" s="406"/>
      <c r="IS22" s="406"/>
    </row>
    <row r="23" spans="1:253" s="406" customFormat="1" ht="17.25">
      <c r="A23" s="68"/>
      <c r="B23" s="55"/>
      <c r="C23" s="917"/>
      <c r="D23" s="5"/>
      <c r="E23" s="1294" t="s">
        <v>317</v>
      </c>
      <c r="F23" s="928">
        <f>IF(AND($G$2="No",$G$3="No"),SUM(K23:L23),IF(AND($G$2="Yes", $G$3="No"), SUM(K23:L23)+S23, IF(AND($G$2="No", $G$3="Yes"),SUM(K23:L23)+R23, SUM(K23:L23)+S23+R23)))</f>
        <v>-9.1139048141381296E-2</v>
      </c>
      <c r="G23" s="877">
        <f>IF(AND($G$2="No",$G$3="No"),SUM(I23:Q23),IF(AND($G$2="Yes", $G$3="No"), SUM(I23:Q23)+S23, IF(AND($G$2="No", $G$3="Yes"),SUM(I23:Q23)+R23, SUM(I23:Q23)+S23+R23)))</f>
        <v>1.5655824280604941E-2</v>
      </c>
      <c r="H23" s="878">
        <f>SUM(U23:W23)/(1-'Common input data'!$B$140)</f>
        <v>0.47219933677121961</v>
      </c>
      <c r="I23" s="877">
        <f>('Input data plant-based products'!$F$87*('Common input data'!$C$93*'Common input data'!B86+'Common input data'!$C$94*'Common input data'!C86))/'Input data plant-based products'!$E$87</f>
        <v>6.7299796541098441E-3</v>
      </c>
      <c r="J23" s="877">
        <f>'Common input data'!$B$98</f>
        <v>0.03</v>
      </c>
      <c r="K23" s="877">
        <v>0</v>
      </c>
      <c r="L23" s="877">
        <v>0</v>
      </c>
      <c r="M23" s="877"/>
      <c r="N23" s="877">
        <f>('Input data plant-based products'!$P$87*'Common input data'!$C$76*'Common input data'!H66)/'Input data plant-based products'!$E$87</f>
        <v>7.0064892767876391E-2</v>
      </c>
      <c r="O23" s="877">
        <v>0</v>
      </c>
      <c r="P23" s="877">
        <v>0</v>
      </c>
      <c r="Q23" s="877">
        <v>0</v>
      </c>
      <c r="R23" s="877">
        <f>'Common input data'!$F$19</f>
        <v>-9.1139048141381296E-2</v>
      </c>
      <c r="S23" s="877">
        <v>0</v>
      </c>
      <c r="T23" s="877">
        <v>0</v>
      </c>
      <c r="U23" s="877">
        <f>G23+T23</f>
        <v>1.5655824280604941E-2</v>
      </c>
      <c r="V23" s="877">
        <f>'Common input data'!$B$105</f>
        <v>0.05</v>
      </c>
      <c r="W23" s="886">
        <f>'Common input data'!B118+'Common input data'!C118</f>
        <v>0.32999999999999996</v>
      </c>
      <c r="X23" s="877"/>
      <c r="Y23" s="879"/>
      <c r="Z23" s="877"/>
      <c r="AA23" s="877"/>
      <c r="AB23" s="877"/>
      <c r="AC23" s="877"/>
      <c r="AD23" s="886"/>
      <c r="AE23" s="877"/>
      <c r="AF23" s="879"/>
      <c r="AG23" s="877"/>
      <c r="AH23" s="877"/>
      <c r="AI23" s="877"/>
      <c r="AJ23" s="877"/>
      <c r="AK23" s="886"/>
      <c r="AL23" s="877"/>
      <c r="AM23" s="879"/>
      <c r="AN23" s="877"/>
      <c r="AO23" s="877"/>
      <c r="AP23" s="877"/>
      <c r="AQ23" s="877"/>
      <c r="AR23" s="886"/>
      <c r="AS23" s="877"/>
      <c r="AT23" s="879"/>
      <c r="AU23" s="877"/>
      <c r="AV23" s="877"/>
      <c r="AW23" s="877"/>
      <c r="AX23" s="877"/>
      <c r="AY23" s="886"/>
      <c r="AZ23" s="877"/>
      <c r="BA23" s="879"/>
      <c r="BB23" s="877"/>
      <c r="BC23" s="877"/>
      <c r="BD23" s="877"/>
      <c r="BE23" s="877"/>
      <c r="BF23" s="886"/>
      <c r="BG23" s="877"/>
      <c r="BH23" s="879"/>
      <c r="BI23" s="877"/>
      <c r="BJ23" s="877"/>
      <c r="BK23" s="877"/>
      <c r="BL23" s="877"/>
      <c r="BM23" s="886"/>
      <c r="BN23" s="877"/>
      <c r="BO23" s="879"/>
      <c r="BP23" s="877"/>
      <c r="BQ23" s="877"/>
      <c r="BR23" s="877"/>
      <c r="BS23" s="877"/>
      <c r="BT23" s="886"/>
      <c r="BU23" s="877"/>
      <c r="BV23" s="879"/>
      <c r="BW23" s="886"/>
    </row>
    <row r="24" spans="1:253" s="406" customFormat="1" ht="17.25">
      <c r="A24" s="18"/>
      <c r="B24" s="55"/>
      <c r="C24" s="595"/>
      <c r="D24" s="50"/>
      <c r="E24" s="1294" t="s">
        <v>367</v>
      </c>
      <c r="F24" s="928">
        <f>SUM(K24:L24)</f>
        <v>0</v>
      </c>
      <c r="G24" s="877">
        <f>SUM(I24:Q24)</f>
        <v>4.3382198533398E-5</v>
      </c>
      <c r="H24" s="878">
        <f>SUM(U24:W24)/(1-'Common input data'!$B$140)</f>
        <v>5.1774911723831004E-5</v>
      </c>
      <c r="I24" s="877">
        <f>('Input data plant-based products'!$F$87*('Common input data'!$C$93*'Common input data'!B87+'Common input data'!$C$94*'Common input data'!C87))/'Input data plant-based products'!$E$87</f>
        <v>1.2345813604740418E-5</v>
      </c>
      <c r="J24" s="877">
        <v>0</v>
      </c>
      <c r="K24" s="877">
        <v>0</v>
      </c>
      <c r="L24" s="877">
        <v>0</v>
      </c>
      <c r="M24" s="877"/>
      <c r="N24" s="877">
        <f>('Input data plant-based products'!$P$87*'Common input data'!$C$76*'Common input data'!H67)/'Input data plant-based products'!$E$87</f>
        <v>3.1036384928657578E-5</v>
      </c>
      <c r="O24" s="877">
        <v>0</v>
      </c>
      <c r="P24" s="877">
        <v>0</v>
      </c>
      <c r="Q24" s="877">
        <v>0</v>
      </c>
      <c r="R24" s="877">
        <v>0</v>
      </c>
      <c r="S24" s="877">
        <v>0</v>
      </c>
      <c r="T24" s="877">
        <v>0</v>
      </c>
      <c r="U24" s="877">
        <f>G24+T24</f>
        <v>4.3382198533398E-5</v>
      </c>
      <c r="V24" s="877">
        <v>0</v>
      </c>
      <c r="W24" s="886">
        <v>0</v>
      </c>
      <c r="X24" s="877"/>
      <c r="Y24" s="879"/>
      <c r="Z24" s="877"/>
      <c r="AA24" s="877"/>
      <c r="AB24" s="877"/>
      <c r="AC24" s="877"/>
      <c r="AD24" s="886"/>
      <c r="AE24" s="877"/>
      <c r="AF24" s="879"/>
      <c r="AG24" s="877"/>
      <c r="AH24" s="877"/>
      <c r="AI24" s="877"/>
      <c r="AJ24" s="877"/>
      <c r="AK24" s="886"/>
      <c r="AL24" s="877"/>
      <c r="AM24" s="879"/>
      <c r="AN24" s="877"/>
      <c r="AO24" s="877"/>
      <c r="AP24" s="877"/>
      <c r="AQ24" s="877"/>
      <c r="AR24" s="886"/>
      <c r="AS24" s="877"/>
      <c r="AT24" s="879"/>
      <c r="AU24" s="877"/>
      <c r="AV24" s="877"/>
      <c r="AW24" s="877"/>
      <c r="AX24" s="877"/>
      <c r="AY24" s="886"/>
      <c r="AZ24" s="877"/>
      <c r="BA24" s="879"/>
      <c r="BB24" s="877"/>
      <c r="BC24" s="877"/>
      <c r="BD24" s="877"/>
      <c r="BE24" s="877"/>
      <c r="BF24" s="886"/>
      <c r="BG24" s="877"/>
      <c r="BH24" s="879"/>
      <c r="BI24" s="877"/>
      <c r="BJ24" s="877"/>
      <c r="BK24" s="877"/>
      <c r="BL24" s="877"/>
      <c r="BM24" s="886"/>
      <c r="BN24" s="877"/>
      <c r="BO24" s="879"/>
      <c r="BP24" s="877"/>
      <c r="BQ24" s="877"/>
      <c r="BR24" s="877"/>
      <c r="BS24" s="877"/>
      <c r="BT24" s="886"/>
      <c r="BU24" s="877"/>
      <c r="BV24" s="879"/>
      <c r="BW24" s="886"/>
    </row>
    <row r="25" spans="1:253" s="406" customFormat="1" ht="17.25">
      <c r="A25" s="359"/>
      <c r="B25" s="360"/>
      <c r="C25" s="83"/>
      <c r="D25" s="54"/>
      <c r="E25" s="1295" t="s">
        <v>320</v>
      </c>
      <c r="F25" s="928">
        <f>SUM(K25:L25)</f>
        <v>4.9437781428486366E-5</v>
      </c>
      <c r="G25" s="877">
        <f>SUM(I25:Q25)</f>
        <v>6.6107463612735071E-5</v>
      </c>
      <c r="H25" s="878">
        <f>SUM(U25:W25)/(1-'Common input data'!$B$140)</f>
        <v>7.8896602951110005E-5</v>
      </c>
      <c r="I25" s="877">
        <f>('Input data plant-based products'!$F$87*('Common input data'!$C$93*'Common input data'!B88+'Common input data'!$C$94*'Common input data'!C88))/'Input data plant-based products'!$E$87</f>
        <v>1.4787011198389005E-5</v>
      </c>
      <c r="J25" s="877">
        <v>0</v>
      </c>
      <c r="K25" s="877">
        <f>(SUM(('Input data plant-based products'!$F$87*'Input data plant-based products'!$B$258),(('Input data plant-based products'!$G$87+'Input data plant-based products'!$H$87)*'Input data plant-based products'!$B$259))*44/28)/'Input data plant-based products'!$E$87</f>
        <v>4.4943437662260335E-5</v>
      </c>
      <c r="L25" s="877">
        <f>K25*'Input data plant-based products'!$B$261</f>
        <v>4.4943437662260333E-6</v>
      </c>
      <c r="M25" s="877"/>
      <c r="N25" s="877">
        <f>('Input data plant-based products'!$P$87*'Common input data'!$C$76*'Common input data'!H68)/'Input data plant-based products'!$E$87</f>
        <v>1.8826709858596924E-6</v>
      </c>
      <c r="O25" s="877">
        <v>0</v>
      </c>
      <c r="P25" s="877">
        <v>0</v>
      </c>
      <c r="Q25" s="877">
        <v>0</v>
      </c>
      <c r="R25" s="877">
        <v>0</v>
      </c>
      <c r="S25" s="877">
        <v>0</v>
      </c>
      <c r="T25" s="877">
        <v>0</v>
      </c>
      <c r="U25" s="877">
        <f>G25+T25</f>
        <v>6.6107463612735071E-5</v>
      </c>
      <c r="V25" s="877">
        <v>0</v>
      </c>
      <c r="W25" s="886">
        <v>0</v>
      </c>
      <c r="X25" s="877"/>
      <c r="Y25" s="879"/>
      <c r="Z25" s="877"/>
      <c r="AA25" s="877"/>
      <c r="AB25" s="877"/>
      <c r="AC25" s="877"/>
      <c r="AD25" s="886"/>
      <c r="AE25" s="877"/>
      <c r="AF25" s="879"/>
      <c r="AG25" s="877"/>
      <c r="AH25" s="877"/>
      <c r="AI25" s="877"/>
      <c r="AJ25" s="877"/>
      <c r="AK25" s="886"/>
      <c r="AL25" s="877"/>
      <c r="AM25" s="879"/>
      <c r="AN25" s="877"/>
      <c r="AO25" s="877"/>
      <c r="AP25" s="877"/>
      <c r="AQ25" s="877"/>
      <c r="AR25" s="886"/>
      <c r="AS25" s="877"/>
      <c r="AT25" s="879"/>
      <c r="AU25" s="877"/>
      <c r="AV25" s="877"/>
      <c r="AW25" s="877"/>
      <c r="AX25" s="877"/>
      <c r="AY25" s="886"/>
      <c r="AZ25" s="877"/>
      <c r="BA25" s="879"/>
      <c r="BB25" s="877"/>
      <c r="BC25" s="877"/>
      <c r="BD25" s="877"/>
      <c r="BE25" s="877"/>
      <c r="BF25" s="886"/>
      <c r="BG25" s="877"/>
      <c r="BH25" s="879"/>
      <c r="BI25" s="877"/>
      <c r="BJ25" s="877"/>
      <c r="BK25" s="877"/>
      <c r="BL25" s="877"/>
      <c r="BM25" s="886"/>
      <c r="BN25" s="877"/>
      <c r="BO25" s="879"/>
      <c r="BP25" s="877"/>
      <c r="BQ25" s="877"/>
      <c r="BR25" s="877"/>
      <c r="BS25" s="877"/>
      <c r="BT25" s="886"/>
      <c r="BU25" s="877"/>
      <c r="BV25" s="879"/>
      <c r="BW25" s="886"/>
    </row>
    <row r="26" spans="1:253" s="502" customFormat="1" ht="17.25">
      <c r="A26" s="20" t="s">
        <v>125</v>
      </c>
      <c r="B26" s="93" t="s">
        <v>121</v>
      </c>
      <c r="C26" s="87">
        <f>'Input data plant-based products'!D88</f>
        <v>0.43078401161384094</v>
      </c>
      <c r="D26" s="54"/>
      <c r="E26" s="1293" t="s">
        <v>316</v>
      </c>
      <c r="F26" s="930">
        <f>SUMPRODUCT($CI$4:$CI$6,F27:F29)</f>
        <v>-8.2703726685145806E-2</v>
      </c>
      <c r="G26" s="872">
        <f>SUMPRODUCT($CI$4:$CI$6,G27:G29)</f>
        <v>8.4841938306029735E-2</v>
      </c>
      <c r="H26" s="873">
        <f>SUMPRODUCT($CI$4:$CI$6,H27:H29)</f>
        <v>0.43542420134387139</v>
      </c>
      <c r="I26" s="884"/>
      <c r="J26" s="884"/>
      <c r="K26" s="884"/>
      <c r="L26" s="884"/>
      <c r="M26" s="884"/>
      <c r="N26" s="884"/>
      <c r="O26" s="884"/>
      <c r="P26" s="884"/>
      <c r="Q26" s="884"/>
      <c r="R26" s="884"/>
      <c r="S26" s="884"/>
      <c r="T26" s="884"/>
      <c r="U26" s="884"/>
      <c r="V26" s="884"/>
      <c r="W26" s="885"/>
      <c r="X26" s="877"/>
      <c r="Y26" s="879">
        <f>1/'Input data plant-based products'!E88*10^4</f>
        <v>0.62364913154607071</v>
      </c>
      <c r="Z26" s="877">
        <f>$Y26*'Input data plant-based products'!Z88</f>
        <v>0.62364913154607071</v>
      </c>
      <c r="AA26" s="877">
        <f>$Y26*'Input data plant-based products'!AA88</f>
        <v>0.62364913154607071</v>
      </c>
      <c r="AB26" s="877">
        <f>$Y26*'Input data plant-based products'!AB88</f>
        <v>0.62364913154607071</v>
      </c>
      <c r="AC26" s="877">
        <f>$Y26*'Input data plant-based products'!AC88</f>
        <v>0.74430019279874771</v>
      </c>
      <c r="AD26" s="886">
        <f>$Y26*'Input data plant-based products'!AD88</f>
        <v>0.91888912691203406</v>
      </c>
      <c r="AE26" s="877"/>
      <c r="AF26" s="879">
        <f>SUM('Input data plant-based products'!F88,'Input data plant-based products'!Q88)/'Input data plant-based products'!E88</f>
        <v>1.7875230888398999E-3</v>
      </c>
      <c r="AG26" s="877">
        <f>$AF26*'Input data plant-based products'!Z88</f>
        <v>1.7875230888398999E-3</v>
      </c>
      <c r="AH26" s="877">
        <f>$AF26*'Input data plant-based products'!AA88</f>
        <v>1.7875230888398999E-3</v>
      </c>
      <c r="AI26" s="877">
        <f>$AF26*'Input data plant-based products'!AB88</f>
        <v>1.7875230888398999E-3</v>
      </c>
      <c r="AJ26" s="877">
        <f>$AF26*'Input data plant-based products'!AC88</f>
        <v>2.1333370197397063E-3</v>
      </c>
      <c r="AK26" s="886">
        <f>$AF26*'Input data plant-based products'!AD88</f>
        <v>2.6337494070860566E-3</v>
      </c>
      <c r="AL26" s="877"/>
      <c r="AM26" s="879">
        <f>'Input data plant-based products'!R88/'Input data plant-based products'!E88</f>
        <v>1.1916820592266001E-3</v>
      </c>
      <c r="AN26" s="877">
        <f>$AM26*'Input data plant-based products'!Z88</f>
        <v>1.1916820592266001E-3</v>
      </c>
      <c r="AO26" s="877">
        <f>$AM26*'Input data plant-based products'!AA88</f>
        <v>1.1916820592266001E-3</v>
      </c>
      <c r="AP26" s="877">
        <f>$AM26*'Input data plant-based products'!AB88</f>
        <v>1.1916820592266001E-3</v>
      </c>
      <c r="AQ26" s="877">
        <f>$AM26*'Input data plant-based products'!AC88</f>
        <v>1.4222246798264711E-3</v>
      </c>
      <c r="AR26" s="886">
        <f>$AM26*'Input data plant-based products'!AD88</f>
        <v>1.7558329380573715E-3</v>
      </c>
      <c r="AS26" s="877"/>
      <c r="AT26" s="879">
        <f>'Input data plant-based products'!S88</f>
        <v>2.1000000000000001E-2</v>
      </c>
      <c r="AU26" s="877">
        <f>$AT26*'Input data plant-based products'!Z88</f>
        <v>2.1000000000000001E-2</v>
      </c>
      <c r="AV26" s="877">
        <f>$AT26*'Input data plant-based products'!AA88</f>
        <v>2.1000000000000001E-2</v>
      </c>
      <c r="AW26" s="877">
        <f>$AT26*'Input data plant-based products'!AB88</f>
        <v>2.1000000000000001E-2</v>
      </c>
      <c r="AX26" s="877">
        <f>$AT26*'Input data plant-based products'!AC88</f>
        <v>2.5062656641604012E-2</v>
      </c>
      <c r="AY26" s="886">
        <f>$AT26*'Input data plant-based products'!AD88</f>
        <v>3.0941551409387664E-2</v>
      </c>
      <c r="AZ26" s="877"/>
      <c r="BA26" s="879">
        <f>((SUM('Input data plant-based products'!U88:Y88)*Y26)/('Common input data'!$B$192/10^6))/$BB$3</f>
        <v>3.2023128696724919E-10</v>
      </c>
      <c r="BB26" s="877">
        <f>$BA26*'Input data plant-based products'!Z88</f>
        <v>3.2023128696724919E-10</v>
      </c>
      <c r="BC26" s="877">
        <f>$BA26*'Input data plant-based products'!AA88</f>
        <v>3.2023128696724919E-10</v>
      </c>
      <c r="BD26" s="877">
        <f>$BA26*'Input data plant-based products'!AB88</f>
        <v>3.2023128696724919E-10</v>
      </c>
      <c r="BE26" s="877">
        <f>$BA26*'Input data plant-based products'!AC88</f>
        <v>3.82183180531387E-10</v>
      </c>
      <c r="BF26" s="886">
        <f>$BA26*'Input data plant-based products'!AD88</f>
        <v>4.7183108707578637E-10</v>
      </c>
      <c r="BG26" s="877"/>
      <c r="BH26" s="879">
        <f>'Input data plant-based products'!T88/'Input data plant-based products'!E88</f>
        <v>4.5401656776553935E-4</v>
      </c>
      <c r="BI26" s="877">
        <f>$BH26*'Input data plant-based products'!Z88</f>
        <v>4.5401656776553935E-4</v>
      </c>
      <c r="BJ26" s="877">
        <f>$BH26*'Input data plant-based products'!AA88</f>
        <v>4.5401656776553935E-4</v>
      </c>
      <c r="BK26" s="877">
        <f>$BH26*'Input data plant-based products'!AB88</f>
        <v>4.5401656776553935E-4</v>
      </c>
      <c r="BL26" s="877">
        <f>$BH26*'Input data plant-based products'!AC88</f>
        <v>5.4185054035748822E-4</v>
      </c>
      <c r="BM26" s="886">
        <f>$BH26*'Input data plant-based products'!AD88</f>
        <v>6.689512843919606E-4</v>
      </c>
      <c r="BN26" s="877"/>
      <c r="BO26" s="879">
        <f>('Input data plant-based products'!F88/'Input data plant-based products'!E88*'Common input data'!$B$195+'Input data plant-based products'!G88/'Input data plant-based products'!E88*'Common input data'!$B$196)/'Common input data'!$B$198</f>
        <v>4.5642137520288357E-5</v>
      </c>
      <c r="BP26" s="877">
        <f>$BO26*'Input data plant-based products'!Z88</f>
        <v>4.5642137520288357E-5</v>
      </c>
      <c r="BQ26" s="877">
        <f>$BO26*'Input data plant-based products'!AA88</f>
        <v>4.5642137520288357E-5</v>
      </c>
      <c r="BR26" s="877">
        <f>$BO26*'Input data plant-based products'!AB88</f>
        <v>4.5642137520288357E-5</v>
      </c>
      <c r="BS26" s="877">
        <f>$BO26*'Input data plant-based products'!AC88</f>
        <v>5.4472058145707551E-5</v>
      </c>
      <c r="BT26" s="886">
        <f>$BO26*'Input data plant-based products'!AD88</f>
        <v>6.7249454500873507E-5</v>
      </c>
      <c r="BU26" s="877"/>
      <c r="BV26" s="879">
        <f>('Common input data'!$C$202+'Common input data'!$B$214)*'Input data plant-based products'!AC88</f>
        <v>1.1339857580459085</v>
      </c>
      <c r="BW26" s="886">
        <f>('Common input data'!$C$202+'Common input data'!$B$214)*'Input data plant-based products'!AD88</f>
        <v>1.3999824173406277</v>
      </c>
      <c r="BX26" s="406"/>
      <c r="BY26" s="406"/>
      <c r="BZ26" s="406"/>
      <c r="CA26" s="406"/>
      <c r="CB26" s="406"/>
      <c r="CC26" s="406"/>
      <c r="CD26" s="406"/>
      <c r="CE26" s="406"/>
      <c r="CF26" s="406"/>
      <c r="CG26" s="406"/>
      <c r="CH26" s="406"/>
      <c r="CI26" s="406"/>
      <c r="CJ26" s="406"/>
      <c r="CK26" s="406"/>
      <c r="CL26" s="406"/>
      <c r="CM26" s="406"/>
      <c r="CN26" s="406"/>
      <c r="CO26" s="406"/>
      <c r="CP26" s="406"/>
      <c r="CQ26" s="406"/>
      <c r="CR26" s="406"/>
      <c r="CS26" s="406"/>
      <c r="CT26" s="406"/>
      <c r="CU26" s="406"/>
      <c r="CV26" s="406"/>
      <c r="CW26" s="406"/>
      <c r="CX26" s="406"/>
      <c r="CY26" s="406"/>
      <c r="CZ26" s="406"/>
      <c r="DA26" s="406"/>
      <c r="DB26" s="406"/>
      <c r="DC26" s="406"/>
      <c r="DD26" s="406"/>
      <c r="DE26" s="406"/>
      <c r="DF26" s="406"/>
      <c r="DG26" s="406"/>
      <c r="DH26" s="406"/>
      <c r="DI26" s="406"/>
      <c r="DJ26" s="406"/>
      <c r="DK26" s="406"/>
      <c r="DL26" s="406"/>
      <c r="DM26" s="406"/>
      <c r="DN26" s="406"/>
      <c r="DO26" s="406"/>
      <c r="DP26" s="406"/>
      <c r="DQ26" s="406"/>
      <c r="DR26" s="406"/>
      <c r="DS26" s="406"/>
      <c r="DT26" s="406"/>
      <c r="DU26" s="406"/>
      <c r="DV26" s="406"/>
      <c r="DW26" s="406"/>
      <c r="DX26" s="406"/>
      <c r="DY26" s="406"/>
      <c r="DZ26" s="406"/>
      <c r="EA26" s="406"/>
      <c r="EB26" s="406"/>
      <c r="EC26" s="406"/>
      <c r="ED26" s="406"/>
      <c r="EE26" s="406"/>
      <c r="EF26" s="406"/>
      <c r="EG26" s="406"/>
      <c r="EH26" s="406"/>
      <c r="EI26" s="406"/>
      <c r="EJ26" s="406"/>
      <c r="EK26" s="406"/>
      <c r="EL26" s="406"/>
      <c r="EM26" s="406"/>
      <c r="EN26" s="406"/>
      <c r="EO26" s="406"/>
      <c r="EP26" s="406"/>
      <c r="EQ26" s="406"/>
      <c r="ER26" s="406"/>
      <c r="ES26" s="406"/>
      <c r="ET26" s="406"/>
      <c r="EU26" s="406"/>
      <c r="EV26" s="406"/>
      <c r="EW26" s="406"/>
      <c r="EX26" s="406"/>
      <c r="EY26" s="406"/>
      <c r="EZ26" s="406"/>
      <c r="FA26" s="406"/>
      <c r="FB26" s="406"/>
      <c r="FC26" s="406"/>
      <c r="FD26" s="406"/>
      <c r="FE26" s="406"/>
      <c r="FF26" s="406"/>
      <c r="FG26" s="406"/>
      <c r="FH26" s="406"/>
      <c r="FI26" s="406"/>
      <c r="FJ26" s="406"/>
      <c r="FK26" s="406"/>
      <c r="FL26" s="406"/>
      <c r="FM26" s="406"/>
      <c r="FN26" s="406"/>
      <c r="FO26" s="406"/>
      <c r="FP26" s="406"/>
      <c r="FQ26" s="406"/>
      <c r="FR26" s="406"/>
      <c r="FS26" s="406"/>
      <c r="FT26" s="406"/>
      <c r="FU26" s="406"/>
      <c r="FV26" s="406"/>
      <c r="FW26" s="406"/>
      <c r="FX26" s="406"/>
      <c r="FY26" s="406"/>
      <c r="FZ26" s="406"/>
      <c r="GA26" s="406"/>
      <c r="GB26" s="406"/>
      <c r="GC26" s="406"/>
      <c r="GD26" s="406"/>
      <c r="GE26" s="406"/>
      <c r="GF26" s="406"/>
      <c r="GG26" s="406"/>
      <c r="GH26" s="406"/>
      <c r="GI26" s="406"/>
      <c r="GJ26" s="406"/>
      <c r="GK26" s="406"/>
      <c r="GL26" s="406"/>
      <c r="GM26" s="406"/>
      <c r="GN26" s="406"/>
      <c r="GO26" s="406"/>
      <c r="GP26" s="406"/>
      <c r="GQ26" s="406"/>
      <c r="GR26" s="406"/>
      <c r="GS26" s="406"/>
      <c r="GT26" s="406"/>
      <c r="GU26" s="406"/>
      <c r="GV26" s="406"/>
      <c r="GW26" s="406"/>
      <c r="GX26" s="406"/>
      <c r="GY26" s="406"/>
      <c r="GZ26" s="406"/>
      <c r="HA26" s="406"/>
      <c r="HB26" s="406"/>
      <c r="HC26" s="406"/>
      <c r="HD26" s="406"/>
      <c r="HE26" s="406"/>
      <c r="HF26" s="406"/>
      <c r="HG26" s="406"/>
      <c r="HH26" s="406"/>
      <c r="HI26" s="406"/>
      <c r="HJ26" s="406"/>
      <c r="HK26" s="406"/>
      <c r="HL26" s="406"/>
      <c r="HM26" s="406"/>
      <c r="HN26" s="406"/>
      <c r="HO26" s="406"/>
      <c r="HP26" s="406"/>
      <c r="HQ26" s="406"/>
      <c r="HR26" s="406"/>
      <c r="HS26" s="406"/>
      <c r="HT26" s="406"/>
      <c r="HU26" s="406"/>
      <c r="HV26" s="406"/>
      <c r="HW26" s="406"/>
      <c r="HX26" s="406"/>
      <c r="HY26" s="406"/>
      <c r="HZ26" s="406"/>
      <c r="IA26" s="406"/>
      <c r="IB26" s="406"/>
      <c r="IC26" s="406"/>
      <c r="ID26" s="406"/>
      <c r="IE26" s="406"/>
      <c r="IF26" s="406"/>
      <c r="IG26" s="406"/>
      <c r="IH26" s="406"/>
      <c r="II26" s="406"/>
      <c r="IJ26" s="406"/>
      <c r="IK26" s="406"/>
      <c r="IL26" s="406"/>
      <c r="IM26" s="406"/>
      <c r="IN26" s="406"/>
      <c r="IO26" s="406"/>
      <c r="IP26" s="406"/>
      <c r="IQ26" s="406"/>
      <c r="IR26" s="406"/>
      <c r="IS26" s="406"/>
    </row>
    <row r="27" spans="1:253" s="406" customFormat="1" ht="17.25">
      <c r="A27" s="68"/>
      <c r="B27" s="55"/>
      <c r="C27" s="917"/>
      <c r="D27" s="5"/>
      <c r="E27" s="1294" t="s">
        <v>317</v>
      </c>
      <c r="F27" s="928">
        <f>IF(AND($G$2="No",$G$3="No"),SUM(K27:L27),IF(AND($G$2="Yes", $G$3="No"), SUM(K27:L27)+S27, IF(AND($G$2="No", $G$3="Yes"),SUM(K27:L27)+R27, SUM(K27:L27)+S27+R27)))</f>
        <v>-9.1139048141381296E-2</v>
      </c>
      <c r="G27" s="877">
        <f>IF(AND($G$2="No",$G$3="No"),SUM(I27:Q27),IF(AND($G$2="Yes", $G$3="No"), SUM(I27:Q27)+S27, IF(AND($G$2="No", $G$3="Yes"),SUM(I27:Q27)+R27, SUM(I27:Q27)+S27+R27)))</f>
        <v>7.0589279746821221E-2</v>
      </c>
      <c r="H27" s="878">
        <f>SUM(U27:W27)/(1-'Common input data'!$B$140)</f>
        <v>0.41841422573913506</v>
      </c>
      <c r="I27" s="877">
        <f>('Input data plant-based products'!$F$88*('Common input data'!$C$93*'Common input data'!B86+'Common input data'!$C$94*'Common input data'!C86))/'Input data plant-based products'!$E$88</f>
        <v>6.7299796541098449E-3</v>
      </c>
      <c r="J27" s="877">
        <f>'Common input data'!$B$98</f>
        <v>0.03</v>
      </c>
      <c r="K27" s="877">
        <v>0</v>
      </c>
      <c r="L27" s="877">
        <v>0</v>
      </c>
      <c r="M27" s="877"/>
      <c r="N27" s="877">
        <f>('Input data plant-based products'!$P$88*'Common input data'!$C$76*'Common input data'!H66)/'Input data plant-based products'!$E$88</f>
        <v>7.4998348234092654E-2</v>
      </c>
      <c r="O27" s="877">
        <v>0</v>
      </c>
      <c r="P27" s="877">
        <f>'Input data plant-based products'!F$309</f>
        <v>0.05</v>
      </c>
      <c r="Q27" s="877">
        <v>0</v>
      </c>
      <c r="R27" s="877">
        <f>'Common input data'!$F$19</f>
        <v>-9.1139048141381296E-2</v>
      </c>
      <c r="S27" s="877">
        <v>0</v>
      </c>
      <c r="T27" s="877">
        <v>0</v>
      </c>
      <c r="U27" s="877">
        <f>G27+T27</f>
        <v>7.0589279746821221E-2</v>
      </c>
      <c r="V27" s="877">
        <f>'Common input data'!$B$105</f>
        <v>0.05</v>
      </c>
      <c r="W27" s="886">
        <f>'Common input data'!B119+'Common input data'!C119</f>
        <v>0.23000000000000004</v>
      </c>
      <c r="X27" s="877"/>
      <c r="Y27" s="879"/>
      <c r="Z27" s="877"/>
      <c r="AA27" s="877"/>
      <c r="AB27" s="877"/>
      <c r="AC27" s="877"/>
      <c r="AD27" s="886"/>
      <c r="AE27" s="877"/>
      <c r="AF27" s="879"/>
      <c r="AG27" s="877"/>
      <c r="AH27" s="877"/>
      <c r="AI27" s="877"/>
      <c r="AJ27" s="877"/>
      <c r="AK27" s="886"/>
      <c r="AL27" s="877"/>
      <c r="AM27" s="879"/>
      <c r="AN27" s="877"/>
      <c r="AO27" s="877"/>
      <c r="AP27" s="877"/>
      <c r="AQ27" s="877"/>
      <c r="AR27" s="886"/>
      <c r="AS27" s="877"/>
      <c r="AT27" s="879"/>
      <c r="AU27" s="877"/>
      <c r="AV27" s="877"/>
      <c r="AW27" s="877"/>
      <c r="AX27" s="877"/>
      <c r="AY27" s="886"/>
      <c r="AZ27" s="877"/>
      <c r="BA27" s="879"/>
      <c r="BB27" s="877"/>
      <c r="BC27" s="877"/>
      <c r="BD27" s="877"/>
      <c r="BE27" s="877"/>
      <c r="BF27" s="886"/>
      <c r="BG27" s="877"/>
      <c r="BH27" s="879"/>
      <c r="BI27" s="877"/>
      <c r="BJ27" s="877"/>
      <c r="BK27" s="877"/>
      <c r="BL27" s="877"/>
      <c r="BM27" s="886"/>
      <c r="BN27" s="877"/>
      <c r="BO27" s="879"/>
      <c r="BP27" s="877"/>
      <c r="BQ27" s="877"/>
      <c r="BR27" s="877"/>
      <c r="BS27" s="877"/>
      <c r="BT27" s="886"/>
      <c r="BU27" s="877"/>
      <c r="BV27" s="879"/>
      <c r="BW27" s="886"/>
    </row>
    <row r="28" spans="1:253" s="406" customFormat="1" ht="17.25">
      <c r="A28" s="18"/>
      <c r="B28" s="55"/>
      <c r="C28" s="595"/>
      <c r="D28" s="50"/>
      <c r="E28" s="1294" t="s">
        <v>367</v>
      </c>
      <c r="F28" s="928">
        <f>SUM(K28:L28)</f>
        <v>0</v>
      </c>
      <c r="G28" s="877">
        <f>SUM(I28:Q28)</f>
        <v>4.5567552950269082E-5</v>
      </c>
      <c r="H28" s="878">
        <f>SUM(U28:W28)/(1-'Common input data'!$B$140)</f>
        <v>5.438304445670018E-5</v>
      </c>
      <c r="I28" s="877">
        <f>('Input data plant-based products'!$F$88*('Common input data'!$C$93*'Common input data'!B87+'Common input data'!$C$94*'Common input data'!C87))/'Input data plant-based products'!$E$88</f>
        <v>1.234581360474042E-5</v>
      </c>
      <c r="J28" s="877">
        <v>0</v>
      </c>
      <c r="K28" s="877">
        <v>0</v>
      </c>
      <c r="L28" s="877">
        <v>0</v>
      </c>
      <c r="M28" s="877"/>
      <c r="N28" s="877">
        <f>('Input data plant-based products'!$P$88*'Common input data'!$C$76*'Common input data'!H67)/'Input data plant-based products'!$E$88</f>
        <v>3.322173934552866E-5</v>
      </c>
      <c r="O28" s="877">
        <v>0</v>
      </c>
      <c r="P28" s="877">
        <v>0</v>
      </c>
      <c r="Q28" s="877">
        <v>0</v>
      </c>
      <c r="R28" s="877">
        <v>0</v>
      </c>
      <c r="S28" s="877">
        <v>0</v>
      </c>
      <c r="T28" s="877">
        <v>0</v>
      </c>
      <c r="U28" s="877">
        <f>G28+T28</f>
        <v>4.5567552950269082E-5</v>
      </c>
      <c r="V28" s="877">
        <v>0</v>
      </c>
      <c r="W28" s="886">
        <v>0</v>
      </c>
      <c r="X28" s="877"/>
      <c r="Y28" s="879"/>
      <c r="Z28" s="877"/>
      <c r="AA28" s="877"/>
      <c r="AB28" s="877"/>
      <c r="AC28" s="877"/>
      <c r="AD28" s="886"/>
      <c r="AE28" s="877"/>
      <c r="AF28" s="879"/>
      <c r="AG28" s="877"/>
      <c r="AH28" s="877"/>
      <c r="AI28" s="877"/>
      <c r="AJ28" s="877"/>
      <c r="AK28" s="886"/>
      <c r="AL28" s="877"/>
      <c r="AM28" s="879"/>
      <c r="AN28" s="877"/>
      <c r="AO28" s="877"/>
      <c r="AP28" s="877"/>
      <c r="AQ28" s="877"/>
      <c r="AR28" s="886"/>
      <c r="AS28" s="877"/>
      <c r="AT28" s="879"/>
      <c r="AU28" s="877"/>
      <c r="AV28" s="877"/>
      <c r="AW28" s="877"/>
      <c r="AX28" s="877"/>
      <c r="AY28" s="886"/>
      <c r="AZ28" s="877"/>
      <c r="BA28" s="879"/>
      <c r="BB28" s="877"/>
      <c r="BC28" s="877"/>
      <c r="BD28" s="877"/>
      <c r="BE28" s="877"/>
      <c r="BF28" s="886"/>
      <c r="BG28" s="877"/>
      <c r="BH28" s="879"/>
      <c r="BI28" s="877"/>
      <c r="BJ28" s="877"/>
      <c r="BK28" s="877"/>
      <c r="BL28" s="877"/>
      <c r="BM28" s="886"/>
      <c r="BN28" s="877"/>
      <c r="BO28" s="879"/>
      <c r="BP28" s="877"/>
      <c r="BQ28" s="877"/>
      <c r="BR28" s="877"/>
      <c r="BS28" s="877"/>
      <c r="BT28" s="886"/>
      <c r="BU28" s="877"/>
      <c r="BV28" s="879"/>
      <c r="BW28" s="886"/>
    </row>
    <row r="29" spans="1:253" s="406" customFormat="1" ht="17.25">
      <c r="A29" s="359"/>
      <c r="B29" s="360"/>
      <c r="C29" s="83"/>
      <c r="D29" s="54"/>
      <c r="E29" s="1295" t="s">
        <v>320</v>
      </c>
      <c r="F29" s="932">
        <f>SUM(K29:L29)</f>
        <v>3.0898613392803985E-5</v>
      </c>
      <c r="G29" s="896">
        <f>SUM(I29:Q29)</f>
        <v>4.7700859448905707E-5</v>
      </c>
      <c r="H29" s="933">
        <f>SUM(U29:W29)/(1-'Common input data'!$B$140)</f>
        <v>5.6929060089396956E-5</v>
      </c>
      <c r="I29" s="896">
        <f>('Input data plant-based products'!$F$88*('Common input data'!$C$93*'Common input data'!B88+'Common input data'!$C$94*'Common input data'!C88))/'Input data plant-based products'!$E$88</f>
        <v>1.4787011198389005E-5</v>
      </c>
      <c r="J29" s="896">
        <v>0</v>
      </c>
      <c r="K29" s="896">
        <f>(SUM('Input data plant-based products'!F88:H88)*'Input data plant-based products'!$B$257*44/28)/'Input data plant-based products'!E88</f>
        <v>2.8089648538912716E-5</v>
      </c>
      <c r="L29" s="896">
        <f>K29*'Input data plant-based products'!$B$261</f>
        <v>2.8089648538912718E-6</v>
      </c>
      <c r="M29" s="896"/>
      <c r="N29" s="896">
        <f>('Input data plant-based products'!$P$88*'Common input data'!$C$76*'Common input data'!H68)/'Input data plant-based products'!$E$88</f>
        <v>2.0152348577127112E-6</v>
      </c>
      <c r="O29" s="896">
        <v>0</v>
      </c>
      <c r="P29" s="896">
        <v>0</v>
      </c>
      <c r="Q29" s="896">
        <v>0</v>
      </c>
      <c r="R29" s="896">
        <v>0</v>
      </c>
      <c r="S29" s="896">
        <v>0</v>
      </c>
      <c r="T29" s="896">
        <v>0</v>
      </c>
      <c r="U29" s="896">
        <f>G29+T29</f>
        <v>4.7700859448905707E-5</v>
      </c>
      <c r="V29" s="896">
        <v>0</v>
      </c>
      <c r="W29" s="897">
        <v>0</v>
      </c>
      <c r="X29" s="877"/>
      <c r="Y29" s="879"/>
      <c r="Z29" s="877"/>
      <c r="AA29" s="877"/>
      <c r="AB29" s="877"/>
      <c r="AC29" s="877"/>
      <c r="AD29" s="886"/>
      <c r="AE29" s="877"/>
      <c r="AF29" s="879"/>
      <c r="AG29" s="877"/>
      <c r="AH29" s="877"/>
      <c r="AI29" s="877"/>
      <c r="AJ29" s="877"/>
      <c r="AK29" s="886"/>
      <c r="AL29" s="877"/>
      <c r="AM29" s="879"/>
      <c r="AN29" s="877"/>
      <c r="AO29" s="877"/>
      <c r="AP29" s="877"/>
      <c r="AQ29" s="877"/>
      <c r="AR29" s="886"/>
      <c r="AS29" s="877"/>
      <c r="AT29" s="879"/>
      <c r="AU29" s="877"/>
      <c r="AV29" s="877"/>
      <c r="AW29" s="877"/>
      <c r="AX29" s="877"/>
      <c r="AY29" s="886"/>
      <c r="AZ29" s="877"/>
      <c r="BA29" s="879"/>
      <c r="BB29" s="877"/>
      <c r="BC29" s="877"/>
      <c r="BD29" s="877"/>
      <c r="BE29" s="877"/>
      <c r="BF29" s="886"/>
      <c r="BG29" s="877"/>
      <c r="BH29" s="879"/>
      <c r="BI29" s="877"/>
      <c r="BJ29" s="877"/>
      <c r="BK29" s="877"/>
      <c r="BL29" s="877"/>
      <c r="BM29" s="886"/>
      <c r="BN29" s="877"/>
      <c r="BO29" s="879"/>
      <c r="BP29" s="877"/>
      <c r="BQ29" s="877"/>
      <c r="BR29" s="877"/>
      <c r="BS29" s="877"/>
      <c r="BT29" s="886"/>
      <c r="BU29" s="877"/>
      <c r="BV29" s="879"/>
      <c r="BW29" s="886"/>
    </row>
    <row r="30" spans="1:253" s="503" customFormat="1" ht="17.25">
      <c r="A30" s="362" t="s">
        <v>504</v>
      </c>
      <c r="B30" s="363"/>
      <c r="C30" s="770"/>
      <c r="D30" s="54"/>
      <c r="E30" s="1296"/>
      <c r="F30" s="925" t="s">
        <v>505</v>
      </c>
      <c r="G30" s="1290" t="s">
        <v>505</v>
      </c>
      <c r="H30" s="870" t="s">
        <v>505</v>
      </c>
      <c r="I30" s="966"/>
      <c r="J30" s="966"/>
      <c r="K30" s="966"/>
      <c r="L30" s="966"/>
      <c r="M30" s="966"/>
      <c r="N30" s="966"/>
      <c r="O30" s="1304"/>
      <c r="P30" s="966"/>
      <c r="Q30" s="966"/>
      <c r="R30" s="966"/>
      <c r="S30" s="966"/>
      <c r="T30" s="966"/>
      <c r="U30" s="966"/>
      <c r="V30" s="966"/>
      <c r="W30" s="966"/>
      <c r="X30" s="879"/>
      <c r="Y30" s="879"/>
      <c r="Z30" s="877"/>
      <c r="AA30" s="877"/>
      <c r="AB30" s="877"/>
      <c r="AC30" s="877"/>
      <c r="AD30" s="886"/>
      <c r="AE30" s="877"/>
      <c r="AF30" s="879"/>
      <c r="AG30" s="877"/>
      <c r="AH30" s="877"/>
      <c r="AI30" s="877"/>
      <c r="AJ30" s="877"/>
      <c r="AK30" s="886"/>
      <c r="AL30" s="877"/>
      <c r="AM30" s="879"/>
      <c r="AN30" s="877"/>
      <c r="AO30" s="877"/>
      <c r="AP30" s="877"/>
      <c r="AQ30" s="877"/>
      <c r="AR30" s="886"/>
      <c r="AS30" s="877"/>
      <c r="AT30" s="879"/>
      <c r="AU30" s="877"/>
      <c r="AV30" s="877"/>
      <c r="AW30" s="877"/>
      <c r="AX30" s="877"/>
      <c r="AY30" s="886"/>
      <c r="AZ30" s="877"/>
      <c r="BA30" s="879"/>
      <c r="BB30" s="877"/>
      <c r="BC30" s="877"/>
      <c r="BD30" s="877"/>
      <c r="BE30" s="877"/>
      <c r="BF30" s="886"/>
      <c r="BG30" s="877"/>
      <c r="BH30" s="879"/>
      <c r="BI30" s="877"/>
      <c r="BJ30" s="877"/>
      <c r="BK30" s="877"/>
      <c r="BL30" s="877"/>
      <c r="BM30" s="886"/>
      <c r="BN30" s="877"/>
      <c r="BO30" s="879"/>
      <c r="BP30" s="877"/>
      <c r="BQ30" s="877"/>
      <c r="BR30" s="877"/>
      <c r="BS30" s="877"/>
      <c r="BT30" s="886"/>
      <c r="BU30" s="877"/>
      <c r="BV30" s="879"/>
      <c r="BW30" s="886"/>
      <c r="BX30" s="406"/>
      <c r="BY30" s="406"/>
      <c r="BZ30" s="406"/>
      <c r="CA30" s="406"/>
      <c r="CB30" s="406"/>
      <c r="CC30" s="406"/>
      <c r="CD30" s="406"/>
      <c r="CE30" s="406"/>
      <c r="CF30" s="406"/>
      <c r="CG30" s="406"/>
      <c r="CH30" s="406"/>
      <c r="CI30" s="406"/>
      <c r="CJ30" s="406"/>
      <c r="CK30" s="406"/>
      <c r="CL30" s="406"/>
      <c r="CM30" s="406"/>
      <c r="CN30" s="406"/>
      <c r="CO30" s="406"/>
      <c r="CP30" s="406"/>
      <c r="CQ30" s="406"/>
      <c r="CR30" s="406"/>
      <c r="CS30" s="406"/>
      <c r="CT30" s="406"/>
      <c r="CU30" s="406"/>
      <c r="CV30" s="406"/>
      <c r="CW30" s="406"/>
      <c r="CX30" s="406"/>
      <c r="CY30" s="406"/>
      <c r="CZ30" s="406"/>
      <c r="DA30" s="406"/>
      <c r="DB30" s="406"/>
      <c r="DC30" s="406"/>
      <c r="DD30" s="406"/>
      <c r="DE30" s="406"/>
      <c r="DF30" s="406"/>
      <c r="DG30" s="406"/>
      <c r="DH30" s="406"/>
      <c r="DI30" s="406"/>
      <c r="DJ30" s="406"/>
      <c r="DK30" s="406"/>
      <c r="DL30" s="406"/>
      <c r="DM30" s="406"/>
      <c r="DN30" s="406"/>
      <c r="DO30" s="406"/>
      <c r="DP30" s="406"/>
      <c r="DQ30" s="406"/>
      <c r="DR30" s="406"/>
      <c r="DS30" s="406"/>
      <c r="DT30" s="406"/>
      <c r="DU30" s="406"/>
      <c r="DV30" s="406"/>
      <c r="DW30" s="406"/>
      <c r="DX30" s="406"/>
      <c r="DY30" s="406"/>
      <c r="DZ30" s="406"/>
      <c r="EA30" s="406"/>
      <c r="EB30" s="406"/>
      <c r="EC30" s="406"/>
      <c r="ED30" s="406"/>
      <c r="EE30" s="406"/>
      <c r="EF30" s="406"/>
      <c r="EG30" s="406"/>
      <c r="EH30" s="406"/>
      <c r="EI30" s="406"/>
      <c r="EJ30" s="406"/>
      <c r="EK30" s="406"/>
      <c r="EL30" s="406"/>
      <c r="EM30" s="406"/>
      <c r="EN30" s="406"/>
      <c r="EO30" s="406"/>
      <c r="EP30" s="406"/>
      <c r="EQ30" s="406"/>
      <c r="ER30" s="406"/>
      <c r="ES30" s="406"/>
      <c r="ET30" s="406"/>
      <c r="EU30" s="406"/>
      <c r="EV30" s="406"/>
      <c r="EW30" s="406"/>
      <c r="EX30" s="406"/>
      <c r="EY30" s="406"/>
      <c r="EZ30" s="406"/>
      <c r="FA30" s="406"/>
      <c r="FB30" s="406"/>
      <c r="FC30" s="406"/>
      <c r="FD30" s="406"/>
      <c r="FE30" s="406"/>
      <c r="FF30" s="406"/>
      <c r="FG30" s="406"/>
      <c r="FH30" s="406"/>
      <c r="FI30" s="406"/>
      <c r="FJ30" s="406"/>
      <c r="FK30" s="406"/>
      <c r="FL30" s="406"/>
      <c r="FM30" s="406"/>
      <c r="FN30" s="406"/>
      <c r="FO30" s="406"/>
      <c r="FP30" s="406"/>
      <c r="FQ30" s="406"/>
      <c r="FR30" s="406"/>
      <c r="FS30" s="406"/>
      <c r="FT30" s="406"/>
      <c r="FU30" s="406"/>
      <c r="FV30" s="406"/>
      <c r="FW30" s="406"/>
      <c r="FX30" s="406"/>
      <c r="FY30" s="406"/>
      <c r="FZ30" s="406"/>
      <c r="GA30" s="406"/>
      <c r="GB30" s="406"/>
      <c r="GC30" s="406"/>
      <c r="GD30" s="406"/>
      <c r="GE30" s="406"/>
      <c r="GF30" s="406"/>
      <c r="GG30" s="406"/>
      <c r="GH30" s="406"/>
      <c r="GI30" s="406"/>
      <c r="GJ30" s="406"/>
      <c r="GK30" s="406"/>
      <c r="GL30" s="406"/>
      <c r="GM30" s="406"/>
      <c r="GN30" s="406"/>
      <c r="GO30" s="406"/>
      <c r="GP30" s="406"/>
      <c r="GQ30" s="406"/>
      <c r="GR30" s="406"/>
      <c r="GS30" s="406"/>
      <c r="GT30" s="406"/>
      <c r="GU30" s="406"/>
      <c r="GV30" s="406"/>
      <c r="GW30" s="406"/>
      <c r="GX30" s="406"/>
      <c r="GY30" s="406"/>
      <c r="GZ30" s="406"/>
      <c r="HA30" s="406"/>
      <c r="HB30" s="406"/>
      <c r="HC30" s="406"/>
      <c r="HD30" s="406"/>
      <c r="HE30" s="406"/>
      <c r="HF30" s="406"/>
      <c r="HG30" s="406"/>
      <c r="HH30" s="406"/>
      <c r="HI30" s="406"/>
      <c r="HJ30" s="406"/>
      <c r="HK30" s="406"/>
      <c r="HL30" s="406"/>
      <c r="HM30" s="406"/>
      <c r="HN30" s="406"/>
      <c r="HO30" s="406"/>
      <c r="HP30" s="406"/>
      <c r="HQ30" s="406"/>
      <c r="HR30" s="406"/>
      <c r="HS30" s="406"/>
      <c r="HT30" s="406"/>
      <c r="HU30" s="406"/>
      <c r="HV30" s="406"/>
      <c r="HW30" s="406"/>
      <c r="HX30" s="406"/>
      <c r="HY30" s="406"/>
      <c r="HZ30" s="406"/>
      <c r="IA30" s="406"/>
      <c r="IB30" s="406"/>
      <c r="IC30" s="406"/>
      <c r="ID30" s="406"/>
      <c r="IE30" s="406"/>
      <c r="IF30" s="406"/>
      <c r="IG30" s="406"/>
      <c r="IH30" s="406"/>
      <c r="II30" s="406"/>
      <c r="IJ30" s="406"/>
      <c r="IK30" s="406"/>
      <c r="IL30" s="406"/>
      <c r="IM30" s="406"/>
      <c r="IN30" s="406"/>
      <c r="IO30" s="406"/>
      <c r="IP30" s="406"/>
      <c r="IQ30" s="406"/>
      <c r="IR30" s="406"/>
      <c r="IS30" s="406"/>
    </row>
    <row r="31" spans="1:253" s="502" customFormat="1" ht="17.25">
      <c r="A31" s="20" t="s">
        <v>120</v>
      </c>
      <c r="B31" s="93"/>
      <c r="C31" s="903">
        <f>SUM(C35:C50)</f>
        <v>1</v>
      </c>
      <c r="D31" s="26"/>
      <c r="E31" s="1293" t="s">
        <v>316</v>
      </c>
      <c r="F31" s="926">
        <f>SUMPRODUCT($CI$4:$CI$6,F32:F34)</f>
        <v>-3.5049275722903409E-2</v>
      </c>
      <c r="G31" s="874">
        <f>SUMPRODUCT($CI$4:$CI$6,G32:G34)</f>
        <v>9.2067947469054251E-2</v>
      </c>
      <c r="H31" s="927">
        <f>SUMPRODUCT($CI$4:$CI$6,H32:H34)</f>
        <v>0.34515233404460605</v>
      </c>
      <c r="I31" s="872"/>
      <c r="J31" s="884"/>
      <c r="K31" s="884"/>
      <c r="L31" s="884"/>
      <c r="M31" s="884"/>
      <c r="N31" s="884"/>
      <c r="O31" s="884"/>
      <c r="P31" s="884"/>
      <c r="Q31" s="884"/>
      <c r="R31" s="884"/>
      <c r="S31" s="884"/>
      <c r="T31" s="884"/>
      <c r="U31" s="884"/>
      <c r="V31" s="884"/>
      <c r="W31" s="884"/>
      <c r="X31" s="879"/>
      <c r="Y31" s="883">
        <f>Y35*$C$35+Y39*$C$39+Y43*$C$43+Y47*$C$47</f>
        <v>0.38575617811829593</v>
      </c>
      <c r="Z31" s="884">
        <f t="shared" ref="Z31:BW31" si="3">Z35*$C$35+Z39*$C$39+Z43*$C$43+Z47*$C$47</f>
        <v>0.38575617811829593</v>
      </c>
      <c r="AA31" s="884">
        <f t="shared" si="3"/>
        <v>0.38575617811829593</v>
      </c>
      <c r="AB31" s="884">
        <f t="shared" si="3"/>
        <v>0.38575617811829593</v>
      </c>
      <c r="AC31" s="884">
        <f t="shared" si="3"/>
        <v>0.46038450664553754</v>
      </c>
      <c r="AD31" s="885">
        <f t="shared" si="3"/>
        <v>0.56837593413029319</v>
      </c>
      <c r="AE31" s="877"/>
      <c r="AF31" s="883">
        <f t="shared" si="3"/>
        <v>8.0594302648133165E-3</v>
      </c>
      <c r="AG31" s="884">
        <f t="shared" si="3"/>
        <v>8.0594302648133165E-3</v>
      </c>
      <c r="AH31" s="884">
        <f t="shared" si="3"/>
        <v>8.0594302648133165E-3</v>
      </c>
      <c r="AI31" s="884">
        <f t="shared" si="3"/>
        <v>8.0594302648133165E-3</v>
      </c>
      <c r="AJ31" s="884">
        <f t="shared" si="3"/>
        <v>9.6186063549508483E-3</v>
      </c>
      <c r="AK31" s="885">
        <f t="shared" si="3"/>
        <v>1.1874822660433142E-2</v>
      </c>
      <c r="AL31" s="877"/>
      <c r="AM31" s="883">
        <f t="shared" si="3"/>
        <v>2.0783962572731292E-3</v>
      </c>
      <c r="AN31" s="884">
        <f t="shared" si="3"/>
        <v>2.0783962572731292E-3</v>
      </c>
      <c r="AO31" s="884">
        <f t="shared" si="3"/>
        <v>2.0783962572731292E-3</v>
      </c>
      <c r="AP31" s="884">
        <f t="shared" si="3"/>
        <v>2.0783962572731292E-3</v>
      </c>
      <c r="AQ31" s="884">
        <f t="shared" si="3"/>
        <v>2.4804824648205384E-3</v>
      </c>
      <c r="AR31" s="885">
        <f t="shared" si="3"/>
        <v>3.0623240306426394E-3</v>
      </c>
      <c r="AS31" s="877"/>
      <c r="AT31" s="883">
        <f t="shared" si="3"/>
        <v>1.4303983576146645E-3</v>
      </c>
      <c r="AU31" s="884">
        <f t="shared" si="3"/>
        <v>1.4303983576146645E-3</v>
      </c>
      <c r="AV31" s="884">
        <f t="shared" si="3"/>
        <v>1.4303983576146645E-3</v>
      </c>
      <c r="AW31" s="884">
        <f t="shared" si="3"/>
        <v>1.4303983576146645E-3</v>
      </c>
      <c r="AX31" s="884">
        <f t="shared" si="3"/>
        <v>1.707122995124316E-3</v>
      </c>
      <c r="AY31" s="885">
        <f t="shared" si="3"/>
        <v>2.1075592532398962E-3</v>
      </c>
      <c r="AZ31" s="877"/>
      <c r="BA31" s="883">
        <f t="shared" si="3"/>
        <v>7.2649425417809761E-12</v>
      </c>
      <c r="BB31" s="884">
        <f t="shared" si="3"/>
        <v>7.2649425417809761E-12</v>
      </c>
      <c r="BC31" s="884">
        <f t="shared" si="3"/>
        <v>7.2649425417809761E-12</v>
      </c>
      <c r="BD31" s="884">
        <f t="shared" si="3"/>
        <v>7.2649425417809761E-12</v>
      </c>
      <c r="BE31" s="884">
        <f t="shared" si="3"/>
        <v>8.6704171640780236E-12</v>
      </c>
      <c r="BF31" s="885">
        <f t="shared" si="3"/>
        <v>1.0704218721083979E-11</v>
      </c>
      <c r="BG31" s="877"/>
      <c r="BH31" s="883">
        <f t="shared" si="3"/>
        <v>4.7962095520719437E-4</v>
      </c>
      <c r="BI31" s="884">
        <f t="shared" si="3"/>
        <v>4.7962095520719437E-4</v>
      </c>
      <c r="BJ31" s="884">
        <f t="shared" si="3"/>
        <v>4.7962095520719437E-4</v>
      </c>
      <c r="BK31" s="884">
        <f t="shared" si="3"/>
        <v>4.7962095520719437E-4</v>
      </c>
      <c r="BL31" s="884">
        <f t="shared" si="3"/>
        <v>5.7240834849885949E-4</v>
      </c>
      <c r="BM31" s="885">
        <f t="shared" si="3"/>
        <v>7.0667697345538189E-4</v>
      </c>
      <c r="BN31" s="877"/>
      <c r="BO31" s="883">
        <f t="shared" si="3"/>
        <v>3.335420042041193E-4</v>
      </c>
      <c r="BP31" s="884">
        <f t="shared" si="3"/>
        <v>3.335420042041193E-4</v>
      </c>
      <c r="BQ31" s="884">
        <f t="shared" si="3"/>
        <v>3.335420042041193E-4</v>
      </c>
      <c r="BR31" s="884">
        <f t="shared" si="3"/>
        <v>3.335420042041193E-4</v>
      </c>
      <c r="BS31" s="884">
        <f t="shared" si="3"/>
        <v>3.9806898699620391E-4</v>
      </c>
      <c r="BT31" s="885">
        <f t="shared" si="3"/>
        <v>4.9144319382247396E-4</v>
      </c>
      <c r="BU31" s="877"/>
      <c r="BV31" s="883">
        <f t="shared" si="3"/>
        <v>0.85370639746821442</v>
      </c>
      <c r="BW31" s="885">
        <f t="shared" si="3"/>
        <v>1.0539585153928575</v>
      </c>
      <c r="BX31" s="406"/>
      <c r="BY31" s="406"/>
      <c r="BZ31" s="406"/>
      <c r="CA31" s="406"/>
      <c r="CB31" s="406"/>
      <c r="CC31" s="406"/>
      <c r="CD31" s="406"/>
      <c r="CE31" s="406"/>
      <c r="CF31" s="406"/>
      <c r="CG31" s="406"/>
      <c r="CH31" s="406"/>
      <c r="CI31" s="406"/>
      <c r="CJ31" s="406"/>
      <c r="CK31" s="406"/>
      <c r="CL31" s="406"/>
      <c r="CM31" s="406"/>
      <c r="CN31" s="406"/>
      <c r="CO31" s="406"/>
      <c r="CP31" s="406"/>
      <c r="CQ31" s="406"/>
      <c r="CR31" s="406"/>
      <c r="CS31" s="406"/>
      <c r="CT31" s="406"/>
      <c r="CU31" s="406"/>
      <c r="CV31" s="406"/>
      <c r="CW31" s="406"/>
      <c r="CX31" s="406"/>
      <c r="CY31" s="406"/>
      <c r="CZ31" s="406"/>
      <c r="DA31" s="406"/>
      <c r="DB31" s="406"/>
      <c r="DC31" s="406"/>
      <c r="DD31" s="406"/>
      <c r="DE31" s="406"/>
      <c r="DF31" s="406"/>
      <c r="DG31" s="406"/>
      <c r="DH31" s="406"/>
      <c r="DI31" s="406"/>
      <c r="DJ31" s="406"/>
      <c r="DK31" s="406"/>
      <c r="DL31" s="406"/>
      <c r="DM31" s="406"/>
      <c r="DN31" s="406"/>
      <c r="DO31" s="406"/>
      <c r="DP31" s="406"/>
      <c r="DQ31" s="406"/>
      <c r="DR31" s="406"/>
      <c r="DS31" s="406"/>
      <c r="DT31" s="406"/>
      <c r="DU31" s="406"/>
      <c r="DV31" s="406"/>
      <c r="DW31" s="406"/>
      <c r="DX31" s="406"/>
      <c r="DY31" s="406"/>
      <c r="DZ31" s="406"/>
      <c r="EA31" s="406"/>
      <c r="EB31" s="406"/>
      <c r="EC31" s="406"/>
      <c r="ED31" s="406"/>
      <c r="EE31" s="406"/>
      <c r="EF31" s="406"/>
      <c r="EG31" s="406"/>
      <c r="EH31" s="406"/>
      <c r="EI31" s="406"/>
      <c r="EJ31" s="406"/>
      <c r="EK31" s="406"/>
      <c r="EL31" s="406"/>
      <c r="EM31" s="406"/>
      <c r="EN31" s="406"/>
      <c r="EO31" s="406"/>
      <c r="EP31" s="406"/>
      <c r="EQ31" s="406"/>
      <c r="ER31" s="406"/>
      <c r="ES31" s="406"/>
      <c r="ET31" s="406"/>
      <c r="EU31" s="406"/>
      <c r="EV31" s="406"/>
      <c r="EW31" s="406"/>
      <c r="EX31" s="406"/>
      <c r="EY31" s="406"/>
      <c r="EZ31" s="406"/>
      <c r="FA31" s="406"/>
      <c r="FB31" s="406"/>
      <c r="FC31" s="406"/>
      <c r="FD31" s="406"/>
      <c r="FE31" s="406"/>
      <c r="FF31" s="406"/>
      <c r="FG31" s="406"/>
      <c r="FH31" s="406"/>
      <c r="FI31" s="406"/>
      <c r="FJ31" s="406"/>
      <c r="FK31" s="406"/>
      <c r="FL31" s="406"/>
      <c r="FM31" s="406"/>
      <c r="FN31" s="406"/>
      <c r="FO31" s="406"/>
      <c r="FP31" s="406"/>
      <c r="FQ31" s="406"/>
      <c r="FR31" s="406"/>
      <c r="FS31" s="406"/>
      <c r="FT31" s="406"/>
      <c r="FU31" s="406"/>
      <c r="FV31" s="406"/>
      <c r="FW31" s="406"/>
      <c r="FX31" s="406"/>
      <c r="FY31" s="406"/>
      <c r="FZ31" s="406"/>
      <c r="GA31" s="406"/>
      <c r="GB31" s="406"/>
      <c r="GC31" s="406"/>
      <c r="GD31" s="406"/>
      <c r="GE31" s="406"/>
      <c r="GF31" s="406"/>
      <c r="GG31" s="406"/>
      <c r="GH31" s="406"/>
      <c r="GI31" s="406"/>
      <c r="GJ31" s="406"/>
      <c r="GK31" s="406"/>
      <c r="GL31" s="406"/>
      <c r="GM31" s="406"/>
      <c r="GN31" s="406"/>
      <c r="GO31" s="406"/>
      <c r="GP31" s="406"/>
      <c r="GQ31" s="406"/>
      <c r="GR31" s="406"/>
      <c r="GS31" s="406"/>
      <c r="GT31" s="406"/>
      <c r="GU31" s="406"/>
      <c r="GV31" s="406"/>
      <c r="GW31" s="406"/>
      <c r="GX31" s="406"/>
      <c r="GY31" s="406"/>
      <c r="GZ31" s="406"/>
      <c r="HA31" s="406"/>
      <c r="HB31" s="406"/>
      <c r="HC31" s="406"/>
      <c r="HD31" s="406"/>
      <c r="HE31" s="406"/>
      <c r="HF31" s="406"/>
      <c r="HG31" s="406"/>
      <c r="HH31" s="406"/>
      <c r="HI31" s="406"/>
      <c r="HJ31" s="406"/>
      <c r="HK31" s="406"/>
      <c r="HL31" s="406"/>
      <c r="HM31" s="406"/>
      <c r="HN31" s="406"/>
      <c r="HO31" s="406"/>
      <c r="HP31" s="406"/>
      <c r="HQ31" s="406"/>
      <c r="HR31" s="406"/>
      <c r="HS31" s="406"/>
      <c r="HT31" s="406"/>
      <c r="HU31" s="406"/>
      <c r="HV31" s="406"/>
      <c r="HW31" s="406"/>
      <c r="HX31" s="406"/>
      <c r="HY31" s="406"/>
      <c r="HZ31" s="406"/>
      <c r="IA31" s="406"/>
      <c r="IB31" s="406"/>
      <c r="IC31" s="406"/>
      <c r="ID31" s="406"/>
      <c r="IE31" s="406"/>
      <c r="IF31" s="406"/>
      <c r="IG31" s="406"/>
      <c r="IH31" s="406"/>
      <c r="II31" s="406"/>
      <c r="IJ31" s="406"/>
      <c r="IK31" s="406"/>
      <c r="IL31" s="406"/>
      <c r="IM31" s="406"/>
      <c r="IN31" s="406"/>
      <c r="IO31" s="406"/>
      <c r="IP31" s="406"/>
      <c r="IQ31" s="406"/>
      <c r="IR31" s="406"/>
      <c r="IS31" s="406"/>
    </row>
    <row r="32" spans="1:253" s="406" customFormat="1" ht="17.25">
      <c r="A32" s="499"/>
      <c r="B32" s="55"/>
      <c r="C32" s="917"/>
      <c r="D32" s="5"/>
      <c r="E32" s="1294" t="s">
        <v>317</v>
      </c>
      <c r="F32" s="928">
        <f t="shared" ref="F32:W34" si="4">F36*$C$35+F40*$C$39+$C$43*F44+$C$47*F48</f>
        <v>-9.1139048141381296E-2</v>
      </c>
      <c r="G32" s="877">
        <f t="shared" si="4"/>
        <v>1.5478438975024465E-2</v>
      </c>
      <c r="H32" s="878">
        <f t="shared" si="4"/>
        <v>0.25374583148579255</v>
      </c>
      <c r="I32" s="877">
        <f t="shared" si="4"/>
        <v>3.0227498392703979E-2</v>
      </c>
      <c r="J32" s="877">
        <f t="shared" si="4"/>
        <v>0.03</v>
      </c>
      <c r="K32" s="877">
        <f t="shared" si="4"/>
        <v>0</v>
      </c>
      <c r="L32" s="877">
        <f t="shared" si="4"/>
        <v>0</v>
      </c>
      <c r="M32" s="877"/>
      <c r="N32" s="877">
        <f t="shared" si="4"/>
        <v>4.6389988723701793E-2</v>
      </c>
      <c r="O32" s="877">
        <f t="shared" si="4"/>
        <v>0</v>
      </c>
      <c r="P32" s="877">
        <f t="shared" si="4"/>
        <v>0</v>
      </c>
      <c r="Q32" s="877">
        <f t="shared" si="4"/>
        <v>0</v>
      </c>
      <c r="R32" s="877">
        <f t="shared" si="4"/>
        <v>-9.1139048141381296E-2</v>
      </c>
      <c r="S32" s="877">
        <f t="shared" si="4"/>
        <v>0</v>
      </c>
      <c r="T32" s="877">
        <f t="shared" si="4"/>
        <v>0</v>
      </c>
      <c r="U32" s="877">
        <f t="shared" si="4"/>
        <v>1.5478438975024465E-2</v>
      </c>
      <c r="V32" s="877">
        <f t="shared" si="4"/>
        <v>0.05</v>
      </c>
      <c r="W32" s="877">
        <f t="shared" si="4"/>
        <v>0.14713519322692106</v>
      </c>
      <c r="X32" s="879"/>
      <c r="Y32" s="879"/>
      <c r="Z32" s="877"/>
      <c r="AA32" s="877"/>
      <c r="AB32" s="877"/>
      <c r="AC32" s="877"/>
      <c r="AD32" s="886"/>
      <c r="AE32" s="877"/>
      <c r="AF32" s="879"/>
      <c r="AG32" s="877"/>
      <c r="AH32" s="877"/>
      <c r="AI32" s="877"/>
      <c r="AJ32" s="877"/>
      <c r="AK32" s="886"/>
      <c r="AL32" s="877"/>
      <c r="AM32" s="879"/>
      <c r="AN32" s="877"/>
      <c r="AO32" s="877"/>
      <c r="AP32" s="877"/>
      <c r="AQ32" s="877"/>
      <c r="AR32" s="886"/>
      <c r="AS32" s="877"/>
      <c r="AT32" s="879"/>
      <c r="AU32" s="877"/>
      <c r="AV32" s="877"/>
      <c r="AW32" s="877"/>
      <c r="AX32" s="877"/>
      <c r="AY32" s="886"/>
      <c r="AZ32" s="877"/>
      <c r="BA32" s="879"/>
      <c r="BB32" s="877"/>
      <c r="BC32" s="877"/>
      <c r="BD32" s="877"/>
      <c r="BE32" s="877"/>
      <c r="BF32" s="886"/>
      <c r="BG32" s="877"/>
      <c r="BH32" s="879"/>
      <c r="BI32" s="877"/>
      <c r="BJ32" s="877"/>
      <c r="BK32" s="877"/>
      <c r="BL32" s="877"/>
      <c r="BM32" s="886"/>
      <c r="BN32" s="877"/>
      <c r="BO32" s="879"/>
      <c r="BP32" s="877"/>
      <c r="BQ32" s="877"/>
      <c r="BR32" s="877"/>
      <c r="BS32" s="877"/>
      <c r="BT32" s="886"/>
      <c r="BU32" s="877"/>
      <c r="BV32" s="879"/>
      <c r="BW32" s="886"/>
    </row>
    <row r="33" spans="1:253" s="406" customFormat="1" ht="17.25">
      <c r="A33" s="499"/>
      <c r="B33" s="55"/>
      <c r="C33" s="595"/>
      <c r="D33" s="50"/>
      <c r="E33" s="1294" t="s">
        <v>367</v>
      </c>
      <c r="F33" s="928">
        <f t="shared" si="4"/>
        <v>0</v>
      </c>
      <c r="G33" s="877">
        <f t="shared" si="4"/>
        <v>7.5665800063514518E-5</v>
      </c>
      <c r="H33" s="878">
        <f t="shared" si="4"/>
        <v>9.0304093643053498E-5</v>
      </c>
      <c r="I33" s="877">
        <f t="shared" si="4"/>
        <v>5.511659931564715E-5</v>
      </c>
      <c r="J33" s="877">
        <f t="shared" si="4"/>
        <v>0</v>
      </c>
      <c r="K33" s="877">
        <f t="shared" si="4"/>
        <v>0</v>
      </c>
      <c r="L33" s="877">
        <f t="shared" si="4"/>
        <v>0</v>
      </c>
      <c r="M33" s="877"/>
      <c r="N33" s="877">
        <f t="shared" si="4"/>
        <v>2.0549200747867374E-5</v>
      </c>
      <c r="O33" s="877">
        <f t="shared" si="4"/>
        <v>0</v>
      </c>
      <c r="P33" s="877">
        <f t="shared" si="4"/>
        <v>0</v>
      </c>
      <c r="Q33" s="877">
        <f t="shared" si="4"/>
        <v>0</v>
      </c>
      <c r="R33" s="877">
        <f t="shared" si="4"/>
        <v>0</v>
      </c>
      <c r="S33" s="877">
        <f t="shared" si="4"/>
        <v>0</v>
      </c>
      <c r="T33" s="877">
        <f t="shared" si="4"/>
        <v>0</v>
      </c>
      <c r="U33" s="877">
        <f t="shared" si="4"/>
        <v>7.5665800063514518E-5</v>
      </c>
      <c r="V33" s="877">
        <f t="shared" si="4"/>
        <v>0</v>
      </c>
      <c r="W33" s="877">
        <f t="shared" si="4"/>
        <v>0</v>
      </c>
      <c r="X33" s="879"/>
      <c r="Y33" s="879"/>
      <c r="Z33" s="877"/>
      <c r="AA33" s="877"/>
      <c r="AB33" s="877"/>
      <c r="AC33" s="877"/>
      <c r="AD33" s="886"/>
      <c r="AE33" s="877"/>
      <c r="AF33" s="879"/>
      <c r="AG33" s="877"/>
      <c r="AH33" s="877"/>
      <c r="AI33" s="877"/>
      <c r="AJ33" s="877"/>
      <c r="AK33" s="886"/>
      <c r="AL33" s="877"/>
      <c r="AM33" s="879"/>
      <c r="AN33" s="877"/>
      <c r="AO33" s="877"/>
      <c r="AP33" s="877"/>
      <c r="AQ33" s="877"/>
      <c r="AR33" s="886"/>
      <c r="AS33" s="877"/>
      <c r="AT33" s="879"/>
      <c r="AU33" s="877"/>
      <c r="AV33" s="877"/>
      <c r="AW33" s="877"/>
      <c r="AX33" s="877"/>
      <c r="AY33" s="886"/>
      <c r="AZ33" s="877"/>
      <c r="BA33" s="879"/>
      <c r="BB33" s="877"/>
      <c r="BC33" s="877"/>
      <c r="BD33" s="877"/>
      <c r="BE33" s="877"/>
      <c r="BF33" s="886"/>
      <c r="BG33" s="877"/>
      <c r="BH33" s="879"/>
      <c r="BI33" s="877"/>
      <c r="BJ33" s="877"/>
      <c r="BK33" s="877"/>
      <c r="BL33" s="877"/>
      <c r="BM33" s="886"/>
      <c r="BN33" s="877"/>
      <c r="BO33" s="879"/>
      <c r="BP33" s="877"/>
      <c r="BQ33" s="877"/>
      <c r="BR33" s="877"/>
      <c r="BS33" s="877"/>
      <c r="BT33" s="886"/>
      <c r="BU33" s="877"/>
      <c r="BV33" s="879"/>
      <c r="BW33" s="886"/>
    </row>
    <row r="34" spans="1:253" s="406" customFormat="1" ht="17.25">
      <c r="A34" s="18"/>
      <c r="B34" s="360"/>
      <c r="C34" s="83"/>
      <c r="D34" s="54"/>
      <c r="E34" s="1295" t="s">
        <v>320</v>
      </c>
      <c r="F34" s="928">
        <f t="shared" si="4"/>
        <v>2.0545704182592633E-4</v>
      </c>
      <c r="G34" s="877">
        <f t="shared" si="4"/>
        <v>2.7306421938576888E-4</v>
      </c>
      <c r="H34" s="878">
        <f t="shared" si="4"/>
        <v>3.2589117959872166E-4</v>
      </c>
      <c r="I34" s="877">
        <f t="shared" si="4"/>
        <v>6.636066047611825E-5</v>
      </c>
      <c r="J34" s="877">
        <f t="shared" si="4"/>
        <v>0</v>
      </c>
      <c r="K34" s="877">
        <f t="shared" si="4"/>
        <v>1.8677912893266032E-4</v>
      </c>
      <c r="L34" s="877">
        <f t="shared" si="4"/>
        <v>1.8677912893266034E-5</v>
      </c>
      <c r="M34" s="877"/>
      <c r="N34" s="877">
        <f t="shared" si="4"/>
        <v>1.2465170837243369E-6</v>
      </c>
      <c r="O34" s="877">
        <f t="shared" si="4"/>
        <v>0</v>
      </c>
      <c r="P34" s="877">
        <f t="shared" si="4"/>
        <v>0</v>
      </c>
      <c r="Q34" s="877">
        <f t="shared" si="4"/>
        <v>0</v>
      </c>
      <c r="R34" s="877">
        <f t="shared" si="4"/>
        <v>0</v>
      </c>
      <c r="S34" s="877">
        <f t="shared" si="4"/>
        <v>0</v>
      </c>
      <c r="T34" s="877">
        <f t="shared" si="4"/>
        <v>0</v>
      </c>
      <c r="U34" s="877">
        <f t="shared" si="4"/>
        <v>2.7306421938576888E-4</v>
      </c>
      <c r="V34" s="877">
        <f t="shared" si="4"/>
        <v>0</v>
      </c>
      <c r="W34" s="877">
        <f t="shared" si="4"/>
        <v>0</v>
      </c>
      <c r="X34" s="879"/>
      <c r="Y34" s="879"/>
      <c r="Z34" s="877"/>
      <c r="AA34" s="877"/>
      <c r="AB34" s="877"/>
      <c r="AC34" s="877"/>
      <c r="AD34" s="886"/>
      <c r="AE34" s="877"/>
      <c r="AF34" s="879"/>
      <c r="AG34" s="877"/>
      <c r="AH34" s="877"/>
      <c r="AI34" s="877"/>
      <c r="AJ34" s="877"/>
      <c r="AK34" s="886"/>
      <c r="AL34" s="877"/>
      <c r="AM34" s="879"/>
      <c r="AN34" s="877"/>
      <c r="AO34" s="877"/>
      <c r="AP34" s="877"/>
      <c r="AQ34" s="877"/>
      <c r="AR34" s="886"/>
      <c r="AS34" s="877"/>
      <c r="AT34" s="879"/>
      <c r="AU34" s="877"/>
      <c r="AV34" s="877"/>
      <c r="AW34" s="877"/>
      <c r="AX34" s="877"/>
      <c r="AY34" s="886"/>
      <c r="AZ34" s="877"/>
      <c r="BA34" s="879"/>
      <c r="BB34" s="877"/>
      <c r="BC34" s="877"/>
      <c r="BD34" s="877"/>
      <c r="BE34" s="877"/>
      <c r="BF34" s="886"/>
      <c r="BG34" s="877"/>
      <c r="BH34" s="879"/>
      <c r="BI34" s="877"/>
      <c r="BJ34" s="877"/>
      <c r="BK34" s="877"/>
      <c r="BL34" s="877"/>
      <c r="BM34" s="886"/>
      <c r="BN34" s="877"/>
      <c r="BO34" s="879"/>
      <c r="BP34" s="877"/>
      <c r="BQ34" s="877"/>
      <c r="BR34" s="877"/>
      <c r="BS34" s="877"/>
      <c r="BT34" s="886"/>
      <c r="BU34" s="877"/>
      <c r="BV34" s="879"/>
      <c r="BW34" s="886"/>
    </row>
    <row r="35" spans="1:253" s="502" customFormat="1" ht="17.25">
      <c r="A35" s="20" t="s">
        <v>122</v>
      </c>
      <c r="B35" s="93" t="s">
        <v>121</v>
      </c>
      <c r="C35" s="87">
        <f>'Input data plant-based products'!D100</f>
        <v>5.5877298484047239E-2</v>
      </c>
      <c r="D35" s="54"/>
      <c r="E35" s="1293" t="s">
        <v>316</v>
      </c>
      <c r="F35" s="930">
        <f>SUMPRODUCT($CI$4:$CI$6,F36:F38)</f>
        <v>-6.6161846211677644E-2</v>
      </c>
      <c r="G35" s="872">
        <f>SUMPRODUCT($CI$4:$CI$6,G36:G38)</f>
        <v>6.5004039317577575E-2</v>
      </c>
      <c r="H35" s="873">
        <f>SUMPRODUCT($CI$4:$CI$6,H36:H38)</f>
        <v>0.17305649757438546</v>
      </c>
      <c r="I35" s="884"/>
      <c r="J35" s="884"/>
      <c r="K35" s="884"/>
      <c r="L35" s="884"/>
      <c r="M35" s="884"/>
      <c r="N35" s="884"/>
      <c r="O35" s="884"/>
      <c r="P35" s="884"/>
      <c r="Q35" s="884"/>
      <c r="R35" s="884"/>
      <c r="S35" s="884"/>
      <c r="T35" s="884"/>
      <c r="U35" s="884"/>
      <c r="V35" s="884"/>
      <c r="W35" s="884"/>
      <c r="X35" s="879"/>
      <c r="Y35" s="879">
        <f>1/'Input data plant-based products'!E100*10^4</f>
        <v>0.68917987594762231</v>
      </c>
      <c r="Z35" s="877">
        <f>$Y35*'Input data plant-based products'!Z100</f>
        <v>0.68917987594762231</v>
      </c>
      <c r="AA35" s="877">
        <f>$Y35*'Input data plant-based products'!AA100</f>
        <v>0.68917987594762231</v>
      </c>
      <c r="AB35" s="877">
        <f>$Y35*'Input data plant-based products'!AB100</f>
        <v>0.68917987594762231</v>
      </c>
      <c r="AC35" s="877">
        <f>$Y35*'Input data plant-based products'!AC100</f>
        <v>0.82250850453230973</v>
      </c>
      <c r="AD35" s="886">
        <f>$Y35*'Input data plant-based products'!AD100</f>
        <v>1.0154425981880366</v>
      </c>
      <c r="AE35" s="877"/>
      <c r="AF35" s="879">
        <f>SUM('Input data plant-based products'!F100,'Input data plant-based products'!Q100)/'Input data plant-based products'!E100</f>
        <v>3.3080634045485873E-3</v>
      </c>
      <c r="AG35" s="877">
        <f>$AF35*'Input data plant-based products'!Z100</f>
        <v>3.3080634045485873E-3</v>
      </c>
      <c r="AH35" s="877">
        <f>$AF35*'Input data plant-based products'!AA100</f>
        <v>3.3080634045485873E-3</v>
      </c>
      <c r="AI35" s="877">
        <f>$AF35*'Input data plant-based products'!AB100</f>
        <v>3.3080634045485873E-3</v>
      </c>
      <c r="AJ35" s="877">
        <f>$AF35*'Input data plant-based products'!AC100</f>
        <v>3.9480408217550866E-3</v>
      </c>
      <c r="AK35" s="886">
        <f>$AF35*'Input data plant-based products'!AD100</f>
        <v>4.8741244713025756E-3</v>
      </c>
      <c r="AL35" s="877"/>
      <c r="AM35" s="879">
        <f>'Input data plant-based products'!R100/'Input data plant-based products'!E100</f>
        <v>4.4999999999999999E-4</v>
      </c>
      <c r="AN35" s="877">
        <f>$AM35*'Input data plant-based products'!Z100</f>
        <v>4.4999999999999999E-4</v>
      </c>
      <c r="AO35" s="877">
        <f>$AM35*'Input data plant-based products'!AA100</f>
        <v>4.4999999999999999E-4</v>
      </c>
      <c r="AP35" s="877">
        <f>$AM35*'Input data plant-based products'!AB100</f>
        <v>4.4999999999999999E-4</v>
      </c>
      <c r="AQ35" s="877">
        <f>$AM35*'Input data plant-based products'!AC100</f>
        <v>5.3705692803437163E-4</v>
      </c>
      <c r="AR35" s="886">
        <f>$AM35*'Input data plant-based products'!AD100</f>
        <v>6.6303324448687849E-4</v>
      </c>
      <c r="AS35" s="877"/>
      <c r="AT35" s="879">
        <f>'Input data plant-based products'!S100</f>
        <v>0</v>
      </c>
      <c r="AU35" s="877">
        <f>$AT35*'Input data plant-based products'!Z100</f>
        <v>0</v>
      </c>
      <c r="AV35" s="877">
        <f>$AT35*'Input data plant-based products'!AA100</f>
        <v>0</v>
      </c>
      <c r="AW35" s="877">
        <f>$AT35*'Input data plant-based products'!AB100</f>
        <v>0</v>
      </c>
      <c r="AX35" s="877">
        <f>$AT35*'Input data plant-based products'!AC100</f>
        <v>0</v>
      </c>
      <c r="AY35" s="886">
        <f>$AT35*'Input data plant-based products'!AD100</f>
        <v>0</v>
      </c>
      <c r="AZ35" s="877"/>
      <c r="BA35" s="879">
        <f>((SUM('Input data plant-based products'!U100:Y100)*Y35)/('Common input data'!$B$192/10^6))/$BB$3</f>
        <v>4.8751861257539833E-12</v>
      </c>
      <c r="BB35" s="877">
        <f>$BA35*'Input data plant-based products'!Z100</f>
        <v>4.8751861257539833E-12</v>
      </c>
      <c r="BC35" s="877">
        <f>$BA35*'Input data plant-based products'!AA100</f>
        <v>4.8751861257539833E-12</v>
      </c>
      <c r="BD35" s="877">
        <f>$BA35*'Input data plant-based products'!AB100</f>
        <v>4.8751861257539833E-12</v>
      </c>
      <c r="BE35" s="877">
        <f>$BA35*'Input data plant-based products'!AC100</f>
        <v>5.8183388539849424E-12</v>
      </c>
      <c r="BF35" s="886">
        <f>$BA35*'Input data plant-based products'!AD100</f>
        <v>7.1831343876357303E-12</v>
      </c>
      <c r="BG35" s="877"/>
      <c r="BH35" s="879">
        <f>'Input data plant-based products'!T100/'Input data plant-based products'!E100</f>
        <v>2.6533425223983459E-4</v>
      </c>
      <c r="BI35" s="877">
        <f>$BH35*'Input data plant-based products'!Z100</f>
        <v>2.6533425223983459E-4</v>
      </c>
      <c r="BJ35" s="877">
        <f>$BH35*'Input data plant-based products'!AA100</f>
        <v>2.6533425223983459E-4</v>
      </c>
      <c r="BK35" s="877">
        <f>$BH35*'Input data plant-based products'!AB100</f>
        <v>2.6533425223983459E-4</v>
      </c>
      <c r="BL35" s="877">
        <f>$BH35*'Input data plant-based products'!AC100</f>
        <v>3.166657742449392E-4</v>
      </c>
      <c r="BM35" s="886">
        <f>$BH35*'Input data plant-based products'!AD100</f>
        <v>3.9094540030239406E-4</v>
      </c>
      <c r="BN35" s="877"/>
      <c r="BO35" s="879">
        <f>('Input data plant-based products'!F100/'Input data plant-based products'!E100*'Common input data'!$B$195+'Input data plant-based products'!G100/'Input data plant-based products'!E100*'Common input data'!$B$196)/'Common input data'!$B$198</f>
        <v>8.4467208160220373E-5</v>
      </c>
      <c r="BP35" s="877">
        <f>$BO35*'Input data plant-based products'!Z100</f>
        <v>8.4467208160220373E-5</v>
      </c>
      <c r="BQ35" s="877">
        <f>$BO35*'Input data plant-based products'!AA100</f>
        <v>8.4467208160220373E-5</v>
      </c>
      <c r="BR35" s="877">
        <f>$BO35*'Input data plant-based products'!AB100</f>
        <v>8.4467208160220373E-5</v>
      </c>
      <c r="BS35" s="877">
        <f>$BO35*'Input data plant-based products'!AC100</f>
        <v>1.0080822074259502E-4</v>
      </c>
      <c r="BT35" s="886">
        <f>$BO35*'Input data plant-based products'!AD100</f>
        <v>1.2445459350937657E-4</v>
      </c>
      <c r="BU35" s="877"/>
      <c r="BV35" s="879">
        <f>'Common input data'!$C$202*'Input data plant-based products'!AC100</f>
        <v>0.17090344909893782</v>
      </c>
      <c r="BW35" s="886">
        <f>'Common input data'!$C$202*'Input data plant-based products'!AD100</f>
        <v>0.21099191246782442</v>
      </c>
      <c r="BX35" s="406"/>
      <c r="BY35" s="406"/>
      <c r="BZ35" s="406"/>
      <c r="CA35" s="406"/>
      <c r="CB35" s="406"/>
      <c r="CC35" s="406"/>
      <c r="CD35" s="406"/>
      <c r="CE35" s="406"/>
      <c r="CF35" s="406"/>
      <c r="CG35" s="406"/>
      <c r="CH35" s="406"/>
      <c r="CI35" s="406"/>
      <c r="CJ35" s="406"/>
      <c r="CK35" s="406"/>
      <c r="CL35" s="406"/>
      <c r="CM35" s="406"/>
      <c r="CN35" s="406"/>
      <c r="CO35" s="406"/>
      <c r="CP35" s="406"/>
      <c r="CQ35" s="406"/>
      <c r="CR35" s="406"/>
      <c r="CS35" s="406"/>
      <c r="CT35" s="406"/>
      <c r="CU35" s="406"/>
      <c r="CV35" s="406"/>
      <c r="CW35" s="406"/>
      <c r="CX35" s="406"/>
      <c r="CY35" s="406"/>
      <c r="CZ35" s="406"/>
      <c r="DA35" s="406"/>
      <c r="DB35" s="406"/>
      <c r="DC35" s="406"/>
      <c r="DD35" s="406"/>
      <c r="DE35" s="406"/>
      <c r="DF35" s="406"/>
      <c r="DG35" s="406"/>
      <c r="DH35" s="406"/>
      <c r="DI35" s="406"/>
      <c r="DJ35" s="406"/>
      <c r="DK35" s="406"/>
      <c r="DL35" s="406"/>
      <c r="DM35" s="406"/>
      <c r="DN35" s="406"/>
      <c r="DO35" s="406"/>
      <c r="DP35" s="406"/>
      <c r="DQ35" s="406"/>
      <c r="DR35" s="406"/>
      <c r="DS35" s="406"/>
      <c r="DT35" s="406"/>
      <c r="DU35" s="406"/>
      <c r="DV35" s="406"/>
      <c r="DW35" s="406"/>
      <c r="DX35" s="406"/>
      <c r="DY35" s="406"/>
      <c r="DZ35" s="406"/>
      <c r="EA35" s="406"/>
      <c r="EB35" s="406"/>
      <c r="EC35" s="406"/>
      <c r="ED35" s="406"/>
      <c r="EE35" s="406"/>
      <c r="EF35" s="406"/>
      <c r="EG35" s="406"/>
      <c r="EH35" s="406"/>
      <c r="EI35" s="406"/>
      <c r="EJ35" s="406"/>
      <c r="EK35" s="406"/>
      <c r="EL35" s="406"/>
      <c r="EM35" s="406"/>
      <c r="EN35" s="406"/>
      <c r="EO35" s="406"/>
      <c r="EP35" s="406"/>
      <c r="EQ35" s="406"/>
      <c r="ER35" s="406"/>
      <c r="ES35" s="406"/>
      <c r="ET35" s="406"/>
      <c r="EU35" s="406"/>
      <c r="EV35" s="406"/>
      <c r="EW35" s="406"/>
      <c r="EX35" s="406"/>
      <c r="EY35" s="406"/>
      <c r="EZ35" s="406"/>
      <c r="FA35" s="406"/>
      <c r="FB35" s="406"/>
      <c r="FC35" s="406"/>
      <c r="FD35" s="406"/>
      <c r="FE35" s="406"/>
      <c r="FF35" s="406"/>
      <c r="FG35" s="406"/>
      <c r="FH35" s="406"/>
      <c r="FI35" s="406"/>
      <c r="FJ35" s="406"/>
      <c r="FK35" s="406"/>
      <c r="FL35" s="406"/>
      <c r="FM35" s="406"/>
      <c r="FN35" s="406"/>
      <c r="FO35" s="406"/>
      <c r="FP35" s="406"/>
      <c r="FQ35" s="406"/>
      <c r="FR35" s="406"/>
      <c r="FS35" s="406"/>
      <c r="FT35" s="406"/>
      <c r="FU35" s="406"/>
      <c r="FV35" s="406"/>
      <c r="FW35" s="406"/>
      <c r="FX35" s="406"/>
      <c r="FY35" s="406"/>
      <c r="FZ35" s="406"/>
      <c r="GA35" s="406"/>
      <c r="GB35" s="406"/>
      <c r="GC35" s="406"/>
      <c r="GD35" s="406"/>
      <c r="GE35" s="406"/>
      <c r="GF35" s="406"/>
      <c r="GG35" s="406"/>
      <c r="GH35" s="406"/>
      <c r="GI35" s="406"/>
      <c r="GJ35" s="406"/>
      <c r="GK35" s="406"/>
      <c r="GL35" s="406"/>
      <c r="GM35" s="406"/>
      <c r="GN35" s="406"/>
      <c r="GO35" s="406"/>
      <c r="GP35" s="406"/>
      <c r="GQ35" s="406"/>
      <c r="GR35" s="406"/>
      <c r="GS35" s="406"/>
      <c r="GT35" s="406"/>
      <c r="GU35" s="406"/>
      <c r="GV35" s="406"/>
      <c r="GW35" s="406"/>
      <c r="GX35" s="406"/>
      <c r="GY35" s="406"/>
      <c r="GZ35" s="406"/>
      <c r="HA35" s="406"/>
      <c r="HB35" s="406"/>
      <c r="HC35" s="406"/>
      <c r="HD35" s="406"/>
      <c r="HE35" s="406"/>
      <c r="HF35" s="406"/>
      <c r="HG35" s="406"/>
      <c r="HH35" s="406"/>
      <c r="HI35" s="406"/>
      <c r="HJ35" s="406"/>
      <c r="HK35" s="406"/>
      <c r="HL35" s="406"/>
      <c r="HM35" s="406"/>
      <c r="HN35" s="406"/>
      <c r="HO35" s="406"/>
      <c r="HP35" s="406"/>
      <c r="HQ35" s="406"/>
      <c r="HR35" s="406"/>
      <c r="HS35" s="406"/>
      <c r="HT35" s="406"/>
      <c r="HU35" s="406"/>
      <c r="HV35" s="406"/>
      <c r="HW35" s="406"/>
      <c r="HX35" s="406"/>
      <c r="HY35" s="406"/>
      <c r="HZ35" s="406"/>
      <c r="IA35" s="406"/>
      <c r="IB35" s="406"/>
      <c r="IC35" s="406"/>
      <c r="ID35" s="406"/>
      <c r="IE35" s="406"/>
      <c r="IF35" s="406"/>
      <c r="IG35" s="406"/>
      <c r="IH35" s="406"/>
      <c r="II35" s="406"/>
      <c r="IJ35" s="406"/>
      <c r="IK35" s="406"/>
      <c r="IL35" s="406"/>
      <c r="IM35" s="406"/>
      <c r="IN35" s="406"/>
      <c r="IO35" s="406"/>
      <c r="IP35" s="406"/>
      <c r="IQ35" s="406"/>
      <c r="IR35" s="406"/>
      <c r="IS35" s="406"/>
    </row>
    <row r="36" spans="1:253" s="406" customFormat="1" ht="17.25">
      <c r="A36" s="499"/>
      <c r="B36" s="55"/>
      <c r="C36" s="917"/>
      <c r="D36" s="5"/>
      <c r="E36" s="1294" t="s">
        <v>317</v>
      </c>
      <c r="F36" s="928">
        <f>IF(AND($G$2="No",$G$3="No"),SUM(K36:L36),IF(AND($G$2="Yes", $G$3="No"), SUM(K36:L36)+S36, IF(AND($G$2="No", $G$3="Yes"),SUM(K36:L36)+R36, SUM(K36:L36)+S36+R36)))</f>
        <v>-9.1139048141381296E-2</v>
      </c>
      <c r="G36" s="877">
        <f>IF(AND($G$2="No",$G$3="No"),SUM(I36:Q36),IF(AND($G$2="Yes", $G$3="No"), SUM(I36:Q36)+S36, IF(AND($G$2="No", $G$3="Yes"),SUM(I36:Q36)+R36, SUM(I36:Q36)+S36+R36)))</f>
        <v>3.2117669301008428E-2</v>
      </c>
      <c r="H36" s="878">
        <f>SUM(U36:W36)/(1-'Common input data'!$B$140)</f>
        <v>0.13380793567371815</v>
      </c>
      <c r="I36" s="877">
        <f>('Input data plant-based products'!$F$100*('Common input data'!$B$93*'Common input data'!B86+'Common input data'!$B$94*'Common input data'!C86))/'Input data plant-based products'!$E$100</f>
        <v>1.0377820130191222E-2</v>
      </c>
      <c r="J36" s="877">
        <f>'Common input data'!$B$98</f>
        <v>0.03</v>
      </c>
      <c r="K36" s="877">
        <v>0</v>
      </c>
      <c r="L36" s="877">
        <v>0</v>
      </c>
      <c r="M36" s="877"/>
      <c r="N36" s="877">
        <f>('Input data plant-based products'!$P$100*'Common input data'!$C$76*'Common input data'!H66)/'Input data plant-based products'!$E$100</f>
        <v>8.2878897312198496E-2</v>
      </c>
      <c r="O36" s="877">
        <v>0</v>
      </c>
      <c r="P36" s="877">
        <v>0</v>
      </c>
      <c r="Q36" s="877">
        <v>0</v>
      </c>
      <c r="R36" s="877">
        <f>'Common input data'!$F$19</f>
        <v>-9.1139048141381296E-2</v>
      </c>
      <c r="S36" s="877">
        <v>0</v>
      </c>
      <c r="T36" s="877">
        <v>0</v>
      </c>
      <c r="U36" s="877">
        <f>G36+T36</f>
        <v>3.2117669301008428E-2</v>
      </c>
      <c r="V36" s="877">
        <f>'Common input data'!$B$105</f>
        <v>0.05</v>
      </c>
      <c r="W36" s="877">
        <f>'Common input data'!C115</f>
        <v>0.03</v>
      </c>
      <c r="X36" s="879"/>
      <c r="Y36" s="879"/>
      <c r="Z36" s="877"/>
      <c r="AA36" s="877"/>
      <c r="AB36" s="877"/>
      <c r="AC36" s="877"/>
      <c r="AD36" s="886"/>
      <c r="AE36" s="877"/>
      <c r="AF36" s="879"/>
      <c r="AG36" s="877"/>
      <c r="AH36" s="877"/>
      <c r="AI36" s="877"/>
      <c r="AJ36" s="877"/>
      <c r="AK36" s="886"/>
      <c r="AL36" s="877"/>
      <c r="AM36" s="879"/>
      <c r="AN36" s="877"/>
      <c r="AO36" s="877"/>
      <c r="AP36" s="877"/>
      <c r="AQ36" s="877"/>
      <c r="AR36" s="886"/>
      <c r="AS36" s="877"/>
      <c r="AT36" s="879"/>
      <c r="AU36" s="877"/>
      <c r="AV36" s="877"/>
      <c r="AW36" s="877"/>
      <c r="AX36" s="877"/>
      <c r="AY36" s="886"/>
      <c r="AZ36" s="877"/>
      <c r="BA36" s="879"/>
      <c r="BB36" s="877"/>
      <c r="BC36" s="877"/>
      <c r="BD36" s="877"/>
      <c r="BE36" s="877"/>
      <c r="BF36" s="886"/>
      <c r="BG36" s="877"/>
      <c r="BH36" s="879"/>
      <c r="BI36" s="877"/>
      <c r="BJ36" s="877"/>
      <c r="BK36" s="877"/>
      <c r="BL36" s="877"/>
      <c r="BM36" s="886"/>
      <c r="BN36" s="877"/>
      <c r="BO36" s="879"/>
      <c r="BP36" s="877"/>
      <c r="BQ36" s="877"/>
      <c r="BR36" s="877"/>
      <c r="BS36" s="877"/>
      <c r="BT36" s="886"/>
      <c r="BU36" s="877"/>
      <c r="BV36" s="879"/>
      <c r="BW36" s="886"/>
    </row>
    <row r="37" spans="1:253" s="406" customFormat="1" ht="17.25">
      <c r="A37" s="499"/>
      <c r="B37" s="55"/>
      <c r="C37" s="595"/>
      <c r="D37" s="50"/>
      <c r="E37" s="1294" t="s">
        <v>367</v>
      </c>
      <c r="F37" s="928">
        <f>SUM(K37:L37)</f>
        <v>0</v>
      </c>
      <c r="G37" s="877">
        <f>SUM(I37:Q37)</f>
        <v>4.976836717792156E-5</v>
      </c>
      <c r="H37" s="878">
        <f>SUM(U37:W37)/(1-'Common input data'!$B$140)</f>
        <v>5.9396547533024899E-5</v>
      </c>
      <c r="I37" s="877">
        <f>('Input data plant-based products'!$F$100*('Common input data'!$B$93*'Common input data'!B87+'Common input data'!$B$94*'Common input data'!C87))/'Input data plant-based products'!$E$100</f>
        <v>1.3055810320581789E-5</v>
      </c>
      <c r="J37" s="877">
        <v>0</v>
      </c>
      <c r="K37" s="877">
        <v>0</v>
      </c>
      <c r="L37" s="877">
        <v>0</v>
      </c>
      <c r="M37" s="877"/>
      <c r="N37" s="877">
        <f>('Input data plant-based products'!$P$100*'Common input data'!$C$76*'Common input data'!H67)/'Input data plant-based products'!$E$100</f>
        <v>3.6712556857339771E-5</v>
      </c>
      <c r="O37" s="877">
        <v>0</v>
      </c>
      <c r="P37" s="877">
        <v>0</v>
      </c>
      <c r="Q37" s="877">
        <v>0</v>
      </c>
      <c r="R37" s="877">
        <v>0</v>
      </c>
      <c r="S37" s="877">
        <v>0</v>
      </c>
      <c r="T37" s="877">
        <v>0</v>
      </c>
      <c r="U37" s="877">
        <f>G37+T37</f>
        <v>4.976836717792156E-5</v>
      </c>
      <c r="V37" s="877">
        <v>0</v>
      </c>
      <c r="W37" s="877">
        <v>0</v>
      </c>
      <c r="X37" s="879"/>
      <c r="Y37" s="879"/>
      <c r="Z37" s="877"/>
      <c r="AA37" s="877"/>
      <c r="AB37" s="877"/>
      <c r="AC37" s="877"/>
      <c r="AD37" s="886"/>
      <c r="AE37" s="877"/>
      <c r="AF37" s="879"/>
      <c r="AG37" s="877"/>
      <c r="AH37" s="877"/>
      <c r="AI37" s="877"/>
      <c r="AJ37" s="877"/>
      <c r="AK37" s="886"/>
      <c r="AL37" s="877"/>
      <c r="AM37" s="879"/>
      <c r="AN37" s="877"/>
      <c r="AO37" s="877"/>
      <c r="AP37" s="877"/>
      <c r="AQ37" s="877"/>
      <c r="AR37" s="886"/>
      <c r="AS37" s="877"/>
      <c r="AT37" s="879"/>
      <c r="AU37" s="877"/>
      <c r="AV37" s="877"/>
      <c r="AW37" s="877"/>
      <c r="AX37" s="877"/>
      <c r="AY37" s="886"/>
      <c r="AZ37" s="877"/>
      <c r="BA37" s="879"/>
      <c r="BB37" s="877"/>
      <c r="BC37" s="877"/>
      <c r="BD37" s="877"/>
      <c r="BE37" s="877"/>
      <c r="BF37" s="886"/>
      <c r="BG37" s="877"/>
      <c r="BH37" s="879"/>
      <c r="BI37" s="877"/>
      <c r="BJ37" s="877"/>
      <c r="BK37" s="877"/>
      <c r="BL37" s="877"/>
      <c r="BM37" s="886"/>
      <c r="BN37" s="877"/>
      <c r="BO37" s="879"/>
      <c r="BP37" s="877"/>
      <c r="BQ37" s="877"/>
      <c r="BR37" s="877"/>
      <c r="BS37" s="877"/>
      <c r="BT37" s="886"/>
      <c r="BU37" s="877"/>
      <c r="BV37" s="879"/>
      <c r="BW37" s="886"/>
    </row>
    <row r="38" spans="1:253" s="406" customFormat="1" ht="17.25">
      <c r="A38" s="18"/>
      <c r="B38" s="360"/>
      <c r="C38" s="83"/>
      <c r="D38" s="54"/>
      <c r="E38" s="1295" t="s">
        <v>320</v>
      </c>
      <c r="F38" s="928">
        <f>SUM(K38:L38)</f>
        <v>9.1491582160086639E-5</v>
      </c>
      <c r="G38" s="877">
        <f>SUM(I38:Q38)</f>
        <v>1.155407476291768E-4</v>
      </c>
      <c r="H38" s="878">
        <f>SUM(U38:W38)/(1-'Common input data'!$B$140)</f>
        <v>1.378932421878229E-4</v>
      </c>
      <c r="I38" s="877">
        <f>('Input data plant-based products'!$F$100*('Common input data'!$B$93*'Common input data'!B88+'Common input data'!$B$94*'Common input data'!C88))/'Input data plant-based products'!$E$100</f>
        <v>2.1822177185148042E-5</v>
      </c>
      <c r="J38" s="877">
        <v>0</v>
      </c>
      <c r="K38" s="877">
        <f>(SUM(('Input data plant-based products'!$F$100*'Input data plant-based products'!$B$258),(('Input data plant-based products'!$G$100+'Input data plant-based products'!$H$100)*'Input data plant-based products'!$B$259))*44/28)/'Input data plant-based products'!$E$100</f>
        <v>8.3174165600078762E-5</v>
      </c>
      <c r="L38" s="877">
        <f>K38*'Input data plant-based products'!$B$261</f>
        <v>8.3174165600078758E-6</v>
      </c>
      <c r="M38" s="877"/>
      <c r="N38" s="877">
        <f>('Input data plant-based products'!$P$100*'Common input data'!$C$76*'Common input data'!H68)/'Input data plant-based products'!$E$100</f>
        <v>2.2269882839421094E-6</v>
      </c>
      <c r="O38" s="877">
        <v>0</v>
      </c>
      <c r="P38" s="877">
        <v>0</v>
      </c>
      <c r="Q38" s="877">
        <v>0</v>
      </c>
      <c r="R38" s="877">
        <v>0</v>
      </c>
      <c r="S38" s="877">
        <v>0</v>
      </c>
      <c r="T38" s="877">
        <v>0</v>
      </c>
      <c r="U38" s="877">
        <f>G38+T38</f>
        <v>1.155407476291768E-4</v>
      </c>
      <c r="V38" s="877">
        <v>0</v>
      </c>
      <c r="W38" s="877">
        <v>0</v>
      </c>
      <c r="X38" s="879"/>
      <c r="Y38" s="879"/>
      <c r="Z38" s="877"/>
      <c r="AA38" s="877"/>
      <c r="AB38" s="877"/>
      <c r="AC38" s="877"/>
      <c r="AD38" s="886"/>
      <c r="AE38" s="877"/>
      <c r="AF38" s="879"/>
      <c r="AG38" s="877"/>
      <c r="AH38" s="877"/>
      <c r="AI38" s="877"/>
      <c r="AJ38" s="877"/>
      <c r="AK38" s="886"/>
      <c r="AL38" s="877"/>
      <c r="AM38" s="879"/>
      <c r="AN38" s="877"/>
      <c r="AO38" s="877"/>
      <c r="AP38" s="877"/>
      <c r="AQ38" s="877"/>
      <c r="AR38" s="886"/>
      <c r="AS38" s="877"/>
      <c r="AT38" s="879"/>
      <c r="AU38" s="877"/>
      <c r="AV38" s="877"/>
      <c r="AW38" s="877"/>
      <c r="AX38" s="877"/>
      <c r="AY38" s="886"/>
      <c r="AZ38" s="877"/>
      <c r="BA38" s="879"/>
      <c r="BB38" s="877"/>
      <c r="BC38" s="877"/>
      <c r="BD38" s="877"/>
      <c r="BE38" s="877"/>
      <c r="BF38" s="886"/>
      <c r="BG38" s="877"/>
      <c r="BH38" s="879"/>
      <c r="BI38" s="877"/>
      <c r="BJ38" s="877"/>
      <c r="BK38" s="877"/>
      <c r="BL38" s="877"/>
      <c r="BM38" s="886"/>
      <c r="BN38" s="877"/>
      <c r="BO38" s="879"/>
      <c r="BP38" s="877"/>
      <c r="BQ38" s="877"/>
      <c r="BR38" s="877"/>
      <c r="BS38" s="877"/>
      <c r="BT38" s="886"/>
      <c r="BU38" s="877"/>
      <c r="BV38" s="879"/>
      <c r="BW38" s="886"/>
    </row>
    <row r="39" spans="1:253" s="502" customFormat="1" ht="17.25">
      <c r="A39" s="20" t="s">
        <v>126</v>
      </c>
      <c r="B39" s="93" t="s">
        <v>121</v>
      </c>
      <c r="C39" s="87">
        <f>'Input data plant-based products'!D101</f>
        <v>0.23061781466398334</v>
      </c>
      <c r="D39" s="54"/>
      <c r="E39" s="1293" t="s">
        <v>316</v>
      </c>
      <c r="F39" s="930">
        <f>SUMPRODUCT($CI$4:$CI$6,F40:F42)</f>
        <v>-8.4113173588471937E-2</v>
      </c>
      <c r="G39" s="872">
        <f>SUMPRODUCT($CI$4:$CI$6,G40:G42)</f>
        <v>-1.377375593265983E-2</v>
      </c>
      <c r="H39" s="873">
        <f>SUMPRODUCT($CI$4:$CI$6,H40:H42)</f>
        <v>0.19838434666110535</v>
      </c>
      <c r="I39" s="884"/>
      <c r="J39" s="884"/>
      <c r="K39" s="884"/>
      <c r="L39" s="884"/>
      <c r="M39" s="884"/>
      <c r="N39" s="884"/>
      <c r="O39" s="884"/>
      <c r="P39" s="884"/>
      <c r="Q39" s="884"/>
      <c r="R39" s="884"/>
      <c r="S39" s="884"/>
      <c r="T39" s="884"/>
      <c r="U39" s="884"/>
      <c r="V39" s="884"/>
      <c r="W39" s="884"/>
      <c r="X39" s="879"/>
      <c r="Y39" s="879">
        <f>1/'Input data plant-based products'!E101*10^4</f>
        <v>0.29079065980400709</v>
      </c>
      <c r="Z39" s="877">
        <f>$Y39*'Input data plant-based products'!Z101</f>
        <v>0.29079065980400709</v>
      </c>
      <c r="AA39" s="877">
        <f>$Y39*'Input data plant-based products'!AA101</f>
        <v>0.29079065980400709</v>
      </c>
      <c r="AB39" s="877">
        <f>$Y39*'Input data plant-based products'!AB101</f>
        <v>0.29079065980400709</v>
      </c>
      <c r="AC39" s="877">
        <f>$Y39*'Input data plant-based products'!AC101</f>
        <v>0.34704697434539572</v>
      </c>
      <c r="AD39" s="886">
        <f>$Y39*'Input data plant-based products'!AD101</f>
        <v>0.42845305474740208</v>
      </c>
      <c r="AE39" s="877"/>
      <c r="AF39" s="879">
        <f>SUM('Input data plant-based products'!F101,'Input data plant-based products'!Q101)/'Input data plant-based products'!E101</f>
        <v>7.5605571549041848E-4</v>
      </c>
      <c r="AG39" s="877">
        <f>$AF39*'Input data plant-based products'!Z101</f>
        <v>7.5605571549041848E-4</v>
      </c>
      <c r="AH39" s="877">
        <f>$AF39*'Input data plant-based products'!AA101</f>
        <v>7.5605571549041848E-4</v>
      </c>
      <c r="AI39" s="877">
        <f>$AF39*'Input data plant-based products'!AB101</f>
        <v>7.5605571549041848E-4</v>
      </c>
      <c r="AJ39" s="877">
        <f>$AF39*'Input data plant-based products'!AC101</f>
        <v>9.0232213329802897E-4</v>
      </c>
      <c r="AK39" s="886">
        <f>$AF39*'Input data plant-based products'!AD101</f>
        <v>1.1139779423432455E-3</v>
      </c>
      <c r="AL39" s="877"/>
      <c r="AM39" s="879">
        <f>'Input data plant-based products'!R101/'Input data plant-based products'!E101</f>
        <v>0</v>
      </c>
      <c r="AN39" s="877">
        <f>$AM39*'Input data plant-based products'!Z101</f>
        <v>0</v>
      </c>
      <c r="AO39" s="877">
        <f>$AM39*'Input data plant-based products'!AA101</f>
        <v>0</v>
      </c>
      <c r="AP39" s="877">
        <f>$AM39*'Input data plant-based products'!AB101</f>
        <v>0</v>
      </c>
      <c r="AQ39" s="877">
        <f>$AM39*'Input data plant-based products'!AC101</f>
        <v>0</v>
      </c>
      <c r="AR39" s="886">
        <f>$AM39*'Input data plant-based products'!AD101</f>
        <v>0</v>
      </c>
      <c r="AS39" s="877"/>
      <c r="AT39" s="879">
        <f>'Input data plant-based products'!S101</f>
        <v>1E-3</v>
      </c>
      <c r="AU39" s="877">
        <f>$AT39*'Input data plant-based products'!Z101</f>
        <v>1E-3</v>
      </c>
      <c r="AV39" s="877">
        <f>$AT39*'Input data plant-based products'!AA101</f>
        <v>1E-3</v>
      </c>
      <c r="AW39" s="877">
        <f>$AT39*'Input data plant-based products'!AB101</f>
        <v>1E-3</v>
      </c>
      <c r="AX39" s="877">
        <f>$AT39*'Input data plant-based products'!AC101</f>
        <v>1.1934598400763815E-3</v>
      </c>
      <c r="AY39" s="886">
        <f>$AT39*'Input data plant-based products'!AD101</f>
        <v>1.4734072099708412E-3</v>
      </c>
      <c r="AZ39" s="877"/>
      <c r="BA39" s="879">
        <f>((SUM('Input data plant-based products'!U101:Y101)*Y39)/('Common input data'!$B$192/10^6))/$BB$3</f>
        <v>6.5310532171587821E-12</v>
      </c>
      <c r="BB39" s="877">
        <f>$BA39*'Input data plant-based products'!Z101</f>
        <v>6.5310532171587821E-12</v>
      </c>
      <c r="BC39" s="877">
        <f>$BA39*'Input data plant-based products'!AA101</f>
        <v>6.5310532171587821E-12</v>
      </c>
      <c r="BD39" s="877">
        <f>$BA39*'Input data plant-based products'!AB101</f>
        <v>6.5310532171587821E-12</v>
      </c>
      <c r="BE39" s="877">
        <f>$BA39*'Input data plant-based products'!AC101</f>
        <v>7.7945497280806565E-12</v>
      </c>
      <c r="BF39" s="886">
        <f>$BA39*'Input data plant-based products'!AD101</f>
        <v>9.6229008988650071E-12</v>
      </c>
      <c r="BG39" s="877"/>
      <c r="BH39" s="879">
        <f>'Input data plant-based products'!T101/'Input data plant-based products'!E101</f>
        <v>5.7576550641193409E-4</v>
      </c>
      <c r="BI39" s="877">
        <f>$BH39*'Input data plant-based products'!Z101</f>
        <v>5.7576550641193409E-4</v>
      </c>
      <c r="BJ39" s="877">
        <f>$BH39*'Input data plant-based products'!AA101</f>
        <v>5.7576550641193409E-4</v>
      </c>
      <c r="BK39" s="877">
        <f>$BH39*'Input data plant-based products'!AB101</f>
        <v>5.7576550641193409E-4</v>
      </c>
      <c r="BL39" s="877">
        <f>$BH39*'Input data plant-based products'!AC101</f>
        <v>6.8715300920388356E-4</v>
      </c>
      <c r="BM39" s="886">
        <f>$BH39*'Input data plant-based products'!AD101</f>
        <v>8.4833704839985618E-4</v>
      </c>
      <c r="BN39" s="877"/>
      <c r="BO39" s="879">
        <f>('Input data plant-based products'!F101/'Input data plant-based products'!E101*'Common input data'!$B$195+'Input data plant-based products'!G101/'Input data plant-based products'!E101*'Common input data'!$B$196)/'Common input data'!$B$198</f>
        <v>1.0947943109488612E-4</v>
      </c>
      <c r="BP39" s="877">
        <f>$BO39*'Input data plant-based products'!Z101</f>
        <v>1.0947943109488612E-4</v>
      </c>
      <c r="BQ39" s="877">
        <f>$BO39*'Input data plant-based products'!AA101</f>
        <v>1.0947943109488612E-4</v>
      </c>
      <c r="BR39" s="877">
        <f>$BO39*'Input data plant-based products'!AB101</f>
        <v>1.0947943109488612E-4</v>
      </c>
      <c r="BS39" s="877">
        <f>$BO39*'Input data plant-based products'!AC101</f>
        <v>1.30659304326156E-4</v>
      </c>
      <c r="BT39" s="886">
        <f>$BO39*'Input data plant-based products'!AD101</f>
        <v>1.6130778311871109E-4</v>
      </c>
      <c r="BU39" s="877"/>
      <c r="BV39" s="879">
        <f>('Common input data'!$C$202+'Common input data'!$B$208)*'Input data plant-based products'!AC101</f>
        <v>0.85451724549468899</v>
      </c>
      <c r="BW39" s="886">
        <f>('Common input data'!$C$202+'Common input data'!$B$208)*'Input data plant-based products'!AD101</f>
        <v>1.0549595623391221</v>
      </c>
      <c r="BX39" s="406"/>
      <c r="BY39" s="406"/>
      <c r="BZ39" s="406"/>
      <c r="CA39" s="406"/>
      <c r="CB39" s="406"/>
      <c r="CC39" s="406"/>
      <c r="CD39" s="406"/>
      <c r="CE39" s="406"/>
      <c r="CF39" s="406"/>
      <c r="CG39" s="406"/>
      <c r="CH39" s="406"/>
      <c r="CI39" s="406"/>
      <c r="CJ39" s="406"/>
      <c r="CK39" s="406"/>
      <c r="CL39" s="406"/>
      <c r="CM39" s="406"/>
      <c r="CN39" s="406"/>
      <c r="CO39" s="406"/>
      <c r="CP39" s="406"/>
      <c r="CQ39" s="406"/>
      <c r="CR39" s="406"/>
      <c r="CS39" s="406"/>
      <c r="CT39" s="406"/>
      <c r="CU39" s="406"/>
      <c r="CV39" s="406"/>
      <c r="CW39" s="406"/>
      <c r="CX39" s="406"/>
      <c r="CY39" s="406"/>
      <c r="CZ39" s="406"/>
      <c r="DA39" s="406"/>
      <c r="DB39" s="406"/>
      <c r="DC39" s="406"/>
      <c r="DD39" s="406"/>
      <c r="DE39" s="406"/>
      <c r="DF39" s="406"/>
      <c r="DG39" s="406"/>
      <c r="DH39" s="406"/>
      <c r="DI39" s="406"/>
      <c r="DJ39" s="406"/>
      <c r="DK39" s="406"/>
      <c r="DL39" s="406"/>
      <c r="DM39" s="406"/>
      <c r="DN39" s="406"/>
      <c r="DO39" s="406"/>
      <c r="DP39" s="406"/>
      <c r="DQ39" s="406"/>
      <c r="DR39" s="406"/>
      <c r="DS39" s="406"/>
      <c r="DT39" s="406"/>
      <c r="DU39" s="406"/>
      <c r="DV39" s="406"/>
      <c r="DW39" s="406"/>
      <c r="DX39" s="406"/>
      <c r="DY39" s="406"/>
      <c r="DZ39" s="406"/>
      <c r="EA39" s="406"/>
      <c r="EB39" s="406"/>
      <c r="EC39" s="406"/>
      <c r="ED39" s="406"/>
      <c r="EE39" s="406"/>
      <c r="EF39" s="406"/>
      <c r="EG39" s="406"/>
      <c r="EH39" s="406"/>
      <c r="EI39" s="406"/>
      <c r="EJ39" s="406"/>
      <c r="EK39" s="406"/>
      <c r="EL39" s="406"/>
      <c r="EM39" s="406"/>
      <c r="EN39" s="406"/>
      <c r="EO39" s="406"/>
      <c r="EP39" s="406"/>
      <c r="EQ39" s="406"/>
      <c r="ER39" s="406"/>
      <c r="ES39" s="406"/>
      <c r="ET39" s="406"/>
      <c r="EU39" s="406"/>
      <c r="EV39" s="406"/>
      <c r="EW39" s="406"/>
      <c r="EX39" s="406"/>
      <c r="EY39" s="406"/>
      <c r="EZ39" s="406"/>
      <c r="FA39" s="406"/>
      <c r="FB39" s="406"/>
      <c r="FC39" s="406"/>
      <c r="FD39" s="406"/>
      <c r="FE39" s="406"/>
      <c r="FF39" s="406"/>
      <c r="FG39" s="406"/>
      <c r="FH39" s="406"/>
      <c r="FI39" s="406"/>
      <c r="FJ39" s="406"/>
      <c r="FK39" s="406"/>
      <c r="FL39" s="406"/>
      <c r="FM39" s="406"/>
      <c r="FN39" s="406"/>
      <c r="FO39" s="406"/>
      <c r="FP39" s="406"/>
      <c r="FQ39" s="406"/>
      <c r="FR39" s="406"/>
      <c r="FS39" s="406"/>
      <c r="FT39" s="406"/>
      <c r="FU39" s="406"/>
      <c r="FV39" s="406"/>
      <c r="FW39" s="406"/>
      <c r="FX39" s="406"/>
      <c r="FY39" s="406"/>
      <c r="FZ39" s="406"/>
      <c r="GA39" s="406"/>
      <c r="GB39" s="406"/>
      <c r="GC39" s="406"/>
      <c r="GD39" s="406"/>
      <c r="GE39" s="406"/>
      <c r="GF39" s="406"/>
      <c r="GG39" s="406"/>
      <c r="GH39" s="406"/>
      <c r="GI39" s="406"/>
      <c r="GJ39" s="406"/>
      <c r="GK39" s="406"/>
      <c r="GL39" s="406"/>
      <c r="GM39" s="406"/>
      <c r="GN39" s="406"/>
      <c r="GO39" s="406"/>
      <c r="GP39" s="406"/>
      <c r="GQ39" s="406"/>
      <c r="GR39" s="406"/>
      <c r="GS39" s="406"/>
      <c r="GT39" s="406"/>
      <c r="GU39" s="406"/>
      <c r="GV39" s="406"/>
      <c r="GW39" s="406"/>
      <c r="GX39" s="406"/>
      <c r="GY39" s="406"/>
      <c r="GZ39" s="406"/>
      <c r="HA39" s="406"/>
      <c r="HB39" s="406"/>
      <c r="HC39" s="406"/>
      <c r="HD39" s="406"/>
      <c r="HE39" s="406"/>
      <c r="HF39" s="406"/>
      <c r="HG39" s="406"/>
      <c r="HH39" s="406"/>
      <c r="HI39" s="406"/>
      <c r="HJ39" s="406"/>
      <c r="HK39" s="406"/>
      <c r="HL39" s="406"/>
      <c r="HM39" s="406"/>
      <c r="HN39" s="406"/>
      <c r="HO39" s="406"/>
      <c r="HP39" s="406"/>
      <c r="HQ39" s="406"/>
      <c r="HR39" s="406"/>
      <c r="HS39" s="406"/>
      <c r="HT39" s="406"/>
      <c r="HU39" s="406"/>
      <c r="HV39" s="406"/>
      <c r="HW39" s="406"/>
      <c r="HX39" s="406"/>
      <c r="HY39" s="406"/>
      <c r="HZ39" s="406"/>
      <c r="IA39" s="406"/>
      <c r="IB39" s="406"/>
      <c r="IC39" s="406"/>
      <c r="ID39" s="406"/>
      <c r="IE39" s="406"/>
      <c r="IF39" s="406"/>
      <c r="IG39" s="406"/>
      <c r="IH39" s="406"/>
      <c r="II39" s="406"/>
      <c r="IJ39" s="406"/>
      <c r="IK39" s="406"/>
      <c r="IL39" s="406"/>
      <c r="IM39" s="406"/>
      <c r="IN39" s="406"/>
      <c r="IO39" s="406"/>
      <c r="IP39" s="406"/>
      <c r="IQ39" s="406"/>
      <c r="IR39" s="406"/>
      <c r="IS39" s="406"/>
    </row>
    <row r="40" spans="1:253" s="406" customFormat="1" ht="17.25">
      <c r="A40" s="499"/>
      <c r="B40" s="55"/>
      <c r="C40" s="917"/>
      <c r="D40" s="5"/>
      <c r="E40" s="1294" t="s">
        <v>317</v>
      </c>
      <c r="F40" s="928">
        <f>IF(AND($G$2="No",$G$3="No"),SUM(K40:L40),IF(AND($G$2="Yes", $G$3="No"), SUM(K40:L40)+S40, IF(AND($G$2="No", $G$3="Yes"),SUM(K40:L40)+R40, SUM(K40:L40)+S40+R40)))</f>
        <v>-9.1139048141381296E-2</v>
      </c>
      <c r="G40" s="877">
        <f>IF(AND($G$2="No",$G$3="No"),SUM(I40:Q40),IF(AND($G$2="Yes", $G$3="No"), SUM(I40:Q40)+S40, IF(AND($G$2="No", $G$3="Yes"),SUM(I40:Q40)+R40, SUM(I40:Q40)+S40+R40)))</f>
        <v>-2.332282351344013E-2</v>
      </c>
      <c r="H40" s="878">
        <f>SUM(U40:W40)/(1-'Common input data'!$B$140)</f>
        <v>0.18698791799326875</v>
      </c>
      <c r="I40" s="877">
        <f>('Input data plant-based products'!$F$101*('Common input data'!$C$93*'Common input data'!B86+'Common input data'!$C$94*'Common input data'!C86))/'Input data plant-based products'!$E$101</f>
        <v>2.8465308305059365E-3</v>
      </c>
      <c r="J40" s="877">
        <f>'Common input data'!$B$98</f>
        <v>0.03</v>
      </c>
      <c r="K40" s="877">
        <v>0</v>
      </c>
      <c r="L40" s="877">
        <v>0</v>
      </c>
      <c r="M40" s="877"/>
      <c r="N40" s="877">
        <f>('Input data plant-based products'!$P$101*'Common input data'!$C$76*'Common input data'!H66)/'Input data plant-based products'!$E$101</f>
        <v>3.4969693797435232E-2</v>
      </c>
      <c r="O40" s="877">
        <v>0</v>
      </c>
      <c r="P40" s="877">
        <v>0</v>
      </c>
      <c r="Q40" s="877">
        <v>0</v>
      </c>
      <c r="R40" s="877">
        <f>'Common input data'!$F$19</f>
        <v>-9.1139048141381296E-2</v>
      </c>
      <c r="S40" s="877">
        <v>0</v>
      </c>
      <c r="T40" s="877">
        <v>0</v>
      </c>
      <c r="U40" s="877">
        <f>G40+T40</f>
        <v>-2.332282351344013E-2</v>
      </c>
      <c r="V40" s="877">
        <f>'Common input data'!$B$105</f>
        <v>0.05</v>
      </c>
      <c r="W40" s="877">
        <f>'Common input data'!B116+'Common input data'!C116</f>
        <v>0.13</v>
      </c>
      <c r="X40" s="879"/>
      <c r="Y40" s="879"/>
      <c r="Z40" s="877"/>
      <c r="AA40" s="877"/>
      <c r="AB40" s="877"/>
      <c r="AC40" s="877"/>
      <c r="AD40" s="886"/>
      <c r="AE40" s="877"/>
      <c r="AF40" s="879"/>
      <c r="AG40" s="877"/>
      <c r="AH40" s="877"/>
      <c r="AI40" s="877"/>
      <c r="AJ40" s="877"/>
      <c r="AK40" s="886"/>
      <c r="AL40" s="877"/>
      <c r="AM40" s="879"/>
      <c r="AN40" s="877"/>
      <c r="AO40" s="877"/>
      <c r="AP40" s="877"/>
      <c r="AQ40" s="877"/>
      <c r="AR40" s="886"/>
      <c r="AS40" s="877"/>
      <c r="AT40" s="879"/>
      <c r="AU40" s="877"/>
      <c r="AV40" s="877"/>
      <c r="AW40" s="877"/>
      <c r="AX40" s="877"/>
      <c r="AY40" s="886"/>
      <c r="AZ40" s="877"/>
      <c r="BA40" s="879"/>
      <c r="BB40" s="877"/>
      <c r="BC40" s="877"/>
      <c r="BD40" s="877"/>
      <c r="BE40" s="877"/>
      <c r="BF40" s="886"/>
      <c r="BG40" s="877"/>
      <c r="BH40" s="879"/>
      <c r="BI40" s="877"/>
      <c r="BJ40" s="877"/>
      <c r="BK40" s="877"/>
      <c r="BL40" s="877"/>
      <c r="BM40" s="886"/>
      <c r="BN40" s="877"/>
      <c r="BO40" s="879"/>
      <c r="BP40" s="877"/>
      <c r="BQ40" s="877"/>
      <c r="BR40" s="877"/>
      <c r="BS40" s="877"/>
      <c r="BT40" s="886"/>
      <c r="BU40" s="877"/>
      <c r="BV40" s="879"/>
      <c r="BW40" s="886"/>
    </row>
    <row r="41" spans="1:253" s="406" customFormat="1" ht="17.25">
      <c r="A41" s="499"/>
      <c r="B41" s="55"/>
      <c r="C41" s="595"/>
      <c r="D41" s="50"/>
      <c r="E41" s="1294" t="s">
        <v>367</v>
      </c>
      <c r="F41" s="928">
        <f>SUM(K41:L41)</f>
        <v>0</v>
      </c>
      <c r="G41" s="877">
        <f>SUM(I41:Q41)</f>
        <v>2.0712214693591282E-5</v>
      </c>
      <c r="H41" s="878">
        <f>SUM(U41:W41)/(1-'Common input data'!$B$140)</f>
        <v>2.4719196435841129E-5</v>
      </c>
      <c r="I41" s="877">
        <f>('Input data plant-based products'!$F$101*('Common input data'!$C$93*'Common input data'!B87+'Common input data'!$C$94*'Common input data'!C87))/'Input data plant-based products'!$E$101</f>
        <v>5.2218195090846043E-6</v>
      </c>
      <c r="J41" s="877">
        <v>0</v>
      </c>
      <c r="K41" s="877">
        <v>0</v>
      </c>
      <c r="L41" s="877">
        <v>0</v>
      </c>
      <c r="M41" s="877"/>
      <c r="N41" s="877">
        <f>('Input data plant-based products'!$P$101*'Common input data'!$C$76*'Common input data'!H67)/'Input data plant-based products'!$E$101</f>
        <v>1.5490395184506676E-5</v>
      </c>
      <c r="O41" s="877">
        <v>0</v>
      </c>
      <c r="P41" s="877">
        <v>0</v>
      </c>
      <c r="Q41" s="877">
        <v>0</v>
      </c>
      <c r="R41" s="877">
        <v>0</v>
      </c>
      <c r="S41" s="877">
        <v>0</v>
      </c>
      <c r="T41" s="877">
        <v>0</v>
      </c>
      <c r="U41" s="877">
        <f>G41+T41</f>
        <v>2.0712214693591282E-5</v>
      </c>
      <c r="V41" s="877">
        <v>0</v>
      </c>
      <c r="W41" s="877">
        <v>0</v>
      </c>
      <c r="X41" s="879"/>
      <c r="Y41" s="879"/>
      <c r="Z41" s="877"/>
      <c r="AA41" s="877"/>
      <c r="AB41" s="877"/>
      <c r="AC41" s="877"/>
      <c r="AD41" s="886"/>
      <c r="AE41" s="877"/>
      <c r="AF41" s="879"/>
      <c r="AG41" s="877"/>
      <c r="AH41" s="877"/>
      <c r="AI41" s="877"/>
      <c r="AJ41" s="877"/>
      <c r="AK41" s="886"/>
      <c r="AL41" s="877"/>
      <c r="AM41" s="879"/>
      <c r="AN41" s="877"/>
      <c r="AO41" s="877"/>
      <c r="AP41" s="877"/>
      <c r="AQ41" s="877"/>
      <c r="AR41" s="886"/>
      <c r="AS41" s="877"/>
      <c r="AT41" s="879"/>
      <c r="AU41" s="877"/>
      <c r="AV41" s="877"/>
      <c r="AW41" s="877"/>
      <c r="AX41" s="877"/>
      <c r="AY41" s="886"/>
      <c r="AZ41" s="877"/>
      <c r="BA41" s="879"/>
      <c r="BB41" s="877"/>
      <c r="BC41" s="877"/>
      <c r="BD41" s="877"/>
      <c r="BE41" s="877"/>
      <c r="BF41" s="886"/>
      <c r="BG41" s="877"/>
      <c r="BH41" s="879"/>
      <c r="BI41" s="877"/>
      <c r="BJ41" s="877"/>
      <c r="BK41" s="877"/>
      <c r="BL41" s="877"/>
      <c r="BM41" s="886"/>
      <c r="BN41" s="877"/>
      <c r="BO41" s="879"/>
      <c r="BP41" s="877"/>
      <c r="BQ41" s="877"/>
      <c r="BR41" s="877"/>
      <c r="BS41" s="877"/>
      <c r="BT41" s="886"/>
      <c r="BU41" s="877"/>
      <c r="BV41" s="879"/>
      <c r="BW41" s="886"/>
    </row>
    <row r="42" spans="1:253" s="406" customFormat="1" ht="17.25">
      <c r="A42" s="18"/>
      <c r="B42" s="360"/>
      <c r="C42" s="83"/>
      <c r="D42" s="54"/>
      <c r="E42" s="1295" t="s">
        <v>320</v>
      </c>
      <c r="F42" s="928">
        <f>SUM(K42:L42)</f>
        <v>2.5735804223111205E-5</v>
      </c>
      <c r="G42" s="877">
        <f>SUM(I42:Q42)</f>
        <v>3.2929808732796107E-5</v>
      </c>
      <c r="H42" s="878">
        <f>SUM(U42:W42)/(1-'Common input data'!$B$140)</f>
        <v>3.9300404263988672E-5</v>
      </c>
      <c r="I42" s="877">
        <f>('Input data plant-based products'!$F$101*('Common input data'!$C$93*'Common input data'!B88+'Common input data'!$C$94*'Common input data'!C88))/'Input data plant-based products'!$E$101</f>
        <v>6.2543552032206241E-6</v>
      </c>
      <c r="J42" s="877">
        <v>0</v>
      </c>
      <c r="K42" s="877">
        <f>(SUM(('Input data plant-based products'!$F$101*'Input data plant-based products'!$B$258),(('Input data plant-based products'!$G$101+'Input data plant-based products'!$H$101)*'Input data plant-based products'!$B$259))*44/28)/'Input data plant-based products'!$E$101</f>
        <v>2.3396185657373824E-5</v>
      </c>
      <c r="L42" s="877">
        <f>K42*'Input data plant-based products'!$B$261</f>
        <v>2.3396185657373827E-6</v>
      </c>
      <c r="M42" s="877"/>
      <c r="N42" s="877">
        <f>('Input data plant-based products'!$P$101*'Common input data'!$C$76*'Common input data'!H68)/'Input data plant-based products'!$E$101</f>
        <v>9.3964930646427654E-7</v>
      </c>
      <c r="O42" s="877">
        <v>0</v>
      </c>
      <c r="P42" s="877">
        <v>0</v>
      </c>
      <c r="Q42" s="877">
        <v>0</v>
      </c>
      <c r="R42" s="877">
        <v>0</v>
      </c>
      <c r="S42" s="877">
        <v>0</v>
      </c>
      <c r="T42" s="877">
        <v>0</v>
      </c>
      <c r="U42" s="877">
        <f>G42+T42</f>
        <v>3.2929808732796107E-5</v>
      </c>
      <c r="V42" s="877">
        <v>0</v>
      </c>
      <c r="W42" s="877">
        <v>0</v>
      </c>
      <c r="X42" s="879"/>
      <c r="Y42" s="879"/>
      <c r="Z42" s="877"/>
      <c r="AA42" s="877"/>
      <c r="AB42" s="877"/>
      <c r="AC42" s="877"/>
      <c r="AD42" s="886"/>
      <c r="AE42" s="877"/>
      <c r="AF42" s="879"/>
      <c r="AG42" s="877"/>
      <c r="AH42" s="877"/>
      <c r="AI42" s="877"/>
      <c r="AJ42" s="877"/>
      <c r="AK42" s="886"/>
      <c r="AL42" s="877"/>
      <c r="AM42" s="879"/>
      <c r="AN42" s="877"/>
      <c r="AO42" s="877"/>
      <c r="AP42" s="877"/>
      <c r="AQ42" s="877"/>
      <c r="AR42" s="886"/>
      <c r="AS42" s="877"/>
      <c r="AT42" s="879"/>
      <c r="AU42" s="877"/>
      <c r="AV42" s="877"/>
      <c r="AW42" s="877"/>
      <c r="AX42" s="877"/>
      <c r="AY42" s="886"/>
      <c r="AZ42" s="877"/>
      <c r="BA42" s="879"/>
      <c r="BB42" s="877"/>
      <c r="BC42" s="877"/>
      <c r="BD42" s="877"/>
      <c r="BE42" s="877"/>
      <c r="BF42" s="886"/>
      <c r="BG42" s="877"/>
      <c r="BH42" s="879"/>
      <c r="BI42" s="877"/>
      <c r="BJ42" s="877"/>
      <c r="BK42" s="877"/>
      <c r="BL42" s="877"/>
      <c r="BM42" s="886"/>
      <c r="BN42" s="877"/>
      <c r="BO42" s="879"/>
      <c r="BP42" s="877"/>
      <c r="BQ42" s="877"/>
      <c r="BR42" s="877"/>
      <c r="BS42" s="877"/>
      <c r="BT42" s="886"/>
      <c r="BU42" s="877"/>
      <c r="BV42" s="879"/>
      <c r="BW42" s="886"/>
    </row>
    <row r="43" spans="1:253" s="502" customFormat="1" ht="17.25">
      <c r="A43" s="20" t="s">
        <v>148</v>
      </c>
      <c r="B43" s="93" t="s">
        <v>121</v>
      </c>
      <c r="C43" s="87">
        <f>'Input data plant-based products'!D102</f>
        <v>0.4862756560987116</v>
      </c>
      <c r="D43" s="54"/>
      <c r="E43" s="1293" t="s">
        <v>316</v>
      </c>
      <c r="F43" s="930">
        <f>SUMPRODUCT($CI$4:$CI$6,F44:F46)</f>
        <v>-7.5363652145520321E-3</v>
      </c>
      <c r="G43" s="872">
        <f>SUMPRODUCT($CI$4:$CI$6,G44:G46)</f>
        <v>0.12338912326112812</v>
      </c>
      <c r="H43" s="873">
        <f>SUMPRODUCT($CI$4:$CI$6,H44:H46)</f>
        <v>0.36208273452813955</v>
      </c>
      <c r="I43" s="884"/>
      <c r="J43" s="884"/>
      <c r="K43" s="884"/>
      <c r="L43" s="884"/>
      <c r="M43" s="884"/>
      <c r="N43" s="884"/>
      <c r="O43" s="884"/>
      <c r="P43" s="884"/>
      <c r="Q43" s="884"/>
      <c r="R43" s="884"/>
      <c r="S43" s="884"/>
      <c r="T43" s="884"/>
      <c r="U43" s="884"/>
      <c r="V43" s="884"/>
      <c r="W43" s="884"/>
      <c r="X43" s="879"/>
      <c r="Y43" s="879">
        <f>1/'Input data plant-based products'!E102*10^4</f>
        <v>0.27716186252771619</v>
      </c>
      <c r="Z43" s="877">
        <f>$Y43*'Input data plant-based products'!Z102</f>
        <v>0.27716186252771619</v>
      </c>
      <c r="AA43" s="877">
        <f>$Y43*'Input data plant-based products'!AA102</f>
        <v>0.27716186252771619</v>
      </c>
      <c r="AB43" s="877">
        <f>$Y43*'Input data plant-based products'!AB102</f>
        <v>0.27716186252771619</v>
      </c>
      <c r="AC43" s="877">
        <f>$Y43*'Input data plant-based products'!AC102</f>
        <v>0.33078155212760019</v>
      </c>
      <c r="AD43" s="886">
        <f>$Y43*'Input data plant-based products'!AD102</f>
        <v>0.40837228657728408</v>
      </c>
      <c r="AE43" s="877"/>
      <c r="AF43" s="879">
        <f>SUM('Input data plant-based products'!F102,'Input data plant-based products'!Q102)/'Input data plant-based products'!E102</f>
        <v>1.078159645232816E-2</v>
      </c>
      <c r="AG43" s="877">
        <f>$AF43*'Input data plant-based products'!Z102</f>
        <v>1.078159645232816E-2</v>
      </c>
      <c r="AH43" s="877">
        <f>$AF43*'Input data plant-based products'!AA102</f>
        <v>1.078159645232816E-2</v>
      </c>
      <c r="AI43" s="877">
        <f>$AF43*'Input data plant-based products'!AB102</f>
        <v>1.078159645232816E-2</v>
      </c>
      <c r="AJ43" s="877">
        <f>$AF43*'Input data plant-based products'!AC102</f>
        <v>1.2867402377763647E-2</v>
      </c>
      <c r="AK43" s="886">
        <f>$AF43*'Input data plant-based products'!AD102</f>
        <v>1.5885681947856351E-2</v>
      </c>
      <c r="AL43" s="877"/>
      <c r="AM43" s="879">
        <f>'Input data plant-based products'!R102/'Input data plant-based products'!E102</f>
        <v>2.8776978417266188E-3</v>
      </c>
      <c r="AN43" s="877">
        <f>$AM43*'Input data plant-based products'!Z102</f>
        <v>2.8776978417266188E-3</v>
      </c>
      <c r="AO43" s="877">
        <f>$AM43*'Input data plant-based products'!AA102</f>
        <v>2.8776978417266188E-3</v>
      </c>
      <c r="AP43" s="877">
        <f>$AM43*'Input data plant-based products'!AB102</f>
        <v>2.8776978417266188E-3</v>
      </c>
      <c r="AQ43" s="877">
        <f>$AM43*'Input data plant-based products'!AC102</f>
        <v>3.4344168059751985E-3</v>
      </c>
      <c r="AR43" s="886">
        <f>$AM43*'Input data plant-based products'!AD102</f>
        <v>4.2400207481175286E-3</v>
      </c>
      <c r="AS43" s="877"/>
      <c r="AT43" s="879">
        <f>'Input data plant-based products'!S102</f>
        <v>2E-3</v>
      </c>
      <c r="AU43" s="877">
        <f>$AT43*'Input data plant-based products'!Z102</f>
        <v>2E-3</v>
      </c>
      <c r="AV43" s="877">
        <f>$AT43*'Input data plant-based products'!AA102</f>
        <v>2E-3</v>
      </c>
      <c r="AW43" s="877">
        <f>$AT43*'Input data plant-based products'!AB102</f>
        <v>2E-3</v>
      </c>
      <c r="AX43" s="877">
        <f>$AT43*'Input data plant-based products'!AC102</f>
        <v>2.386919680152763E-3</v>
      </c>
      <c r="AY43" s="886">
        <f>$AT43*'Input data plant-based products'!AD102</f>
        <v>2.9468144199416824E-3</v>
      </c>
      <c r="AZ43" s="877"/>
      <c r="BA43" s="879">
        <f>((SUM('Input data plant-based products'!U102:Y102)*Y43)/('Common input data'!$B$192/10^6))/$BB$3</f>
        <v>6.1330443612586151E-12</v>
      </c>
      <c r="BB43" s="877">
        <f>$BA43*'Input data plant-based products'!Z102</f>
        <v>6.1330443612586151E-12</v>
      </c>
      <c r="BC43" s="877">
        <f>$BA43*'Input data plant-based products'!AA102</f>
        <v>6.1330443612586151E-12</v>
      </c>
      <c r="BD43" s="877">
        <f>$BA43*'Input data plant-based products'!AB102</f>
        <v>6.1330443612586151E-12</v>
      </c>
      <c r="BE43" s="877">
        <f>$BA43*'Input data plant-based products'!AC102</f>
        <v>7.3195421425690595E-12</v>
      </c>
      <c r="BF43" s="886">
        <f>$BA43*'Input data plant-based products'!AD102</f>
        <v>9.0364717809494545E-12</v>
      </c>
      <c r="BG43" s="877"/>
      <c r="BH43" s="879">
        <f>'Input data plant-based products'!T102/'Input data plant-based products'!E102</f>
        <v>4.6507760532150781E-4</v>
      </c>
      <c r="BI43" s="877">
        <f>$BH43*'Input data plant-based products'!Z102</f>
        <v>4.6507760532150781E-4</v>
      </c>
      <c r="BJ43" s="877">
        <f>$BH43*'Input data plant-based products'!AA102</f>
        <v>4.6507760532150781E-4</v>
      </c>
      <c r="BK43" s="877">
        <f>$BH43*'Input data plant-based products'!AB102</f>
        <v>4.6507760532150781E-4</v>
      </c>
      <c r="BL43" s="877">
        <f>$BH43*'Input data plant-based products'!AC102</f>
        <v>5.5505144447011315E-4</v>
      </c>
      <c r="BM43" s="886">
        <f>$BH43*'Input data plant-based products'!AD102</f>
        <v>6.8524869687668283E-4</v>
      </c>
      <c r="BN43" s="877"/>
      <c r="BO43" s="879">
        <f>('Input data plant-based products'!F102/'Input data plant-based products'!E102*'Common input data'!$B$195+'Input data plant-based products'!G102/'Input data plant-based products'!E102*'Common input data'!$B$196)/'Common input data'!$B$198</f>
        <v>4.2570375843120568E-4</v>
      </c>
      <c r="BP43" s="877">
        <f>$BO43*'Input data plant-based products'!Z102</f>
        <v>4.2570375843120568E-4</v>
      </c>
      <c r="BQ43" s="877">
        <f>$BO43*'Input data plant-based products'!AA102</f>
        <v>4.2570375843120568E-4</v>
      </c>
      <c r="BR43" s="877">
        <f>$BO43*'Input data plant-based products'!AB102</f>
        <v>4.2570375843120568E-4</v>
      </c>
      <c r="BS43" s="877">
        <f>$BO43*'Input data plant-based products'!AC102</f>
        <v>5.0806033945722119E-4</v>
      </c>
      <c r="BT43" s="886">
        <f>$BO43*'Input data plant-based products'!AD102</f>
        <v>6.2723498698422368E-4</v>
      </c>
      <c r="BU43" s="877"/>
      <c r="BV43" s="879">
        <f>('Common input data'!$C$202+'Common input data'!$B$209)*'Input data plant-based products'!AC102</f>
        <v>0.80081155269125193</v>
      </c>
      <c r="BW43" s="886">
        <f>('Common input data'!$C$202+'Common input data'!$B$209)*'Input data plant-based products'!AD102</f>
        <v>0.98865623789043444</v>
      </c>
      <c r="BX43" s="406"/>
      <c r="BY43" s="406"/>
      <c r="BZ43" s="406"/>
      <c r="CA43" s="406"/>
      <c r="CB43" s="406"/>
      <c r="CC43" s="406"/>
      <c r="CD43" s="406"/>
      <c r="CE43" s="406"/>
      <c r="CF43" s="406"/>
      <c r="CG43" s="406"/>
      <c r="CH43" s="406"/>
      <c r="CI43" s="406"/>
      <c r="CJ43" s="406"/>
      <c r="CK43" s="406"/>
      <c r="CL43" s="406"/>
      <c r="CM43" s="406"/>
      <c r="CN43" s="406"/>
      <c r="CO43" s="406"/>
      <c r="CP43" s="406"/>
      <c r="CQ43" s="406"/>
      <c r="CR43" s="406"/>
      <c r="CS43" s="406"/>
      <c r="CT43" s="406"/>
      <c r="CU43" s="406"/>
      <c r="CV43" s="406"/>
      <c r="CW43" s="406"/>
      <c r="CX43" s="406"/>
      <c r="CY43" s="406"/>
      <c r="CZ43" s="406"/>
      <c r="DA43" s="406"/>
      <c r="DB43" s="406"/>
      <c r="DC43" s="406"/>
      <c r="DD43" s="406"/>
      <c r="DE43" s="406"/>
      <c r="DF43" s="406"/>
      <c r="DG43" s="406"/>
      <c r="DH43" s="406"/>
      <c r="DI43" s="406"/>
      <c r="DJ43" s="406"/>
      <c r="DK43" s="406"/>
      <c r="DL43" s="406"/>
      <c r="DM43" s="406"/>
      <c r="DN43" s="406"/>
      <c r="DO43" s="406"/>
      <c r="DP43" s="406"/>
      <c r="DQ43" s="406"/>
      <c r="DR43" s="406"/>
      <c r="DS43" s="406"/>
      <c r="DT43" s="406"/>
      <c r="DU43" s="406"/>
      <c r="DV43" s="406"/>
      <c r="DW43" s="406"/>
      <c r="DX43" s="406"/>
      <c r="DY43" s="406"/>
      <c r="DZ43" s="406"/>
      <c r="EA43" s="406"/>
      <c r="EB43" s="406"/>
      <c r="EC43" s="406"/>
      <c r="ED43" s="406"/>
      <c r="EE43" s="406"/>
      <c r="EF43" s="406"/>
      <c r="EG43" s="406"/>
      <c r="EH43" s="406"/>
      <c r="EI43" s="406"/>
      <c r="EJ43" s="406"/>
      <c r="EK43" s="406"/>
      <c r="EL43" s="406"/>
      <c r="EM43" s="406"/>
      <c r="EN43" s="406"/>
      <c r="EO43" s="406"/>
      <c r="EP43" s="406"/>
      <c r="EQ43" s="406"/>
      <c r="ER43" s="406"/>
      <c r="ES43" s="406"/>
      <c r="ET43" s="406"/>
      <c r="EU43" s="406"/>
      <c r="EV43" s="406"/>
      <c r="EW43" s="406"/>
      <c r="EX43" s="406"/>
      <c r="EY43" s="406"/>
      <c r="EZ43" s="406"/>
      <c r="FA43" s="406"/>
      <c r="FB43" s="406"/>
      <c r="FC43" s="406"/>
      <c r="FD43" s="406"/>
      <c r="FE43" s="406"/>
      <c r="FF43" s="406"/>
      <c r="FG43" s="406"/>
      <c r="FH43" s="406"/>
      <c r="FI43" s="406"/>
      <c r="FJ43" s="406"/>
      <c r="FK43" s="406"/>
      <c r="FL43" s="406"/>
      <c r="FM43" s="406"/>
      <c r="FN43" s="406"/>
      <c r="FO43" s="406"/>
      <c r="FP43" s="406"/>
      <c r="FQ43" s="406"/>
      <c r="FR43" s="406"/>
      <c r="FS43" s="406"/>
      <c r="FT43" s="406"/>
      <c r="FU43" s="406"/>
      <c r="FV43" s="406"/>
      <c r="FW43" s="406"/>
      <c r="FX43" s="406"/>
      <c r="FY43" s="406"/>
      <c r="FZ43" s="406"/>
      <c r="GA43" s="406"/>
      <c r="GB43" s="406"/>
      <c r="GC43" s="406"/>
      <c r="GD43" s="406"/>
      <c r="GE43" s="406"/>
      <c r="GF43" s="406"/>
      <c r="GG43" s="406"/>
      <c r="GH43" s="406"/>
      <c r="GI43" s="406"/>
      <c r="GJ43" s="406"/>
      <c r="GK43" s="406"/>
      <c r="GL43" s="406"/>
      <c r="GM43" s="406"/>
      <c r="GN43" s="406"/>
      <c r="GO43" s="406"/>
      <c r="GP43" s="406"/>
      <c r="GQ43" s="406"/>
      <c r="GR43" s="406"/>
      <c r="GS43" s="406"/>
      <c r="GT43" s="406"/>
      <c r="GU43" s="406"/>
      <c r="GV43" s="406"/>
      <c r="GW43" s="406"/>
      <c r="GX43" s="406"/>
      <c r="GY43" s="406"/>
      <c r="GZ43" s="406"/>
      <c r="HA43" s="406"/>
      <c r="HB43" s="406"/>
      <c r="HC43" s="406"/>
      <c r="HD43" s="406"/>
      <c r="HE43" s="406"/>
      <c r="HF43" s="406"/>
      <c r="HG43" s="406"/>
      <c r="HH43" s="406"/>
      <c r="HI43" s="406"/>
      <c r="HJ43" s="406"/>
      <c r="HK43" s="406"/>
      <c r="HL43" s="406"/>
      <c r="HM43" s="406"/>
      <c r="HN43" s="406"/>
      <c r="HO43" s="406"/>
      <c r="HP43" s="406"/>
      <c r="HQ43" s="406"/>
      <c r="HR43" s="406"/>
      <c r="HS43" s="406"/>
      <c r="HT43" s="406"/>
      <c r="HU43" s="406"/>
      <c r="HV43" s="406"/>
      <c r="HW43" s="406"/>
      <c r="HX43" s="406"/>
      <c r="HY43" s="406"/>
      <c r="HZ43" s="406"/>
      <c r="IA43" s="406"/>
      <c r="IB43" s="406"/>
      <c r="IC43" s="406"/>
      <c r="ID43" s="406"/>
      <c r="IE43" s="406"/>
      <c r="IF43" s="406"/>
      <c r="IG43" s="406"/>
      <c r="IH43" s="406"/>
      <c r="II43" s="406"/>
      <c r="IJ43" s="406"/>
      <c r="IK43" s="406"/>
      <c r="IL43" s="406"/>
      <c r="IM43" s="406"/>
      <c r="IN43" s="406"/>
      <c r="IO43" s="406"/>
      <c r="IP43" s="406"/>
      <c r="IQ43" s="406"/>
      <c r="IR43" s="406"/>
      <c r="IS43" s="406"/>
    </row>
    <row r="44" spans="1:253" s="406" customFormat="1" ht="17.25">
      <c r="A44" s="18"/>
      <c r="B44" s="55"/>
      <c r="C44" s="917"/>
      <c r="D44" s="5"/>
      <c r="E44" s="1294" t="s">
        <v>317</v>
      </c>
      <c r="F44" s="928">
        <f>IF(AND($G$2="No",$G$3="No"),SUM(K44:L44),IF(AND($G$2="Yes", $G$3="No"), SUM(K44:L44)+S44, IF(AND($G$2="No", $G$3="Yes"),SUM(K44:L44)+R44, SUM(K44:L44)+S44+R44)))</f>
        <v>-9.1139048141381296E-2</v>
      </c>
      <c r="G44" s="877">
        <f>IF(AND($G$2="No",$G$3="No"),SUM(I44:Q44),IF(AND($G$2="Yes", $G$3="No"), SUM(I44:Q44)+S44, IF(AND($G$2="No", $G$3="Yes"),SUM(I44:Q44)+R44, SUM(I44:Q44)+S44+R44)))</f>
        <v>1.2784124142511871E-2</v>
      </c>
      <c r="H44" s="878">
        <f>SUM(U44:W44)/(1-'Common input data'!$B$140)</f>
        <v>0.23008010996838751</v>
      </c>
      <c r="I44" s="877">
        <f>('Input data plant-based products'!$F$102*('Common input data'!$C$93*'Common input data'!B86+'Common input data'!$C$94*'Common input data'!C86))/'Input data plant-based products'!$E$102</f>
        <v>4.05924405765761E-2</v>
      </c>
      <c r="J44" s="877">
        <f>'Common input data'!$B$98</f>
        <v>0.03</v>
      </c>
      <c r="K44" s="877">
        <v>0</v>
      </c>
      <c r="L44" s="877">
        <v>0</v>
      </c>
      <c r="M44" s="877"/>
      <c r="N44" s="877">
        <f>('Input data plant-based products'!$P$102*'Common input data'!$C$76*'Common input data'!H66)/'Input data plant-based products'!$E$102</f>
        <v>3.3330731707317075E-2</v>
      </c>
      <c r="O44" s="877">
        <v>0</v>
      </c>
      <c r="P44" s="877">
        <v>0</v>
      </c>
      <c r="Q44" s="877">
        <v>0</v>
      </c>
      <c r="R44" s="877">
        <f>'Common input data'!$F$19</f>
        <v>-9.1139048141381296E-2</v>
      </c>
      <c r="S44" s="877">
        <v>0</v>
      </c>
      <c r="T44" s="877">
        <v>0</v>
      </c>
      <c r="U44" s="877">
        <f>G44+T44</f>
        <v>1.2784124142511871E-2</v>
      </c>
      <c r="V44" s="877">
        <f>'Common input data'!$B$105</f>
        <v>0.05</v>
      </c>
      <c r="W44" s="877">
        <f>'Common input data'!B116+'Common input data'!C116</f>
        <v>0.13</v>
      </c>
      <c r="X44" s="879"/>
      <c r="Y44" s="879"/>
      <c r="Z44" s="877"/>
      <c r="AA44" s="877"/>
      <c r="AB44" s="877"/>
      <c r="AC44" s="877"/>
      <c r="AD44" s="886"/>
      <c r="AE44" s="877"/>
      <c r="AF44" s="879"/>
      <c r="AG44" s="877"/>
      <c r="AH44" s="877"/>
      <c r="AI44" s="877"/>
      <c r="AJ44" s="877"/>
      <c r="AK44" s="886"/>
      <c r="AL44" s="877"/>
      <c r="AM44" s="879"/>
      <c r="AN44" s="877"/>
      <c r="AO44" s="877"/>
      <c r="AP44" s="877"/>
      <c r="AQ44" s="877"/>
      <c r="AR44" s="886"/>
      <c r="AS44" s="877"/>
      <c r="AT44" s="879"/>
      <c r="AU44" s="877"/>
      <c r="AV44" s="877"/>
      <c r="AW44" s="877"/>
      <c r="AX44" s="877"/>
      <c r="AY44" s="886"/>
      <c r="AZ44" s="877"/>
      <c r="BA44" s="879"/>
      <c r="BB44" s="877"/>
      <c r="BC44" s="877"/>
      <c r="BD44" s="877"/>
      <c r="BE44" s="877"/>
      <c r="BF44" s="886"/>
      <c r="BG44" s="877"/>
      <c r="BH44" s="879"/>
      <c r="BI44" s="877"/>
      <c r="BJ44" s="877"/>
      <c r="BK44" s="877"/>
      <c r="BL44" s="877"/>
      <c r="BM44" s="886"/>
      <c r="BN44" s="877"/>
      <c r="BO44" s="879"/>
      <c r="BP44" s="877"/>
      <c r="BQ44" s="877"/>
      <c r="BR44" s="877"/>
      <c r="BS44" s="877"/>
      <c r="BT44" s="886"/>
      <c r="BU44" s="877"/>
      <c r="BV44" s="879"/>
      <c r="BW44" s="886"/>
    </row>
    <row r="45" spans="1:253" s="406" customFormat="1" ht="17.25">
      <c r="A45" s="18"/>
      <c r="B45" s="55"/>
      <c r="C45" s="595"/>
      <c r="D45" s="50"/>
      <c r="E45" s="1294" t="s">
        <v>367</v>
      </c>
      <c r="F45" s="928">
        <f>SUM(K45:L45)</f>
        <v>0</v>
      </c>
      <c r="G45" s="877">
        <f>SUM(I45:Q45)</f>
        <v>8.9229207505849359E-5</v>
      </c>
      <c r="H45" s="878">
        <f>SUM(U45:W45)/(1-'Common input data'!$B$140)</f>
        <v>1.0649147572007323E-4</v>
      </c>
      <c r="I45" s="877">
        <f>('Input data plant-based products'!$F$102*('Common input data'!$C$93*'Common input data'!B87+'Common input data'!$C$94*'Common input data'!C87))/'Input data plant-based products'!$E$102</f>
        <v>7.4464817261946916E-5</v>
      </c>
      <c r="J45" s="877">
        <v>0</v>
      </c>
      <c r="K45" s="877">
        <v>0</v>
      </c>
      <c r="L45" s="877">
        <v>0</v>
      </c>
      <c r="M45" s="877"/>
      <c r="N45" s="877">
        <f>('Input data plant-based products'!$P$102*'Common input data'!$C$76*'Common input data'!H67)/'Input data plant-based products'!$E$102</f>
        <v>1.4764390243902441E-5</v>
      </c>
      <c r="O45" s="877">
        <v>0</v>
      </c>
      <c r="P45" s="877">
        <v>0</v>
      </c>
      <c r="Q45" s="877">
        <v>0</v>
      </c>
      <c r="R45" s="877">
        <v>0</v>
      </c>
      <c r="S45" s="877">
        <v>0</v>
      </c>
      <c r="T45" s="877">
        <v>0</v>
      </c>
      <c r="U45" s="877">
        <f>G45+T45</f>
        <v>8.9229207505849359E-5</v>
      </c>
      <c r="V45" s="877">
        <v>0</v>
      </c>
      <c r="W45" s="877">
        <v>0</v>
      </c>
      <c r="X45" s="879"/>
      <c r="Y45" s="879"/>
      <c r="Z45" s="877"/>
      <c r="AA45" s="877"/>
      <c r="AB45" s="877"/>
      <c r="AC45" s="877"/>
      <c r="AD45" s="886"/>
      <c r="AE45" s="877"/>
      <c r="AF45" s="879"/>
      <c r="AG45" s="877"/>
      <c r="AH45" s="877"/>
      <c r="AI45" s="877"/>
      <c r="AJ45" s="877"/>
      <c r="AK45" s="886"/>
      <c r="AL45" s="877"/>
      <c r="AM45" s="879"/>
      <c r="AN45" s="877"/>
      <c r="AO45" s="877"/>
      <c r="AP45" s="877"/>
      <c r="AQ45" s="877"/>
      <c r="AR45" s="886"/>
      <c r="AS45" s="877"/>
      <c r="AT45" s="879"/>
      <c r="AU45" s="877"/>
      <c r="AV45" s="877"/>
      <c r="AW45" s="877"/>
      <c r="AX45" s="877"/>
      <c r="AY45" s="886"/>
      <c r="AZ45" s="877"/>
      <c r="BA45" s="879"/>
      <c r="BB45" s="877"/>
      <c r="BC45" s="877"/>
      <c r="BD45" s="877"/>
      <c r="BE45" s="877"/>
      <c r="BF45" s="886"/>
      <c r="BG45" s="877"/>
      <c r="BH45" s="879"/>
      <c r="BI45" s="877"/>
      <c r="BJ45" s="877"/>
      <c r="BK45" s="877"/>
      <c r="BL45" s="877"/>
      <c r="BM45" s="886"/>
      <c r="BN45" s="877"/>
      <c r="BO45" s="879"/>
      <c r="BP45" s="877"/>
      <c r="BQ45" s="877"/>
      <c r="BR45" s="877"/>
      <c r="BS45" s="877"/>
      <c r="BT45" s="886"/>
      <c r="BU45" s="877"/>
      <c r="BV45" s="879"/>
      <c r="BW45" s="886"/>
    </row>
    <row r="46" spans="1:253" s="406" customFormat="1" ht="17.25">
      <c r="A46" s="18"/>
      <c r="B46" s="360"/>
      <c r="C46" s="83"/>
      <c r="D46" s="54"/>
      <c r="E46" s="1295" t="s">
        <v>320</v>
      </c>
      <c r="F46" s="928">
        <f>SUM(K46:L46)</f>
        <v>3.0623693379790937E-4</v>
      </c>
      <c r="G46" s="877">
        <f>SUM(I46:Q46)</f>
        <v>3.9632165024160556E-4</v>
      </c>
      <c r="H46" s="878">
        <f>SUM(U46:W46)/(1-'Common input data'!$B$140)</f>
        <v>4.7299397331615413E-4</v>
      </c>
      <c r="I46" s="877">
        <f>('Input data plant-based products'!$F$102*('Common input data'!$C$93*'Common input data'!B88+'Common input data'!$C$94*'Common input data'!C88))/'Input data plant-based products'!$E$102</f>
        <v>8.9189106687598632E-5</v>
      </c>
      <c r="J46" s="877">
        <v>0</v>
      </c>
      <c r="K46" s="877">
        <f>(SUM(('Input data plant-based products'!$F$102*'Input data plant-based products'!$B$258),(('Input data plant-based products'!$G$102+'Input data plant-based products'!$H$102)*'Input data plant-based products'!$B$259))*44/28)/'Input data plant-based products'!$E$102</f>
        <v>2.7839721254355399E-4</v>
      </c>
      <c r="L46" s="877">
        <f>K46*'Input data plant-based products'!$B$261</f>
        <v>2.78397212543554E-5</v>
      </c>
      <c r="M46" s="877"/>
      <c r="N46" s="877">
        <f>('Input data plant-based products'!$P$102*'Common input data'!$C$76*'Common input data'!H68)/'Input data plant-based products'!$E$102</f>
        <v>8.9560975609756112E-7</v>
      </c>
      <c r="O46" s="877">
        <v>0</v>
      </c>
      <c r="P46" s="877">
        <v>0</v>
      </c>
      <c r="Q46" s="877">
        <v>0</v>
      </c>
      <c r="R46" s="877">
        <v>0</v>
      </c>
      <c r="S46" s="877">
        <v>0</v>
      </c>
      <c r="T46" s="877">
        <v>0</v>
      </c>
      <c r="U46" s="877">
        <f>G46+T46</f>
        <v>3.9632165024160556E-4</v>
      </c>
      <c r="V46" s="877">
        <v>0</v>
      </c>
      <c r="W46" s="877">
        <v>0</v>
      </c>
      <c r="X46" s="879"/>
      <c r="Y46" s="879"/>
      <c r="Z46" s="877"/>
      <c r="AA46" s="877"/>
      <c r="AB46" s="877"/>
      <c r="AC46" s="877"/>
      <c r="AD46" s="886"/>
      <c r="AE46" s="877"/>
      <c r="AF46" s="879"/>
      <c r="AG46" s="877"/>
      <c r="AH46" s="877"/>
      <c r="AI46" s="877"/>
      <c r="AJ46" s="877"/>
      <c r="AK46" s="886"/>
      <c r="AL46" s="877"/>
      <c r="AM46" s="879"/>
      <c r="AN46" s="877"/>
      <c r="AO46" s="877"/>
      <c r="AP46" s="877"/>
      <c r="AQ46" s="877"/>
      <c r="AR46" s="886"/>
      <c r="AS46" s="877"/>
      <c r="AT46" s="879"/>
      <c r="AU46" s="877"/>
      <c r="AV46" s="877"/>
      <c r="AW46" s="877"/>
      <c r="AX46" s="877"/>
      <c r="AY46" s="886"/>
      <c r="AZ46" s="877"/>
      <c r="BA46" s="879"/>
      <c r="BB46" s="877"/>
      <c r="BC46" s="877"/>
      <c r="BD46" s="877"/>
      <c r="BE46" s="877"/>
      <c r="BF46" s="886"/>
      <c r="BG46" s="877"/>
      <c r="BH46" s="879"/>
      <c r="BI46" s="877"/>
      <c r="BJ46" s="877"/>
      <c r="BK46" s="877"/>
      <c r="BL46" s="877"/>
      <c r="BM46" s="886"/>
      <c r="BN46" s="877"/>
      <c r="BO46" s="879"/>
      <c r="BP46" s="877"/>
      <c r="BQ46" s="877"/>
      <c r="BR46" s="877"/>
      <c r="BS46" s="877"/>
      <c r="BT46" s="886"/>
      <c r="BU46" s="877"/>
      <c r="BV46" s="879"/>
      <c r="BW46" s="886"/>
    </row>
    <row r="47" spans="1:253" s="502" customFormat="1" ht="17.25">
      <c r="A47" s="20" t="s">
        <v>125</v>
      </c>
      <c r="B47" s="93" t="s">
        <v>121</v>
      </c>
      <c r="C47" s="87">
        <f>'Input data plant-based products'!D103</f>
        <v>0.22722923075325785</v>
      </c>
      <c r="D47" s="54"/>
      <c r="E47" s="1293" t="s">
        <v>316</v>
      </c>
      <c r="F47" s="930">
        <f>SUMPRODUCT($CI$4:$CI$6,F48:F50)</f>
        <v>-3.6481148352554268E-2</v>
      </c>
      <c r="G47" s="872">
        <f>SUMPRODUCT($CI$4:$CI$6,G48:G50)</f>
        <v>0.13911521805668589</v>
      </c>
      <c r="H47" s="873">
        <f>SUMPRODUCT($CI$4:$CI$6,H48:H50)</f>
        <v>0.50019718111551015</v>
      </c>
      <c r="I47" s="884"/>
      <c r="J47" s="884"/>
      <c r="K47" s="884"/>
      <c r="L47" s="884"/>
      <c r="M47" s="884"/>
      <c r="N47" s="884"/>
      <c r="O47" s="884"/>
      <c r="P47" s="884"/>
      <c r="Q47" s="884"/>
      <c r="R47" s="884"/>
      <c r="S47" s="884"/>
      <c r="T47" s="884"/>
      <c r="U47" s="884"/>
      <c r="V47" s="884"/>
      <c r="W47" s="884"/>
      <c r="X47" s="879"/>
      <c r="Y47" s="879">
        <f>1/'Input data plant-based products'!E103*10^4</f>
        <v>0.63991809048441795</v>
      </c>
      <c r="Z47" s="877">
        <f>$Y47*'Input data plant-based products'!Z103</f>
        <v>0.63991809048441795</v>
      </c>
      <c r="AA47" s="877">
        <f>$Y47*'Input data plant-based products'!AA103</f>
        <v>0.63991809048441795</v>
      </c>
      <c r="AB47" s="877">
        <f>$Y47*'Input data plant-based products'!AB103</f>
        <v>0.63991809048441795</v>
      </c>
      <c r="AC47" s="877">
        <f>$Y47*'Input data plant-based products'!AC103</f>
        <v>0.76371654193151683</v>
      </c>
      <c r="AD47" s="886">
        <f>$Y47*'Input data plant-based products'!AD103</f>
        <v>0.94285992831051446</v>
      </c>
      <c r="AE47" s="877"/>
      <c r="AF47" s="879">
        <f>SUM('Input data plant-based products'!F103,'Input data plant-based products'!Q103)/'Input data plant-based products'!E103</f>
        <v>1.0814615729186664E-2</v>
      </c>
      <c r="AG47" s="877">
        <f>$AF47*'Input data plant-based products'!Z103</f>
        <v>1.0814615729186664E-2</v>
      </c>
      <c r="AH47" s="877">
        <f>$AF47*'Input data plant-based products'!AA103</f>
        <v>1.0814615729186664E-2</v>
      </c>
      <c r="AI47" s="877">
        <f>$AF47*'Input data plant-based products'!AB103</f>
        <v>1.0814615729186664E-2</v>
      </c>
      <c r="AJ47" s="877">
        <f>$AF47*'Input data plant-based products'!AC103</f>
        <v>1.2906809558642634E-2</v>
      </c>
      <c r="AK47" s="886">
        <f>$AF47*'Input data plant-based products'!AD103</f>
        <v>1.5934332788447695E-2</v>
      </c>
      <c r="AL47" s="877"/>
      <c r="AM47" s="879">
        <f>'Input data plant-based products'!R103/'Input data plant-based products'!E103</f>
        <v>2.8776978417266188E-3</v>
      </c>
      <c r="AN47" s="877">
        <f>$AM47*'Input data plant-based products'!Z103</f>
        <v>2.8776978417266188E-3</v>
      </c>
      <c r="AO47" s="877">
        <f>$AM47*'Input data plant-based products'!AA103</f>
        <v>2.8776978417266188E-3</v>
      </c>
      <c r="AP47" s="877">
        <f>$AM47*'Input data plant-based products'!AB103</f>
        <v>2.8776978417266188E-3</v>
      </c>
      <c r="AQ47" s="877">
        <f>$AM47*'Input data plant-based products'!AC103</f>
        <v>3.4344168059751985E-3</v>
      </c>
      <c r="AR47" s="886">
        <f>$AM47*'Input data plant-based products'!AD103</f>
        <v>4.2400207481175286E-3</v>
      </c>
      <c r="AS47" s="877"/>
      <c r="AT47" s="879">
        <f>'Input data plant-based products'!S103</f>
        <v>1E-3</v>
      </c>
      <c r="AU47" s="877">
        <f>$AT47*'Input data plant-based products'!Z103</f>
        <v>1E-3</v>
      </c>
      <c r="AV47" s="877">
        <f>$AT47*'Input data plant-based products'!AA103</f>
        <v>1E-3</v>
      </c>
      <c r="AW47" s="877">
        <f>$AT47*'Input data plant-based products'!AB103</f>
        <v>1E-3</v>
      </c>
      <c r="AX47" s="877">
        <f>$AT47*'Input data plant-based products'!AC103</f>
        <v>1.1934598400763815E-3</v>
      </c>
      <c r="AY47" s="886">
        <f>$AT47*'Input data plant-based products'!AD103</f>
        <v>1.4734072099708412E-3</v>
      </c>
      <c r="AZ47" s="877"/>
      <c r="BA47" s="879">
        <f>((SUM('Input data plant-based products'!U103:Y103)*Y47)/('Common input data'!$B$192/10^6))/$BB$3</f>
        <v>1.1019721855842973E-11</v>
      </c>
      <c r="BB47" s="877">
        <f>$BA47*'Input data plant-based products'!Z103</f>
        <v>1.1019721855842973E-11</v>
      </c>
      <c r="BC47" s="877">
        <f>$BA47*'Input data plant-based products'!AA103</f>
        <v>1.1019721855842973E-11</v>
      </c>
      <c r="BD47" s="877">
        <f>$BA47*'Input data plant-based products'!AB103</f>
        <v>1.1019721855842973E-11</v>
      </c>
      <c r="BE47" s="877">
        <f>$BA47*'Input data plant-based products'!AC103</f>
        <v>1.315159548376056E-11</v>
      </c>
      <c r="BF47" s="886">
        <f>$BA47*'Input data plant-based products'!AD103</f>
        <v>1.6236537634272295E-11</v>
      </c>
      <c r="BG47" s="877"/>
      <c r="BH47" s="879">
        <f>'Input data plant-based products'!T103/'Input data plant-based products'!E103</f>
        <v>4.6586036987265628E-4</v>
      </c>
      <c r="BI47" s="877">
        <f>$BH47*'Input data plant-based products'!Z103</f>
        <v>4.6586036987265628E-4</v>
      </c>
      <c r="BJ47" s="877">
        <f>$BH47*'Input data plant-based products'!AA103</f>
        <v>4.6586036987265628E-4</v>
      </c>
      <c r="BK47" s="877">
        <f>$BH47*'Input data plant-based products'!AB103</f>
        <v>4.6586036987265628E-4</v>
      </c>
      <c r="BL47" s="877">
        <f>$BH47*'Input data plant-based products'!AC103</f>
        <v>5.5598564252614421E-4</v>
      </c>
      <c r="BM47" s="886">
        <f>$BH47*'Input data plant-based products'!AD103</f>
        <v>6.8640202781005452E-4</v>
      </c>
      <c r="BN47" s="877"/>
      <c r="BO47" s="879">
        <f>('Input data plant-based products'!F103/'Input data plant-based products'!E103*'Common input data'!$B$195+'Input data plant-based products'!G103/'Input data plant-based products'!E103*'Common input data'!$B$196)/'Common input data'!$B$198</f>
        <v>4.2496699432967327E-4</v>
      </c>
      <c r="BP47" s="877">
        <f>$BO47*'Input data plant-based products'!Z103</f>
        <v>4.2496699432967327E-4</v>
      </c>
      <c r="BQ47" s="877">
        <f>$BO47*'Input data plant-based products'!AA103</f>
        <v>4.2496699432967327E-4</v>
      </c>
      <c r="BR47" s="877">
        <f>$BO47*'Input data plant-based products'!AB103</f>
        <v>4.2496699432967327E-4</v>
      </c>
      <c r="BS47" s="877">
        <f>$BO47*'Input data plant-based products'!AC103</f>
        <v>5.0718104109043238E-4</v>
      </c>
      <c r="BT47" s="886">
        <f>$BO47*'Input data plant-based products'!AD103</f>
        <v>6.2614943344497815E-4</v>
      </c>
      <c r="BU47" s="877"/>
      <c r="BV47" s="879">
        <f>('Common input data'!$C$202+'Common input data'!$B$214)*'Input data plant-based products'!AC103</f>
        <v>1.1339857580459085</v>
      </c>
      <c r="BW47" s="886">
        <f>('Common input data'!$C$202+'Common input data'!$B$214)*'Input data plant-based products'!AD103</f>
        <v>1.3999824173406277</v>
      </c>
      <c r="BX47" s="406"/>
      <c r="BY47" s="406"/>
      <c r="BZ47" s="406"/>
      <c r="CA47" s="406"/>
      <c r="CB47" s="406"/>
      <c r="CC47" s="406"/>
      <c r="CD47" s="406"/>
      <c r="CE47" s="406"/>
      <c r="CF47" s="406"/>
      <c r="CG47" s="406"/>
      <c r="CH47" s="406"/>
      <c r="CI47" s="406"/>
      <c r="CJ47" s="406"/>
      <c r="CK47" s="406"/>
      <c r="CL47" s="406"/>
      <c r="CM47" s="406"/>
      <c r="CN47" s="406"/>
      <c r="CO47" s="406"/>
      <c r="CP47" s="406"/>
      <c r="CQ47" s="406"/>
      <c r="CR47" s="406"/>
      <c r="CS47" s="406"/>
      <c r="CT47" s="406"/>
      <c r="CU47" s="406"/>
      <c r="CV47" s="406"/>
      <c r="CW47" s="406"/>
      <c r="CX47" s="406"/>
      <c r="CY47" s="406"/>
      <c r="CZ47" s="406"/>
      <c r="DA47" s="406"/>
      <c r="DB47" s="406"/>
      <c r="DC47" s="406"/>
      <c r="DD47" s="406"/>
      <c r="DE47" s="406"/>
      <c r="DF47" s="406"/>
      <c r="DG47" s="406"/>
      <c r="DH47" s="406"/>
      <c r="DI47" s="406"/>
      <c r="DJ47" s="406"/>
      <c r="DK47" s="406"/>
      <c r="DL47" s="406"/>
      <c r="DM47" s="406"/>
      <c r="DN47" s="406"/>
      <c r="DO47" s="406"/>
      <c r="DP47" s="406"/>
      <c r="DQ47" s="406"/>
      <c r="DR47" s="406"/>
      <c r="DS47" s="406"/>
      <c r="DT47" s="406"/>
      <c r="DU47" s="406"/>
      <c r="DV47" s="406"/>
      <c r="DW47" s="406"/>
      <c r="DX47" s="406"/>
      <c r="DY47" s="406"/>
      <c r="DZ47" s="406"/>
      <c r="EA47" s="406"/>
      <c r="EB47" s="406"/>
      <c r="EC47" s="406"/>
      <c r="ED47" s="406"/>
      <c r="EE47" s="406"/>
      <c r="EF47" s="406"/>
      <c r="EG47" s="406"/>
      <c r="EH47" s="406"/>
      <c r="EI47" s="406"/>
      <c r="EJ47" s="406"/>
      <c r="EK47" s="406"/>
      <c r="EL47" s="406"/>
      <c r="EM47" s="406"/>
      <c r="EN47" s="406"/>
      <c r="EO47" s="406"/>
      <c r="EP47" s="406"/>
      <c r="EQ47" s="406"/>
      <c r="ER47" s="406"/>
      <c r="ES47" s="406"/>
      <c r="ET47" s="406"/>
      <c r="EU47" s="406"/>
      <c r="EV47" s="406"/>
      <c r="EW47" s="406"/>
      <c r="EX47" s="406"/>
      <c r="EY47" s="406"/>
      <c r="EZ47" s="406"/>
      <c r="FA47" s="406"/>
      <c r="FB47" s="406"/>
      <c r="FC47" s="406"/>
      <c r="FD47" s="406"/>
      <c r="FE47" s="406"/>
      <c r="FF47" s="406"/>
      <c r="FG47" s="406"/>
      <c r="FH47" s="406"/>
      <c r="FI47" s="406"/>
      <c r="FJ47" s="406"/>
      <c r="FK47" s="406"/>
      <c r="FL47" s="406"/>
      <c r="FM47" s="406"/>
      <c r="FN47" s="406"/>
      <c r="FO47" s="406"/>
      <c r="FP47" s="406"/>
      <c r="FQ47" s="406"/>
      <c r="FR47" s="406"/>
      <c r="FS47" s="406"/>
      <c r="FT47" s="406"/>
      <c r="FU47" s="406"/>
      <c r="FV47" s="406"/>
      <c r="FW47" s="406"/>
      <c r="FX47" s="406"/>
      <c r="FY47" s="406"/>
      <c r="FZ47" s="406"/>
      <c r="GA47" s="406"/>
      <c r="GB47" s="406"/>
      <c r="GC47" s="406"/>
      <c r="GD47" s="406"/>
      <c r="GE47" s="406"/>
      <c r="GF47" s="406"/>
      <c r="GG47" s="406"/>
      <c r="GH47" s="406"/>
      <c r="GI47" s="406"/>
      <c r="GJ47" s="406"/>
      <c r="GK47" s="406"/>
      <c r="GL47" s="406"/>
      <c r="GM47" s="406"/>
      <c r="GN47" s="406"/>
      <c r="GO47" s="406"/>
      <c r="GP47" s="406"/>
      <c r="GQ47" s="406"/>
      <c r="GR47" s="406"/>
      <c r="GS47" s="406"/>
      <c r="GT47" s="406"/>
      <c r="GU47" s="406"/>
      <c r="GV47" s="406"/>
      <c r="GW47" s="406"/>
      <c r="GX47" s="406"/>
      <c r="GY47" s="406"/>
      <c r="GZ47" s="406"/>
      <c r="HA47" s="406"/>
      <c r="HB47" s="406"/>
      <c r="HC47" s="406"/>
      <c r="HD47" s="406"/>
      <c r="HE47" s="406"/>
      <c r="HF47" s="406"/>
      <c r="HG47" s="406"/>
      <c r="HH47" s="406"/>
      <c r="HI47" s="406"/>
      <c r="HJ47" s="406"/>
      <c r="HK47" s="406"/>
      <c r="HL47" s="406"/>
      <c r="HM47" s="406"/>
      <c r="HN47" s="406"/>
      <c r="HO47" s="406"/>
      <c r="HP47" s="406"/>
      <c r="HQ47" s="406"/>
      <c r="HR47" s="406"/>
      <c r="HS47" s="406"/>
      <c r="HT47" s="406"/>
      <c r="HU47" s="406"/>
      <c r="HV47" s="406"/>
      <c r="HW47" s="406"/>
      <c r="HX47" s="406"/>
      <c r="HY47" s="406"/>
      <c r="HZ47" s="406"/>
      <c r="IA47" s="406"/>
      <c r="IB47" s="406"/>
      <c r="IC47" s="406"/>
      <c r="ID47" s="406"/>
      <c r="IE47" s="406"/>
      <c r="IF47" s="406"/>
      <c r="IG47" s="406"/>
      <c r="IH47" s="406"/>
      <c r="II47" s="406"/>
      <c r="IJ47" s="406"/>
      <c r="IK47" s="406"/>
      <c r="IL47" s="406"/>
      <c r="IM47" s="406"/>
      <c r="IN47" s="406"/>
      <c r="IO47" s="406"/>
      <c r="IP47" s="406"/>
      <c r="IQ47" s="406"/>
      <c r="IR47" s="406"/>
      <c r="IS47" s="406"/>
    </row>
    <row r="48" spans="1:253" s="406" customFormat="1" ht="17.25">
      <c r="A48" s="68"/>
      <c r="B48" s="55"/>
      <c r="C48" s="917"/>
      <c r="D48" s="5"/>
      <c r="E48" s="1294" t="s">
        <v>317</v>
      </c>
      <c r="F48" s="928">
        <f>IF(AND($G$2="No",$G$3="No"),SUM(K48:L48),IF(AND($G$2="Yes", $G$3="No"), SUM(K48:L48)+S48, IF(AND($G$2="No", $G$3="Yes"),SUM(K48:L48)+R48, SUM(K48:L48)+S48+R48)))</f>
        <v>-9.1139048141381296E-2</v>
      </c>
      <c r="G48" s="877">
        <f>IF(AND($G$2="No",$G$3="No"),SUM(I48:Q48),IF(AND($G$2="Yes", $G$3="No"), SUM(I48:Q48)+S48, IF(AND($G$2="No", $G$3="Yes"),SUM(I48:Q48)+R48, SUM(I48:Q48)+S48+R48)))</f>
        <v>5.6532518169922608E-2</v>
      </c>
      <c r="H48" s="878">
        <f>SUM(U48:W48)/(1-'Common input data'!$B$140)</f>
        <v>0.40163804531557779</v>
      </c>
      <c r="I48" s="877">
        <f>('Input data plant-based products'!$F$103*('Common input data'!$C$93*'Common input data'!B86+'Common input data'!$C$94*'Common input data'!C86))/'Input data plant-based products'!$E$103</f>
        <v>4.0716757326853925E-2</v>
      </c>
      <c r="J48" s="877">
        <f>'Common input data'!$B$98</f>
        <v>0.03</v>
      </c>
      <c r="K48" s="877">
        <v>0</v>
      </c>
      <c r="L48" s="877">
        <v>0</v>
      </c>
      <c r="M48" s="877"/>
      <c r="N48" s="877">
        <f>('Input data plant-based products'!$P$103*'Common input data'!$C$76*'Common input data'!H66)/'Input data plant-based products'!$E$103</f>
        <v>7.6954808984449993E-2</v>
      </c>
      <c r="O48" s="877">
        <v>0</v>
      </c>
      <c r="P48" s="877">
        <v>0</v>
      </c>
      <c r="Q48" s="877">
        <v>0</v>
      </c>
      <c r="R48" s="877">
        <f>'Common input data'!$F$19</f>
        <v>-9.1139048141381296E-2</v>
      </c>
      <c r="S48" s="877">
        <v>0</v>
      </c>
      <c r="T48" s="877">
        <v>0</v>
      </c>
      <c r="U48" s="877">
        <f>G48+T48</f>
        <v>5.6532518169922608E-2</v>
      </c>
      <c r="V48" s="877">
        <f>'Common input data'!$B$105</f>
        <v>0.05</v>
      </c>
      <c r="W48" s="877">
        <f>'Common input data'!B119+'Common input data'!C119</f>
        <v>0.23000000000000004</v>
      </c>
      <c r="X48" s="879"/>
      <c r="Y48" s="879"/>
      <c r="Z48" s="877"/>
      <c r="AA48" s="877"/>
      <c r="AB48" s="877"/>
      <c r="AC48" s="877"/>
      <c r="AD48" s="886"/>
      <c r="AE48" s="877"/>
      <c r="AF48" s="879"/>
      <c r="AG48" s="877"/>
      <c r="AH48" s="877"/>
      <c r="AI48" s="877"/>
      <c r="AJ48" s="877"/>
      <c r="AK48" s="886"/>
      <c r="AL48" s="877"/>
      <c r="AM48" s="879"/>
      <c r="AN48" s="877"/>
      <c r="AO48" s="877"/>
      <c r="AP48" s="877"/>
      <c r="AQ48" s="877"/>
      <c r="AR48" s="886"/>
      <c r="AS48" s="877"/>
      <c r="AT48" s="879"/>
      <c r="AU48" s="877"/>
      <c r="AV48" s="877"/>
      <c r="AW48" s="877"/>
      <c r="AX48" s="877"/>
      <c r="AY48" s="886"/>
      <c r="AZ48" s="877"/>
      <c r="BA48" s="879"/>
      <c r="BB48" s="877"/>
      <c r="BC48" s="877"/>
      <c r="BD48" s="877"/>
      <c r="BE48" s="877"/>
      <c r="BF48" s="886"/>
      <c r="BG48" s="877"/>
      <c r="BH48" s="879"/>
      <c r="BI48" s="877"/>
      <c r="BJ48" s="877"/>
      <c r="BK48" s="877"/>
      <c r="BL48" s="877"/>
      <c r="BM48" s="886"/>
      <c r="BN48" s="877"/>
      <c r="BO48" s="879"/>
      <c r="BP48" s="877"/>
      <c r="BQ48" s="877"/>
      <c r="BR48" s="877"/>
      <c r="BS48" s="877"/>
      <c r="BT48" s="886"/>
      <c r="BU48" s="877"/>
      <c r="BV48" s="879"/>
      <c r="BW48" s="886"/>
    </row>
    <row r="49" spans="1:253" s="406" customFormat="1" ht="17.25">
      <c r="A49" s="18"/>
      <c r="B49" s="55"/>
      <c r="C49" s="595"/>
      <c r="D49" s="50"/>
      <c r="E49" s="1294" t="s">
        <v>367</v>
      </c>
      <c r="F49" s="928">
        <f>SUM(K49:L49)</f>
        <v>0</v>
      </c>
      <c r="G49" s="877">
        <f>SUM(I49:Q49)</f>
        <v>1.0878125565600677E-4</v>
      </c>
      <c r="H49" s="878">
        <f>SUM(U49:W49)/(1-'Common input data'!$B$140)</f>
        <v>1.2982605997852579E-4</v>
      </c>
      <c r="I49" s="877">
        <f>('Input data plant-based products'!$F$103*('Common input data'!$C$93*'Common input data'!B87+'Common input data'!$C$94*'Common input data'!C87))/'Input data plant-based products'!$E$103</f>
        <v>7.4692870169349061E-5</v>
      </c>
      <c r="J49" s="877">
        <v>0</v>
      </c>
      <c r="K49" s="877">
        <v>0</v>
      </c>
      <c r="L49" s="877">
        <v>0</v>
      </c>
      <c r="M49" s="877"/>
      <c r="N49" s="877">
        <f>('Input data plant-based products'!$P$103*'Common input data'!$C$76*'Common input data'!H67)/'Input data plant-based products'!$E$103</f>
        <v>3.4088385486657707E-5</v>
      </c>
      <c r="O49" s="877">
        <v>0</v>
      </c>
      <c r="P49" s="877">
        <v>0</v>
      </c>
      <c r="Q49" s="877">
        <v>0</v>
      </c>
      <c r="R49" s="877">
        <v>0</v>
      </c>
      <c r="S49" s="877">
        <v>0</v>
      </c>
      <c r="T49" s="877">
        <v>0</v>
      </c>
      <c r="U49" s="877">
        <f>G49+T49</f>
        <v>1.0878125565600677E-4</v>
      </c>
      <c r="V49" s="877">
        <v>0</v>
      </c>
      <c r="W49" s="877">
        <v>0</v>
      </c>
      <c r="X49" s="879"/>
      <c r="Y49" s="879"/>
      <c r="Z49" s="877"/>
      <c r="AA49" s="877"/>
      <c r="AB49" s="877"/>
      <c r="AC49" s="877"/>
      <c r="AD49" s="886"/>
      <c r="AE49" s="877"/>
      <c r="AF49" s="879"/>
      <c r="AG49" s="877"/>
      <c r="AH49" s="877"/>
      <c r="AI49" s="877"/>
      <c r="AJ49" s="877"/>
      <c r="AK49" s="886"/>
      <c r="AL49" s="877"/>
      <c r="AM49" s="879"/>
      <c r="AN49" s="877"/>
      <c r="AO49" s="877"/>
      <c r="AP49" s="877"/>
      <c r="AQ49" s="877"/>
      <c r="AR49" s="886"/>
      <c r="AS49" s="877"/>
      <c r="AT49" s="879"/>
      <c r="AU49" s="877"/>
      <c r="AV49" s="877"/>
      <c r="AW49" s="877"/>
      <c r="AX49" s="877"/>
      <c r="AY49" s="886"/>
      <c r="AZ49" s="877"/>
      <c r="BA49" s="879"/>
      <c r="BB49" s="877"/>
      <c r="BC49" s="877"/>
      <c r="BD49" s="877"/>
      <c r="BE49" s="877"/>
      <c r="BF49" s="886"/>
      <c r="BG49" s="877"/>
      <c r="BH49" s="879"/>
      <c r="BI49" s="877"/>
      <c r="BJ49" s="877"/>
      <c r="BK49" s="877"/>
      <c r="BL49" s="877"/>
      <c r="BM49" s="886"/>
      <c r="BN49" s="877"/>
      <c r="BO49" s="879"/>
      <c r="BP49" s="877"/>
      <c r="BQ49" s="877"/>
      <c r="BR49" s="877"/>
      <c r="BS49" s="877"/>
      <c r="BT49" s="886"/>
      <c r="BU49" s="877"/>
      <c r="BV49" s="879"/>
      <c r="BW49" s="886"/>
    </row>
    <row r="50" spans="1:253" s="406" customFormat="1" ht="17.25">
      <c r="A50" s="359"/>
      <c r="B50" s="360"/>
      <c r="C50" s="83"/>
      <c r="D50" s="54"/>
      <c r="E50" s="1295" t="s">
        <v>320</v>
      </c>
      <c r="F50" s="932">
        <f>SUM(K50:L50)</f>
        <v>2.0021208713856054E-4</v>
      </c>
      <c r="G50" s="896">
        <f>SUM(I50:Q50)</f>
        <v>2.9174214646172561E-4</v>
      </c>
      <c r="H50" s="933">
        <f>SUM(U50:W50)/(1-'Common input data'!$B$140)</f>
        <v>3.4818253545975129E-4</v>
      </c>
      <c r="I50" s="877">
        <f>('Input data plant-based products'!$F$103*('Common input data'!$C$93*'Common input data'!B88+'Common input data'!$C$94*'Common input data'!C88))/'Input data plant-based products'!$E$103</f>
        <v>8.9462253602297384E-5</v>
      </c>
      <c r="J50" s="877">
        <v>0</v>
      </c>
      <c r="K50" s="877">
        <f>(SUM('Input data plant-based products'!F103:H103)*'Input data plant-based products'!$B$257*44/28)/'Input data plant-based products'!E103</f>
        <v>1.8201098830778232E-4</v>
      </c>
      <c r="L50" s="877">
        <f>K50*'Input data plant-based products'!$B$261</f>
        <v>1.8201098830778231E-5</v>
      </c>
      <c r="M50" s="877"/>
      <c r="N50" s="877">
        <f>('Input data plant-based products'!$P$103*'Common input data'!$C$76*'Common input data'!H68)/'Input data plant-based products'!$E$103</f>
        <v>2.0678057208677293E-6</v>
      </c>
      <c r="O50" s="877">
        <v>0</v>
      </c>
      <c r="P50" s="877">
        <v>0</v>
      </c>
      <c r="Q50" s="877">
        <v>0</v>
      </c>
      <c r="R50" s="877">
        <v>0</v>
      </c>
      <c r="S50" s="877">
        <v>0</v>
      </c>
      <c r="T50" s="877">
        <v>0</v>
      </c>
      <c r="U50" s="877">
        <f>G50+T50</f>
        <v>2.9174214646172561E-4</v>
      </c>
      <c r="V50" s="877">
        <v>0</v>
      </c>
      <c r="W50" s="877">
        <v>0</v>
      </c>
      <c r="X50" s="879"/>
      <c r="Y50" s="879"/>
      <c r="Z50" s="877"/>
      <c r="AA50" s="877"/>
      <c r="AB50" s="877"/>
      <c r="AC50" s="877"/>
      <c r="AD50" s="886"/>
      <c r="AE50" s="877"/>
      <c r="AF50" s="879"/>
      <c r="AG50" s="877"/>
      <c r="AH50" s="877"/>
      <c r="AI50" s="877"/>
      <c r="AJ50" s="877"/>
      <c r="AK50" s="886"/>
      <c r="AL50" s="877"/>
      <c r="AM50" s="879"/>
      <c r="AN50" s="877"/>
      <c r="AO50" s="877"/>
      <c r="AP50" s="877"/>
      <c r="AQ50" s="877"/>
      <c r="AR50" s="886"/>
      <c r="AS50" s="877"/>
      <c r="AT50" s="879"/>
      <c r="AU50" s="877"/>
      <c r="AV50" s="877"/>
      <c r="AW50" s="877"/>
      <c r="AX50" s="877"/>
      <c r="AY50" s="886"/>
      <c r="AZ50" s="877"/>
      <c r="BA50" s="879"/>
      <c r="BB50" s="877"/>
      <c r="BC50" s="877"/>
      <c r="BD50" s="877"/>
      <c r="BE50" s="877"/>
      <c r="BF50" s="886"/>
      <c r="BG50" s="877"/>
      <c r="BH50" s="879"/>
      <c r="BI50" s="877"/>
      <c r="BJ50" s="877"/>
      <c r="BK50" s="877"/>
      <c r="BL50" s="877"/>
      <c r="BM50" s="886"/>
      <c r="BN50" s="877"/>
      <c r="BO50" s="879"/>
      <c r="BP50" s="877"/>
      <c r="BQ50" s="877"/>
      <c r="BR50" s="877"/>
      <c r="BS50" s="877"/>
      <c r="BT50" s="886"/>
      <c r="BU50" s="877"/>
      <c r="BV50" s="879"/>
      <c r="BW50" s="886"/>
    </row>
    <row r="51" spans="1:253" s="503" customFormat="1" ht="17.25">
      <c r="A51" s="362" t="s">
        <v>506</v>
      </c>
      <c r="B51" s="363"/>
      <c r="C51" s="770"/>
      <c r="D51" s="54"/>
      <c r="E51" s="1296"/>
      <c r="F51" s="925" t="s">
        <v>507</v>
      </c>
      <c r="G51" s="1290" t="s">
        <v>507</v>
      </c>
      <c r="H51" s="870" t="s">
        <v>507</v>
      </c>
      <c r="I51" s="889"/>
      <c r="J51" s="889"/>
      <c r="K51" s="889"/>
      <c r="L51" s="889"/>
      <c r="M51" s="889"/>
      <c r="N51" s="889"/>
      <c r="O51" s="1305"/>
      <c r="P51" s="889"/>
      <c r="Q51" s="889"/>
      <c r="R51" s="889"/>
      <c r="S51" s="889"/>
      <c r="T51" s="889"/>
      <c r="U51" s="889"/>
      <c r="V51" s="889"/>
      <c r="W51" s="889"/>
      <c r="X51" s="879"/>
      <c r="Y51" s="879"/>
      <c r="Z51" s="877"/>
      <c r="AA51" s="877"/>
      <c r="AB51" s="877"/>
      <c r="AC51" s="877"/>
      <c r="AD51" s="886"/>
      <c r="AE51" s="877"/>
      <c r="AF51" s="879"/>
      <c r="AG51" s="877"/>
      <c r="AH51" s="877"/>
      <c r="AI51" s="877"/>
      <c r="AJ51" s="877"/>
      <c r="AK51" s="886"/>
      <c r="AL51" s="877"/>
      <c r="AM51" s="879"/>
      <c r="AN51" s="877"/>
      <c r="AO51" s="877"/>
      <c r="AP51" s="877"/>
      <c r="AQ51" s="877"/>
      <c r="AR51" s="886"/>
      <c r="AS51" s="877"/>
      <c r="AT51" s="879"/>
      <c r="AU51" s="877"/>
      <c r="AV51" s="877"/>
      <c r="AW51" s="877"/>
      <c r="AX51" s="877"/>
      <c r="AY51" s="886"/>
      <c r="AZ51" s="877"/>
      <c r="BA51" s="879"/>
      <c r="BB51" s="877"/>
      <c r="BC51" s="877"/>
      <c r="BD51" s="877"/>
      <c r="BE51" s="877"/>
      <c r="BF51" s="886"/>
      <c r="BG51" s="877"/>
      <c r="BH51" s="879"/>
      <c r="BI51" s="877"/>
      <c r="BJ51" s="877"/>
      <c r="BK51" s="877"/>
      <c r="BL51" s="877"/>
      <c r="BM51" s="886"/>
      <c r="BN51" s="877"/>
      <c r="BO51" s="879"/>
      <c r="BP51" s="877"/>
      <c r="BQ51" s="877"/>
      <c r="BR51" s="877"/>
      <c r="BS51" s="877"/>
      <c r="BT51" s="886"/>
      <c r="BU51" s="877"/>
      <c r="BV51" s="879"/>
      <c r="BW51" s="886"/>
      <c r="BX51" s="406"/>
      <c r="BY51" s="406"/>
      <c r="BZ51" s="406"/>
      <c r="CA51" s="406"/>
      <c r="CB51" s="406"/>
      <c r="CC51" s="406"/>
      <c r="CD51" s="406"/>
      <c r="CE51" s="406"/>
      <c r="CF51" s="406"/>
      <c r="CG51" s="406"/>
      <c r="CH51" s="406"/>
      <c r="CI51" s="406"/>
      <c r="CJ51" s="406"/>
      <c r="CK51" s="406"/>
      <c r="CL51" s="406"/>
      <c r="CM51" s="406"/>
      <c r="CN51" s="406"/>
      <c r="CO51" s="406"/>
      <c r="CP51" s="406"/>
      <c r="CQ51" s="406"/>
      <c r="CR51" s="406"/>
      <c r="CS51" s="406"/>
      <c r="CT51" s="406"/>
      <c r="CU51" s="406"/>
      <c r="CV51" s="406"/>
      <c r="CW51" s="406"/>
      <c r="CX51" s="406"/>
      <c r="CY51" s="406"/>
      <c r="CZ51" s="406"/>
      <c r="DA51" s="406"/>
      <c r="DB51" s="406"/>
      <c r="DC51" s="406"/>
      <c r="DD51" s="406"/>
      <c r="DE51" s="406"/>
      <c r="DF51" s="406"/>
      <c r="DG51" s="406"/>
      <c r="DH51" s="406"/>
      <c r="DI51" s="406"/>
      <c r="DJ51" s="406"/>
      <c r="DK51" s="406"/>
      <c r="DL51" s="406"/>
      <c r="DM51" s="406"/>
      <c r="DN51" s="406"/>
      <c r="DO51" s="406"/>
      <c r="DP51" s="406"/>
      <c r="DQ51" s="406"/>
      <c r="DR51" s="406"/>
      <c r="DS51" s="406"/>
      <c r="DT51" s="406"/>
      <c r="DU51" s="406"/>
      <c r="DV51" s="406"/>
      <c r="DW51" s="406"/>
      <c r="DX51" s="406"/>
      <c r="DY51" s="406"/>
      <c r="DZ51" s="406"/>
      <c r="EA51" s="406"/>
      <c r="EB51" s="406"/>
      <c r="EC51" s="406"/>
      <c r="ED51" s="406"/>
      <c r="EE51" s="406"/>
      <c r="EF51" s="406"/>
      <c r="EG51" s="406"/>
      <c r="EH51" s="406"/>
      <c r="EI51" s="406"/>
      <c r="EJ51" s="406"/>
      <c r="EK51" s="406"/>
      <c r="EL51" s="406"/>
      <c r="EM51" s="406"/>
      <c r="EN51" s="406"/>
      <c r="EO51" s="406"/>
      <c r="EP51" s="406"/>
      <c r="EQ51" s="406"/>
      <c r="ER51" s="406"/>
      <c r="ES51" s="406"/>
      <c r="ET51" s="406"/>
      <c r="EU51" s="406"/>
      <c r="EV51" s="406"/>
      <c r="EW51" s="406"/>
      <c r="EX51" s="406"/>
      <c r="EY51" s="406"/>
      <c r="EZ51" s="406"/>
      <c r="FA51" s="406"/>
      <c r="FB51" s="406"/>
      <c r="FC51" s="406"/>
      <c r="FD51" s="406"/>
      <c r="FE51" s="406"/>
      <c r="FF51" s="406"/>
      <c r="FG51" s="406"/>
      <c r="FH51" s="406"/>
      <c r="FI51" s="406"/>
      <c r="FJ51" s="406"/>
      <c r="FK51" s="406"/>
      <c r="FL51" s="406"/>
      <c r="FM51" s="406"/>
      <c r="FN51" s="406"/>
      <c r="FO51" s="406"/>
      <c r="FP51" s="406"/>
      <c r="FQ51" s="406"/>
      <c r="FR51" s="406"/>
      <c r="FS51" s="406"/>
      <c r="FT51" s="406"/>
      <c r="FU51" s="406"/>
      <c r="FV51" s="406"/>
      <c r="FW51" s="406"/>
      <c r="FX51" s="406"/>
      <c r="FY51" s="406"/>
      <c r="FZ51" s="406"/>
      <c r="GA51" s="406"/>
      <c r="GB51" s="406"/>
      <c r="GC51" s="406"/>
      <c r="GD51" s="406"/>
      <c r="GE51" s="406"/>
      <c r="GF51" s="406"/>
      <c r="GG51" s="406"/>
      <c r="GH51" s="406"/>
      <c r="GI51" s="406"/>
      <c r="GJ51" s="406"/>
      <c r="GK51" s="406"/>
      <c r="GL51" s="406"/>
      <c r="GM51" s="406"/>
      <c r="GN51" s="406"/>
      <c r="GO51" s="406"/>
      <c r="GP51" s="406"/>
      <c r="GQ51" s="406"/>
      <c r="GR51" s="406"/>
      <c r="GS51" s="406"/>
      <c r="GT51" s="406"/>
      <c r="GU51" s="406"/>
      <c r="GV51" s="406"/>
      <c r="GW51" s="406"/>
      <c r="GX51" s="406"/>
      <c r="GY51" s="406"/>
      <c r="GZ51" s="406"/>
      <c r="HA51" s="406"/>
      <c r="HB51" s="406"/>
      <c r="HC51" s="406"/>
      <c r="HD51" s="406"/>
      <c r="HE51" s="406"/>
      <c r="HF51" s="406"/>
      <c r="HG51" s="406"/>
      <c r="HH51" s="406"/>
      <c r="HI51" s="406"/>
      <c r="HJ51" s="406"/>
      <c r="HK51" s="406"/>
      <c r="HL51" s="406"/>
      <c r="HM51" s="406"/>
      <c r="HN51" s="406"/>
      <c r="HO51" s="406"/>
      <c r="HP51" s="406"/>
      <c r="HQ51" s="406"/>
      <c r="HR51" s="406"/>
      <c r="HS51" s="406"/>
      <c r="HT51" s="406"/>
      <c r="HU51" s="406"/>
      <c r="HV51" s="406"/>
      <c r="HW51" s="406"/>
      <c r="HX51" s="406"/>
      <c r="HY51" s="406"/>
      <c r="HZ51" s="406"/>
      <c r="IA51" s="406"/>
      <c r="IB51" s="406"/>
      <c r="IC51" s="406"/>
      <c r="ID51" s="406"/>
      <c r="IE51" s="406"/>
      <c r="IF51" s="406"/>
      <c r="IG51" s="406"/>
      <c r="IH51" s="406"/>
      <c r="II51" s="406"/>
      <c r="IJ51" s="406"/>
      <c r="IK51" s="406"/>
      <c r="IL51" s="406"/>
      <c r="IM51" s="406"/>
      <c r="IN51" s="406"/>
      <c r="IO51" s="406"/>
      <c r="IP51" s="406"/>
      <c r="IQ51" s="406"/>
      <c r="IR51" s="406"/>
      <c r="IS51" s="406"/>
    </row>
    <row r="52" spans="1:253" s="502" customFormat="1" ht="17.25">
      <c r="A52" s="20" t="s">
        <v>120</v>
      </c>
      <c r="B52" s="93"/>
      <c r="C52" s="903">
        <f>SUM(C56:C71)</f>
        <v>1</v>
      </c>
      <c r="D52" s="26"/>
      <c r="E52" s="1293" t="s">
        <v>316</v>
      </c>
      <c r="F52" s="926">
        <f>SUMPRODUCT($CI$4:$CI$6,F53:F55)</f>
        <v>-3.7024638489974261E-2</v>
      </c>
      <c r="G52" s="874">
        <f>SUMPRODUCT($CI$4:$CI$6,G53:G55)</f>
        <v>1.2453127196342169</v>
      </c>
      <c r="H52" s="927">
        <f>SUMPRODUCT($CI$4:$CI$6,H53:H55)</f>
        <v>1.7106011691540959</v>
      </c>
      <c r="I52" s="872"/>
      <c r="J52" s="884"/>
      <c r="K52" s="884"/>
      <c r="L52" s="884"/>
      <c r="M52" s="884"/>
      <c r="N52" s="884"/>
      <c r="O52" s="884"/>
      <c r="P52" s="884"/>
      <c r="Q52" s="884"/>
      <c r="R52" s="884"/>
      <c r="S52" s="884"/>
      <c r="T52" s="884"/>
      <c r="U52" s="884"/>
      <c r="V52" s="884"/>
      <c r="W52" s="884"/>
      <c r="X52" s="879"/>
      <c r="Y52" s="883">
        <f>Y56*$C$56+Y60*$C$60+Y64*$C$64+Y68*$C$68</f>
        <v>0.28777957011661259</v>
      </c>
      <c r="Z52" s="884">
        <f t="shared" ref="Z52:BW52" si="5">Z56*$C$56+Z60*$C$60+Z64*$C$64+Z68*$C$68</f>
        <v>0.28777957011661259</v>
      </c>
      <c r="AA52" s="884">
        <f t="shared" si="5"/>
        <v>0.28777957011661259</v>
      </c>
      <c r="AB52" s="884">
        <f t="shared" si="5"/>
        <v>0.28777957011661259</v>
      </c>
      <c r="AC52" s="884">
        <f t="shared" si="5"/>
        <v>0.34345335972862234</v>
      </c>
      <c r="AD52" s="885">
        <f t="shared" si="5"/>
        <v>0.42401649349212622</v>
      </c>
      <c r="AE52" s="877"/>
      <c r="AF52" s="883">
        <f t="shared" si="5"/>
        <v>3.8078403831830012E-3</v>
      </c>
      <c r="AG52" s="884">
        <f t="shared" si="5"/>
        <v>3.8078403831830012E-3</v>
      </c>
      <c r="AH52" s="884">
        <f t="shared" si="5"/>
        <v>3.8078403831830012E-3</v>
      </c>
      <c r="AI52" s="884">
        <f t="shared" si="5"/>
        <v>3.8078403831830012E-3</v>
      </c>
      <c r="AJ52" s="884">
        <f t="shared" si="5"/>
        <v>4.5445045747499711E-3</v>
      </c>
      <c r="AK52" s="885">
        <f t="shared" si="5"/>
        <v>5.6104994749999635E-3</v>
      </c>
      <c r="AL52" s="877"/>
      <c r="AM52" s="883">
        <f t="shared" si="5"/>
        <v>1.3460857142857142E-3</v>
      </c>
      <c r="AN52" s="884">
        <f t="shared" si="5"/>
        <v>1.3460857142857142E-3</v>
      </c>
      <c r="AO52" s="884">
        <f t="shared" si="5"/>
        <v>1.3460857142857142E-3</v>
      </c>
      <c r="AP52" s="884">
        <f t="shared" si="5"/>
        <v>1.3460857142857142E-3</v>
      </c>
      <c r="AQ52" s="884">
        <f t="shared" si="5"/>
        <v>1.6064992413005299E-3</v>
      </c>
      <c r="AR52" s="885">
        <f t="shared" si="5"/>
        <v>1.9833323966673209E-3</v>
      </c>
      <c r="AS52" s="877"/>
      <c r="AT52" s="883">
        <f t="shared" si="5"/>
        <v>3.6369763415948067E-2</v>
      </c>
      <c r="AU52" s="884">
        <f t="shared" si="5"/>
        <v>3.6369763415948067E-2</v>
      </c>
      <c r="AV52" s="884">
        <f t="shared" si="5"/>
        <v>3.6369763415948067E-2</v>
      </c>
      <c r="AW52" s="884">
        <f t="shared" si="5"/>
        <v>3.6369763415948067E-2</v>
      </c>
      <c r="AX52" s="884">
        <f t="shared" si="5"/>
        <v>4.3405852030013209E-2</v>
      </c>
      <c r="AY52" s="885">
        <f t="shared" si="5"/>
        <v>5.358747164199161E-2</v>
      </c>
      <c r="AZ52" s="877"/>
      <c r="BA52" s="883">
        <f t="shared" si="5"/>
        <v>2.191406861569827E-10</v>
      </c>
      <c r="BB52" s="884">
        <f t="shared" si="5"/>
        <v>2.191406861569827E-10</v>
      </c>
      <c r="BC52" s="884">
        <f t="shared" si="5"/>
        <v>2.191406861569827E-10</v>
      </c>
      <c r="BD52" s="884">
        <f t="shared" si="5"/>
        <v>2.191406861569827E-10</v>
      </c>
      <c r="BE52" s="884">
        <f t="shared" si="5"/>
        <v>2.6153560825514102E-10</v>
      </c>
      <c r="BF52" s="885">
        <f t="shared" si="5"/>
        <v>3.2288346698165556E-10</v>
      </c>
      <c r="BG52" s="877"/>
      <c r="BH52" s="883">
        <f t="shared" si="5"/>
        <v>1.8301139246042436E-4</v>
      </c>
      <c r="BI52" s="884">
        <f t="shared" si="5"/>
        <v>1.8301139246042436E-4</v>
      </c>
      <c r="BJ52" s="884">
        <f t="shared" si="5"/>
        <v>1.8301139246042436E-4</v>
      </c>
      <c r="BK52" s="884">
        <f t="shared" si="5"/>
        <v>1.8301139246042436E-4</v>
      </c>
      <c r="BL52" s="884">
        <f t="shared" si="5"/>
        <v>2.1841674717797393E-4</v>
      </c>
      <c r="BM52" s="885">
        <f t="shared" si="5"/>
        <v>2.6965030515799248E-4</v>
      </c>
      <c r="BN52" s="877"/>
      <c r="BO52" s="883">
        <f t="shared" si="5"/>
        <v>9.7228380158905086E-5</v>
      </c>
      <c r="BP52" s="884">
        <f t="shared" si="5"/>
        <v>9.7228380158905086E-5</v>
      </c>
      <c r="BQ52" s="884">
        <f t="shared" si="5"/>
        <v>9.7228380158905086E-5</v>
      </c>
      <c r="BR52" s="884">
        <f t="shared" si="5"/>
        <v>9.7228380158905086E-5</v>
      </c>
      <c r="BS52" s="884">
        <f t="shared" si="5"/>
        <v>1.1603816703533247E-4</v>
      </c>
      <c r="BT52" s="885">
        <f t="shared" si="5"/>
        <v>1.4325699633991663E-4</v>
      </c>
      <c r="BU52" s="877"/>
      <c r="BV52" s="883">
        <f t="shared" si="5"/>
        <v>0.83361260293591133</v>
      </c>
      <c r="BW52" s="885">
        <f t="shared" si="5"/>
        <v>1.0291513616492731</v>
      </c>
      <c r="BX52" s="406"/>
      <c r="BY52" s="406"/>
      <c r="BZ52" s="406"/>
      <c r="CA52" s="406"/>
      <c r="CB52" s="406"/>
      <c r="CC52" s="406"/>
      <c r="CD52" s="406"/>
      <c r="CE52" s="406"/>
      <c r="CF52" s="406"/>
      <c r="CG52" s="406"/>
      <c r="CH52" s="406"/>
      <c r="CI52" s="406"/>
      <c r="CJ52" s="406"/>
      <c r="CK52" s="406"/>
      <c r="CL52" s="406"/>
      <c r="CM52" s="406"/>
      <c r="CN52" s="406"/>
      <c r="CO52" s="406"/>
      <c r="CP52" s="406"/>
      <c r="CQ52" s="406"/>
      <c r="CR52" s="406"/>
      <c r="CS52" s="406"/>
      <c r="CT52" s="406"/>
      <c r="CU52" s="406"/>
      <c r="CV52" s="406"/>
      <c r="CW52" s="406"/>
      <c r="CX52" s="406"/>
      <c r="CY52" s="406"/>
      <c r="CZ52" s="406"/>
      <c r="DA52" s="406"/>
      <c r="DB52" s="406"/>
      <c r="DC52" s="406"/>
      <c r="DD52" s="406"/>
      <c r="DE52" s="406"/>
      <c r="DF52" s="406"/>
      <c r="DG52" s="406"/>
      <c r="DH52" s="406"/>
      <c r="DI52" s="406"/>
      <c r="DJ52" s="406"/>
      <c r="DK52" s="406"/>
      <c r="DL52" s="406"/>
      <c r="DM52" s="406"/>
      <c r="DN52" s="406"/>
      <c r="DO52" s="406"/>
      <c r="DP52" s="406"/>
      <c r="DQ52" s="406"/>
      <c r="DR52" s="406"/>
      <c r="DS52" s="406"/>
      <c r="DT52" s="406"/>
      <c r="DU52" s="406"/>
      <c r="DV52" s="406"/>
      <c r="DW52" s="406"/>
      <c r="DX52" s="406"/>
      <c r="DY52" s="406"/>
      <c r="DZ52" s="406"/>
      <c r="EA52" s="406"/>
      <c r="EB52" s="406"/>
      <c r="EC52" s="406"/>
      <c r="ED52" s="406"/>
      <c r="EE52" s="406"/>
      <c r="EF52" s="406"/>
      <c r="EG52" s="406"/>
      <c r="EH52" s="406"/>
      <c r="EI52" s="406"/>
      <c r="EJ52" s="406"/>
      <c r="EK52" s="406"/>
      <c r="EL52" s="406"/>
      <c r="EM52" s="406"/>
      <c r="EN52" s="406"/>
      <c r="EO52" s="406"/>
      <c r="EP52" s="406"/>
      <c r="EQ52" s="406"/>
      <c r="ER52" s="406"/>
      <c r="ES52" s="406"/>
      <c r="ET52" s="406"/>
      <c r="EU52" s="406"/>
      <c r="EV52" s="406"/>
      <c r="EW52" s="406"/>
      <c r="EX52" s="406"/>
      <c r="EY52" s="406"/>
      <c r="EZ52" s="406"/>
      <c r="FA52" s="406"/>
      <c r="FB52" s="406"/>
      <c r="FC52" s="406"/>
      <c r="FD52" s="406"/>
      <c r="FE52" s="406"/>
      <c r="FF52" s="406"/>
      <c r="FG52" s="406"/>
      <c r="FH52" s="406"/>
      <c r="FI52" s="406"/>
      <c r="FJ52" s="406"/>
      <c r="FK52" s="406"/>
      <c r="FL52" s="406"/>
      <c r="FM52" s="406"/>
      <c r="FN52" s="406"/>
      <c r="FO52" s="406"/>
      <c r="FP52" s="406"/>
      <c r="FQ52" s="406"/>
      <c r="FR52" s="406"/>
      <c r="FS52" s="406"/>
      <c r="FT52" s="406"/>
      <c r="FU52" s="406"/>
      <c r="FV52" s="406"/>
      <c r="FW52" s="406"/>
      <c r="FX52" s="406"/>
      <c r="FY52" s="406"/>
      <c r="FZ52" s="406"/>
      <c r="GA52" s="406"/>
      <c r="GB52" s="406"/>
      <c r="GC52" s="406"/>
      <c r="GD52" s="406"/>
      <c r="GE52" s="406"/>
      <c r="GF52" s="406"/>
      <c r="GG52" s="406"/>
      <c r="GH52" s="406"/>
      <c r="GI52" s="406"/>
      <c r="GJ52" s="406"/>
      <c r="GK52" s="406"/>
      <c r="GL52" s="406"/>
      <c r="GM52" s="406"/>
      <c r="GN52" s="406"/>
      <c r="GO52" s="406"/>
      <c r="GP52" s="406"/>
      <c r="GQ52" s="406"/>
      <c r="GR52" s="406"/>
      <c r="GS52" s="406"/>
      <c r="GT52" s="406"/>
      <c r="GU52" s="406"/>
      <c r="GV52" s="406"/>
      <c r="GW52" s="406"/>
      <c r="GX52" s="406"/>
      <c r="GY52" s="406"/>
      <c r="GZ52" s="406"/>
      <c r="HA52" s="406"/>
      <c r="HB52" s="406"/>
      <c r="HC52" s="406"/>
      <c r="HD52" s="406"/>
      <c r="HE52" s="406"/>
      <c r="HF52" s="406"/>
      <c r="HG52" s="406"/>
      <c r="HH52" s="406"/>
      <c r="HI52" s="406"/>
      <c r="HJ52" s="406"/>
      <c r="HK52" s="406"/>
      <c r="HL52" s="406"/>
      <c r="HM52" s="406"/>
      <c r="HN52" s="406"/>
      <c r="HO52" s="406"/>
      <c r="HP52" s="406"/>
      <c r="HQ52" s="406"/>
      <c r="HR52" s="406"/>
      <c r="HS52" s="406"/>
      <c r="HT52" s="406"/>
      <c r="HU52" s="406"/>
      <c r="HV52" s="406"/>
      <c r="HW52" s="406"/>
      <c r="HX52" s="406"/>
      <c r="HY52" s="406"/>
      <c r="HZ52" s="406"/>
      <c r="IA52" s="406"/>
      <c r="IB52" s="406"/>
      <c r="IC52" s="406"/>
      <c r="ID52" s="406"/>
      <c r="IE52" s="406"/>
      <c r="IF52" s="406"/>
      <c r="IG52" s="406"/>
      <c r="IH52" s="406"/>
      <c r="II52" s="406"/>
      <c r="IJ52" s="406"/>
      <c r="IK52" s="406"/>
      <c r="IL52" s="406"/>
      <c r="IM52" s="406"/>
      <c r="IN52" s="406"/>
      <c r="IO52" s="406"/>
      <c r="IP52" s="406"/>
      <c r="IQ52" s="406"/>
      <c r="IR52" s="406"/>
      <c r="IS52" s="406"/>
    </row>
    <row r="53" spans="1:253" s="406" customFormat="1" ht="17.25">
      <c r="A53" s="499"/>
      <c r="B53" s="55"/>
      <c r="C53" s="917"/>
      <c r="D53" s="5"/>
      <c r="E53" s="1294" t="s">
        <v>317</v>
      </c>
      <c r="F53" s="928">
        <f>F57*$C$56+F61*$C$60+$C$64*F65+$C$68*F69</f>
        <v>-5.6506209847656405E-2</v>
      </c>
      <c r="G53" s="877">
        <f>G57*$C$56+G61*$C$60+$C$64*G65+$C$68*G69</f>
        <v>1.1480103547019644</v>
      </c>
      <c r="H53" s="878">
        <f>H57*$C$56+H61*$C$60+$C$64*H65+$C$68*H69</f>
        <v>1.5944747042629963</v>
      </c>
      <c r="I53" s="877">
        <f>I57*$C$56+I61*$C$60+$C$64*I65+$C$68*I69</f>
        <v>1.3487941154519815E-2</v>
      </c>
      <c r="J53" s="877">
        <f t="shared" ref="I53:W55" si="6">J57*$C$56+J61*$C$60+$C$64*J65+$C$68*J69</f>
        <v>0.03</v>
      </c>
      <c r="K53" s="877">
        <f t="shared" si="6"/>
        <v>0</v>
      </c>
      <c r="L53" s="877">
        <f t="shared" si="6"/>
        <v>0</v>
      </c>
      <c r="M53" s="877"/>
      <c r="N53" s="877">
        <f t="shared" si="6"/>
        <v>1.7760687312877711E-2</v>
      </c>
      <c r="O53" s="877">
        <f t="shared" si="6"/>
        <v>1.1181146027488902</v>
      </c>
      <c r="P53" s="877">
        <f t="shared" si="6"/>
        <v>2.5153333333333333E-2</v>
      </c>
      <c r="Q53" s="877">
        <f t="shared" si="6"/>
        <v>0</v>
      </c>
      <c r="R53" s="877">
        <f t="shared" si="6"/>
        <v>-5.6506209847656405E-2</v>
      </c>
      <c r="S53" s="877">
        <f t="shared" si="6"/>
        <v>0</v>
      </c>
      <c r="T53" s="877">
        <f t="shared" si="6"/>
        <v>0</v>
      </c>
      <c r="U53" s="877">
        <f t="shared" si="6"/>
        <v>1.1480103547019644</v>
      </c>
      <c r="V53" s="877">
        <f t="shared" si="6"/>
        <v>0.05</v>
      </c>
      <c r="W53" s="877">
        <f t="shared" si="6"/>
        <v>0.13800000000000001</v>
      </c>
      <c r="X53" s="879"/>
      <c r="Y53" s="879"/>
      <c r="Z53" s="877"/>
      <c r="AA53" s="877"/>
      <c r="AB53" s="877"/>
      <c r="AC53" s="877"/>
      <c r="AD53" s="886"/>
      <c r="AE53" s="877"/>
      <c r="AF53" s="879"/>
      <c r="AG53" s="877"/>
      <c r="AH53" s="877"/>
      <c r="AI53" s="877"/>
      <c r="AJ53" s="877"/>
      <c r="AK53" s="886"/>
      <c r="AL53" s="877"/>
      <c r="AM53" s="879"/>
      <c r="AN53" s="877"/>
      <c r="AO53" s="877"/>
      <c r="AP53" s="877"/>
      <c r="AQ53" s="877"/>
      <c r="AR53" s="886"/>
      <c r="AS53" s="877"/>
      <c r="AT53" s="879"/>
      <c r="AU53" s="877"/>
      <c r="AV53" s="877"/>
      <c r="AW53" s="877"/>
      <c r="AX53" s="877"/>
      <c r="AY53" s="886"/>
      <c r="AZ53" s="877"/>
      <c r="BA53" s="879"/>
      <c r="BB53" s="877"/>
      <c r="BC53" s="877"/>
      <c r="BD53" s="877"/>
      <c r="BE53" s="877"/>
      <c r="BF53" s="886"/>
      <c r="BG53" s="877"/>
      <c r="BH53" s="879"/>
      <c r="BI53" s="877"/>
      <c r="BJ53" s="877"/>
      <c r="BK53" s="877"/>
      <c r="BL53" s="877"/>
      <c r="BM53" s="886"/>
      <c r="BN53" s="877"/>
      <c r="BO53" s="879"/>
      <c r="BP53" s="877"/>
      <c r="BQ53" s="877"/>
      <c r="BR53" s="877"/>
      <c r="BS53" s="877"/>
      <c r="BT53" s="886"/>
      <c r="BU53" s="877"/>
      <c r="BV53" s="879"/>
      <c r="BW53" s="886"/>
    </row>
    <row r="54" spans="1:253" s="406" customFormat="1" ht="17.25">
      <c r="A54" s="499"/>
      <c r="B54" s="55"/>
      <c r="C54" s="595"/>
      <c r="D54" s="50"/>
      <c r="E54" s="1294" t="s">
        <v>367</v>
      </c>
      <c r="F54" s="928">
        <f t="shared" ref="F54:H55" si="7">F58*$C$56+F62*$C$60+$C$64*F66+$C$68*F70</f>
        <v>0</v>
      </c>
      <c r="G54" s="877">
        <f t="shared" si="7"/>
        <v>1.877032784574095E-3</v>
      </c>
      <c r="H54" s="878">
        <f t="shared" si="7"/>
        <v>2.2401632468959246E-3</v>
      </c>
      <c r="I54" s="877">
        <f t="shared" si="6"/>
        <v>2.2299266365440268E-5</v>
      </c>
      <c r="J54" s="877">
        <f t="shared" si="6"/>
        <v>0</v>
      </c>
      <c r="K54" s="877">
        <f t="shared" si="6"/>
        <v>0</v>
      </c>
      <c r="L54" s="877">
        <f t="shared" si="6"/>
        <v>0</v>
      </c>
      <c r="M54" s="877"/>
      <c r="N54" s="877">
        <f t="shared" si="6"/>
        <v>7.8673855944688805E-6</v>
      </c>
      <c r="O54" s="877">
        <f t="shared" si="6"/>
        <v>1.8468661326141857E-3</v>
      </c>
      <c r="P54" s="877">
        <f t="shared" si="6"/>
        <v>0</v>
      </c>
      <c r="Q54" s="877">
        <f t="shared" si="6"/>
        <v>0</v>
      </c>
      <c r="R54" s="877">
        <f t="shared" si="6"/>
        <v>0</v>
      </c>
      <c r="S54" s="877">
        <f t="shared" si="6"/>
        <v>0</v>
      </c>
      <c r="T54" s="877">
        <f t="shared" si="6"/>
        <v>0</v>
      </c>
      <c r="U54" s="877">
        <f t="shared" si="6"/>
        <v>1.877032784574095E-3</v>
      </c>
      <c r="V54" s="877">
        <f t="shared" si="6"/>
        <v>0</v>
      </c>
      <c r="W54" s="877">
        <f t="shared" si="6"/>
        <v>0</v>
      </c>
      <c r="X54" s="879"/>
      <c r="Y54" s="879"/>
      <c r="Z54" s="877"/>
      <c r="AA54" s="877"/>
      <c r="AB54" s="877"/>
      <c r="AC54" s="877"/>
      <c r="AD54" s="886"/>
      <c r="AE54" s="877"/>
      <c r="AF54" s="879"/>
      <c r="AG54" s="877"/>
      <c r="AH54" s="877"/>
      <c r="AI54" s="877"/>
      <c r="AJ54" s="877"/>
      <c r="AK54" s="886"/>
      <c r="AL54" s="877"/>
      <c r="AM54" s="879"/>
      <c r="AN54" s="877"/>
      <c r="AO54" s="877"/>
      <c r="AP54" s="877"/>
      <c r="AQ54" s="877"/>
      <c r="AR54" s="886"/>
      <c r="AS54" s="877"/>
      <c r="AT54" s="879"/>
      <c r="AU54" s="877"/>
      <c r="AV54" s="877"/>
      <c r="AW54" s="877"/>
      <c r="AX54" s="877"/>
      <c r="AY54" s="886"/>
      <c r="AZ54" s="877"/>
      <c r="BA54" s="879"/>
      <c r="BB54" s="877"/>
      <c r="BC54" s="877"/>
      <c r="BD54" s="877"/>
      <c r="BE54" s="877"/>
      <c r="BF54" s="886"/>
      <c r="BG54" s="877"/>
      <c r="BH54" s="879"/>
      <c r="BI54" s="877"/>
      <c r="BJ54" s="877"/>
      <c r="BK54" s="877"/>
      <c r="BL54" s="877"/>
      <c r="BM54" s="886"/>
      <c r="BN54" s="877"/>
      <c r="BO54" s="879"/>
      <c r="BP54" s="877"/>
      <c r="BQ54" s="877"/>
      <c r="BR54" s="877"/>
      <c r="BS54" s="877"/>
      <c r="BT54" s="886"/>
      <c r="BU54" s="877"/>
      <c r="BV54" s="879"/>
      <c r="BW54" s="886"/>
    </row>
    <row r="55" spans="1:253" s="406" customFormat="1" ht="17.25">
      <c r="A55" s="18"/>
      <c r="B55" s="360"/>
      <c r="C55" s="83"/>
      <c r="D55" s="54"/>
      <c r="E55" s="1295" t="s">
        <v>320</v>
      </c>
      <c r="F55" s="928">
        <f t="shared" si="7"/>
        <v>7.1361067244256939E-5</v>
      </c>
      <c r="G55" s="877">
        <f t="shared" si="7"/>
        <v>1.7077831409799188E-4</v>
      </c>
      <c r="H55" s="878">
        <f t="shared" si="7"/>
        <v>2.038170594319034E-4</v>
      </c>
      <c r="I55" s="877">
        <f t="shared" si="6"/>
        <v>2.9235227581999064E-5</v>
      </c>
      <c r="J55" s="877">
        <f t="shared" si="6"/>
        <v>0</v>
      </c>
      <c r="K55" s="877">
        <f t="shared" si="6"/>
        <v>6.6449063964368158E-5</v>
      </c>
      <c r="L55" s="877">
        <f t="shared" si="6"/>
        <v>4.9120032798887776E-6</v>
      </c>
      <c r="M55" s="877"/>
      <c r="N55" s="877">
        <f t="shared" si="6"/>
        <v>4.7723659270640846E-7</v>
      </c>
      <c r="O55" s="877">
        <f t="shared" si="6"/>
        <v>6.9704782679029493E-5</v>
      </c>
      <c r="P55" s="877">
        <f t="shared" si="6"/>
        <v>0</v>
      </c>
      <c r="Q55" s="877">
        <f t="shared" si="6"/>
        <v>0</v>
      </c>
      <c r="R55" s="877">
        <f t="shared" si="6"/>
        <v>0</v>
      </c>
      <c r="S55" s="877">
        <f t="shared" si="6"/>
        <v>0</v>
      </c>
      <c r="T55" s="877">
        <f t="shared" si="6"/>
        <v>0</v>
      </c>
      <c r="U55" s="877">
        <f t="shared" si="6"/>
        <v>1.7077831409799188E-4</v>
      </c>
      <c r="V55" s="877">
        <f t="shared" si="6"/>
        <v>0</v>
      </c>
      <c r="W55" s="877">
        <f t="shared" si="6"/>
        <v>0</v>
      </c>
      <c r="X55" s="879"/>
      <c r="Y55" s="879"/>
      <c r="Z55" s="877"/>
      <c r="AA55" s="877"/>
      <c r="AB55" s="877"/>
      <c r="AC55" s="877"/>
      <c r="AD55" s="886"/>
      <c r="AE55" s="877"/>
      <c r="AF55" s="879"/>
      <c r="AG55" s="877"/>
      <c r="AH55" s="877"/>
      <c r="AI55" s="877"/>
      <c r="AJ55" s="877"/>
      <c r="AK55" s="886"/>
      <c r="AL55" s="877"/>
      <c r="AM55" s="879"/>
      <c r="AN55" s="877"/>
      <c r="AO55" s="877"/>
      <c r="AP55" s="877"/>
      <c r="AQ55" s="877"/>
      <c r="AR55" s="886"/>
      <c r="AS55" s="877"/>
      <c r="AT55" s="879"/>
      <c r="AU55" s="877"/>
      <c r="AV55" s="877"/>
      <c r="AW55" s="877"/>
      <c r="AX55" s="877"/>
      <c r="AY55" s="886"/>
      <c r="AZ55" s="877"/>
      <c r="BA55" s="879"/>
      <c r="BB55" s="877"/>
      <c r="BC55" s="877"/>
      <c r="BD55" s="877"/>
      <c r="BE55" s="877"/>
      <c r="BF55" s="886"/>
      <c r="BG55" s="877"/>
      <c r="BH55" s="879"/>
      <c r="BI55" s="877"/>
      <c r="BJ55" s="877"/>
      <c r="BK55" s="877"/>
      <c r="BL55" s="877"/>
      <c r="BM55" s="886"/>
      <c r="BN55" s="877"/>
      <c r="BO55" s="879"/>
      <c r="BP55" s="877"/>
      <c r="BQ55" s="877"/>
      <c r="BR55" s="877"/>
      <c r="BS55" s="877"/>
      <c r="BT55" s="886"/>
      <c r="BU55" s="877"/>
      <c r="BV55" s="879"/>
      <c r="BW55" s="886"/>
    </row>
    <row r="56" spans="1:253" s="502" customFormat="1" ht="17.25">
      <c r="A56" s="20" t="s">
        <v>122</v>
      </c>
      <c r="B56" s="93" t="s">
        <v>129</v>
      </c>
      <c r="C56" s="87">
        <f>'Input data plant-based products'!D95</f>
        <v>0.38</v>
      </c>
      <c r="D56" s="54"/>
      <c r="E56" s="1293" t="s">
        <v>316</v>
      </c>
      <c r="F56" s="930">
        <f>SUMPRODUCT($CI$4:$CI$6,F57:F59)</f>
        <v>2.5606996687702666E-2</v>
      </c>
      <c r="G56" s="872">
        <f>SUMPRODUCT($CI$4:$CI$6,G57:G59)</f>
        <v>3.2029229345031256</v>
      </c>
      <c r="H56" s="873">
        <f>SUMPRODUCT($CI$4:$CI$6,H57:H59)</f>
        <v>3.9180366803951849</v>
      </c>
      <c r="I56" s="884"/>
      <c r="J56" s="884"/>
      <c r="K56" s="884"/>
      <c r="L56" s="884"/>
      <c r="M56" s="884"/>
      <c r="N56" s="884"/>
      <c r="O56" s="884"/>
      <c r="P56" s="884"/>
      <c r="Q56" s="884"/>
      <c r="R56" s="884"/>
      <c r="S56" s="884"/>
      <c r="T56" s="884"/>
      <c r="U56" s="884"/>
      <c r="V56" s="884"/>
      <c r="W56" s="884"/>
      <c r="X56" s="879"/>
      <c r="Y56" s="879">
        <f>1/'Input data plant-based products'!E95*10^4</f>
        <v>0.17433143893169695</v>
      </c>
      <c r="Z56" s="877">
        <f>$Y56*'Input data plant-based products'!Z95</f>
        <v>0.17433143893169695</v>
      </c>
      <c r="AA56" s="877">
        <f>$Y56*'Input data plant-based products'!AA95</f>
        <v>0.17433143893169695</v>
      </c>
      <c r="AB56" s="877">
        <f>$Y56*'Input data plant-based products'!AB95</f>
        <v>0.17433143893169695</v>
      </c>
      <c r="AC56" s="877">
        <f>$Y56*'Input data plant-based products'!AC95</f>
        <v>0.20805757122770849</v>
      </c>
      <c r="AD56" s="886">
        <f>$Y56*'Input data plant-based products'!AD95</f>
        <v>0.25686119904655363</v>
      </c>
      <c r="AE56" s="877"/>
      <c r="AF56" s="879">
        <f>SUM('Input data plant-based products'!F95,'Input data plant-based products'!Q95)/'Input data plant-based products'!E95</f>
        <v>3.5563613542066177E-3</v>
      </c>
      <c r="AG56" s="877">
        <f>$AF56*'Input data plant-based products'!Z95</f>
        <v>3.5563613542066177E-3</v>
      </c>
      <c r="AH56" s="877">
        <f>$AF56*'Input data plant-based products'!AA95</f>
        <v>3.5563613542066177E-3</v>
      </c>
      <c r="AI56" s="877">
        <f>$AF56*'Input data plant-based products'!AB95</f>
        <v>3.5563613542066177E-3</v>
      </c>
      <c r="AJ56" s="877">
        <f>$AF56*'Input data plant-based products'!AC95</f>
        <v>4.2443744530452528E-3</v>
      </c>
      <c r="AK56" s="886">
        <f>$AF56*'Input data plant-based products'!AD95</f>
        <v>5.239968460549695E-3</v>
      </c>
      <c r="AL56" s="877"/>
      <c r="AM56" s="879">
        <f>'Input data plant-based products'!R95/'Input data plant-based products'!E95</f>
        <v>1.23E-3</v>
      </c>
      <c r="AN56" s="877">
        <f>$AM56*'Input data plant-based products'!Z95</f>
        <v>1.23E-3</v>
      </c>
      <c r="AO56" s="877">
        <f>$AM56*'Input data plant-based products'!AA95</f>
        <v>1.23E-3</v>
      </c>
      <c r="AP56" s="877">
        <f>$AM56*'Input data plant-based products'!AB95</f>
        <v>1.23E-3</v>
      </c>
      <c r="AQ56" s="877">
        <f>$AM56*'Input data plant-based products'!AC95</f>
        <v>1.467955603293949E-3</v>
      </c>
      <c r="AR56" s="886">
        <f>$AM56*'Input data plant-based products'!AD95</f>
        <v>1.8122908682641345E-3</v>
      </c>
      <c r="AS56" s="877"/>
      <c r="AT56" s="879">
        <f>'Input data plant-based products'!S95</f>
        <v>3.096312611700984E-2</v>
      </c>
      <c r="AU56" s="877">
        <f>$AT56*'Input data plant-based products'!Z95</f>
        <v>3.096312611700984E-2</v>
      </c>
      <c r="AV56" s="877">
        <f>$AT56*'Input data plant-based products'!AA95</f>
        <v>3.096312611700984E-2</v>
      </c>
      <c r="AW56" s="877">
        <f>$AT56*'Input data plant-based products'!AB95</f>
        <v>3.096312611700984E-2</v>
      </c>
      <c r="AX56" s="877">
        <f>$AT56*'Input data plant-based products'!AC95</f>
        <v>3.6953247543871394E-2</v>
      </c>
      <c r="AY56" s="886">
        <f>$AT56*'Input data plant-based products'!AD95</f>
        <v>4.5621293264038749E-2</v>
      </c>
      <c r="AZ56" s="877"/>
      <c r="BA56" s="879">
        <f>((SUM('Input data plant-based products'!U95:Y95)*Y56)/('Common input data'!$B$192/10^6))/$BB$3</f>
        <v>1.2332023061380408E-12</v>
      </c>
      <c r="BB56" s="877">
        <f>$BA56*'Input data plant-based products'!Z95</f>
        <v>1.2332023061380408E-12</v>
      </c>
      <c r="BC56" s="877">
        <f>$BA56*'Input data plant-based products'!AA95</f>
        <v>1.2332023061380408E-12</v>
      </c>
      <c r="BD56" s="877">
        <f>$BA56*'Input data plant-based products'!AB95</f>
        <v>1.2332023061380408E-12</v>
      </c>
      <c r="BE56" s="877">
        <f>$BA56*'Input data plant-based products'!AC95</f>
        <v>1.4717774270653308E-12</v>
      </c>
      <c r="BF56" s="886">
        <f>$BA56*'Input data plant-based products'!AD95</f>
        <v>1.8170091692164576E-12</v>
      </c>
      <c r="BG56" s="877"/>
      <c r="BH56" s="879">
        <f>'Input data plant-based products'!T95/'Input data plant-based products'!E95</f>
        <v>6.7117603988703318E-5</v>
      </c>
      <c r="BI56" s="877">
        <f>$BH56*'Input data plant-based products'!Z95</f>
        <v>6.7117603988703318E-5</v>
      </c>
      <c r="BJ56" s="877">
        <f>$BH56*'Input data plant-based products'!AA95</f>
        <v>6.7117603988703318E-5</v>
      </c>
      <c r="BK56" s="877">
        <f>$BH56*'Input data plant-based products'!AB95</f>
        <v>6.7117603988703318E-5</v>
      </c>
      <c r="BL56" s="877">
        <f>$BH56*'Input data plant-based products'!AC95</f>
        <v>8.0102164922667767E-5</v>
      </c>
      <c r="BM56" s="886">
        <f>$BH56*'Input data plant-based products'!AD95</f>
        <v>9.8891561632923151E-5</v>
      </c>
      <c r="BN56" s="877"/>
      <c r="BO56" s="879">
        <f>('Input data plant-based products'!F95/'Input data plant-based products'!E95*'Common input data'!$B$195+'Input data plant-based products'!G95/'Input data plant-based products'!E95*'Common input data'!$B$196)/'Common input data'!$B$198</f>
        <v>9.0807181744367182E-5</v>
      </c>
      <c r="BP56" s="877">
        <f>$BO56*'Input data plant-based products'!Z95</f>
        <v>9.0807181744367182E-5</v>
      </c>
      <c r="BQ56" s="877">
        <f>$BO56*'Input data plant-based products'!AA95</f>
        <v>9.0807181744367182E-5</v>
      </c>
      <c r="BR56" s="877">
        <f>$BO56*'Input data plant-based products'!AB95</f>
        <v>9.0807181744367182E-5</v>
      </c>
      <c r="BS56" s="877">
        <f>$BO56*'Input data plant-based products'!AC95</f>
        <v>1.0837472460241936E-4</v>
      </c>
      <c r="BT56" s="886">
        <f>$BO56*'Input data plant-based products'!AD95</f>
        <v>1.3379595629928314E-4</v>
      </c>
      <c r="BU56" s="877"/>
      <c r="BV56" s="879">
        <f>'Common input data'!$C$202*'Input data plant-based products'!AC95</f>
        <v>0.17090344909893782</v>
      </c>
      <c r="BW56" s="886">
        <f>'Common input data'!$C$202*'Input data plant-based products'!AD95</f>
        <v>0.21099191246782442</v>
      </c>
      <c r="BX56" s="406"/>
      <c r="BY56" s="406"/>
      <c r="BZ56" s="406"/>
      <c r="CA56" s="406"/>
      <c r="CB56" s="406"/>
      <c r="CC56" s="406"/>
      <c r="CD56" s="406"/>
      <c r="CE56" s="406"/>
      <c r="CF56" s="406"/>
      <c r="CG56" s="406"/>
      <c r="CH56" s="406"/>
      <c r="CI56" s="406"/>
      <c r="CJ56" s="406"/>
      <c r="CK56" s="406"/>
      <c r="CL56" s="406"/>
      <c r="CM56" s="406"/>
      <c r="CN56" s="406"/>
      <c r="CO56" s="406"/>
      <c r="CP56" s="406"/>
      <c r="CQ56" s="406"/>
      <c r="CR56" s="406"/>
      <c r="CS56" s="406"/>
      <c r="CT56" s="406"/>
      <c r="CU56" s="406"/>
      <c r="CV56" s="406"/>
      <c r="CW56" s="406"/>
      <c r="CX56" s="406"/>
      <c r="CY56" s="406"/>
      <c r="CZ56" s="406"/>
      <c r="DA56" s="406"/>
      <c r="DB56" s="406"/>
      <c r="DC56" s="406"/>
      <c r="DD56" s="406"/>
      <c r="DE56" s="406"/>
      <c r="DF56" s="406"/>
      <c r="DG56" s="406"/>
      <c r="DH56" s="406"/>
      <c r="DI56" s="406"/>
      <c r="DJ56" s="406"/>
      <c r="DK56" s="406"/>
      <c r="DL56" s="406"/>
      <c r="DM56" s="406"/>
      <c r="DN56" s="406"/>
      <c r="DO56" s="406"/>
      <c r="DP56" s="406"/>
      <c r="DQ56" s="406"/>
      <c r="DR56" s="406"/>
      <c r="DS56" s="406"/>
      <c r="DT56" s="406"/>
      <c r="DU56" s="406"/>
      <c r="DV56" s="406"/>
      <c r="DW56" s="406"/>
      <c r="DX56" s="406"/>
      <c r="DY56" s="406"/>
      <c r="DZ56" s="406"/>
      <c r="EA56" s="406"/>
      <c r="EB56" s="406"/>
      <c r="EC56" s="406"/>
      <c r="ED56" s="406"/>
      <c r="EE56" s="406"/>
      <c r="EF56" s="406"/>
      <c r="EG56" s="406"/>
      <c r="EH56" s="406"/>
      <c r="EI56" s="406"/>
      <c r="EJ56" s="406"/>
      <c r="EK56" s="406"/>
      <c r="EL56" s="406"/>
      <c r="EM56" s="406"/>
      <c r="EN56" s="406"/>
      <c r="EO56" s="406"/>
      <c r="EP56" s="406"/>
      <c r="EQ56" s="406"/>
      <c r="ER56" s="406"/>
      <c r="ES56" s="406"/>
      <c r="ET56" s="406"/>
      <c r="EU56" s="406"/>
      <c r="EV56" s="406"/>
      <c r="EW56" s="406"/>
      <c r="EX56" s="406"/>
      <c r="EY56" s="406"/>
      <c r="EZ56" s="406"/>
      <c r="FA56" s="406"/>
      <c r="FB56" s="406"/>
      <c r="FC56" s="406"/>
      <c r="FD56" s="406"/>
      <c r="FE56" s="406"/>
      <c r="FF56" s="406"/>
      <c r="FG56" s="406"/>
      <c r="FH56" s="406"/>
      <c r="FI56" s="406"/>
      <c r="FJ56" s="406"/>
      <c r="FK56" s="406"/>
      <c r="FL56" s="406"/>
      <c r="FM56" s="406"/>
      <c r="FN56" s="406"/>
      <c r="FO56" s="406"/>
      <c r="FP56" s="406"/>
      <c r="FQ56" s="406"/>
      <c r="FR56" s="406"/>
      <c r="FS56" s="406"/>
      <c r="FT56" s="406"/>
      <c r="FU56" s="406"/>
      <c r="FV56" s="406"/>
      <c r="FW56" s="406"/>
      <c r="FX56" s="406"/>
      <c r="FY56" s="406"/>
      <c r="FZ56" s="406"/>
      <c r="GA56" s="406"/>
      <c r="GB56" s="406"/>
      <c r="GC56" s="406"/>
      <c r="GD56" s="406"/>
      <c r="GE56" s="406"/>
      <c r="GF56" s="406"/>
      <c r="GG56" s="406"/>
      <c r="GH56" s="406"/>
      <c r="GI56" s="406"/>
      <c r="GJ56" s="406"/>
      <c r="GK56" s="406"/>
      <c r="GL56" s="406"/>
      <c r="GM56" s="406"/>
      <c r="GN56" s="406"/>
      <c r="GO56" s="406"/>
      <c r="GP56" s="406"/>
      <c r="GQ56" s="406"/>
      <c r="GR56" s="406"/>
      <c r="GS56" s="406"/>
      <c r="GT56" s="406"/>
      <c r="GU56" s="406"/>
      <c r="GV56" s="406"/>
      <c r="GW56" s="406"/>
      <c r="GX56" s="406"/>
      <c r="GY56" s="406"/>
      <c r="GZ56" s="406"/>
      <c r="HA56" s="406"/>
      <c r="HB56" s="406"/>
      <c r="HC56" s="406"/>
      <c r="HD56" s="406"/>
      <c r="HE56" s="406"/>
      <c r="HF56" s="406"/>
      <c r="HG56" s="406"/>
      <c r="HH56" s="406"/>
      <c r="HI56" s="406"/>
      <c r="HJ56" s="406"/>
      <c r="HK56" s="406"/>
      <c r="HL56" s="406"/>
      <c r="HM56" s="406"/>
      <c r="HN56" s="406"/>
      <c r="HO56" s="406"/>
      <c r="HP56" s="406"/>
      <c r="HQ56" s="406"/>
      <c r="HR56" s="406"/>
      <c r="HS56" s="406"/>
      <c r="HT56" s="406"/>
      <c r="HU56" s="406"/>
      <c r="HV56" s="406"/>
      <c r="HW56" s="406"/>
      <c r="HX56" s="406"/>
      <c r="HY56" s="406"/>
      <c r="HZ56" s="406"/>
      <c r="IA56" s="406"/>
      <c r="IB56" s="406"/>
      <c r="IC56" s="406"/>
      <c r="ID56" s="406"/>
      <c r="IE56" s="406"/>
      <c r="IF56" s="406"/>
      <c r="IG56" s="406"/>
      <c r="IH56" s="406"/>
      <c r="II56" s="406"/>
      <c r="IJ56" s="406"/>
      <c r="IK56" s="406"/>
      <c r="IL56" s="406"/>
      <c r="IM56" s="406"/>
      <c r="IN56" s="406"/>
      <c r="IO56" s="406"/>
      <c r="IP56" s="406"/>
      <c r="IQ56" s="406"/>
      <c r="IR56" s="406"/>
      <c r="IS56" s="406"/>
    </row>
    <row r="57" spans="1:253" s="406" customFormat="1" ht="17.25">
      <c r="A57" s="499"/>
      <c r="B57" s="55"/>
      <c r="C57" s="917"/>
      <c r="D57" s="5"/>
      <c r="E57" s="1294" t="s">
        <v>317</v>
      </c>
      <c r="F57" s="928">
        <f>IF(AND($G$2="No",$G$3="No"),SUM(K57:L57),IF(AND($G$2="Yes", $G$3="No"), SUM(K57:L57)+S57, IF(AND($G$2="No", $G$3="Yes"),SUM(K57:L57)+R57, SUM(K57:L57)+S57+R57)))</f>
        <v>0</v>
      </c>
      <c r="G57" s="877">
        <f>IF(AND($G$2="No",$G$3="No"),SUM(I57:Q57),IF(AND($G$2="Yes", $G$3="No"), SUM(I57:Q57)+S57, IF(AND($G$2="No", $G$3="Yes"),SUM(I57:Q57)+R57, SUM(I57:Q57)+S57+R57)))</f>
        <v>2.9892302787212128</v>
      </c>
      <c r="H57" s="878">
        <f>SUM(U57:W57)/(1-'Common input data'!$B$140)</f>
        <v>3.663003077600206</v>
      </c>
      <c r="I57" s="877">
        <f>('Input data plant-based products'!$F$95*('Common input data'!$B$93*'Common input data'!B86+'Common input data'!$B$94*'Common input data'!C86))/'Input data plant-based products'!$E$95</f>
        <v>1.1156762715361514E-2</v>
      </c>
      <c r="J57" s="877">
        <f>'Common input data'!$B$98</f>
        <v>0.03</v>
      </c>
      <c r="K57" s="877">
        <v>0</v>
      </c>
      <c r="L57" s="877">
        <v>0</v>
      </c>
      <c r="M57" s="877"/>
      <c r="N57" s="877">
        <v>0</v>
      </c>
      <c r="O57" s="877">
        <f>'Input data plant-based products'!N300/'Input data plant-based products'!E$95*'Input data plant-based products'!$L$300</f>
        <v>2.9424068493391848</v>
      </c>
      <c r="P57" s="877">
        <f>'Input data plant-based products'!F$309*(1-'Input data plant-based products'!$L$300)</f>
        <v>5.6666666666666645E-3</v>
      </c>
      <c r="Q57" s="877">
        <v>0</v>
      </c>
      <c r="R57" s="877">
        <v>0</v>
      </c>
      <c r="S57" s="877">
        <v>0</v>
      </c>
      <c r="T57" s="877">
        <v>0</v>
      </c>
      <c r="U57" s="877">
        <f>G57+T57</f>
        <v>2.9892302787212128</v>
      </c>
      <c r="V57" s="877">
        <f>'Common input data'!$B$105</f>
        <v>0.05</v>
      </c>
      <c r="W57" s="877">
        <f>'Common input data'!C115</f>
        <v>0.03</v>
      </c>
      <c r="X57" s="879"/>
      <c r="Y57" s="879"/>
      <c r="Z57" s="877"/>
      <c r="AA57" s="877"/>
      <c r="AB57" s="877"/>
      <c r="AC57" s="877"/>
      <c r="AD57" s="886"/>
      <c r="AE57" s="877"/>
      <c r="AF57" s="879"/>
      <c r="AG57" s="877"/>
      <c r="AH57" s="877"/>
      <c r="AI57" s="877"/>
      <c r="AJ57" s="877"/>
      <c r="AK57" s="886"/>
      <c r="AL57" s="877"/>
      <c r="AM57" s="879"/>
      <c r="AN57" s="877"/>
      <c r="AO57" s="877"/>
      <c r="AP57" s="877"/>
      <c r="AQ57" s="877"/>
      <c r="AR57" s="886"/>
      <c r="AS57" s="877"/>
      <c r="AT57" s="879"/>
      <c r="AU57" s="877"/>
      <c r="AV57" s="877"/>
      <c r="AW57" s="877"/>
      <c r="AX57" s="877"/>
      <c r="AY57" s="886"/>
      <c r="AZ57" s="877"/>
      <c r="BA57" s="879"/>
      <c r="BB57" s="877"/>
      <c r="BC57" s="877"/>
      <c r="BD57" s="877"/>
      <c r="BE57" s="877"/>
      <c r="BF57" s="886"/>
      <c r="BG57" s="877"/>
      <c r="BH57" s="879"/>
      <c r="BI57" s="877"/>
      <c r="BJ57" s="877"/>
      <c r="BK57" s="877"/>
      <c r="BL57" s="877"/>
      <c r="BM57" s="886"/>
      <c r="BN57" s="877"/>
      <c r="BO57" s="879"/>
      <c r="BP57" s="877"/>
      <c r="BQ57" s="877"/>
      <c r="BR57" s="877"/>
      <c r="BS57" s="877"/>
      <c r="BT57" s="886"/>
      <c r="BU57" s="877"/>
      <c r="BV57" s="879"/>
      <c r="BW57" s="886"/>
    </row>
    <row r="58" spans="1:253" s="406" customFormat="1" ht="17.25">
      <c r="A58" s="18"/>
      <c r="B58" s="55"/>
      <c r="C58" s="595"/>
      <c r="D58" s="50"/>
      <c r="E58" s="1294" t="s">
        <v>367</v>
      </c>
      <c r="F58" s="928">
        <f>SUM(K58:L58)</f>
        <v>0</v>
      </c>
      <c r="G58" s="877">
        <f>SUM(I58:Q58)</f>
        <v>4.8742097917626476E-3</v>
      </c>
      <c r="H58" s="878">
        <f>SUM(U58:W58)/(1-'Common input data'!$B$140)</f>
        <v>5.8171736385757818E-3</v>
      </c>
      <c r="I58" s="877">
        <f>('Input data plant-based products'!$F$95*('Common input data'!$B$93*'Common input data'!B87+'Common input data'!$B$94*'Common input data'!C87))/'Input data plant-based products'!$E$95</f>
        <v>1.4035758567422293E-5</v>
      </c>
      <c r="J58" s="877">
        <v>0</v>
      </c>
      <c r="K58" s="877">
        <v>0</v>
      </c>
      <c r="L58" s="877">
        <v>0</v>
      </c>
      <c r="M58" s="877"/>
      <c r="N58" s="877">
        <v>0</v>
      </c>
      <c r="O58" s="877">
        <f>'Input data plant-based products'!O300/'Input data plant-based products'!E$95*'Input data plant-based products'!$L$300</f>
        <v>4.8601740331952253E-3</v>
      </c>
      <c r="P58" s="877">
        <v>0</v>
      </c>
      <c r="Q58" s="877">
        <v>0</v>
      </c>
      <c r="R58" s="877">
        <v>0</v>
      </c>
      <c r="S58" s="877">
        <v>0</v>
      </c>
      <c r="T58" s="877">
        <v>0</v>
      </c>
      <c r="U58" s="877">
        <f>G58+T58</f>
        <v>4.8742097917626476E-3</v>
      </c>
      <c r="V58" s="877">
        <v>0</v>
      </c>
      <c r="W58" s="877">
        <v>0</v>
      </c>
      <c r="X58" s="879"/>
      <c r="Y58" s="879"/>
      <c r="Z58" s="877"/>
      <c r="AA58" s="877"/>
      <c r="AB58" s="877"/>
      <c r="AC58" s="877"/>
      <c r="AD58" s="886"/>
      <c r="AE58" s="877"/>
      <c r="AF58" s="879"/>
      <c r="AG58" s="877"/>
      <c r="AH58" s="877"/>
      <c r="AI58" s="877"/>
      <c r="AJ58" s="877"/>
      <c r="AK58" s="886"/>
      <c r="AL58" s="877"/>
      <c r="AM58" s="879"/>
      <c r="AN58" s="877"/>
      <c r="AO58" s="877"/>
      <c r="AP58" s="877"/>
      <c r="AQ58" s="877"/>
      <c r="AR58" s="886"/>
      <c r="AS58" s="877"/>
      <c r="AT58" s="879"/>
      <c r="AU58" s="877"/>
      <c r="AV58" s="877"/>
      <c r="AW58" s="877"/>
      <c r="AX58" s="877"/>
      <c r="AY58" s="886"/>
      <c r="AZ58" s="877"/>
      <c r="BA58" s="879"/>
      <c r="BB58" s="877"/>
      <c r="BC58" s="877"/>
      <c r="BD58" s="877"/>
      <c r="BE58" s="877"/>
      <c r="BF58" s="886"/>
      <c r="BG58" s="877"/>
      <c r="BH58" s="879"/>
      <c r="BI58" s="877"/>
      <c r="BJ58" s="877"/>
      <c r="BK58" s="877"/>
      <c r="BL58" s="877"/>
      <c r="BM58" s="886"/>
      <c r="BN58" s="877"/>
      <c r="BO58" s="879"/>
      <c r="BP58" s="877"/>
      <c r="BQ58" s="877"/>
      <c r="BR58" s="877"/>
      <c r="BS58" s="877"/>
      <c r="BT58" s="886"/>
      <c r="BU58" s="877"/>
      <c r="BV58" s="879"/>
      <c r="BW58" s="886"/>
    </row>
    <row r="59" spans="1:253" s="406" customFormat="1" ht="17.25">
      <c r="A59" s="359"/>
      <c r="B59" s="360"/>
      <c r="C59" s="83"/>
      <c r="D59" s="54"/>
      <c r="E59" s="1295" t="s">
        <v>320</v>
      </c>
      <c r="F59" s="928">
        <f>SUM(K59:L59)</f>
        <v>9.3798522665577524E-5</v>
      </c>
      <c r="G59" s="877">
        <f>SUM(I59:Q59)</f>
        <v>3.0069227620630563E-4</v>
      </c>
      <c r="H59" s="878">
        <f>SUM(U59:W59)/(1-'Common input data'!$B$140)</f>
        <v>3.5886415587338063E-4</v>
      </c>
      <c r="I59" s="877">
        <f>('Input data plant-based products'!$F$95*('Common input data'!$B$93*'Common input data'!B88+'Common input data'!$B$94*'Common input data'!C88))/'Input data plant-based products'!$E$95</f>
        <v>2.3460114911703161E-5</v>
      </c>
      <c r="J59" s="877">
        <v>0</v>
      </c>
      <c r="K59" s="877">
        <f>(SUM(('Input data plant-based products'!$F$95*'Input data plant-based products'!$B$258),(('Input data plant-based products'!$G$95+'Input data plant-based products'!$H$95)*'Input data plant-based products'!$B$259))*44/28)/'Input data plant-based products'!$E$95</f>
        <v>8.9417085477194971E-5</v>
      </c>
      <c r="L59" s="877">
        <f>K59*'Input data plant-based products'!$B$261*(1-'Input data plant-based products'!M300)</f>
        <v>4.3814371883825539E-6</v>
      </c>
      <c r="M59" s="877"/>
      <c r="N59" s="877">
        <v>0</v>
      </c>
      <c r="O59" s="877">
        <f>'Input data plant-based products'!P300/'Input data plant-based products'!E$95*'Input data plant-based products'!$L$300</f>
        <v>1.8343363862902498E-4</v>
      </c>
      <c r="P59" s="877">
        <v>0</v>
      </c>
      <c r="Q59" s="877">
        <v>0</v>
      </c>
      <c r="R59" s="877">
        <v>0</v>
      </c>
      <c r="S59" s="877">
        <v>0</v>
      </c>
      <c r="T59" s="877">
        <v>0</v>
      </c>
      <c r="U59" s="877">
        <f>G59+T59</f>
        <v>3.0069227620630563E-4</v>
      </c>
      <c r="V59" s="877">
        <v>0</v>
      </c>
      <c r="W59" s="877">
        <v>0</v>
      </c>
      <c r="X59" s="879"/>
      <c r="Y59" s="879"/>
      <c r="Z59" s="877"/>
      <c r="AA59" s="877"/>
      <c r="AB59" s="877"/>
      <c r="AC59" s="877"/>
      <c r="AD59" s="886"/>
      <c r="AE59" s="877"/>
      <c r="AF59" s="879"/>
      <c r="AG59" s="877"/>
      <c r="AH59" s="877"/>
      <c r="AI59" s="877"/>
      <c r="AJ59" s="877"/>
      <c r="AK59" s="886"/>
      <c r="AL59" s="877"/>
      <c r="AM59" s="879"/>
      <c r="AN59" s="877"/>
      <c r="AO59" s="877"/>
      <c r="AP59" s="877"/>
      <c r="AQ59" s="877"/>
      <c r="AR59" s="886"/>
      <c r="AS59" s="877"/>
      <c r="AT59" s="879"/>
      <c r="AU59" s="877"/>
      <c r="AV59" s="877"/>
      <c r="AW59" s="877"/>
      <c r="AX59" s="877"/>
      <c r="AY59" s="886"/>
      <c r="AZ59" s="877"/>
      <c r="BA59" s="879"/>
      <c r="BB59" s="877"/>
      <c r="BC59" s="877"/>
      <c r="BD59" s="877"/>
      <c r="BE59" s="877"/>
      <c r="BF59" s="886"/>
      <c r="BG59" s="877"/>
      <c r="BH59" s="879"/>
      <c r="BI59" s="877"/>
      <c r="BJ59" s="877"/>
      <c r="BK59" s="877"/>
      <c r="BL59" s="877"/>
      <c r="BM59" s="886"/>
      <c r="BN59" s="877"/>
      <c r="BO59" s="879"/>
      <c r="BP59" s="877"/>
      <c r="BQ59" s="877"/>
      <c r="BR59" s="877"/>
      <c r="BS59" s="877"/>
      <c r="BT59" s="886"/>
      <c r="BU59" s="877"/>
      <c r="BV59" s="879"/>
      <c r="BW59" s="886"/>
    </row>
    <row r="60" spans="1:253" s="502" customFormat="1" ht="17.25">
      <c r="A60" s="20" t="s">
        <v>130</v>
      </c>
      <c r="B60" s="93" t="s">
        <v>121</v>
      </c>
      <c r="C60" s="87">
        <f>'Input data plant-based products'!D96</f>
        <v>0.34</v>
      </c>
      <c r="D60" s="54"/>
      <c r="E60" s="1293" t="s">
        <v>316</v>
      </c>
      <c r="F60" s="930">
        <f>SUMPRODUCT($CI$4:$CI$6,F61:F63)</f>
        <v>-8.0987912031243947E-2</v>
      </c>
      <c r="G60" s="872">
        <f>SUMPRODUCT($CI$4:$CI$6,G61:G63)</f>
        <v>5.177057616293361E-2</v>
      </c>
      <c r="H60" s="873">
        <f>SUMPRODUCT($CI$4:$CI$6,H61:H63)</f>
        <v>0.39595485876946374</v>
      </c>
      <c r="I60" s="884"/>
      <c r="J60" s="884"/>
      <c r="K60" s="884"/>
      <c r="L60" s="884"/>
      <c r="M60" s="884"/>
      <c r="N60" s="884"/>
      <c r="O60" s="884"/>
      <c r="P60" s="884"/>
      <c r="Q60" s="884"/>
      <c r="R60" s="884"/>
      <c r="S60" s="884"/>
      <c r="T60" s="884"/>
      <c r="U60" s="884"/>
      <c r="V60" s="884"/>
      <c r="W60" s="884"/>
      <c r="X60" s="879"/>
      <c r="Y60" s="879">
        <f>1/'Input data plant-based products'!E96*10^4</f>
        <v>0.31868447050575222</v>
      </c>
      <c r="Z60" s="877">
        <f>$Y60*'Input data plant-based products'!Z96</f>
        <v>0.31868447050575222</v>
      </c>
      <c r="AA60" s="877">
        <f>$Y60*'Input data plant-based products'!AA96</f>
        <v>0.31868447050575222</v>
      </c>
      <c r="AB60" s="877">
        <f>$Y60*'Input data plant-based products'!AB96</f>
        <v>0.31868447050575222</v>
      </c>
      <c r="AC60" s="877">
        <f>$Y60*'Input data plant-based products'!AC96</f>
        <v>0.38033711720462132</v>
      </c>
      <c r="AD60" s="886">
        <f>$Y60*'Input data plant-based products'!AD96</f>
        <v>0.46955199654891516</v>
      </c>
      <c r="AE60" s="877"/>
      <c r="AF60" s="879">
        <f>SUM('Input data plant-based products'!F96,'Input data plant-based products'!Q96)/'Input data plant-based products'!E96</f>
        <v>4.3022403518276553E-3</v>
      </c>
      <c r="AG60" s="877">
        <f>$AF60*'Input data plant-based products'!Z96</f>
        <v>4.3022403518276553E-3</v>
      </c>
      <c r="AH60" s="877">
        <f>$AF60*'Input data plant-based products'!AA96</f>
        <v>4.3022403518276553E-3</v>
      </c>
      <c r="AI60" s="877">
        <f>$AF60*'Input data plant-based products'!AB96</f>
        <v>4.3022403518276553E-3</v>
      </c>
      <c r="AJ60" s="877">
        <f>$AF60*'Input data plant-based products'!AC96</f>
        <v>5.1345510822623881E-3</v>
      </c>
      <c r="AK60" s="886">
        <f>$AF60*'Input data plant-based products'!AD96</f>
        <v>6.3389519534103548E-3</v>
      </c>
      <c r="AL60" s="877"/>
      <c r="AM60" s="879">
        <f>'Input data plant-based products'!R96/'Input data plant-based products'!E96</f>
        <v>1.5714285714285715E-3</v>
      </c>
      <c r="AN60" s="877">
        <f>$AM60*'Input data plant-based products'!Z96</f>
        <v>1.5714285714285715E-3</v>
      </c>
      <c r="AO60" s="877">
        <f>$AM60*'Input data plant-based products'!AA96</f>
        <v>1.5714285714285715E-3</v>
      </c>
      <c r="AP60" s="877">
        <f>$AM60*'Input data plant-based products'!AB96</f>
        <v>1.5714285714285715E-3</v>
      </c>
      <c r="AQ60" s="877">
        <f>$AM60*'Input data plant-based products'!AC96</f>
        <v>1.8754368915485993E-3</v>
      </c>
      <c r="AR60" s="886">
        <f>$AM60*'Input data plant-based products'!AD96</f>
        <v>2.3153541870970362E-3</v>
      </c>
      <c r="AS60" s="877"/>
      <c r="AT60" s="879">
        <f>'Input data plant-based products'!S96</f>
        <v>6.0999999999999999E-2</v>
      </c>
      <c r="AU60" s="877">
        <f>$AT60*'Input data plant-based products'!Z96</f>
        <v>6.0999999999999999E-2</v>
      </c>
      <c r="AV60" s="877">
        <f>$AT60*'Input data plant-based products'!AA96</f>
        <v>6.0999999999999999E-2</v>
      </c>
      <c r="AW60" s="877">
        <f>$AT60*'Input data plant-based products'!AB96</f>
        <v>6.0999999999999999E-2</v>
      </c>
      <c r="AX60" s="877">
        <f>$AT60*'Input data plant-based products'!AC96</f>
        <v>7.2801050244659257E-2</v>
      </c>
      <c r="AY60" s="886">
        <f>$AT60*'Input data plant-based products'!AD96</f>
        <v>8.9877839808221296E-2</v>
      </c>
      <c r="AZ60" s="877"/>
      <c r="BA60" s="879">
        <f>((SUM('Input data plant-based products'!U96:Y96)*Y60)/('Common input data'!$B$192/10^6))/$BB$3</f>
        <v>5.3992025981360566E-10</v>
      </c>
      <c r="BB60" s="877">
        <f>$BA60*'Input data plant-based products'!Z96</f>
        <v>5.3992025981360566E-10</v>
      </c>
      <c r="BC60" s="877">
        <f>$BA60*'Input data plant-based products'!AA96</f>
        <v>5.3992025981360566E-10</v>
      </c>
      <c r="BD60" s="877">
        <f>$BA60*'Input data plant-based products'!AB96</f>
        <v>5.3992025981360566E-10</v>
      </c>
      <c r="BE60" s="877">
        <f>$BA60*'Input data plant-based products'!AC96</f>
        <v>6.443731469311441E-10</v>
      </c>
      <c r="BF60" s="886">
        <f>$BA60*'Input data plant-based products'!AD96</f>
        <v>7.9552240361869629E-10</v>
      </c>
      <c r="BG60" s="877"/>
      <c r="BH60" s="879">
        <f>'Input data plant-based products'!T96/'Input data plant-based products'!E96</f>
        <v>8.7956913859587609E-5</v>
      </c>
      <c r="BI60" s="877">
        <f>$BH60*'Input data plant-based products'!Z96</f>
        <v>8.7956913859587609E-5</v>
      </c>
      <c r="BJ60" s="877">
        <f>$BH60*'Input data plant-based products'!AA96</f>
        <v>8.7956913859587609E-5</v>
      </c>
      <c r="BK60" s="877">
        <f>$BH60*'Input data plant-based products'!AB96</f>
        <v>8.7956913859587609E-5</v>
      </c>
      <c r="BL60" s="877">
        <f>$BH60*'Input data plant-based products'!AC96</f>
        <v>1.0497304434847548E-4</v>
      </c>
      <c r="BM60" s="886">
        <f>$BH60*'Input data plant-based products'!AD96</f>
        <v>1.2959635104750058E-4</v>
      </c>
      <c r="BN60" s="877"/>
      <c r="BO60" s="879">
        <f>('Input data plant-based products'!F96/'Input data plant-based products'!E96*'Common input data'!$B$195+'Input data plant-based products'!G96/'Input data plant-based products'!E96*'Common input data'!$B$196)/'Common input data'!$B$198</f>
        <v>1.0985225701945547E-4</v>
      </c>
      <c r="BP60" s="877">
        <f>$BO60*'Input data plant-based products'!Z96</f>
        <v>1.0985225701945547E-4</v>
      </c>
      <c r="BQ60" s="877">
        <f>$BO60*'Input data plant-based products'!AA96</f>
        <v>1.0985225701945547E-4</v>
      </c>
      <c r="BR60" s="877">
        <f>$BO60*'Input data plant-based products'!AB96</f>
        <v>1.0985225701945547E-4</v>
      </c>
      <c r="BS60" s="877">
        <f>$BO60*'Input data plant-based products'!AC96</f>
        <v>1.3110425709446887E-4</v>
      </c>
      <c r="BT60" s="886">
        <f>$BO60*'Input data plant-based products'!AD96</f>
        <v>1.6185710752403563E-4</v>
      </c>
      <c r="BU60" s="877"/>
      <c r="BV60" s="879">
        <f>('Common input data'!$C$202+'Common input data'!$B$210)*'Input data plant-based products'!AC96</f>
        <v>1.4837092731829575</v>
      </c>
      <c r="BW60" s="886">
        <f>('Common input data'!$C$202+'Common input data'!$B$210)*'Input data plant-based products'!AD96</f>
        <v>1.8317398434357497</v>
      </c>
      <c r="BX60" s="406"/>
      <c r="BY60" s="406"/>
      <c r="BZ60" s="406"/>
      <c r="CA60" s="406"/>
      <c r="CB60" s="406"/>
      <c r="CC60" s="406"/>
      <c r="CD60" s="406"/>
      <c r="CE60" s="406"/>
      <c r="CF60" s="406"/>
      <c r="CG60" s="406"/>
      <c r="CH60" s="406"/>
      <c r="CI60" s="406"/>
      <c r="CJ60" s="406"/>
      <c r="CK60" s="406"/>
      <c r="CL60" s="406"/>
      <c r="CM60" s="406"/>
      <c r="CN60" s="406"/>
      <c r="CO60" s="406"/>
      <c r="CP60" s="406"/>
      <c r="CQ60" s="406"/>
      <c r="CR60" s="406"/>
      <c r="CS60" s="406"/>
      <c r="CT60" s="406"/>
      <c r="CU60" s="406"/>
      <c r="CV60" s="406"/>
      <c r="CW60" s="406"/>
      <c r="CX60" s="406"/>
      <c r="CY60" s="406"/>
      <c r="CZ60" s="406"/>
      <c r="DA60" s="406"/>
      <c r="DB60" s="406"/>
      <c r="DC60" s="406"/>
      <c r="DD60" s="406"/>
      <c r="DE60" s="406"/>
      <c r="DF60" s="406"/>
      <c r="DG60" s="406"/>
      <c r="DH60" s="406"/>
      <c r="DI60" s="406"/>
      <c r="DJ60" s="406"/>
      <c r="DK60" s="406"/>
      <c r="DL60" s="406"/>
      <c r="DM60" s="406"/>
      <c r="DN60" s="406"/>
      <c r="DO60" s="406"/>
      <c r="DP60" s="406"/>
      <c r="DQ60" s="406"/>
      <c r="DR60" s="406"/>
      <c r="DS60" s="406"/>
      <c r="DT60" s="406"/>
      <c r="DU60" s="406"/>
      <c r="DV60" s="406"/>
      <c r="DW60" s="406"/>
      <c r="DX60" s="406"/>
      <c r="DY60" s="406"/>
      <c r="DZ60" s="406"/>
      <c r="EA60" s="406"/>
      <c r="EB60" s="406"/>
      <c r="EC60" s="406"/>
      <c r="ED60" s="406"/>
      <c r="EE60" s="406"/>
      <c r="EF60" s="406"/>
      <c r="EG60" s="406"/>
      <c r="EH60" s="406"/>
      <c r="EI60" s="406"/>
      <c r="EJ60" s="406"/>
      <c r="EK60" s="406"/>
      <c r="EL60" s="406"/>
      <c r="EM60" s="406"/>
      <c r="EN60" s="406"/>
      <c r="EO60" s="406"/>
      <c r="EP60" s="406"/>
      <c r="EQ60" s="406"/>
      <c r="ER60" s="406"/>
      <c r="ES60" s="406"/>
      <c r="ET60" s="406"/>
      <c r="EU60" s="406"/>
      <c r="EV60" s="406"/>
      <c r="EW60" s="406"/>
      <c r="EX60" s="406"/>
      <c r="EY60" s="406"/>
      <c r="EZ60" s="406"/>
      <c r="FA60" s="406"/>
      <c r="FB60" s="406"/>
      <c r="FC60" s="406"/>
      <c r="FD60" s="406"/>
      <c r="FE60" s="406"/>
      <c r="FF60" s="406"/>
      <c r="FG60" s="406"/>
      <c r="FH60" s="406"/>
      <c r="FI60" s="406"/>
      <c r="FJ60" s="406"/>
      <c r="FK60" s="406"/>
      <c r="FL60" s="406"/>
      <c r="FM60" s="406"/>
      <c r="FN60" s="406"/>
      <c r="FO60" s="406"/>
      <c r="FP60" s="406"/>
      <c r="FQ60" s="406"/>
      <c r="FR60" s="406"/>
      <c r="FS60" s="406"/>
      <c r="FT60" s="406"/>
      <c r="FU60" s="406"/>
      <c r="FV60" s="406"/>
      <c r="FW60" s="406"/>
      <c r="FX60" s="406"/>
      <c r="FY60" s="406"/>
      <c r="FZ60" s="406"/>
      <c r="GA60" s="406"/>
      <c r="GB60" s="406"/>
      <c r="GC60" s="406"/>
      <c r="GD60" s="406"/>
      <c r="GE60" s="406"/>
      <c r="GF60" s="406"/>
      <c r="GG60" s="406"/>
      <c r="GH60" s="406"/>
      <c r="GI60" s="406"/>
      <c r="GJ60" s="406"/>
      <c r="GK60" s="406"/>
      <c r="GL60" s="406"/>
      <c r="GM60" s="406"/>
      <c r="GN60" s="406"/>
      <c r="GO60" s="406"/>
      <c r="GP60" s="406"/>
      <c r="GQ60" s="406"/>
      <c r="GR60" s="406"/>
      <c r="GS60" s="406"/>
      <c r="GT60" s="406"/>
      <c r="GU60" s="406"/>
      <c r="GV60" s="406"/>
      <c r="GW60" s="406"/>
      <c r="GX60" s="406"/>
      <c r="GY60" s="406"/>
      <c r="GZ60" s="406"/>
      <c r="HA60" s="406"/>
      <c r="HB60" s="406"/>
      <c r="HC60" s="406"/>
      <c r="HD60" s="406"/>
      <c r="HE60" s="406"/>
      <c r="HF60" s="406"/>
      <c r="HG60" s="406"/>
      <c r="HH60" s="406"/>
      <c r="HI60" s="406"/>
      <c r="HJ60" s="406"/>
      <c r="HK60" s="406"/>
      <c r="HL60" s="406"/>
      <c r="HM60" s="406"/>
      <c r="HN60" s="406"/>
      <c r="HO60" s="406"/>
      <c r="HP60" s="406"/>
      <c r="HQ60" s="406"/>
      <c r="HR60" s="406"/>
      <c r="HS60" s="406"/>
      <c r="HT60" s="406"/>
      <c r="HU60" s="406"/>
      <c r="HV60" s="406"/>
      <c r="HW60" s="406"/>
      <c r="HX60" s="406"/>
      <c r="HY60" s="406"/>
      <c r="HZ60" s="406"/>
      <c r="IA60" s="406"/>
      <c r="IB60" s="406"/>
      <c r="IC60" s="406"/>
      <c r="ID60" s="406"/>
      <c r="IE60" s="406"/>
      <c r="IF60" s="406"/>
      <c r="IG60" s="406"/>
      <c r="IH60" s="406"/>
      <c r="II60" s="406"/>
      <c r="IJ60" s="406"/>
      <c r="IK60" s="406"/>
      <c r="IL60" s="406"/>
      <c r="IM60" s="406"/>
      <c r="IN60" s="406"/>
      <c r="IO60" s="406"/>
      <c r="IP60" s="406"/>
      <c r="IQ60" s="406"/>
      <c r="IR60" s="406"/>
      <c r="IS60" s="406"/>
    </row>
    <row r="61" spans="1:253" s="406" customFormat="1" ht="17.25">
      <c r="A61" s="68"/>
      <c r="B61" s="55"/>
      <c r="C61" s="917"/>
      <c r="D61" s="5"/>
      <c r="E61" s="1294" t="s">
        <v>317</v>
      </c>
      <c r="F61" s="928">
        <f>IF(AND($G$2="No",$G$3="No"),SUM(K61:L61),IF(AND($G$2="Yes", $G$3="No"), SUM(K61:L61)+S61, IF(AND($G$2="No", $G$3="Yes"),SUM(K61:L61)+R61, SUM(K61:L61)+S61+R61)))</f>
        <v>-9.1139048141381296E-2</v>
      </c>
      <c r="G61" s="877">
        <f>IF(AND($G$2="No",$G$3="No"),SUM(I61:Q61),IF(AND($G$2="Yes", $G$3="No"), SUM(I61:Q61)+S61, IF(AND($G$2="No", $G$3="Yes"),SUM(I61:Q61)+R61, SUM(I61:Q61)+S61+R61)))</f>
        <v>3.0608197417978919E-2</v>
      </c>
      <c r="H61" s="878">
        <f>SUM(U61:W61)/(1-'Common input data'!$B$140)</f>
        <v>0.37069840961687428</v>
      </c>
      <c r="I61" s="877">
        <f>('Input data plant-based products'!$F$96*('Common input data'!$C$93*'Common input data'!B86+'Common input data'!$C$94*'Common input data'!C86))/'Input data plant-based products'!$E$96</f>
        <v>1.6197827158518887E-2</v>
      </c>
      <c r="J61" s="877">
        <f>'Common input data'!$B$98</f>
        <v>0.03</v>
      </c>
      <c r="K61" s="877">
        <v>0</v>
      </c>
      <c r="L61" s="877">
        <v>0</v>
      </c>
      <c r="M61" s="877"/>
      <c r="N61" s="877">
        <f>('Input data plant-based products'!$P$96*'Common input data'!$C$76*'Common input data'!H66)/'Input data plant-based products'!$E$96</f>
        <v>2.5549418400841326E-2</v>
      </c>
      <c r="O61" s="877">
        <v>0</v>
      </c>
      <c r="P61" s="877">
        <f>'Input data plant-based products'!F$309</f>
        <v>0.05</v>
      </c>
      <c r="Q61" s="877">
        <v>0</v>
      </c>
      <c r="R61" s="877">
        <f>'Common input data'!F$19</f>
        <v>-9.1139048141381296E-2</v>
      </c>
      <c r="S61" s="877">
        <v>0</v>
      </c>
      <c r="T61" s="877">
        <v>0</v>
      </c>
      <c r="U61" s="877">
        <f>G61+T61</f>
        <v>3.0608197417978919E-2</v>
      </c>
      <c r="V61" s="877">
        <f>'Common input data'!$B$105</f>
        <v>0.05</v>
      </c>
      <c r="W61" s="877">
        <f>'Common input data'!B117+'Common input data'!C117</f>
        <v>0.23</v>
      </c>
      <c r="X61" s="879"/>
      <c r="Y61" s="879"/>
      <c r="Z61" s="877"/>
      <c r="AA61" s="877"/>
      <c r="AB61" s="877"/>
      <c r="AC61" s="877"/>
      <c r="AD61" s="886"/>
      <c r="AE61" s="877"/>
      <c r="AF61" s="879"/>
      <c r="AG61" s="877"/>
      <c r="AH61" s="877"/>
      <c r="AI61" s="877"/>
      <c r="AJ61" s="877"/>
      <c r="AK61" s="886"/>
      <c r="AL61" s="877"/>
      <c r="AM61" s="879"/>
      <c r="AN61" s="877"/>
      <c r="AO61" s="877"/>
      <c r="AP61" s="877"/>
      <c r="AQ61" s="877"/>
      <c r="AR61" s="886"/>
      <c r="AS61" s="877"/>
      <c r="AT61" s="879"/>
      <c r="AU61" s="877"/>
      <c r="AV61" s="877"/>
      <c r="AW61" s="877"/>
      <c r="AX61" s="877"/>
      <c r="AY61" s="886"/>
      <c r="AZ61" s="877"/>
      <c r="BA61" s="879"/>
      <c r="BB61" s="877"/>
      <c r="BC61" s="877"/>
      <c r="BD61" s="877"/>
      <c r="BE61" s="877"/>
      <c r="BF61" s="886"/>
      <c r="BG61" s="877"/>
      <c r="BH61" s="879"/>
      <c r="BI61" s="877"/>
      <c r="BJ61" s="877"/>
      <c r="BK61" s="877"/>
      <c r="BL61" s="877"/>
      <c r="BM61" s="886"/>
      <c r="BN61" s="877"/>
      <c r="BO61" s="879"/>
      <c r="BP61" s="877"/>
      <c r="BQ61" s="877"/>
      <c r="BR61" s="877"/>
      <c r="BS61" s="877"/>
      <c r="BT61" s="886"/>
      <c r="BU61" s="877"/>
      <c r="BV61" s="879"/>
      <c r="BW61" s="886"/>
    </row>
    <row r="62" spans="1:253" s="406" customFormat="1" ht="17.25">
      <c r="A62" s="18"/>
      <c r="B62" s="55"/>
      <c r="C62" s="595"/>
      <c r="D62" s="50"/>
      <c r="E62" s="1294" t="s">
        <v>367</v>
      </c>
      <c r="F62" s="928">
        <f>SUM(K62:L62)</f>
        <v>0</v>
      </c>
      <c r="G62" s="877">
        <f>SUM(I62:Q62)</f>
        <v>4.1031640708040788E-5</v>
      </c>
      <c r="H62" s="878">
        <f>SUM(U62:W62)/(1-'Common input data'!$B$140)</f>
        <v>4.8969615357489904E-5</v>
      </c>
      <c r="I62" s="877">
        <f>('Input data plant-based products'!$F$96*('Common input data'!$C$93*'Common input data'!B87+'Common input data'!$C$94*'Common input data'!C87))/'Input data plant-based products'!$E$96</f>
        <v>2.9714109875318266E-5</v>
      </c>
      <c r="J62" s="877">
        <v>0</v>
      </c>
      <c r="K62" s="877">
        <v>0</v>
      </c>
      <c r="L62" s="877">
        <v>0</v>
      </c>
      <c r="M62" s="877"/>
      <c r="N62" s="877">
        <f>('Input data plant-based products'!$P$96*'Common input data'!$C$76*'Common input data'!H67)/'Input data plant-based products'!$E$96</f>
        <v>1.1317530832722522E-5</v>
      </c>
      <c r="O62" s="877">
        <v>0</v>
      </c>
      <c r="P62" s="877">
        <v>0</v>
      </c>
      <c r="Q62" s="877">
        <v>0</v>
      </c>
      <c r="R62" s="877">
        <v>0</v>
      </c>
      <c r="S62" s="877">
        <v>0</v>
      </c>
      <c r="T62" s="877">
        <v>0</v>
      </c>
      <c r="U62" s="877">
        <f>G62+T62</f>
        <v>4.1031640708040788E-5</v>
      </c>
      <c r="V62" s="877">
        <v>0</v>
      </c>
      <c r="W62" s="877">
        <v>0</v>
      </c>
      <c r="X62" s="879"/>
      <c r="Y62" s="879"/>
      <c r="Z62" s="877"/>
      <c r="AA62" s="877"/>
      <c r="AB62" s="877"/>
      <c r="AC62" s="877"/>
      <c r="AD62" s="886"/>
      <c r="AE62" s="877"/>
      <c r="AF62" s="879"/>
      <c r="AG62" s="877"/>
      <c r="AH62" s="877"/>
      <c r="AI62" s="877"/>
      <c r="AJ62" s="877"/>
      <c r="AK62" s="886"/>
      <c r="AL62" s="877"/>
      <c r="AM62" s="879"/>
      <c r="AN62" s="877"/>
      <c r="AO62" s="877"/>
      <c r="AP62" s="877"/>
      <c r="AQ62" s="877"/>
      <c r="AR62" s="886"/>
      <c r="AS62" s="877"/>
      <c r="AT62" s="879"/>
      <c r="AU62" s="877"/>
      <c r="AV62" s="877"/>
      <c r="AW62" s="877"/>
      <c r="AX62" s="877"/>
      <c r="AY62" s="886"/>
      <c r="AZ62" s="877"/>
      <c r="BA62" s="879"/>
      <c r="BB62" s="877"/>
      <c r="BC62" s="877"/>
      <c r="BD62" s="877"/>
      <c r="BE62" s="877"/>
      <c r="BF62" s="886"/>
      <c r="BG62" s="877"/>
      <c r="BH62" s="879"/>
      <c r="BI62" s="877"/>
      <c r="BJ62" s="877"/>
      <c r="BK62" s="877"/>
      <c r="BL62" s="877"/>
      <c r="BM62" s="886"/>
      <c r="BN62" s="877"/>
      <c r="BO62" s="879"/>
      <c r="BP62" s="877"/>
      <c r="BQ62" s="877"/>
      <c r="BR62" s="877"/>
      <c r="BS62" s="877"/>
      <c r="BT62" s="886"/>
      <c r="BU62" s="877"/>
      <c r="BV62" s="879"/>
      <c r="BW62" s="886"/>
    </row>
    <row r="63" spans="1:253" s="406" customFormat="1" ht="17.25">
      <c r="A63" s="359"/>
      <c r="B63" s="360"/>
      <c r="C63" s="83"/>
      <c r="D63" s="54"/>
      <c r="E63" s="1295" t="s">
        <v>320</v>
      </c>
      <c r="F63" s="928">
        <f>SUM(K63:L63)</f>
        <v>3.7183648755081882E-5</v>
      </c>
      <c r="G63" s="877">
        <f>SUM(I63:Q63)</f>
        <v>7.3459796504899596E-5</v>
      </c>
      <c r="H63" s="878">
        <f>SUM(U63:W63)/(1-'Common input data'!$B$140)</f>
        <v>8.7671316988781003E-5</v>
      </c>
      <c r="I63" s="877">
        <f>('Input data plant-based products'!$F$96*('Common input data'!$C$93*'Common input data'!B88+'Common input data'!$C$94*'Common input data'!C88))/'Input data plant-based products'!$E$96</f>
        <v>3.5589624916075417E-5</v>
      </c>
      <c r="J63" s="877">
        <v>0</v>
      </c>
      <c r="K63" s="877">
        <f>(SUM('Input data plant-based products'!F96:H96)*'Input data plant-based products'!$B$260*44/28)/'Input data plant-based products'!E96</f>
        <v>3.3803317050074435E-5</v>
      </c>
      <c r="L63" s="877">
        <f>K63*'Input data plant-based products'!$B$261</f>
        <v>3.3803317050074435E-6</v>
      </c>
      <c r="M63" s="877"/>
      <c r="N63" s="877">
        <f>('Input data plant-based products'!$P$96*'Common input data'!$C$76*'Common input data'!H68)/'Input data plant-based products'!$E$96</f>
        <v>6.8652283374231176E-7</v>
      </c>
      <c r="O63" s="877">
        <v>0</v>
      </c>
      <c r="P63" s="877">
        <v>0</v>
      </c>
      <c r="Q63" s="877">
        <v>0</v>
      </c>
      <c r="R63" s="877">
        <v>0</v>
      </c>
      <c r="S63" s="877">
        <v>0</v>
      </c>
      <c r="T63" s="877">
        <v>0</v>
      </c>
      <c r="U63" s="877">
        <f>G63+T63</f>
        <v>7.3459796504899596E-5</v>
      </c>
      <c r="V63" s="877">
        <v>0</v>
      </c>
      <c r="W63" s="877">
        <v>0</v>
      </c>
      <c r="X63" s="879"/>
      <c r="Y63" s="879"/>
      <c r="Z63" s="877"/>
      <c r="AA63" s="877"/>
      <c r="AB63" s="877"/>
      <c r="AC63" s="877"/>
      <c r="AD63" s="886"/>
      <c r="AE63" s="877"/>
      <c r="AF63" s="879"/>
      <c r="AG63" s="877"/>
      <c r="AH63" s="877"/>
      <c r="AI63" s="877"/>
      <c r="AJ63" s="877"/>
      <c r="AK63" s="886"/>
      <c r="AL63" s="877"/>
      <c r="AM63" s="879"/>
      <c r="AN63" s="877"/>
      <c r="AO63" s="877"/>
      <c r="AP63" s="877"/>
      <c r="AQ63" s="877"/>
      <c r="AR63" s="886"/>
      <c r="AS63" s="877"/>
      <c r="AT63" s="879"/>
      <c r="AU63" s="877"/>
      <c r="AV63" s="877"/>
      <c r="AW63" s="877"/>
      <c r="AX63" s="877"/>
      <c r="AY63" s="886"/>
      <c r="AZ63" s="877"/>
      <c r="BA63" s="879"/>
      <c r="BB63" s="877"/>
      <c r="BC63" s="877"/>
      <c r="BD63" s="877"/>
      <c r="BE63" s="877"/>
      <c r="BF63" s="886"/>
      <c r="BG63" s="877"/>
      <c r="BH63" s="879"/>
      <c r="BI63" s="877"/>
      <c r="BJ63" s="877"/>
      <c r="BK63" s="877"/>
      <c r="BL63" s="877"/>
      <c r="BM63" s="886"/>
      <c r="BN63" s="877"/>
      <c r="BO63" s="879"/>
      <c r="BP63" s="877"/>
      <c r="BQ63" s="877"/>
      <c r="BR63" s="877"/>
      <c r="BS63" s="877"/>
      <c r="BT63" s="886"/>
      <c r="BU63" s="877"/>
      <c r="BV63" s="879"/>
      <c r="BW63" s="886"/>
    </row>
    <row r="64" spans="1:253" s="502" customFormat="1" ht="17.25">
      <c r="A64" s="20" t="s">
        <v>148</v>
      </c>
      <c r="B64" s="93" t="s">
        <v>121</v>
      </c>
      <c r="C64" s="87">
        <f>'Input data plant-based products'!D97</f>
        <v>0.16</v>
      </c>
      <c r="D64" s="54"/>
      <c r="E64" s="1293" t="s">
        <v>316</v>
      </c>
      <c r="F64" s="930">
        <f>SUMPRODUCT($CI$4:$CI$6,F65:F67)</f>
        <v>-6.4298407588853954E-2</v>
      </c>
      <c r="G64" s="872">
        <f>SUMPRODUCT($CI$4:$CI$6,G65:G67)</f>
        <v>1.5443083982605122E-2</v>
      </c>
      <c r="H64" s="873">
        <f>SUMPRODUCT($CI$4:$CI$6,H65:H67)</f>
        <v>0.2332534717539147</v>
      </c>
      <c r="I64" s="884"/>
      <c r="J64" s="884"/>
      <c r="K64" s="884"/>
      <c r="L64" s="884"/>
      <c r="M64" s="884"/>
      <c r="N64" s="884"/>
      <c r="O64" s="884"/>
      <c r="P64" s="884"/>
      <c r="Q64" s="884"/>
      <c r="R64" s="884"/>
      <c r="S64" s="884"/>
      <c r="T64" s="884"/>
      <c r="U64" s="884"/>
      <c r="V64" s="884"/>
      <c r="W64" s="884"/>
      <c r="X64" s="879"/>
      <c r="Y64" s="879">
        <f>1/'Input data plant-based products'!E97*10^4</f>
        <v>0.33855841825506988</v>
      </c>
      <c r="Z64" s="877">
        <f>$Y64*'Input data plant-based products'!Z97</f>
        <v>0.33855841825506988</v>
      </c>
      <c r="AA64" s="877">
        <f>$Y64*'Input data plant-based products'!AA97</f>
        <v>0.33855841825506988</v>
      </c>
      <c r="AB64" s="877">
        <f>$Y64*'Input data plant-based products'!AB97</f>
        <v>0.33855841825506988</v>
      </c>
      <c r="AC64" s="877">
        <f>$Y64*'Input data plant-based products'!AC97</f>
        <v>0.40405587570720836</v>
      </c>
      <c r="AD64" s="886">
        <f>$Y64*'Input data plant-based products'!AD97</f>
        <v>0.49883441445334359</v>
      </c>
      <c r="AE64" s="877"/>
      <c r="AF64" s="879">
        <f>SUM('Input data plant-based products'!F97,'Input data plant-based products'!Q97)/'Input data plant-based products'!E97</f>
        <v>3.5548633916782342E-3</v>
      </c>
      <c r="AG64" s="877">
        <f>$AF64*'Input data plant-based products'!Z97</f>
        <v>3.5548633916782342E-3</v>
      </c>
      <c r="AH64" s="877">
        <f>$AF64*'Input data plant-based products'!AA97</f>
        <v>3.5548633916782342E-3</v>
      </c>
      <c r="AI64" s="877">
        <f>$AF64*'Input data plant-based products'!AB97</f>
        <v>3.5548633916782342E-3</v>
      </c>
      <c r="AJ64" s="877">
        <f>$AF64*'Input data plant-based products'!AC97</f>
        <v>4.2425866949256886E-3</v>
      </c>
      <c r="AK64" s="886">
        <f>$AF64*'Input data plant-based products'!AD97</f>
        <v>5.2377613517601085E-3</v>
      </c>
      <c r="AL64" s="877"/>
      <c r="AM64" s="879">
        <f>'Input data plant-based products'!R97/'Input data plant-based products'!E97</f>
        <v>1.23E-3</v>
      </c>
      <c r="AN64" s="877">
        <f>$AM64*'Input data plant-based products'!Z97</f>
        <v>1.23E-3</v>
      </c>
      <c r="AO64" s="877">
        <f>$AM64*'Input data plant-based products'!AA97</f>
        <v>1.23E-3</v>
      </c>
      <c r="AP64" s="877">
        <f>$AM64*'Input data plant-based products'!AB97</f>
        <v>1.23E-3</v>
      </c>
      <c r="AQ64" s="877">
        <f>$AM64*'Input data plant-based products'!AC97</f>
        <v>1.467955603293949E-3</v>
      </c>
      <c r="AR64" s="886">
        <f>$AM64*'Input data plant-based products'!AD97</f>
        <v>1.8122908682641345E-3</v>
      </c>
      <c r="AS64" s="877"/>
      <c r="AT64" s="879">
        <f>'Input data plant-based products'!S97</f>
        <v>9.2625223401968061E-4</v>
      </c>
      <c r="AU64" s="877">
        <f>$AT64*'Input data plant-based products'!Z97</f>
        <v>9.2625223401968061E-4</v>
      </c>
      <c r="AV64" s="877">
        <f>$AT64*'Input data plant-based products'!AA97</f>
        <v>9.2625223401968061E-4</v>
      </c>
      <c r="AW64" s="877">
        <f>$AT64*'Input data plant-based products'!AB97</f>
        <v>9.2625223401968061E-4</v>
      </c>
      <c r="AX64" s="877">
        <f>$AT64*'Input data plant-based products'!AC97</f>
        <v>1.1054448430835189E-3</v>
      </c>
      <c r="AY64" s="886">
        <f>$AT64*'Input data plant-based products'!AD97</f>
        <v>1.3647467198561962E-3</v>
      </c>
      <c r="AZ64" s="877"/>
      <c r="BA64" s="879">
        <f>((SUM('Input data plant-based products'!U97:Y97)*Y64)/('Common input data'!$B$192/10^6))/$BB$3</f>
        <v>7.4916288233134989E-12</v>
      </c>
      <c r="BB64" s="877">
        <f>$BA64*'Input data plant-based products'!Z97</f>
        <v>7.4916288233134989E-12</v>
      </c>
      <c r="BC64" s="877">
        <f>$BA64*'Input data plant-based products'!AA97</f>
        <v>7.4916288233134989E-12</v>
      </c>
      <c r="BD64" s="877">
        <f>$BA64*'Input data plant-based products'!AB97</f>
        <v>7.4916288233134989E-12</v>
      </c>
      <c r="BE64" s="877">
        <f>$BA64*'Input data plant-based products'!AC97</f>
        <v>8.9409581373833381E-12</v>
      </c>
      <c r="BF64" s="886">
        <f>$BA64*'Input data plant-based products'!AD97</f>
        <v>1.1038219922695477E-11</v>
      </c>
      <c r="BG64" s="877"/>
      <c r="BH64" s="879">
        <f>'Input data plant-based products'!T97/'Input data plant-based products'!E97</f>
        <v>5.6810102583200732E-4</v>
      </c>
      <c r="BI64" s="877">
        <f>$BH64*'Input data plant-based products'!Z97</f>
        <v>5.6810102583200732E-4</v>
      </c>
      <c r="BJ64" s="877">
        <f>$BH64*'Input data plant-based products'!AA97</f>
        <v>5.6810102583200732E-4</v>
      </c>
      <c r="BK64" s="877">
        <f>$BH64*'Input data plant-based products'!AB97</f>
        <v>5.6810102583200732E-4</v>
      </c>
      <c r="BL64" s="877">
        <f>$BH64*'Input data plant-based products'!AC97</f>
        <v>6.7800575943669568E-4</v>
      </c>
      <c r="BM64" s="886">
        <f>$BH64*'Input data plant-based products'!AD97</f>
        <v>8.3704414745271064E-4</v>
      </c>
      <c r="BN64" s="877"/>
      <c r="BO64" s="879">
        <f>('Input data plant-based products'!F97/'Input data plant-based products'!E97*'Common input data'!$B$195+'Input data plant-based products'!G97/'Input data plant-based products'!E97*'Common input data'!$B$196)/'Common input data'!$B$198</f>
        <v>9.0768933168923558E-5</v>
      </c>
      <c r="BP64" s="877">
        <f>$BO64*'Input data plant-based products'!Z97</f>
        <v>9.0768933168923558E-5</v>
      </c>
      <c r="BQ64" s="877">
        <f>$BO64*'Input data plant-based products'!AA97</f>
        <v>9.0768933168923558E-5</v>
      </c>
      <c r="BR64" s="877">
        <f>$BO64*'Input data plant-based products'!AB97</f>
        <v>9.0768933168923558E-5</v>
      </c>
      <c r="BS64" s="877">
        <f>$BO64*'Input data plant-based products'!AC97</f>
        <v>1.0832907646368726E-4</v>
      </c>
      <c r="BT64" s="886">
        <f>$BO64*'Input data plant-based products'!AD97</f>
        <v>1.3373960057245338E-4</v>
      </c>
      <c r="BU64" s="877"/>
      <c r="BV64" s="879">
        <f>('Common input data'!$C$202+'Common input data'!$B$209)*'Input data plant-based products'!AC97</f>
        <v>0.80081155269125193</v>
      </c>
      <c r="BW64" s="886">
        <f>('Common input data'!$C$202+'Common input data'!$B$209)*'Input data plant-based products'!AD97</f>
        <v>0.98865623789043444</v>
      </c>
      <c r="BX64" s="406"/>
      <c r="BY64" s="406"/>
      <c r="BZ64" s="406"/>
      <c r="CA64" s="406"/>
      <c r="CB64" s="406"/>
      <c r="CC64" s="406"/>
      <c r="CD64" s="406"/>
      <c r="CE64" s="406"/>
      <c r="CF64" s="406"/>
      <c r="CG64" s="406"/>
      <c r="CH64" s="406"/>
      <c r="CI64" s="406"/>
      <c r="CJ64" s="406"/>
      <c r="CK64" s="406"/>
      <c r="CL64" s="406"/>
      <c r="CM64" s="406"/>
      <c r="CN64" s="406"/>
      <c r="CO64" s="406"/>
      <c r="CP64" s="406"/>
      <c r="CQ64" s="406"/>
      <c r="CR64" s="406"/>
      <c r="CS64" s="406"/>
      <c r="CT64" s="406"/>
      <c r="CU64" s="406"/>
      <c r="CV64" s="406"/>
      <c r="CW64" s="406"/>
      <c r="CX64" s="406"/>
      <c r="CY64" s="406"/>
      <c r="CZ64" s="406"/>
      <c r="DA64" s="406"/>
      <c r="DB64" s="406"/>
      <c r="DC64" s="406"/>
      <c r="DD64" s="406"/>
      <c r="DE64" s="406"/>
      <c r="DF64" s="406"/>
      <c r="DG64" s="406"/>
      <c r="DH64" s="406"/>
      <c r="DI64" s="406"/>
      <c r="DJ64" s="406"/>
      <c r="DK64" s="406"/>
      <c r="DL64" s="406"/>
      <c r="DM64" s="406"/>
      <c r="DN64" s="406"/>
      <c r="DO64" s="406"/>
      <c r="DP64" s="406"/>
      <c r="DQ64" s="406"/>
      <c r="DR64" s="406"/>
      <c r="DS64" s="406"/>
      <c r="DT64" s="406"/>
      <c r="DU64" s="406"/>
      <c r="DV64" s="406"/>
      <c r="DW64" s="406"/>
      <c r="DX64" s="406"/>
      <c r="DY64" s="406"/>
      <c r="DZ64" s="406"/>
      <c r="EA64" s="406"/>
      <c r="EB64" s="406"/>
      <c r="EC64" s="406"/>
      <c r="ED64" s="406"/>
      <c r="EE64" s="406"/>
      <c r="EF64" s="406"/>
      <c r="EG64" s="406"/>
      <c r="EH64" s="406"/>
      <c r="EI64" s="406"/>
      <c r="EJ64" s="406"/>
      <c r="EK64" s="406"/>
      <c r="EL64" s="406"/>
      <c r="EM64" s="406"/>
      <c r="EN64" s="406"/>
      <c r="EO64" s="406"/>
      <c r="EP64" s="406"/>
      <c r="EQ64" s="406"/>
      <c r="ER64" s="406"/>
      <c r="ES64" s="406"/>
      <c r="ET64" s="406"/>
      <c r="EU64" s="406"/>
      <c r="EV64" s="406"/>
      <c r="EW64" s="406"/>
      <c r="EX64" s="406"/>
      <c r="EY64" s="406"/>
      <c r="EZ64" s="406"/>
      <c r="FA64" s="406"/>
      <c r="FB64" s="406"/>
      <c r="FC64" s="406"/>
      <c r="FD64" s="406"/>
      <c r="FE64" s="406"/>
      <c r="FF64" s="406"/>
      <c r="FG64" s="406"/>
      <c r="FH64" s="406"/>
      <c r="FI64" s="406"/>
      <c r="FJ64" s="406"/>
      <c r="FK64" s="406"/>
      <c r="FL64" s="406"/>
      <c r="FM64" s="406"/>
      <c r="FN64" s="406"/>
      <c r="FO64" s="406"/>
      <c r="FP64" s="406"/>
      <c r="FQ64" s="406"/>
      <c r="FR64" s="406"/>
      <c r="FS64" s="406"/>
      <c r="FT64" s="406"/>
      <c r="FU64" s="406"/>
      <c r="FV64" s="406"/>
      <c r="FW64" s="406"/>
      <c r="FX64" s="406"/>
      <c r="FY64" s="406"/>
      <c r="FZ64" s="406"/>
      <c r="GA64" s="406"/>
      <c r="GB64" s="406"/>
      <c r="GC64" s="406"/>
      <c r="GD64" s="406"/>
      <c r="GE64" s="406"/>
      <c r="GF64" s="406"/>
      <c r="GG64" s="406"/>
      <c r="GH64" s="406"/>
      <c r="GI64" s="406"/>
      <c r="GJ64" s="406"/>
      <c r="GK64" s="406"/>
      <c r="GL64" s="406"/>
      <c r="GM64" s="406"/>
      <c r="GN64" s="406"/>
      <c r="GO64" s="406"/>
      <c r="GP64" s="406"/>
      <c r="GQ64" s="406"/>
      <c r="GR64" s="406"/>
      <c r="GS64" s="406"/>
      <c r="GT64" s="406"/>
      <c r="GU64" s="406"/>
      <c r="GV64" s="406"/>
      <c r="GW64" s="406"/>
      <c r="GX64" s="406"/>
      <c r="GY64" s="406"/>
      <c r="GZ64" s="406"/>
      <c r="HA64" s="406"/>
      <c r="HB64" s="406"/>
      <c r="HC64" s="406"/>
      <c r="HD64" s="406"/>
      <c r="HE64" s="406"/>
      <c r="HF64" s="406"/>
      <c r="HG64" s="406"/>
      <c r="HH64" s="406"/>
      <c r="HI64" s="406"/>
      <c r="HJ64" s="406"/>
      <c r="HK64" s="406"/>
      <c r="HL64" s="406"/>
      <c r="HM64" s="406"/>
      <c r="HN64" s="406"/>
      <c r="HO64" s="406"/>
      <c r="HP64" s="406"/>
      <c r="HQ64" s="406"/>
      <c r="HR64" s="406"/>
      <c r="HS64" s="406"/>
      <c r="HT64" s="406"/>
      <c r="HU64" s="406"/>
      <c r="HV64" s="406"/>
      <c r="HW64" s="406"/>
      <c r="HX64" s="406"/>
      <c r="HY64" s="406"/>
      <c r="HZ64" s="406"/>
      <c r="IA64" s="406"/>
      <c r="IB64" s="406"/>
      <c r="IC64" s="406"/>
      <c r="ID64" s="406"/>
      <c r="IE64" s="406"/>
      <c r="IF64" s="406"/>
      <c r="IG64" s="406"/>
      <c r="IH64" s="406"/>
      <c r="II64" s="406"/>
      <c r="IJ64" s="406"/>
      <c r="IK64" s="406"/>
      <c r="IL64" s="406"/>
      <c r="IM64" s="406"/>
      <c r="IN64" s="406"/>
      <c r="IO64" s="406"/>
      <c r="IP64" s="406"/>
      <c r="IQ64" s="406"/>
      <c r="IR64" s="406"/>
      <c r="IS64" s="406"/>
    </row>
    <row r="65" spans="1:253" s="406" customFormat="1" ht="17.25">
      <c r="A65" s="68"/>
      <c r="B65" s="55"/>
      <c r="C65" s="917"/>
      <c r="D65" s="5"/>
      <c r="E65" s="1294" t="s">
        <v>317</v>
      </c>
      <c r="F65" s="928">
        <f>IF(AND($G$2="No",$G$3="No"),SUM(K65:L65),IF(AND($G$2="Yes", $G$3="No"), SUM(K65:L65)+S65, IF(AND($G$2="No", $G$3="Yes"),SUM(K65:L65)+R65, SUM(K65:L65)+S65+R65)))</f>
        <v>-9.1139048141381296E-2</v>
      </c>
      <c r="G65" s="877">
        <f>IF(AND($G$2="No",$G$3="No"),SUM(I65:Q65),IF(AND($G$2="Yes", $G$3="No"), SUM(I65:Q65)+S65, IF(AND($G$2="No", $G$3="Yes"),SUM(I65:Q65)+R65, SUM(I65:Q65)+S65+R65)))</f>
        <v>-2.0612333516597511E-2</v>
      </c>
      <c r="H65" s="878">
        <f>SUM(U65:W65)/(1-'Common input data'!$B$140)</f>
        <v>0.19022277895142917</v>
      </c>
      <c r="I65" s="877">
        <f>('Input data plant-based products'!$F$97*('Common input data'!$C$93*'Common input data'!B86+'Common input data'!$C$94*'Common input data'!C86))/'Input data plant-based products'!$E$97</f>
        <v>1.3383971624479088E-2</v>
      </c>
      <c r="J65" s="877">
        <f>'Common input data'!$B$98</f>
        <v>0.03</v>
      </c>
      <c r="K65" s="877">
        <v>0</v>
      </c>
      <c r="L65" s="877">
        <v>0</v>
      </c>
      <c r="M65" s="877"/>
      <c r="N65" s="877">
        <f>('Input data plant-based products'!$P$97*'Common input data'!$C$76*'Common input data'!H66)/'Input data plant-based products'!$E$97</f>
        <v>2.7142743000304701E-2</v>
      </c>
      <c r="O65" s="877">
        <v>0</v>
      </c>
      <c r="P65" s="877">
        <v>0</v>
      </c>
      <c r="Q65" s="877">
        <v>0</v>
      </c>
      <c r="R65" s="877">
        <f>'Common input data'!F$19</f>
        <v>-9.1139048141381296E-2</v>
      </c>
      <c r="S65" s="877">
        <v>0</v>
      </c>
      <c r="T65" s="877">
        <v>0</v>
      </c>
      <c r="U65" s="877">
        <f>G65+T65</f>
        <v>-2.0612333516597511E-2</v>
      </c>
      <c r="V65" s="877">
        <f>'Common input data'!$B$105</f>
        <v>0.05</v>
      </c>
      <c r="W65" s="877">
        <f>'Common input data'!B116+'Common input data'!C116</f>
        <v>0.13</v>
      </c>
      <c r="X65" s="879"/>
      <c r="Y65" s="879"/>
      <c r="Z65" s="877"/>
      <c r="AA65" s="877"/>
      <c r="AB65" s="877"/>
      <c r="AC65" s="877"/>
      <c r="AD65" s="886"/>
      <c r="AE65" s="877"/>
      <c r="AF65" s="879"/>
      <c r="AG65" s="877"/>
      <c r="AH65" s="877"/>
      <c r="AI65" s="877"/>
      <c r="AJ65" s="877"/>
      <c r="AK65" s="886"/>
      <c r="AL65" s="877"/>
      <c r="AM65" s="879"/>
      <c r="AN65" s="877"/>
      <c r="AO65" s="877"/>
      <c r="AP65" s="877"/>
      <c r="AQ65" s="877"/>
      <c r="AR65" s="886"/>
      <c r="AS65" s="877"/>
      <c r="AT65" s="879"/>
      <c r="AU65" s="877"/>
      <c r="AV65" s="877"/>
      <c r="AW65" s="877"/>
      <c r="AX65" s="877"/>
      <c r="AY65" s="886"/>
      <c r="AZ65" s="877"/>
      <c r="BA65" s="879"/>
      <c r="BB65" s="877"/>
      <c r="BC65" s="877"/>
      <c r="BD65" s="877"/>
      <c r="BE65" s="877"/>
      <c r="BF65" s="886"/>
      <c r="BG65" s="877"/>
      <c r="BH65" s="879"/>
      <c r="BI65" s="877"/>
      <c r="BJ65" s="877"/>
      <c r="BK65" s="877"/>
      <c r="BL65" s="877"/>
      <c r="BM65" s="886"/>
      <c r="BN65" s="877"/>
      <c r="BO65" s="879"/>
      <c r="BP65" s="877"/>
      <c r="BQ65" s="877"/>
      <c r="BR65" s="877"/>
      <c r="BS65" s="877"/>
      <c r="BT65" s="886"/>
      <c r="BU65" s="877"/>
      <c r="BV65" s="879"/>
      <c r="BW65" s="886"/>
    </row>
    <row r="66" spans="1:253" s="406" customFormat="1" ht="17.25">
      <c r="A66" s="18"/>
      <c r="B66" s="55"/>
      <c r="C66" s="595"/>
      <c r="D66" s="50"/>
      <c r="E66" s="1294" t="s">
        <v>367</v>
      </c>
      <c r="F66" s="928">
        <f>SUM(K66:L66)</f>
        <v>0</v>
      </c>
      <c r="G66" s="877">
        <f>SUM(I66:Q66)</f>
        <v>3.6575551479475023E-5</v>
      </c>
      <c r="H66" s="878">
        <f>SUM(U66:W66)/(1-'Common input data'!$B$140)</f>
        <v>4.3651451819399717E-5</v>
      </c>
      <c r="I66" s="877">
        <f>('Input data plant-based products'!$F$97*('Common input data'!$C$93*'Common input data'!B87+'Common input data'!$C$94*'Common input data'!C87))/'Input data plant-based products'!$E$97</f>
        <v>2.455223157562561E-5</v>
      </c>
      <c r="J66" s="877">
        <v>0</v>
      </c>
      <c r="K66" s="877">
        <v>0</v>
      </c>
      <c r="L66" s="877">
        <v>0</v>
      </c>
      <c r="M66" s="877"/>
      <c r="N66" s="877">
        <f>('Input data plant-based products'!$P$97*'Common input data'!$C$76*'Common input data'!H67)/'Input data plant-based products'!$E$97</f>
        <v>1.2023319903849409E-5</v>
      </c>
      <c r="O66" s="877">
        <v>0</v>
      </c>
      <c r="P66" s="877">
        <v>0</v>
      </c>
      <c r="Q66" s="877">
        <v>0</v>
      </c>
      <c r="R66" s="877">
        <v>0</v>
      </c>
      <c r="S66" s="877">
        <v>0</v>
      </c>
      <c r="T66" s="877">
        <v>0</v>
      </c>
      <c r="U66" s="877">
        <f>G66+T66</f>
        <v>3.6575551479475023E-5</v>
      </c>
      <c r="V66" s="877">
        <v>0</v>
      </c>
      <c r="W66" s="877">
        <v>0</v>
      </c>
      <c r="X66" s="879"/>
      <c r="Y66" s="879"/>
      <c r="Z66" s="877"/>
      <c r="AA66" s="877"/>
      <c r="AB66" s="877"/>
      <c r="AC66" s="877"/>
      <c r="AD66" s="886"/>
      <c r="AE66" s="877"/>
      <c r="AF66" s="879"/>
      <c r="AG66" s="877"/>
      <c r="AH66" s="877"/>
      <c r="AI66" s="877"/>
      <c r="AJ66" s="877"/>
      <c r="AK66" s="886"/>
      <c r="AL66" s="877"/>
      <c r="AM66" s="879"/>
      <c r="AN66" s="877"/>
      <c r="AO66" s="877"/>
      <c r="AP66" s="877"/>
      <c r="AQ66" s="877"/>
      <c r="AR66" s="886"/>
      <c r="AS66" s="877"/>
      <c r="AT66" s="879"/>
      <c r="AU66" s="877"/>
      <c r="AV66" s="877"/>
      <c r="AW66" s="877"/>
      <c r="AX66" s="877"/>
      <c r="AY66" s="886"/>
      <c r="AZ66" s="877"/>
      <c r="BA66" s="879"/>
      <c r="BB66" s="877"/>
      <c r="BC66" s="877"/>
      <c r="BD66" s="877"/>
      <c r="BE66" s="877"/>
      <c r="BF66" s="886"/>
      <c r="BG66" s="877"/>
      <c r="BH66" s="879"/>
      <c r="BI66" s="877"/>
      <c r="BJ66" s="877"/>
      <c r="BK66" s="877"/>
      <c r="BL66" s="877"/>
      <c r="BM66" s="886"/>
      <c r="BN66" s="877"/>
      <c r="BO66" s="879"/>
      <c r="BP66" s="877"/>
      <c r="BQ66" s="877"/>
      <c r="BR66" s="877"/>
      <c r="BS66" s="877"/>
      <c r="BT66" s="886"/>
      <c r="BU66" s="877"/>
      <c r="BV66" s="879"/>
      <c r="BW66" s="886"/>
    </row>
    <row r="67" spans="1:253" s="406" customFormat="1" ht="17.25">
      <c r="A67" s="359"/>
      <c r="B67" s="360"/>
      <c r="C67" s="83"/>
      <c r="D67" s="54"/>
      <c r="E67" s="1295" t="s">
        <v>320</v>
      </c>
      <c r="F67" s="928">
        <f>SUM(K67:L67)</f>
        <v>9.8317364661272316E-5</v>
      </c>
      <c r="G67" s="877">
        <f>SUM(I67:Q67)</f>
        <v>1.2845376413647182E-4</v>
      </c>
      <c r="H67" s="878">
        <f>SUM(U67:W67)/(1-'Common input data'!$B$140)</f>
        <v>1.5330440880352287E-4</v>
      </c>
      <c r="I67" s="877">
        <f>('Input data plant-based products'!$F$97*('Common input data'!$C$93*'Common input data'!B88+'Common input data'!$C$94*'Common input data'!C88))/'Input data plant-based products'!$E$97</f>
        <v>2.9407063388257718E-5</v>
      </c>
      <c r="J67" s="877">
        <v>0</v>
      </c>
      <c r="K67" s="877">
        <f>(SUM(('Input data plant-based products'!$F$97*'Input data plant-based products'!$B$258),(('Input data plant-based products'!$G$97+'Input data plant-based products'!$H$97)*'Input data plant-based products'!$B$259))*44/28)/'Input data plant-based products'!$E$97</f>
        <v>8.9379422419338467E-5</v>
      </c>
      <c r="L67" s="877">
        <f>K67*'Input data plant-based products'!$B$261</f>
        <v>8.9379422419338477E-6</v>
      </c>
      <c r="M67" s="877"/>
      <c r="N67" s="877">
        <f>('Input data plant-based products'!$P$97*'Common input data'!$C$76*'Common input data'!H68)/'Input data plant-based products'!$E$97</f>
        <v>7.2933608694180183E-7</v>
      </c>
      <c r="O67" s="877">
        <v>0</v>
      </c>
      <c r="P67" s="877">
        <v>0</v>
      </c>
      <c r="Q67" s="877">
        <v>0</v>
      </c>
      <c r="R67" s="877">
        <v>0</v>
      </c>
      <c r="S67" s="877">
        <v>0</v>
      </c>
      <c r="T67" s="877">
        <v>0</v>
      </c>
      <c r="U67" s="877">
        <f>G67+T67</f>
        <v>1.2845376413647182E-4</v>
      </c>
      <c r="V67" s="877">
        <v>0</v>
      </c>
      <c r="W67" s="877">
        <v>0</v>
      </c>
      <c r="X67" s="879"/>
      <c r="Y67" s="879"/>
      <c r="Z67" s="877"/>
      <c r="AA67" s="877"/>
      <c r="AB67" s="877"/>
      <c r="AC67" s="877"/>
      <c r="AD67" s="886"/>
      <c r="AE67" s="877"/>
      <c r="AF67" s="879"/>
      <c r="AG67" s="877"/>
      <c r="AH67" s="877"/>
      <c r="AI67" s="877"/>
      <c r="AJ67" s="877"/>
      <c r="AK67" s="886"/>
      <c r="AL67" s="877"/>
      <c r="AM67" s="879"/>
      <c r="AN67" s="877"/>
      <c r="AO67" s="877"/>
      <c r="AP67" s="877"/>
      <c r="AQ67" s="877"/>
      <c r="AR67" s="886"/>
      <c r="AS67" s="877"/>
      <c r="AT67" s="879"/>
      <c r="AU67" s="877"/>
      <c r="AV67" s="877"/>
      <c r="AW67" s="877"/>
      <c r="AX67" s="877"/>
      <c r="AY67" s="886"/>
      <c r="AZ67" s="877"/>
      <c r="BA67" s="879"/>
      <c r="BB67" s="877"/>
      <c r="BC67" s="877"/>
      <c r="BD67" s="877"/>
      <c r="BE67" s="877"/>
      <c r="BF67" s="886"/>
      <c r="BG67" s="877"/>
      <c r="BH67" s="879"/>
      <c r="BI67" s="877"/>
      <c r="BJ67" s="877"/>
      <c r="BK67" s="877"/>
      <c r="BL67" s="877"/>
      <c r="BM67" s="886"/>
      <c r="BN67" s="877"/>
      <c r="BO67" s="879"/>
      <c r="BP67" s="877"/>
      <c r="BQ67" s="877"/>
      <c r="BR67" s="877"/>
      <c r="BS67" s="877"/>
      <c r="BT67" s="886"/>
      <c r="BU67" s="877"/>
      <c r="BV67" s="879"/>
      <c r="BW67" s="886"/>
    </row>
    <row r="68" spans="1:253" s="502" customFormat="1" ht="17.25">
      <c r="A68" s="20" t="s">
        <v>125</v>
      </c>
      <c r="B68" s="93" t="s">
        <v>121</v>
      </c>
      <c r="C68" s="87">
        <f>'Input data plant-based products'!D98</f>
        <v>0.12</v>
      </c>
      <c r="D68" s="54"/>
      <c r="E68" s="1293" t="s">
        <v>316</v>
      </c>
      <c r="F68" s="930">
        <f>SUMPRODUCT($CI$4:$CI$6,F69:F71)</f>
        <v>-7.4430516053847484E-2</v>
      </c>
      <c r="G68" s="872">
        <f>SUMPRODUCT($CI$4:$CI$6,G69:G71)</f>
        <v>6.7742626586791074E-2</v>
      </c>
      <c r="H68" s="873">
        <f>SUMPRODUCT($CI$4:$CI$6,H69:H71)</f>
        <v>0.41501685951401251</v>
      </c>
      <c r="I68" s="884"/>
      <c r="J68" s="884"/>
      <c r="K68" s="884"/>
      <c r="L68" s="884"/>
      <c r="M68" s="884"/>
      <c r="N68" s="884"/>
      <c r="O68" s="884"/>
      <c r="P68" s="884"/>
      <c r="Q68" s="884"/>
      <c r="R68" s="884"/>
      <c r="S68" s="884"/>
      <c r="T68" s="884"/>
      <c r="U68" s="884"/>
      <c r="V68" s="884"/>
      <c r="W68" s="884"/>
      <c r="X68" s="879"/>
      <c r="Y68" s="879">
        <f>1/'Input data plant-based products'!E98*10^4</f>
        <v>0.49176297024834026</v>
      </c>
      <c r="Z68" s="877">
        <f>$Y68*'Input data plant-based products'!Z98</f>
        <v>0.49176297024834026</v>
      </c>
      <c r="AA68" s="877">
        <f>$Y68*'Input data plant-based products'!AA98</f>
        <v>0.49176297024834026</v>
      </c>
      <c r="AB68" s="877">
        <f>$Y68*'Input data plant-based products'!AB98</f>
        <v>0.49176297024834026</v>
      </c>
      <c r="AC68" s="877">
        <f>$Y68*'Input data plant-based products'!AC98</f>
        <v>0.58689935582807051</v>
      </c>
      <c r="AD68" s="886">
        <f>$Y68*'Input data plant-based products'!AD98</f>
        <v>0.72456710596058072</v>
      </c>
      <c r="AE68" s="877"/>
      <c r="AF68" s="879">
        <f>SUM('Input data plant-based products'!F98,'Input data plant-based products'!Q98)/'Input data plant-based products'!E98</f>
        <v>3.5406933857880501E-3</v>
      </c>
      <c r="AG68" s="877">
        <f>$AF68*'Input data plant-based products'!Z98</f>
        <v>3.5406933857880501E-3</v>
      </c>
      <c r="AH68" s="877">
        <f>$AF68*'Input data plant-based products'!AA98</f>
        <v>3.5406933857880501E-3</v>
      </c>
      <c r="AI68" s="877">
        <f>$AF68*'Input data plant-based products'!AB98</f>
        <v>3.5406933857880501E-3</v>
      </c>
      <c r="AJ68" s="877">
        <f>$AF68*'Input data plant-based products'!AC98</f>
        <v>4.2256753619621078E-3</v>
      </c>
      <c r="AK68" s="886">
        <f>$AF68*'Input data plant-based products'!AD98</f>
        <v>5.2168831629161817E-3</v>
      </c>
      <c r="AL68" s="877"/>
      <c r="AM68" s="879">
        <f>'Input data plant-based products'!R98/'Input data plant-based products'!E98</f>
        <v>1.23E-3</v>
      </c>
      <c r="AN68" s="877">
        <f>$AM68*'Input data plant-based products'!Z98</f>
        <v>1.23E-3</v>
      </c>
      <c r="AO68" s="877">
        <f>$AM68*'Input data plant-based products'!AA98</f>
        <v>1.23E-3</v>
      </c>
      <c r="AP68" s="877">
        <f>$AM68*'Input data plant-based products'!AB98</f>
        <v>1.23E-3</v>
      </c>
      <c r="AQ68" s="877">
        <f>$AM68*'Input data plant-based products'!AC98</f>
        <v>1.467955603293949E-3</v>
      </c>
      <c r="AR68" s="886">
        <f>$AM68*'Input data plant-based products'!AD98</f>
        <v>1.8122908682641345E-3</v>
      </c>
      <c r="AS68" s="877"/>
      <c r="AT68" s="879">
        <f>'Input data plant-based products'!S98</f>
        <v>3.096312611700984E-2</v>
      </c>
      <c r="AU68" s="877">
        <f>$AT68*'Input data plant-based products'!Z98</f>
        <v>3.096312611700984E-2</v>
      </c>
      <c r="AV68" s="877">
        <f>$AT68*'Input data plant-based products'!AA98</f>
        <v>3.096312611700984E-2</v>
      </c>
      <c r="AW68" s="877">
        <f>$AT68*'Input data plant-based products'!AB98</f>
        <v>3.096312611700984E-2</v>
      </c>
      <c r="AX68" s="877">
        <f>$AT68*'Input data plant-based products'!AC98</f>
        <v>3.6953247543871394E-2</v>
      </c>
      <c r="AY68" s="886">
        <f>$AT68*'Input data plant-based products'!AD98</f>
        <v>4.5621293264038749E-2</v>
      </c>
      <c r="AZ68" s="877"/>
      <c r="BA68" s="879">
        <f>((SUM('Input data plant-based products'!U98:Y98)*Y68)/('Common input data'!$B$192/10^6))/$BB$3</f>
        <v>2.8250433610245116E-10</v>
      </c>
      <c r="BB68" s="877">
        <f>$BA68*'Input data plant-based products'!Z98</f>
        <v>2.8250433610245116E-10</v>
      </c>
      <c r="BC68" s="877">
        <f>$BA68*'Input data plant-based products'!AA98</f>
        <v>2.8250433610245116E-10</v>
      </c>
      <c r="BD68" s="877">
        <f>$BA68*'Input data plant-based products'!AB98</f>
        <v>2.8250433610245116E-10</v>
      </c>
      <c r="BE68" s="877">
        <f>$BA68*'Input data plant-based products'!AC98</f>
        <v>3.3715757978571563E-10</v>
      </c>
      <c r="BF68" s="886">
        <f>$BA68*'Input data plant-based products'!AD98</f>
        <v>4.1624392566137729E-10</v>
      </c>
      <c r="BG68" s="877"/>
      <c r="BH68" s="879">
        <f>'Input data plant-based products'!T98/'Input data plant-based products'!E98</f>
        <v>3.0587656749446772E-4</v>
      </c>
      <c r="BI68" s="877">
        <f>$BH68*'Input data plant-based products'!Z98</f>
        <v>3.0587656749446772E-4</v>
      </c>
      <c r="BJ68" s="877">
        <f>$BH68*'Input data plant-based products'!AA98</f>
        <v>3.0587656749446772E-4</v>
      </c>
      <c r="BK68" s="877">
        <f>$BH68*'Input data plant-based products'!AB98</f>
        <v>3.0587656749446772E-4</v>
      </c>
      <c r="BL68" s="877">
        <f>$BH68*'Input data plant-based products'!AC98</f>
        <v>3.6505139932505992E-4</v>
      </c>
      <c r="BM68" s="886">
        <f>$BH68*'Input data plant-based products'!AD98</f>
        <v>4.5068073990748133E-4</v>
      </c>
      <c r="BN68" s="877"/>
      <c r="BO68" s="879">
        <f>('Input data plant-based products'!F98/'Input data plant-based products'!E98*'Common input data'!$B$195+'Input data plant-based products'!G98/'Input data plant-based products'!E98*'Common input data'!$B$196)/'Common input data'!$B$198</f>
        <v>9.0407120020024399E-5</v>
      </c>
      <c r="BP68" s="877">
        <f>$BO68*'Input data plant-based products'!Z98</f>
        <v>9.0407120020024399E-5</v>
      </c>
      <c r="BQ68" s="877">
        <f>$BO68*'Input data plant-based products'!AA98</f>
        <v>9.0407120020024399E-5</v>
      </c>
      <c r="BR68" s="877">
        <f>$BO68*'Input data plant-based products'!AB98</f>
        <v>9.0407120020024399E-5</v>
      </c>
      <c r="BS68" s="877">
        <f>$BO68*'Input data plant-based products'!AC98</f>
        <v>1.0789726700086453E-4</v>
      </c>
      <c r="BT68" s="886">
        <f>$BO68*'Input data plant-based products'!AD98</f>
        <v>1.3320650247020311E-4</v>
      </c>
      <c r="BU68" s="877"/>
      <c r="BV68" s="879">
        <f>('Common input data'!$C$202+'Common input data'!$B$214)*'Input data plant-based products'!AC98</f>
        <v>1.1339857580459085</v>
      </c>
      <c r="BW68" s="886">
        <f>('Common input data'!$C$202+'Common input data'!$B$214)*'Input data plant-based products'!AD98</f>
        <v>1.3999824173406277</v>
      </c>
      <c r="BX68" s="406"/>
      <c r="BY68" s="406"/>
      <c r="BZ68" s="406"/>
      <c r="CA68" s="406"/>
      <c r="CB68" s="406"/>
      <c r="CC68" s="406"/>
      <c r="CD68" s="406"/>
      <c r="CE68" s="406"/>
      <c r="CF68" s="406"/>
      <c r="CG68" s="406"/>
      <c r="CH68" s="406"/>
      <c r="CI68" s="406"/>
      <c r="CJ68" s="406"/>
      <c r="CK68" s="406"/>
      <c r="CL68" s="406"/>
      <c r="CM68" s="406"/>
      <c r="CN68" s="406"/>
      <c r="CO68" s="406"/>
      <c r="CP68" s="406"/>
      <c r="CQ68" s="406"/>
      <c r="CR68" s="406"/>
      <c r="CS68" s="406"/>
      <c r="CT68" s="406"/>
      <c r="CU68" s="406"/>
      <c r="CV68" s="406"/>
      <c r="CW68" s="406"/>
      <c r="CX68" s="406"/>
      <c r="CY68" s="406"/>
      <c r="CZ68" s="406"/>
      <c r="DA68" s="406"/>
      <c r="DB68" s="406"/>
      <c r="DC68" s="406"/>
      <c r="DD68" s="406"/>
      <c r="DE68" s="406"/>
      <c r="DF68" s="406"/>
      <c r="DG68" s="406"/>
      <c r="DH68" s="406"/>
      <c r="DI68" s="406"/>
      <c r="DJ68" s="406"/>
      <c r="DK68" s="406"/>
      <c r="DL68" s="406"/>
      <c r="DM68" s="406"/>
      <c r="DN68" s="406"/>
      <c r="DO68" s="406"/>
      <c r="DP68" s="406"/>
      <c r="DQ68" s="406"/>
      <c r="DR68" s="406"/>
      <c r="DS68" s="406"/>
      <c r="DT68" s="406"/>
      <c r="DU68" s="406"/>
      <c r="DV68" s="406"/>
      <c r="DW68" s="406"/>
      <c r="DX68" s="406"/>
      <c r="DY68" s="406"/>
      <c r="DZ68" s="406"/>
      <c r="EA68" s="406"/>
      <c r="EB68" s="406"/>
      <c r="EC68" s="406"/>
      <c r="ED68" s="406"/>
      <c r="EE68" s="406"/>
      <c r="EF68" s="406"/>
      <c r="EG68" s="406"/>
      <c r="EH68" s="406"/>
      <c r="EI68" s="406"/>
      <c r="EJ68" s="406"/>
      <c r="EK68" s="406"/>
      <c r="EL68" s="406"/>
      <c r="EM68" s="406"/>
      <c r="EN68" s="406"/>
      <c r="EO68" s="406"/>
      <c r="EP68" s="406"/>
      <c r="EQ68" s="406"/>
      <c r="ER68" s="406"/>
      <c r="ES68" s="406"/>
      <c r="ET68" s="406"/>
      <c r="EU68" s="406"/>
      <c r="EV68" s="406"/>
      <c r="EW68" s="406"/>
      <c r="EX68" s="406"/>
      <c r="EY68" s="406"/>
      <c r="EZ68" s="406"/>
      <c r="FA68" s="406"/>
      <c r="FB68" s="406"/>
      <c r="FC68" s="406"/>
      <c r="FD68" s="406"/>
      <c r="FE68" s="406"/>
      <c r="FF68" s="406"/>
      <c r="FG68" s="406"/>
      <c r="FH68" s="406"/>
      <c r="FI68" s="406"/>
      <c r="FJ68" s="406"/>
      <c r="FK68" s="406"/>
      <c r="FL68" s="406"/>
      <c r="FM68" s="406"/>
      <c r="FN68" s="406"/>
      <c r="FO68" s="406"/>
      <c r="FP68" s="406"/>
      <c r="FQ68" s="406"/>
      <c r="FR68" s="406"/>
      <c r="FS68" s="406"/>
      <c r="FT68" s="406"/>
      <c r="FU68" s="406"/>
      <c r="FV68" s="406"/>
      <c r="FW68" s="406"/>
      <c r="FX68" s="406"/>
      <c r="FY68" s="406"/>
      <c r="FZ68" s="406"/>
      <c r="GA68" s="406"/>
      <c r="GB68" s="406"/>
      <c r="GC68" s="406"/>
      <c r="GD68" s="406"/>
      <c r="GE68" s="406"/>
      <c r="GF68" s="406"/>
      <c r="GG68" s="406"/>
      <c r="GH68" s="406"/>
      <c r="GI68" s="406"/>
      <c r="GJ68" s="406"/>
      <c r="GK68" s="406"/>
      <c r="GL68" s="406"/>
      <c r="GM68" s="406"/>
      <c r="GN68" s="406"/>
      <c r="GO68" s="406"/>
      <c r="GP68" s="406"/>
      <c r="GQ68" s="406"/>
      <c r="GR68" s="406"/>
      <c r="GS68" s="406"/>
      <c r="GT68" s="406"/>
      <c r="GU68" s="406"/>
      <c r="GV68" s="406"/>
      <c r="GW68" s="406"/>
      <c r="GX68" s="406"/>
      <c r="GY68" s="406"/>
      <c r="GZ68" s="406"/>
      <c r="HA68" s="406"/>
      <c r="HB68" s="406"/>
      <c r="HC68" s="406"/>
      <c r="HD68" s="406"/>
      <c r="HE68" s="406"/>
      <c r="HF68" s="406"/>
      <c r="HG68" s="406"/>
      <c r="HH68" s="406"/>
      <c r="HI68" s="406"/>
      <c r="HJ68" s="406"/>
      <c r="HK68" s="406"/>
      <c r="HL68" s="406"/>
      <c r="HM68" s="406"/>
      <c r="HN68" s="406"/>
      <c r="HO68" s="406"/>
      <c r="HP68" s="406"/>
      <c r="HQ68" s="406"/>
      <c r="HR68" s="406"/>
      <c r="HS68" s="406"/>
      <c r="HT68" s="406"/>
      <c r="HU68" s="406"/>
      <c r="HV68" s="406"/>
      <c r="HW68" s="406"/>
      <c r="HX68" s="406"/>
      <c r="HY68" s="406"/>
      <c r="HZ68" s="406"/>
      <c r="IA68" s="406"/>
      <c r="IB68" s="406"/>
      <c r="IC68" s="406"/>
      <c r="ID68" s="406"/>
      <c r="IE68" s="406"/>
      <c r="IF68" s="406"/>
      <c r="IG68" s="406"/>
      <c r="IH68" s="406"/>
      <c r="II68" s="406"/>
      <c r="IJ68" s="406"/>
      <c r="IK68" s="406"/>
      <c r="IL68" s="406"/>
      <c r="IM68" s="406"/>
      <c r="IN68" s="406"/>
      <c r="IO68" s="406"/>
      <c r="IP68" s="406"/>
      <c r="IQ68" s="406"/>
      <c r="IR68" s="406"/>
      <c r="IS68" s="406"/>
    </row>
    <row r="69" spans="1:253" s="406" customFormat="1" ht="17.25">
      <c r="A69" s="68"/>
      <c r="B69" s="55"/>
      <c r="C69" s="917"/>
      <c r="D69" s="5"/>
      <c r="E69" s="1294" t="s">
        <v>317</v>
      </c>
      <c r="F69" s="928">
        <f>IF(AND($G$2="No",$G$3="No"),SUM(K69:L69),IF(AND($G$2="Yes", $G$3="No"), SUM(K69:L69)+S69, IF(AND($G$2="No", $G$3="Yes"),SUM(K69:L69)+R69, SUM(K69:L69)+S69+R69)))</f>
        <v>-9.1139048141381296E-2</v>
      </c>
      <c r="G69" s="877">
        <f>IF(AND($G$2="No",$G$3="No"),SUM(I69:Q69),IF(AND($G$2="Yes", $G$3="No"), SUM(I69:Q69)+S69, IF(AND($G$2="No", $G$3="Yes"),SUM(I69:Q69)+R69, SUM(I69:Q69)+S69+R69)))</f>
        <v>4.1616958570387608E-2</v>
      </c>
      <c r="H69" s="878">
        <f>SUM(U69:W69)/(1-'Common input data'!$B$140)</f>
        <v>0.38383692394126701</v>
      </c>
      <c r="I69" s="877">
        <f>('Input data plant-based products'!$F$98*('Common input data'!$C$93*'Common input data'!B86+'Common input data'!$C$94*'Common input data'!C86))/'Input data plant-based products'!$E$98</f>
        <v>1.3330621907244695E-2</v>
      </c>
      <c r="J69" s="877">
        <f>'Common input data'!$B$98</f>
        <v>0.03</v>
      </c>
      <c r="K69" s="877">
        <v>0</v>
      </c>
      <c r="L69" s="877">
        <v>0</v>
      </c>
      <c r="M69" s="877"/>
      <c r="N69" s="877">
        <f>('Input data plant-based products'!$P$98*'Common input data'!$C$76*'Common input data'!H66)/'Input data plant-based products'!$E$98</f>
        <v>3.9425384804524219E-2</v>
      </c>
      <c r="O69" s="877">
        <v>0</v>
      </c>
      <c r="P69" s="877">
        <f>'Input data plant-based products'!F$309</f>
        <v>0.05</v>
      </c>
      <c r="Q69" s="877">
        <v>0</v>
      </c>
      <c r="R69" s="877">
        <f>'Common input data'!F$19</f>
        <v>-9.1139048141381296E-2</v>
      </c>
      <c r="S69" s="877">
        <v>0</v>
      </c>
      <c r="T69" s="877">
        <v>0</v>
      </c>
      <c r="U69" s="877">
        <f>G69+T69</f>
        <v>4.1616958570387608E-2</v>
      </c>
      <c r="V69" s="877">
        <f>'Common input data'!$B$105</f>
        <v>0.05</v>
      </c>
      <c r="W69" s="877">
        <f>'Common input data'!B119+'Common input data'!C119</f>
        <v>0.23000000000000004</v>
      </c>
      <c r="X69" s="879"/>
      <c r="Y69" s="879"/>
      <c r="Z69" s="877"/>
      <c r="AA69" s="877"/>
      <c r="AB69" s="877"/>
      <c r="AC69" s="877"/>
      <c r="AD69" s="886"/>
      <c r="AE69" s="877"/>
      <c r="AF69" s="879"/>
      <c r="AG69" s="877"/>
      <c r="AH69" s="877"/>
      <c r="AI69" s="877"/>
      <c r="AJ69" s="877"/>
      <c r="AK69" s="886"/>
      <c r="AL69" s="877"/>
      <c r="AM69" s="879"/>
      <c r="AN69" s="877"/>
      <c r="AO69" s="877"/>
      <c r="AP69" s="877"/>
      <c r="AQ69" s="877"/>
      <c r="AR69" s="886"/>
      <c r="AS69" s="877"/>
      <c r="AT69" s="879"/>
      <c r="AU69" s="877"/>
      <c r="AV69" s="877"/>
      <c r="AW69" s="877"/>
      <c r="AX69" s="877"/>
      <c r="AY69" s="886"/>
      <c r="AZ69" s="877"/>
      <c r="BA69" s="879"/>
      <c r="BB69" s="877"/>
      <c r="BC69" s="877"/>
      <c r="BD69" s="877"/>
      <c r="BE69" s="877"/>
      <c r="BF69" s="886"/>
      <c r="BG69" s="877"/>
      <c r="BH69" s="879"/>
      <c r="BI69" s="877"/>
      <c r="BJ69" s="877"/>
      <c r="BK69" s="877"/>
      <c r="BL69" s="877"/>
      <c r="BM69" s="886"/>
      <c r="BN69" s="877"/>
      <c r="BO69" s="879"/>
      <c r="BP69" s="877"/>
      <c r="BQ69" s="877"/>
      <c r="BR69" s="877"/>
      <c r="BS69" s="877"/>
      <c r="BT69" s="886"/>
      <c r="BU69" s="877"/>
      <c r="BV69" s="879"/>
      <c r="BW69" s="886"/>
    </row>
    <row r="70" spans="1:253" s="406" customFormat="1" ht="17.25">
      <c r="A70" s="18"/>
      <c r="B70" s="55"/>
      <c r="C70" s="595"/>
      <c r="D70" s="50"/>
      <c r="E70" s="1294" t="s">
        <v>367</v>
      </c>
      <c r="F70" s="928">
        <f>SUM(K70:L70)</f>
        <v>0</v>
      </c>
      <c r="G70" s="877">
        <f>SUM(I70:Q70)</f>
        <v>4.1918480223656733E-5</v>
      </c>
      <c r="H70" s="878">
        <f>SUM(U70:W70)/(1-'Common input data'!$B$140)</f>
        <v>5.0028022703970326E-5</v>
      </c>
      <c r="I70" s="877">
        <f>('Input data plant-based products'!$F$98*('Common input data'!$C$93*'Common input data'!B87+'Common input data'!$C$94*'Common input data'!C87))/'Input data plant-based products'!$E$98</f>
        <v>2.4454364167595754E-5</v>
      </c>
      <c r="J70" s="877">
        <v>0</v>
      </c>
      <c r="K70" s="877">
        <v>0</v>
      </c>
      <c r="L70" s="877">
        <v>0</v>
      </c>
      <c r="M70" s="877"/>
      <c r="N70" s="877">
        <f>('Input data plant-based products'!$P$98*'Common input data'!$C$76*'Common input data'!H67)/'Input data plant-based products'!$E$98</f>
        <v>1.7464116056060979E-5</v>
      </c>
      <c r="O70" s="877">
        <v>0</v>
      </c>
      <c r="P70" s="877">
        <v>0</v>
      </c>
      <c r="Q70" s="877">
        <v>0</v>
      </c>
      <c r="R70" s="877">
        <v>0</v>
      </c>
      <c r="S70" s="877">
        <v>0</v>
      </c>
      <c r="T70" s="877">
        <v>0</v>
      </c>
      <c r="U70" s="877">
        <f>G70+T70</f>
        <v>4.1918480223656733E-5</v>
      </c>
      <c r="V70" s="877">
        <v>0</v>
      </c>
      <c r="W70" s="877">
        <v>0</v>
      </c>
      <c r="X70" s="879"/>
      <c r="Y70" s="879"/>
      <c r="Z70" s="877"/>
      <c r="AA70" s="877"/>
      <c r="AB70" s="877"/>
      <c r="AC70" s="877"/>
      <c r="AD70" s="886"/>
      <c r="AE70" s="877"/>
      <c r="AF70" s="879"/>
      <c r="AG70" s="877"/>
      <c r="AH70" s="877"/>
      <c r="AI70" s="877"/>
      <c r="AJ70" s="877"/>
      <c r="AK70" s="886"/>
      <c r="AL70" s="877"/>
      <c r="AM70" s="879"/>
      <c r="AN70" s="877"/>
      <c r="AO70" s="877"/>
      <c r="AP70" s="877"/>
      <c r="AQ70" s="877"/>
      <c r="AR70" s="886"/>
      <c r="AS70" s="877"/>
      <c r="AT70" s="879"/>
      <c r="AU70" s="877"/>
      <c r="AV70" s="877"/>
      <c r="AW70" s="877"/>
      <c r="AX70" s="877"/>
      <c r="AY70" s="886"/>
      <c r="AZ70" s="877"/>
      <c r="BA70" s="879"/>
      <c r="BB70" s="877"/>
      <c r="BC70" s="877"/>
      <c r="BD70" s="877"/>
      <c r="BE70" s="877"/>
      <c r="BF70" s="886"/>
      <c r="BG70" s="877"/>
      <c r="BH70" s="879"/>
      <c r="BI70" s="877"/>
      <c r="BJ70" s="877"/>
      <c r="BK70" s="877"/>
      <c r="BL70" s="877"/>
      <c r="BM70" s="886"/>
      <c r="BN70" s="877"/>
      <c r="BO70" s="879"/>
      <c r="BP70" s="877"/>
      <c r="BQ70" s="877"/>
      <c r="BR70" s="877"/>
      <c r="BS70" s="877"/>
      <c r="BT70" s="886"/>
      <c r="BU70" s="877"/>
      <c r="BV70" s="879"/>
      <c r="BW70" s="886"/>
    </row>
    <row r="71" spans="1:253" s="406" customFormat="1" ht="17.25">
      <c r="A71" s="359"/>
      <c r="B71" s="360"/>
      <c r="C71" s="83"/>
      <c r="D71" s="54"/>
      <c r="E71" s="1295" t="s">
        <v>320</v>
      </c>
      <c r="F71" s="932">
        <f>SUM(K71:L71)</f>
        <v>6.1203414240050576E-5</v>
      </c>
      <c r="G71" s="896">
        <f>SUM(I71:Q71)</f>
        <v>9.1552633884119897E-5</v>
      </c>
      <c r="H71" s="933">
        <f>SUM(U71:W71)/(1-'Common input data'!$B$140)</f>
        <v>1.0926439179391323E-4</v>
      </c>
      <c r="I71" s="877">
        <f>('Input data plant-based products'!$F$98*('Common input data'!$C$93*'Common input data'!B88+'Common input data'!$C$94*'Common input data'!C88))/'Input data plant-based products'!$E$98</f>
        <v>2.9289844183041539E-5</v>
      </c>
      <c r="J71" s="877">
        <v>0</v>
      </c>
      <c r="K71" s="877">
        <f>(SUM('Input data plant-based products'!F98:H98)*'Input data plant-based products'!$B$257*44/28)/'Input data plant-based products'!E98</f>
        <v>5.5639467490955073E-5</v>
      </c>
      <c r="L71" s="877">
        <f>K71*'Input data plant-based products'!$B$261</f>
        <v>5.5639467490955075E-6</v>
      </c>
      <c r="M71" s="877"/>
      <c r="N71" s="877">
        <f>('Input data plant-based products'!$P$98*'Common input data'!$C$76*'Common input data'!H68)/'Input data plant-based products'!$E$98</f>
        <v>1.0593754610277846E-6</v>
      </c>
      <c r="O71" s="877">
        <v>0</v>
      </c>
      <c r="P71" s="877">
        <v>0</v>
      </c>
      <c r="Q71" s="877">
        <v>0</v>
      </c>
      <c r="R71" s="877">
        <v>0</v>
      </c>
      <c r="S71" s="877">
        <v>0</v>
      </c>
      <c r="T71" s="877">
        <v>0</v>
      </c>
      <c r="U71" s="877">
        <f>G71+T71</f>
        <v>9.1552633884119897E-5</v>
      </c>
      <c r="V71" s="877">
        <v>0</v>
      </c>
      <c r="W71" s="877">
        <v>0</v>
      </c>
      <c r="X71" s="879"/>
      <c r="Y71" s="879"/>
      <c r="Z71" s="877"/>
      <c r="AA71" s="877"/>
      <c r="AB71" s="877"/>
      <c r="AC71" s="877"/>
      <c r="AD71" s="886"/>
      <c r="AE71" s="877"/>
      <c r="AF71" s="879"/>
      <c r="AG71" s="877"/>
      <c r="AH71" s="877"/>
      <c r="AI71" s="877"/>
      <c r="AJ71" s="877"/>
      <c r="AK71" s="886"/>
      <c r="AL71" s="877"/>
      <c r="AM71" s="879"/>
      <c r="AN71" s="877"/>
      <c r="AO71" s="877"/>
      <c r="AP71" s="877"/>
      <c r="AQ71" s="877"/>
      <c r="AR71" s="886"/>
      <c r="AS71" s="877"/>
      <c r="AT71" s="879"/>
      <c r="AU71" s="877"/>
      <c r="AV71" s="877"/>
      <c r="AW71" s="877"/>
      <c r="AX71" s="877"/>
      <c r="AY71" s="886"/>
      <c r="AZ71" s="877"/>
      <c r="BA71" s="879"/>
      <c r="BB71" s="877"/>
      <c r="BC71" s="877"/>
      <c r="BD71" s="877"/>
      <c r="BE71" s="877"/>
      <c r="BF71" s="886"/>
      <c r="BG71" s="877"/>
      <c r="BH71" s="879"/>
      <c r="BI71" s="877"/>
      <c r="BJ71" s="877"/>
      <c r="BK71" s="877"/>
      <c r="BL71" s="877"/>
      <c r="BM71" s="886"/>
      <c r="BN71" s="877"/>
      <c r="BO71" s="879"/>
      <c r="BP71" s="877"/>
      <c r="BQ71" s="877"/>
      <c r="BR71" s="877"/>
      <c r="BS71" s="877"/>
      <c r="BT71" s="886"/>
      <c r="BU71" s="877"/>
      <c r="BV71" s="879"/>
      <c r="BW71" s="886"/>
    </row>
    <row r="72" spans="1:253" s="503" customFormat="1" ht="17.25">
      <c r="A72" s="362" t="s">
        <v>508</v>
      </c>
      <c r="B72" s="363"/>
      <c r="C72" s="770"/>
      <c r="D72" s="54"/>
      <c r="E72" s="1296"/>
      <c r="F72" s="925" t="s">
        <v>509</v>
      </c>
      <c r="G72" s="1290" t="s">
        <v>509</v>
      </c>
      <c r="H72" s="870" t="s">
        <v>509</v>
      </c>
      <c r="I72" s="889"/>
      <c r="J72" s="889"/>
      <c r="K72" s="889"/>
      <c r="L72" s="889"/>
      <c r="M72" s="889"/>
      <c r="N72" s="889"/>
      <c r="O72" s="1305"/>
      <c r="P72" s="889"/>
      <c r="Q72" s="889"/>
      <c r="R72" s="889"/>
      <c r="S72" s="889"/>
      <c r="T72" s="889"/>
      <c r="U72" s="889"/>
      <c r="V72" s="889"/>
      <c r="W72" s="889"/>
      <c r="X72" s="879"/>
      <c r="Y72" s="879"/>
      <c r="Z72" s="877"/>
      <c r="AA72" s="877"/>
      <c r="AB72" s="877"/>
      <c r="AC72" s="877"/>
      <c r="AD72" s="886"/>
      <c r="AE72" s="877"/>
      <c r="AF72" s="879"/>
      <c r="AG72" s="877"/>
      <c r="AH72" s="877"/>
      <c r="AI72" s="877"/>
      <c r="AJ72" s="877"/>
      <c r="AK72" s="886"/>
      <c r="AL72" s="877"/>
      <c r="AM72" s="879"/>
      <c r="AN72" s="877"/>
      <c r="AO72" s="877"/>
      <c r="AP72" s="877"/>
      <c r="AQ72" s="877"/>
      <c r="AR72" s="886"/>
      <c r="AS72" s="877"/>
      <c r="AT72" s="879"/>
      <c r="AU72" s="877"/>
      <c r="AV72" s="877"/>
      <c r="AW72" s="877"/>
      <c r="AX72" s="877"/>
      <c r="AY72" s="886"/>
      <c r="AZ72" s="877"/>
      <c r="BA72" s="879"/>
      <c r="BB72" s="877"/>
      <c r="BC72" s="877"/>
      <c r="BD72" s="877"/>
      <c r="BE72" s="877"/>
      <c r="BF72" s="886"/>
      <c r="BG72" s="877"/>
      <c r="BH72" s="879"/>
      <c r="BI72" s="877"/>
      <c r="BJ72" s="877"/>
      <c r="BK72" s="877"/>
      <c r="BL72" s="877"/>
      <c r="BM72" s="886"/>
      <c r="BN72" s="877"/>
      <c r="BO72" s="879"/>
      <c r="BP72" s="877"/>
      <c r="BQ72" s="877"/>
      <c r="BR72" s="877"/>
      <c r="BS72" s="877"/>
      <c r="BT72" s="886"/>
      <c r="BU72" s="877"/>
      <c r="BV72" s="879"/>
      <c r="BW72" s="886"/>
      <c r="BX72" s="406"/>
      <c r="BY72" s="406"/>
      <c r="BZ72" s="406"/>
      <c r="CA72" s="406"/>
      <c r="CB72" s="406"/>
      <c r="CC72" s="406"/>
      <c r="CD72" s="406"/>
      <c r="CE72" s="406"/>
      <c r="CF72" s="406"/>
      <c r="CG72" s="406"/>
      <c r="CH72" s="406"/>
      <c r="CI72" s="406"/>
      <c r="CJ72" s="406"/>
      <c r="CK72" s="406"/>
      <c r="CL72" s="406"/>
      <c r="CM72" s="406"/>
      <c r="CN72" s="406"/>
      <c r="CO72" s="406"/>
      <c r="CP72" s="406"/>
      <c r="CQ72" s="406"/>
      <c r="CR72" s="406"/>
      <c r="CS72" s="406"/>
      <c r="CT72" s="406"/>
      <c r="CU72" s="406"/>
      <c r="CV72" s="406"/>
      <c r="CW72" s="406"/>
      <c r="CX72" s="406"/>
      <c r="CY72" s="406"/>
      <c r="CZ72" s="406"/>
      <c r="DA72" s="406"/>
      <c r="DB72" s="406"/>
      <c r="DC72" s="406"/>
      <c r="DD72" s="406"/>
      <c r="DE72" s="406"/>
      <c r="DF72" s="406"/>
      <c r="DG72" s="406"/>
      <c r="DH72" s="406"/>
      <c r="DI72" s="406"/>
      <c r="DJ72" s="406"/>
      <c r="DK72" s="406"/>
      <c r="DL72" s="406"/>
      <c r="DM72" s="406"/>
      <c r="DN72" s="406"/>
      <c r="DO72" s="406"/>
      <c r="DP72" s="406"/>
      <c r="DQ72" s="406"/>
      <c r="DR72" s="406"/>
      <c r="DS72" s="406"/>
      <c r="DT72" s="406"/>
      <c r="DU72" s="406"/>
      <c r="DV72" s="406"/>
      <c r="DW72" s="406"/>
      <c r="DX72" s="406"/>
      <c r="DY72" s="406"/>
      <c r="DZ72" s="406"/>
      <c r="EA72" s="406"/>
      <c r="EB72" s="406"/>
      <c r="EC72" s="406"/>
      <c r="ED72" s="406"/>
      <c r="EE72" s="406"/>
      <c r="EF72" s="406"/>
      <c r="EG72" s="406"/>
      <c r="EH72" s="406"/>
      <c r="EI72" s="406"/>
      <c r="EJ72" s="406"/>
      <c r="EK72" s="406"/>
      <c r="EL72" s="406"/>
      <c r="EM72" s="406"/>
      <c r="EN72" s="406"/>
      <c r="EO72" s="406"/>
      <c r="EP72" s="406"/>
      <c r="EQ72" s="406"/>
      <c r="ER72" s="406"/>
      <c r="ES72" s="406"/>
      <c r="ET72" s="406"/>
      <c r="EU72" s="406"/>
      <c r="EV72" s="406"/>
      <c r="EW72" s="406"/>
      <c r="EX72" s="406"/>
      <c r="EY72" s="406"/>
      <c r="EZ72" s="406"/>
      <c r="FA72" s="406"/>
      <c r="FB72" s="406"/>
      <c r="FC72" s="406"/>
      <c r="FD72" s="406"/>
      <c r="FE72" s="406"/>
      <c r="FF72" s="406"/>
      <c r="FG72" s="406"/>
      <c r="FH72" s="406"/>
      <c r="FI72" s="406"/>
      <c r="FJ72" s="406"/>
      <c r="FK72" s="406"/>
      <c r="FL72" s="406"/>
      <c r="FM72" s="406"/>
      <c r="FN72" s="406"/>
      <c r="FO72" s="406"/>
      <c r="FP72" s="406"/>
      <c r="FQ72" s="406"/>
      <c r="FR72" s="406"/>
      <c r="FS72" s="406"/>
      <c r="FT72" s="406"/>
      <c r="FU72" s="406"/>
      <c r="FV72" s="406"/>
      <c r="FW72" s="406"/>
      <c r="FX72" s="406"/>
      <c r="FY72" s="406"/>
      <c r="FZ72" s="406"/>
      <c r="GA72" s="406"/>
      <c r="GB72" s="406"/>
      <c r="GC72" s="406"/>
      <c r="GD72" s="406"/>
      <c r="GE72" s="406"/>
      <c r="GF72" s="406"/>
      <c r="GG72" s="406"/>
      <c r="GH72" s="406"/>
      <c r="GI72" s="406"/>
      <c r="GJ72" s="406"/>
      <c r="GK72" s="406"/>
      <c r="GL72" s="406"/>
      <c r="GM72" s="406"/>
      <c r="GN72" s="406"/>
      <c r="GO72" s="406"/>
      <c r="GP72" s="406"/>
      <c r="GQ72" s="406"/>
      <c r="GR72" s="406"/>
      <c r="GS72" s="406"/>
      <c r="GT72" s="406"/>
      <c r="GU72" s="406"/>
      <c r="GV72" s="406"/>
      <c r="GW72" s="406"/>
      <c r="GX72" s="406"/>
      <c r="GY72" s="406"/>
      <c r="GZ72" s="406"/>
      <c r="HA72" s="406"/>
      <c r="HB72" s="406"/>
      <c r="HC72" s="406"/>
      <c r="HD72" s="406"/>
      <c r="HE72" s="406"/>
      <c r="HF72" s="406"/>
      <c r="HG72" s="406"/>
      <c r="HH72" s="406"/>
      <c r="HI72" s="406"/>
      <c r="HJ72" s="406"/>
      <c r="HK72" s="406"/>
      <c r="HL72" s="406"/>
      <c r="HM72" s="406"/>
      <c r="HN72" s="406"/>
      <c r="HO72" s="406"/>
      <c r="HP72" s="406"/>
      <c r="HQ72" s="406"/>
      <c r="HR72" s="406"/>
      <c r="HS72" s="406"/>
      <c r="HT72" s="406"/>
      <c r="HU72" s="406"/>
      <c r="HV72" s="406"/>
      <c r="HW72" s="406"/>
      <c r="HX72" s="406"/>
      <c r="HY72" s="406"/>
      <c r="HZ72" s="406"/>
      <c r="IA72" s="406"/>
      <c r="IB72" s="406"/>
      <c r="IC72" s="406"/>
      <c r="ID72" s="406"/>
      <c r="IE72" s="406"/>
      <c r="IF72" s="406"/>
      <c r="IG72" s="406"/>
      <c r="IH72" s="406"/>
      <c r="II72" s="406"/>
      <c r="IJ72" s="406"/>
      <c r="IK72" s="406"/>
      <c r="IL72" s="406"/>
      <c r="IM72" s="406"/>
      <c r="IN72" s="406"/>
      <c r="IO72" s="406"/>
      <c r="IP72" s="406"/>
      <c r="IQ72" s="406"/>
      <c r="IR72" s="406"/>
      <c r="IS72" s="406"/>
    </row>
    <row r="73" spans="1:253" s="502" customFormat="1" ht="17.25">
      <c r="A73" s="20" t="s">
        <v>120</v>
      </c>
      <c r="B73" s="93"/>
      <c r="C73" s="771">
        <f>SUM(C77:C92)</f>
        <v>1</v>
      </c>
      <c r="D73" s="50"/>
      <c r="E73" s="1293" t="s">
        <v>316</v>
      </c>
      <c r="F73" s="926">
        <f>SUMPRODUCT($CI$4:$CI$6,F74:F76)</f>
        <v>-5.6444022315389683E-2</v>
      </c>
      <c r="G73" s="874">
        <f>SUMPRODUCT($CI$4:$CI$6,G74:G76)</f>
        <v>6.5410593350786417E-2</v>
      </c>
      <c r="H73" s="927">
        <f>SUMPRODUCT($CI$4:$CI$6,H74:H76)</f>
        <v>0.71310436510087805</v>
      </c>
      <c r="I73" s="872"/>
      <c r="J73" s="884"/>
      <c r="K73" s="884"/>
      <c r="L73" s="884"/>
      <c r="M73" s="884"/>
      <c r="N73" s="884"/>
      <c r="O73" s="884"/>
      <c r="P73" s="884"/>
      <c r="Q73" s="884"/>
      <c r="R73" s="884"/>
      <c r="S73" s="884"/>
      <c r="T73" s="884"/>
      <c r="U73" s="884"/>
      <c r="V73" s="884"/>
      <c r="W73" s="884"/>
      <c r="X73" s="879"/>
      <c r="Y73" s="883">
        <f>Y77*$C$77+Y81*$C$81+Y85*$C$85+Y89*$C$89</f>
        <v>0.32772585208831817</v>
      </c>
      <c r="Z73" s="884">
        <f t="shared" ref="Z73:BW73" si="8">Z77*$C$77+Z81*$C$81+Z85*$C$85+Z89*$C$89</f>
        <v>0.32772585208831817</v>
      </c>
      <c r="AA73" s="884">
        <f t="shared" si="8"/>
        <v>0.32772585208831817</v>
      </c>
      <c r="AB73" s="884">
        <f t="shared" si="8"/>
        <v>0.32772585208831817</v>
      </c>
      <c r="AC73" s="884">
        <f t="shared" si="8"/>
        <v>0.47474577140331647</v>
      </c>
      <c r="AD73" s="885">
        <f t="shared" si="8"/>
        <v>0.5861058906213783</v>
      </c>
      <c r="AE73" s="877"/>
      <c r="AF73" s="883">
        <f t="shared" si="8"/>
        <v>4.7129382356806554E-3</v>
      </c>
      <c r="AG73" s="884">
        <f t="shared" si="8"/>
        <v>4.7129382356806554E-3</v>
      </c>
      <c r="AH73" s="884">
        <f t="shared" si="8"/>
        <v>4.7129382356806554E-3</v>
      </c>
      <c r="AI73" s="884">
        <f t="shared" si="8"/>
        <v>4.7129382356806554E-3</v>
      </c>
      <c r="AJ73" s="884">
        <f t="shared" si="8"/>
        <v>7.1683266990255944E-3</v>
      </c>
      <c r="AK73" s="885">
        <f t="shared" si="8"/>
        <v>8.849786048179745E-3</v>
      </c>
      <c r="AL73" s="877"/>
      <c r="AM73" s="883">
        <f t="shared" si="8"/>
        <v>8.1820744973164282E-4</v>
      </c>
      <c r="AN73" s="884">
        <f t="shared" si="8"/>
        <v>8.1820744973164282E-4</v>
      </c>
      <c r="AO73" s="884">
        <f t="shared" si="8"/>
        <v>8.1820744973164282E-4</v>
      </c>
      <c r="AP73" s="884">
        <f t="shared" si="8"/>
        <v>8.1820744973164282E-4</v>
      </c>
      <c r="AQ73" s="884">
        <f t="shared" si="8"/>
        <v>1.2626658174871028E-3</v>
      </c>
      <c r="AR73" s="885">
        <f t="shared" si="8"/>
        <v>1.5588466882556823E-3</v>
      </c>
      <c r="AS73" s="877"/>
      <c r="AT73" s="883">
        <f t="shared" si="8"/>
        <v>4.6762054349094404E-2</v>
      </c>
      <c r="AU73" s="884">
        <f t="shared" si="8"/>
        <v>4.6762054349094404E-2</v>
      </c>
      <c r="AV73" s="884">
        <f t="shared" si="8"/>
        <v>4.6762054349094404E-2</v>
      </c>
      <c r="AW73" s="884">
        <f t="shared" si="8"/>
        <v>4.6762054349094404E-2</v>
      </c>
      <c r="AX73" s="884">
        <f t="shared" si="8"/>
        <v>6.9199106447703621E-2</v>
      </c>
      <c r="AY73" s="885">
        <f t="shared" si="8"/>
        <v>8.5430995614448904E-2</v>
      </c>
      <c r="AZ73" s="877"/>
      <c r="BA73" s="883">
        <f t="shared" si="8"/>
        <v>2.9247174017840563E-9</v>
      </c>
      <c r="BB73" s="884">
        <f t="shared" si="8"/>
        <v>2.9247174017840563E-9</v>
      </c>
      <c r="BC73" s="884">
        <f t="shared" si="8"/>
        <v>2.9247174017840563E-9</v>
      </c>
      <c r="BD73" s="884">
        <f t="shared" si="8"/>
        <v>2.9247174017840563E-9</v>
      </c>
      <c r="BE73" s="884">
        <f t="shared" si="8"/>
        <v>4.233460984989837E-9</v>
      </c>
      <c r="BF73" s="885">
        <f t="shared" si="8"/>
        <v>5.2264950431973293E-9</v>
      </c>
      <c r="BG73" s="877"/>
      <c r="BH73" s="883">
        <f t="shared" si="8"/>
        <v>4.3128774987936854E-4</v>
      </c>
      <c r="BI73" s="884">
        <f t="shared" si="8"/>
        <v>4.3128774987936854E-4</v>
      </c>
      <c r="BJ73" s="884">
        <f t="shared" si="8"/>
        <v>4.3128774987936854E-4</v>
      </c>
      <c r="BK73" s="884">
        <f t="shared" si="8"/>
        <v>4.3128774987936854E-4</v>
      </c>
      <c r="BL73" s="884">
        <f t="shared" si="8"/>
        <v>6.5794593698851179E-4</v>
      </c>
      <c r="BM73" s="885">
        <f t="shared" si="8"/>
        <v>8.122789345537182E-4</v>
      </c>
      <c r="BN73" s="877"/>
      <c r="BO73" s="883">
        <f t="shared" si="8"/>
        <v>1.5501659726076115E-4</v>
      </c>
      <c r="BP73" s="884">
        <f t="shared" si="8"/>
        <v>1.5501659726076115E-4</v>
      </c>
      <c r="BQ73" s="884">
        <f t="shared" si="8"/>
        <v>1.5501659726076115E-4</v>
      </c>
      <c r="BR73" s="884">
        <f t="shared" si="8"/>
        <v>1.5501659726076115E-4</v>
      </c>
      <c r="BS73" s="884">
        <f t="shared" si="8"/>
        <v>2.3061865447126435E-4</v>
      </c>
      <c r="BT73" s="885">
        <f t="shared" si="8"/>
        <v>2.8471438823612883E-4</v>
      </c>
      <c r="BU73" s="877"/>
      <c r="BV73" s="883">
        <f t="shared" si="8"/>
        <v>7.2516550117473457</v>
      </c>
      <c r="BW73" s="885">
        <f t="shared" si="8"/>
        <v>8.9526605083300552</v>
      </c>
      <c r="BX73" s="406"/>
      <c r="BY73" s="406"/>
      <c r="BZ73" s="406"/>
      <c r="CA73" s="406"/>
      <c r="CB73" s="406"/>
      <c r="CC73" s="406"/>
      <c r="CD73" s="406"/>
      <c r="CE73" s="406"/>
      <c r="CF73" s="406"/>
      <c r="CG73" s="406"/>
      <c r="CH73" s="406"/>
      <c r="CI73" s="406"/>
      <c r="CJ73" s="406"/>
      <c r="CK73" s="406"/>
      <c r="CL73" s="406"/>
      <c r="CM73" s="406"/>
      <c r="CN73" s="406"/>
      <c r="CO73" s="406"/>
      <c r="CP73" s="406"/>
      <c r="CQ73" s="406"/>
      <c r="CR73" s="406"/>
      <c r="CS73" s="406"/>
      <c r="CT73" s="406"/>
      <c r="CU73" s="406"/>
      <c r="CV73" s="406"/>
      <c r="CW73" s="406"/>
      <c r="CX73" s="406"/>
      <c r="CY73" s="406"/>
      <c r="CZ73" s="406"/>
      <c r="DA73" s="406"/>
      <c r="DB73" s="406"/>
      <c r="DC73" s="406"/>
      <c r="DD73" s="406"/>
      <c r="DE73" s="406"/>
      <c r="DF73" s="406"/>
      <c r="DG73" s="406"/>
      <c r="DH73" s="406"/>
      <c r="DI73" s="406"/>
      <c r="DJ73" s="406"/>
      <c r="DK73" s="406"/>
      <c r="DL73" s="406"/>
      <c r="DM73" s="406"/>
      <c r="DN73" s="406"/>
      <c r="DO73" s="406"/>
      <c r="DP73" s="406"/>
      <c r="DQ73" s="406"/>
      <c r="DR73" s="406"/>
      <c r="DS73" s="406"/>
      <c r="DT73" s="406"/>
      <c r="DU73" s="406"/>
      <c r="DV73" s="406"/>
      <c r="DW73" s="406"/>
      <c r="DX73" s="406"/>
      <c r="DY73" s="406"/>
      <c r="DZ73" s="406"/>
      <c r="EA73" s="406"/>
      <c r="EB73" s="406"/>
      <c r="EC73" s="406"/>
      <c r="ED73" s="406"/>
      <c r="EE73" s="406"/>
      <c r="EF73" s="406"/>
      <c r="EG73" s="406"/>
      <c r="EH73" s="406"/>
      <c r="EI73" s="406"/>
      <c r="EJ73" s="406"/>
      <c r="EK73" s="406"/>
      <c r="EL73" s="406"/>
      <c r="EM73" s="406"/>
      <c r="EN73" s="406"/>
      <c r="EO73" s="406"/>
      <c r="EP73" s="406"/>
      <c r="EQ73" s="406"/>
      <c r="ER73" s="406"/>
      <c r="ES73" s="406"/>
      <c r="ET73" s="406"/>
      <c r="EU73" s="406"/>
      <c r="EV73" s="406"/>
      <c r="EW73" s="406"/>
      <c r="EX73" s="406"/>
      <c r="EY73" s="406"/>
      <c r="EZ73" s="406"/>
      <c r="FA73" s="406"/>
      <c r="FB73" s="406"/>
      <c r="FC73" s="406"/>
      <c r="FD73" s="406"/>
      <c r="FE73" s="406"/>
      <c r="FF73" s="406"/>
      <c r="FG73" s="406"/>
      <c r="FH73" s="406"/>
      <c r="FI73" s="406"/>
      <c r="FJ73" s="406"/>
      <c r="FK73" s="406"/>
      <c r="FL73" s="406"/>
      <c r="FM73" s="406"/>
      <c r="FN73" s="406"/>
      <c r="FO73" s="406"/>
      <c r="FP73" s="406"/>
      <c r="FQ73" s="406"/>
      <c r="FR73" s="406"/>
      <c r="FS73" s="406"/>
      <c r="FT73" s="406"/>
      <c r="FU73" s="406"/>
      <c r="FV73" s="406"/>
      <c r="FW73" s="406"/>
      <c r="FX73" s="406"/>
      <c r="FY73" s="406"/>
      <c r="FZ73" s="406"/>
      <c r="GA73" s="406"/>
      <c r="GB73" s="406"/>
      <c r="GC73" s="406"/>
      <c r="GD73" s="406"/>
      <c r="GE73" s="406"/>
      <c r="GF73" s="406"/>
      <c r="GG73" s="406"/>
      <c r="GH73" s="406"/>
      <c r="GI73" s="406"/>
      <c r="GJ73" s="406"/>
      <c r="GK73" s="406"/>
      <c r="GL73" s="406"/>
      <c r="GM73" s="406"/>
      <c r="GN73" s="406"/>
      <c r="GO73" s="406"/>
      <c r="GP73" s="406"/>
      <c r="GQ73" s="406"/>
      <c r="GR73" s="406"/>
      <c r="GS73" s="406"/>
      <c r="GT73" s="406"/>
      <c r="GU73" s="406"/>
      <c r="GV73" s="406"/>
      <c r="GW73" s="406"/>
      <c r="GX73" s="406"/>
      <c r="GY73" s="406"/>
      <c r="GZ73" s="406"/>
      <c r="HA73" s="406"/>
      <c r="HB73" s="406"/>
      <c r="HC73" s="406"/>
      <c r="HD73" s="406"/>
      <c r="HE73" s="406"/>
      <c r="HF73" s="406"/>
      <c r="HG73" s="406"/>
      <c r="HH73" s="406"/>
      <c r="HI73" s="406"/>
      <c r="HJ73" s="406"/>
      <c r="HK73" s="406"/>
      <c r="HL73" s="406"/>
      <c r="HM73" s="406"/>
      <c r="HN73" s="406"/>
      <c r="HO73" s="406"/>
      <c r="HP73" s="406"/>
      <c r="HQ73" s="406"/>
      <c r="HR73" s="406"/>
      <c r="HS73" s="406"/>
      <c r="HT73" s="406"/>
      <c r="HU73" s="406"/>
      <c r="HV73" s="406"/>
      <c r="HW73" s="406"/>
      <c r="HX73" s="406"/>
      <c r="HY73" s="406"/>
      <c r="HZ73" s="406"/>
      <c r="IA73" s="406"/>
      <c r="IB73" s="406"/>
      <c r="IC73" s="406"/>
      <c r="ID73" s="406"/>
      <c r="IE73" s="406"/>
      <c r="IF73" s="406"/>
      <c r="IG73" s="406"/>
      <c r="IH73" s="406"/>
      <c r="II73" s="406"/>
      <c r="IJ73" s="406"/>
      <c r="IK73" s="406"/>
      <c r="IL73" s="406"/>
      <c r="IM73" s="406"/>
      <c r="IN73" s="406"/>
      <c r="IO73" s="406"/>
      <c r="IP73" s="406"/>
      <c r="IQ73" s="406"/>
      <c r="IR73" s="406"/>
      <c r="IS73" s="406"/>
    </row>
    <row r="74" spans="1:253" s="406" customFormat="1" ht="17.25">
      <c r="A74" s="499"/>
      <c r="B74" s="55"/>
      <c r="C74" s="917"/>
      <c r="D74" s="5"/>
      <c r="E74" s="1294" t="s">
        <v>317</v>
      </c>
      <c r="F74" s="928">
        <f>F78*$C$77+F82*$C$81+$C$85*F86+$C$89*F90</f>
        <v>-9.1139048141381296E-2</v>
      </c>
      <c r="G74" s="877">
        <f>G78*$C$77+G82*$C$81+$C$85*G86+$C$89*G90</f>
        <v>1.7335807057885323E-2</v>
      </c>
      <c r="H74" s="878">
        <f>H78*$C$77+H82*$C$81+$C$85*H86+$C$89*H90</f>
        <v>0.6398630218222271</v>
      </c>
      <c r="I74" s="877">
        <f>I78*$C$77+I82*$C$81+$C$85*I86+$C$89*I90</f>
        <v>1.9716761964194737E-2</v>
      </c>
      <c r="J74" s="877">
        <f t="shared" ref="I74:W76" si="9">J78*$C$77+J82*$C$81+$C$85*J86+$C$89*J90</f>
        <v>0.03</v>
      </c>
      <c r="K74" s="877">
        <f t="shared" si="9"/>
        <v>0</v>
      </c>
      <c r="L74" s="877">
        <f t="shared" si="9"/>
        <v>0</v>
      </c>
      <c r="M74" s="877"/>
      <c r="N74" s="877">
        <f t="shared" si="9"/>
        <v>8.7580932350718819E-3</v>
      </c>
      <c r="O74" s="877">
        <f t="shared" si="9"/>
        <v>0</v>
      </c>
      <c r="P74" s="877">
        <f t="shared" si="9"/>
        <v>0.05</v>
      </c>
      <c r="Q74" s="877">
        <f t="shared" si="9"/>
        <v>0</v>
      </c>
      <c r="R74" s="877">
        <f>R78*$C$77+R82*$C$81+$C$85*R86+$C$89*R90</f>
        <v>-9.1139048141381296E-2</v>
      </c>
      <c r="S74" s="877">
        <f t="shared" si="9"/>
        <v>0</v>
      </c>
      <c r="T74" s="877">
        <f t="shared" si="9"/>
        <v>0</v>
      </c>
      <c r="U74" s="877">
        <f t="shared" si="9"/>
        <v>1.7335807057885323E-2</v>
      </c>
      <c r="V74" s="877">
        <f t="shared" si="9"/>
        <v>0.05</v>
      </c>
      <c r="W74" s="877">
        <f t="shared" si="9"/>
        <v>0.36770948093911721</v>
      </c>
      <c r="X74" s="879"/>
      <c r="Y74" s="879"/>
      <c r="Z74" s="877"/>
      <c r="AA74" s="877"/>
      <c r="AB74" s="877"/>
      <c r="AC74" s="877"/>
      <c r="AD74" s="886"/>
      <c r="AE74" s="877"/>
      <c r="AF74" s="879"/>
      <c r="AG74" s="877"/>
      <c r="AH74" s="877"/>
      <c r="AI74" s="877"/>
      <c r="AJ74" s="877"/>
      <c r="AK74" s="886"/>
      <c r="AL74" s="877"/>
      <c r="AM74" s="879"/>
      <c r="AN74" s="877"/>
      <c r="AO74" s="877"/>
      <c r="AP74" s="877"/>
      <c r="AQ74" s="877"/>
      <c r="AR74" s="886"/>
      <c r="AS74" s="877"/>
      <c r="AT74" s="879"/>
      <c r="AU74" s="877"/>
      <c r="AV74" s="877"/>
      <c r="AW74" s="877"/>
      <c r="AX74" s="877"/>
      <c r="AY74" s="886"/>
      <c r="AZ74" s="877"/>
      <c r="BA74" s="879"/>
      <c r="BB74" s="877"/>
      <c r="BC74" s="877"/>
      <c r="BD74" s="877"/>
      <c r="BE74" s="877"/>
      <c r="BF74" s="886"/>
      <c r="BG74" s="877"/>
      <c r="BH74" s="879"/>
      <c r="BI74" s="877"/>
      <c r="BJ74" s="877"/>
      <c r="BK74" s="877"/>
      <c r="BL74" s="877"/>
      <c r="BM74" s="886"/>
      <c r="BN74" s="877"/>
      <c r="BO74" s="879"/>
      <c r="BP74" s="877"/>
      <c r="BQ74" s="877"/>
      <c r="BR74" s="877"/>
      <c r="BS74" s="877"/>
      <c r="BT74" s="886"/>
      <c r="BU74" s="877"/>
      <c r="BV74" s="879"/>
      <c r="BW74" s="886"/>
    </row>
    <row r="75" spans="1:253" s="406" customFormat="1" ht="17.25">
      <c r="A75" s="499"/>
      <c r="B75" s="55"/>
      <c r="C75" s="595"/>
      <c r="D75" s="50"/>
      <c r="E75" s="1294" t="s">
        <v>367</v>
      </c>
      <c r="F75" s="928">
        <f t="shared" ref="F75:H76" si="10">F79*$C$77+F83*$C$81+$C$85*F87+$C$89*F91</f>
        <v>0</v>
      </c>
      <c r="G75" s="877">
        <f t="shared" si="10"/>
        <v>4.5730389044350064E-5</v>
      </c>
      <c r="H75" s="878">
        <f t="shared" si="10"/>
        <v>6.9274602991842142E-5</v>
      </c>
      <c r="I75" s="877">
        <f t="shared" si="9"/>
        <v>4.1850849061533057E-5</v>
      </c>
      <c r="J75" s="877">
        <f t="shared" si="9"/>
        <v>0</v>
      </c>
      <c r="K75" s="877">
        <f t="shared" si="9"/>
        <v>0</v>
      </c>
      <c r="L75" s="877">
        <f t="shared" si="9"/>
        <v>0</v>
      </c>
      <c r="M75" s="877"/>
      <c r="N75" s="877">
        <f t="shared" si="9"/>
        <v>3.8795399828170101E-6</v>
      </c>
      <c r="O75" s="877">
        <f t="shared" si="9"/>
        <v>0</v>
      </c>
      <c r="P75" s="877">
        <f t="shared" si="9"/>
        <v>0</v>
      </c>
      <c r="Q75" s="877">
        <f t="shared" si="9"/>
        <v>0</v>
      </c>
      <c r="R75" s="877">
        <f t="shared" si="9"/>
        <v>0</v>
      </c>
      <c r="S75" s="877">
        <f t="shared" si="9"/>
        <v>0</v>
      </c>
      <c r="T75" s="877">
        <f t="shared" si="9"/>
        <v>0</v>
      </c>
      <c r="U75" s="877">
        <f t="shared" si="9"/>
        <v>4.5730389044350064E-5</v>
      </c>
      <c r="V75" s="877">
        <f t="shared" si="9"/>
        <v>0</v>
      </c>
      <c r="W75" s="877">
        <f t="shared" si="9"/>
        <v>0</v>
      </c>
      <c r="X75" s="879"/>
      <c r="Y75" s="879"/>
      <c r="Z75" s="877"/>
      <c r="AA75" s="877"/>
      <c r="AB75" s="877"/>
      <c r="AC75" s="877"/>
      <c r="AD75" s="886"/>
      <c r="AE75" s="877"/>
      <c r="AF75" s="879"/>
      <c r="AG75" s="877"/>
      <c r="AH75" s="877"/>
      <c r="AI75" s="877"/>
      <c r="AJ75" s="877"/>
      <c r="AK75" s="886"/>
      <c r="AL75" s="877"/>
      <c r="AM75" s="879"/>
      <c r="AN75" s="877"/>
      <c r="AO75" s="877"/>
      <c r="AP75" s="877"/>
      <c r="AQ75" s="877"/>
      <c r="AR75" s="886"/>
      <c r="AS75" s="877"/>
      <c r="AT75" s="879"/>
      <c r="AU75" s="877"/>
      <c r="AV75" s="877"/>
      <c r="AW75" s="877"/>
      <c r="AX75" s="877"/>
      <c r="AY75" s="886"/>
      <c r="AZ75" s="877"/>
      <c r="BA75" s="879"/>
      <c r="BB75" s="877"/>
      <c r="BC75" s="877"/>
      <c r="BD75" s="877"/>
      <c r="BE75" s="877"/>
      <c r="BF75" s="886"/>
      <c r="BG75" s="877"/>
      <c r="BH75" s="879"/>
      <c r="BI75" s="877"/>
      <c r="BJ75" s="877"/>
      <c r="BK75" s="877"/>
      <c r="BL75" s="877"/>
      <c r="BM75" s="886"/>
      <c r="BN75" s="877"/>
      <c r="BO75" s="879"/>
      <c r="BP75" s="877"/>
      <c r="BQ75" s="877"/>
      <c r="BR75" s="877"/>
      <c r="BS75" s="877"/>
      <c r="BT75" s="886"/>
      <c r="BU75" s="877"/>
      <c r="BV75" s="879"/>
      <c r="BW75" s="886"/>
    </row>
    <row r="76" spans="1:253" s="406" customFormat="1" ht="17.25">
      <c r="A76" s="18"/>
      <c r="B76" s="360"/>
      <c r="C76" s="83"/>
      <c r="D76" s="54"/>
      <c r="E76" s="1295" t="s">
        <v>320</v>
      </c>
      <c r="F76" s="928">
        <f t="shared" si="10"/>
        <v>1.2708800668861396E-4</v>
      </c>
      <c r="G76" s="877">
        <f t="shared" si="10"/>
        <v>1.7157533255935401E-4</v>
      </c>
      <c r="H76" s="878">
        <f t="shared" si="10"/>
        <v>2.6143197435117674E-4</v>
      </c>
      <c r="I76" s="877">
        <f t="shared" si="9"/>
        <v>4.4251992490872466E-5</v>
      </c>
      <c r="J76" s="877">
        <f t="shared" si="9"/>
        <v>0</v>
      </c>
      <c r="K76" s="877">
        <f t="shared" si="9"/>
        <v>1.1553455153510362E-4</v>
      </c>
      <c r="L76" s="877">
        <f t="shared" si="9"/>
        <v>1.1553455153510363E-5</v>
      </c>
      <c r="M76" s="877"/>
      <c r="N76" s="877">
        <f t="shared" si="9"/>
        <v>2.3533337986757954E-7</v>
      </c>
      <c r="O76" s="877">
        <f t="shared" si="9"/>
        <v>0</v>
      </c>
      <c r="P76" s="877">
        <f t="shared" si="9"/>
        <v>0</v>
      </c>
      <c r="Q76" s="877">
        <f t="shared" si="9"/>
        <v>0</v>
      </c>
      <c r="R76" s="877">
        <f t="shared" si="9"/>
        <v>0</v>
      </c>
      <c r="S76" s="877">
        <f t="shared" si="9"/>
        <v>0</v>
      </c>
      <c r="T76" s="877">
        <f t="shared" si="9"/>
        <v>0</v>
      </c>
      <c r="U76" s="877">
        <f t="shared" si="9"/>
        <v>1.7157533255935401E-4</v>
      </c>
      <c r="V76" s="877">
        <f t="shared" si="9"/>
        <v>0</v>
      </c>
      <c r="W76" s="877">
        <f t="shared" si="9"/>
        <v>0</v>
      </c>
      <c r="X76" s="879"/>
      <c r="Y76" s="879"/>
      <c r="Z76" s="877"/>
      <c r="AA76" s="877"/>
      <c r="AB76" s="877"/>
      <c r="AC76" s="877"/>
      <c r="AD76" s="886"/>
      <c r="AE76" s="877"/>
      <c r="AF76" s="879"/>
      <c r="AG76" s="877"/>
      <c r="AH76" s="877"/>
      <c r="AI76" s="877"/>
      <c r="AJ76" s="877"/>
      <c r="AK76" s="886"/>
      <c r="AL76" s="877"/>
      <c r="AM76" s="879"/>
      <c r="AN76" s="877"/>
      <c r="AO76" s="877"/>
      <c r="AP76" s="877"/>
      <c r="AQ76" s="877"/>
      <c r="AR76" s="886"/>
      <c r="AS76" s="877"/>
      <c r="AT76" s="879"/>
      <c r="AU76" s="877"/>
      <c r="AV76" s="877"/>
      <c r="AW76" s="877"/>
      <c r="AX76" s="877"/>
      <c r="AY76" s="886"/>
      <c r="AZ76" s="877"/>
      <c r="BA76" s="879"/>
      <c r="BB76" s="877"/>
      <c r="BC76" s="877"/>
      <c r="BD76" s="877"/>
      <c r="BE76" s="877"/>
      <c r="BF76" s="886"/>
      <c r="BG76" s="877"/>
      <c r="BH76" s="879"/>
      <c r="BI76" s="877"/>
      <c r="BJ76" s="877"/>
      <c r="BK76" s="877"/>
      <c r="BL76" s="877"/>
      <c r="BM76" s="886"/>
      <c r="BN76" s="877"/>
      <c r="BO76" s="879"/>
      <c r="BP76" s="877"/>
      <c r="BQ76" s="877"/>
      <c r="BR76" s="877"/>
      <c r="BS76" s="877"/>
      <c r="BT76" s="886"/>
      <c r="BU76" s="877"/>
      <c r="BV76" s="879"/>
      <c r="BW76" s="886"/>
    </row>
    <row r="77" spans="1:253" s="502" customFormat="1" ht="17.25">
      <c r="A77" s="108" t="s">
        <v>131</v>
      </c>
      <c r="B77" s="93" t="s">
        <v>121</v>
      </c>
      <c r="C77" s="87">
        <f>'Input data plant-based products'!D90</f>
        <v>0.22683685539112819</v>
      </c>
      <c r="D77" s="54"/>
      <c r="E77" s="1293" t="s">
        <v>316</v>
      </c>
      <c r="F77" s="930">
        <f>SUMPRODUCT($CI$4:$CI$6,F78:F80)</f>
        <v>-2.7567931920070995E-2</v>
      </c>
      <c r="G77" s="872">
        <f>SUMPRODUCT($CI$4:$CI$6,G78:G80)</f>
        <v>0.11635298732329949</v>
      </c>
      <c r="H77" s="873">
        <f>SUMPRODUCT($CI$4:$CI$6,H78:H80)</f>
        <v>0.76597683228904223</v>
      </c>
      <c r="I77" s="884"/>
      <c r="J77" s="884"/>
      <c r="K77" s="884"/>
      <c r="L77" s="884"/>
      <c r="M77" s="884"/>
      <c r="N77" s="884"/>
      <c r="O77" s="884"/>
      <c r="P77" s="884"/>
      <c r="Q77" s="884"/>
      <c r="R77" s="884"/>
      <c r="S77" s="884"/>
      <c r="T77" s="884"/>
      <c r="U77" s="884"/>
      <c r="V77" s="884"/>
      <c r="W77" s="884"/>
      <c r="X77" s="879"/>
      <c r="Y77" s="879">
        <f>1/'Input data plant-based products'!E90*10^4</f>
        <v>0.18710154052562422</v>
      </c>
      <c r="Z77" s="877">
        <f>$Y77*'Input data plant-based products'!Z90</f>
        <v>0.18710154052562422</v>
      </c>
      <c r="AA77" s="877">
        <f>$Y77*'Input data plant-based products'!AA90</f>
        <v>0.18710154052562422</v>
      </c>
      <c r="AB77" s="877">
        <f>$Y77*'Input data plant-based products'!AB90</f>
        <v>0.18710154052562422</v>
      </c>
      <c r="AC77" s="877">
        <f>$Y77*'Input data plant-based products'!AC90</f>
        <v>0.2887369452555929</v>
      </c>
      <c r="AD77" s="886">
        <f>$Y77*'Input data plant-based products'!AD90</f>
        <v>0.35646536451307764</v>
      </c>
      <c r="AE77" s="877"/>
      <c r="AF77" s="879">
        <f>SUM('Input data plant-based products'!F90,'Input data plant-based products'!Q90)/'Input data plant-based products'!E90</f>
        <v>8.4195693236530905E-3</v>
      </c>
      <c r="AG77" s="877">
        <f>$AF77*'Input data plant-based products'!Z90</f>
        <v>8.4195693236530905E-3</v>
      </c>
      <c r="AH77" s="877">
        <f>$AF77*'Input data plant-based products'!AA90</f>
        <v>8.4195693236530905E-3</v>
      </c>
      <c r="AI77" s="877">
        <f>$AF77*'Input data plant-based products'!AB90</f>
        <v>8.4195693236530905E-3</v>
      </c>
      <c r="AJ77" s="877">
        <f>$AF77*'Input data plant-based products'!AC90</f>
        <v>1.2993162536501681E-2</v>
      </c>
      <c r="AK77" s="886">
        <f>$AF77*'Input data plant-based products'!AD90</f>
        <v>1.6040941403088493E-2</v>
      </c>
      <c r="AL77" s="877"/>
      <c r="AM77" s="879">
        <f>'Input data plant-based products'!R90/'Input data plant-based products'!E90</f>
        <v>1.8710154052562424E-3</v>
      </c>
      <c r="AN77" s="877">
        <f>$AM77*'Input data plant-based products'!Z90</f>
        <v>1.8710154052562424E-3</v>
      </c>
      <c r="AO77" s="877">
        <f>$AM77*'Input data plant-based products'!AA90</f>
        <v>1.8710154052562424E-3</v>
      </c>
      <c r="AP77" s="877">
        <f>$AM77*'Input data plant-based products'!AB90</f>
        <v>1.8710154052562424E-3</v>
      </c>
      <c r="AQ77" s="877">
        <f>$AM77*'Input data plant-based products'!AC90</f>
        <v>2.8873694525559292E-3</v>
      </c>
      <c r="AR77" s="886">
        <f>$AM77*'Input data plant-based products'!AD90</f>
        <v>3.5646536451307766E-3</v>
      </c>
      <c r="AS77" s="877"/>
      <c r="AT77" s="879">
        <f>'Input data plant-based products'!S90</f>
        <v>6.3E-2</v>
      </c>
      <c r="AU77" s="877">
        <f>$AT77*'Input data plant-based products'!Z90</f>
        <v>6.3E-2</v>
      </c>
      <c r="AV77" s="877">
        <f>$AT77*'Input data plant-based products'!AA90</f>
        <v>6.3E-2</v>
      </c>
      <c r="AW77" s="877">
        <f>$AT77*'Input data plant-based products'!AB90</f>
        <v>6.3E-2</v>
      </c>
      <c r="AX77" s="877">
        <f>$AT77*'Input data plant-based products'!AC90</f>
        <v>9.722222222222221E-2</v>
      </c>
      <c r="AY77" s="886">
        <f>$AT77*'Input data plant-based products'!AD90</f>
        <v>0.12002743484224963</v>
      </c>
      <c r="AZ77" s="877"/>
      <c r="BA77" s="879">
        <f>((SUM('Input data plant-based products'!U90:Y90)*Y77)/('Common input data'!$B$192/10^6))/$BB$3</f>
        <v>1.2008112668902687E-9</v>
      </c>
      <c r="BB77" s="877">
        <f>$BA77*'Input data plant-based products'!Z90</f>
        <v>1.2008112668902687E-9</v>
      </c>
      <c r="BC77" s="877">
        <f>$BA77*'Input data plant-based products'!AA90</f>
        <v>1.2008112668902687E-9</v>
      </c>
      <c r="BD77" s="877">
        <f>$BA77*'Input data plant-based products'!AB90</f>
        <v>1.2008112668902687E-9</v>
      </c>
      <c r="BE77" s="877">
        <f>$BA77*'Input data plant-based products'!AC90</f>
        <v>1.8531038069294265E-9</v>
      </c>
      <c r="BF77" s="886">
        <f>$BA77*'Input data plant-based products'!AD90</f>
        <v>2.2877824776906499E-9</v>
      </c>
      <c r="BG77" s="877"/>
      <c r="BH77" s="879">
        <f>'Input data plant-based products'!T90/'Input data plant-based products'!E90</f>
        <v>1.1900115656582678E-3</v>
      </c>
      <c r="BI77" s="877">
        <f>$BH77*'Input data plant-based products'!Z90</f>
        <v>1.1900115656582678E-3</v>
      </c>
      <c r="BJ77" s="877">
        <f>$BH77*'Input data plant-based products'!AA90</f>
        <v>1.1900115656582678E-3</v>
      </c>
      <c r="BK77" s="877">
        <f>$BH77*'Input data plant-based products'!AB90</f>
        <v>1.1900115656582678E-3</v>
      </c>
      <c r="BL77" s="877">
        <f>$BH77*'Input data plant-based products'!AC90</f>
        <v>1.836437601324487E-3</v>
      </c>
      <c r="BM77" s="886">
        <f>$BH77*'Input data plant-based products'!AD90</f>
        <v>2.2672069152154159E-3</v>
      </c>
      <c r="BN77" s="877"/>
      <c r="BO77" s="879">
        <f>('Input data plant-based products'!F90/'Input data plant-based products'!E90*'Common input data'!$B$195+'Input data plant-based products'!G90/'Input data plant-based products'!E90*'Common input data'!$B$196)/'Common input data'!$B$198</f>
        <v>2.1498303620859938E-4</v>
      </c>
      <c r="BP77" s="877">
        <f>$BO77*'Input data plant-based products'!Z90</f>
        <v>2.1498303620859938E-4</v>
      </c>
      <c r="BQ77" s="877">
        <f>$BO77*'Input data plant-based products'!AA90</f>
        <v>2.1498303620859938E-4</v>
      </c>
      <c r="BR77" s="877">
        <f>$BO77*'Input data plant-based products'!AB90</f>
        <v>2.1498303620859938E-4</v>
      </c>
      <c r="BS77" s="877">
        <f>$BO77*'Input data plant-based products'!AC90</f>
        <v>3.31763944766357E-4</v>
      </c>
      <c r="BT77" s="886">
        <f>$BO77*'Input data plant-based products'!AD90</f>
        <v>4.0958511699550244E-4</v>
      </c>
      <c r="BU77" s="877"/>
      <c r="BV77" s="879">
        <f>('Common input data'!$C$202+'Common input data'!$B$216)*'Input data plant-based products'!AC90</f>
        <v>6.6116358024691353</v>
      </c>
      <c r="BW77" s="886">
        <f>('Common input data'!$C$202+'Common input data'!$B$216)*'Input data plant-based products'!AD90</f>
        <v>8.1625133363816484</v>
      </c>
      <c r="BX77" s="406"/>
      <c r="BY77" s="406"/>
      <c r="BZ77" s="406"/>
      <c r="CA77" s="406"/>
      <c r="CB77" s="406"/>
      <c r="CC77" s="406"/>
      <c r="CD77" s="406"/>
      <c r="CE77" s="406"/>
      <c r="CF77" s="406"/>
      <c r="CG77" s="406"/>
      <c r="CH77" s="406"/>
      <c r="CI77" s="406"/>
      <c r="CJ77" s="406"/>
      <c r="CK77" s="406"/>
      <c r="CL77" s="406"/>
      <c r="CM77" s="406"/>
      <c r="CN77" s="406"/>
      <c r="CO77" s="406"/>
      <c r="CP77" s="406"/>
      <c r="CQ77" s="406"/>
      <c r="CR77" s="406"/>
      <c r="CS77" s="406"/>
      <c r="CT77" s="406"/>
      <c r="CU77" s="406"/>
      <c r="CV77" s="406"/>
      <c r="CW77" s="406"/>
      <c r="CX77" s="406"/>
      <c r="CY77" s="406"/>
      <c r="CZ77" s="406"/>
      <c r="DA77" s="406"/>
      <c r="DB77" s="406"/>
      <c r="DC77" s="406"/>
      <c r="DD77" s="406"/>
      <c r="DE77" s="406"/>
      <c r="DF77" s="406"/>
      <c r="DG77" s="406"/>
      <c r="DH77" s="406"/>
      <c r="DI77" s="406"/>
      <c r="DJ77" s="406"/>
      <c r="DK77" s="406"/>
      <c r="DL77" s="406"/>
      <c r="DM77" s="406"/>
      <c r="DN77" s="406"/>
      <c r="DO77" s="406"/>
      <c r="DP77" s="406"/>
      <c r="DQ77" s="406"/>
      <c r="DR77" s="406"/>
      <c r="DS77" s="406"/>
      <c r="DT77" s="406"/>
      <c r="DU77" s="406"/>
      <c r="DV77" s="406"/>
      <c r="DW77" s="406"/>
      <c r="DX77" s="406"/>
      <c r="DY77" s="406"/>
      <c r="DZ77" s="406"/>
      <c r="EA77" s="406"/>
      <c r="EB77" s="406"/>
      <c r="EC77" s="406"/>
      <c r="ED77" s="406"/>
      <c r="EE77" s="406"/>
      <c r="EF77" s="406"/>
      <c r="EG77" s="406"/>
      <c r="EH77" s="406"/>
      <c r="EI77" s="406"/>
      <c r="EJ77" s="406"/>
      <c r="EK77" s="406"/>
      <c r="EL77" s="406"/>
      <c r="EM77" s="406"/>
      <c r="EN77" s="406"/>
      <c r="EO77" s="406"/>
      <c r="EP77" s="406"/>
      <c r="EQ77" s="406"/>
      <c r="ER77" s="406"/>
      <c r="ES77" s="406"/>
      <c r="ET77" s="406"/>
      <c r="EU77" s="406"/>
      <c r="EV77" s="406"/>
      <c r="EW77" s="406"/>
      <c r="EX77" s="406"/>
      <c r="EY77" s="406"/>
      <c r="EZ77" s="406"/>
      <c r="FA77" s="406"/>
      <c r="FB77" s="406"/>
      <c r="FC77" s="406"/>
      <c r="FD77" s="406"/>
      <c r="FE77" s="406"/>
      <c r="FF77" s="406"/>
      <c r="FG77" s="406"/>
      <c r="FH77" s="406"/>
      <c r="FI77" s="406"/>
      <c r="FJ77" s="406"/>
      <c r="FK77" s="406"/>
      <c r="FL77" s="406"/>
      <c r="FM77" s="406"/>
      <c r="FN77" s="406"/>
      <c r="FO77" s="406"/>
      <c r="FP77" s="406"/>
      <c r="FQ77" s="406"/>
      <c r="FR77" s="406"/>
      <c r="FS77" s="406"/>
      <c r="FT77" s="406"/>
      <c r="FU77" s="406"/>
      <c r="FV77" s="406"/>
      <c r="FW77" s="406"/>
      <c r="FX77" s="406"/>
      <c r="FY77" s="406"/>
      <c r="FZ77" s="406"/>
      <c r="GA77" s="406"/>
      <c r="GB77" s="406"/>
      <c r="GC77" s="406"/>
      <c r="GD77" s="406"/>
      <c r="GE77" s="406"/>
      <c r="GF77" s="406"/>
      <c r="GG77" s="406"/>
      <c r="GH77" s="406"/>
      <c r="GI77" s="406"/>
      <c r="GJ77" s="406"/>
      <c r="GK77" s="406"/>
      <c r="GL77" s="406"/>
      <c r="GM77" s="406"/>
      <c r="GN77" s="406"/>
      <c r="GO77" s="406"/>
      <c r="GP77" s="406"/>
      <c r="GQ77" s="406"/>
      <c r="GR77" s="406"/>
      <c r="GS77" s="406"/>
      <c r="GT77" s="406"/>
      <c r="GU77" s="406"/>
      <c r="GV77" s="406"/>
      <c r="GW77" s="406"/>
      <c r="GX77" s="406"/>
      <c r="GY77" s="406"/>
      <c r="GZ77" s="406"/>
      <c r="HA77" s="406"/>
      <c r="HB77" s="406"/>
      <c r="HC77" s="406"/>
      <c r="HD77" s="406"/>
      <c r="HE77" s="406"/>
      <c r="HF77" s="406"/>
      <c r="HG77" s="406"/>
      <c r="HH77" s="406"/>
      <c r="HI77" s="406"/>
      <c r="HJ77" s="406"/>
      <c r="HK77" s="406"/>
      <c r="HL77" s="406"/>
      <c r="HM77" s="406"/>
      <c r="HN77" s="406"/>
      <c r="HO77" s="406"/>
      <c r="HP77" s="406"/>
      <c r="HQ77" s="406"/>
      <c r="HR77" s="406"/>
      <c r="HS77" s="406"/>
      <c r="HT77" s="406"/>
      <c r="HU77" s="406"/>
      <c r="HV77" s="406"/>
      <c r="HW77" s="406"/>
      <c r="HX77" s="406"/>
      <c r="HY77" s="406"/>
      <c r="HZ77" s="406"/>
      <c r="IA77" s="406"/>
      <c r="IB77" s="406"/>
      <c r="IC77" s="406"/>
      <c r="ID77" s="406"/>
      <c r="IE77" s="406"/>
      <c r="IF77" s="406"/>
      <c r="IG77" s="406"/>
      <c r="IH77" s="406"/>
      <c r="II77" s="406"/>
      <c r="IJ77" s="406"/>
      <c r="IK77" s="406"/>
      <c r="IL77" s="406"/>
      <c r="IM77" s="406"/>
      <c r="IN77" s="406"/>
      <c r="IO77" s="406"/>
      <c r="IP77" s="406"/>
      <c r="IQ77" s="406"/>
      <c r="IR77" s="406"/>
      <c r="IS77" s="406"/>
    </row>
    <row r="78" spans="1:253" s="406" customFormat="1" ht="17.25">
      <c r="A78" s="499"/>
      <c r="B78" s="55"/>
      <c r="C78" s="917"/>
      <c r="D78" s="5"/>
      <c r="E78" s="1294" t="s">
        <v>317</v>
      </c>
      <c r="F78" s="928">
        <f>IF(AND($G$2="No",$G$3="No"),SUM(K78:L78),IF(AND($G$2="Yes", $G$3="No"), SUM(K78:L78)+S78, IF(AND($G$2="No", $G$3="Yes"),SUM(K78:L78)+R78, SUM(K78:L78)+S78+R78)))</f>
        <v>-9.1139048141381296E-2</v>
      </c>
      <c r="G78" s="877">
        <f>IF(AND($G$2="No",$G$3="No"),SUM(I78:Q78),IF(AND($G$2="Yes", $G$3="No"), SUM(I78:Q78)+S78, IF(AND($G$2="No", $G$3="Yes"),SUM(I78:Q78)+R78, SUM(I78:Q78)+S78+R78)))</f>
        <v>2.9084621997020971E-2</v>
      </c>
      <c r="H78" s="878">
        <f>SUM(U78:W78)/(1-'Common input data'!$F$140)</f>
        <v>0.63130342900774827</v>
      </c>
      <c r="I78" s="877">
        <f>('Input data plant-based products'!$F$90*('Common input data'!$D$93*'Common input data'!B86+'Common input data'!$D$94*'Common input data'!C86))/'Input data plant-based products'!$E$90</f>
        <v>3.5223598505641968E-2</v>
      </c>
      <c r="J78" s="877">
        <f>'Common input data'!$B$98</f>
        <v>0.03</v>
      </c>
      <c r="K78" s="877">
        <v>0</v>
      </c>
      <c r="L78" s="877">
        <v>0</v>
      </c>
      <c r="M78" s="877"/>
      <c r="N78" s="877">
        <f>('Input data plant-based products'!$P$90*'Common input data'!$C$76*'Common input data'!H66)/'Input data plant-based products'!$E$90</f>
        <v>5.0000716327602982E-3</v>
      </c>
      <c r="O78" s="877">
        <v>0</v>
      </c>
      <c r="P78" s="877">
        <f>'Input data plant-based products'!F$309</f>
        <v>0.05</v>
      </c>
      <c r="Q78" s="877">
        <v>0</v>
      </c>
      <c r="R78" s="877">
        <f>'Common input data'!$F$19</f>
        <v>-9.1139048141381296E-2</v>
      </c>
      <c r="S78" s="877">
        <v>0</v>
      </c>
      <c r="T78" s="877">
        <v>0</v>
      </c>
      <c r="U78" s="877">
        <f>G78+T78</f>
        <v>2.9084621997020971E-2</v>
      </c>
      <c r="V78" s="877">
        <f>'Common input data'!$B$105</f>
        <v>0.05</v>
      </c>
      <c r="W78" s="877">
        <f>'Common input data'!B$123+'Common input data'!C$123</f>
        <v>0.32999999999999996</v>
      </c>
      <c r="X78" s="879"/>
      <c r="Y78" s="879"/>
      <c r="Z78" s="877"/>
      <c r="AA78" s="877"/>
      <c r="AB78" s="877"/>
      <c r="AC78" s="877"/>
      <c r="AD78" s="886"/>
      <c r="AE78" s="877"/>
      <c r="AF78" s="879"/>
      <c r="AG78" s="877"/>
      <c r="AH78" s="877"/>
      <c r="AI78" s="877"/>
      <c r="AJ78" s="877"/>
      <c r="AK78" s="886"/>
      <c r="AL78" s="877"/>
      <c r="AM78" s="879"/>
      <c r="AN78" s="877"/>
      <c r="AO78" s="877"/>
      <c r="AP78" s="877"/>
      <c r="AQ78" s="877"/>
      <c r="AR78" s="886"/>
      <c r="AS78" s="877"/>
      <c r="AT78" s="879"/>
      <c r="AU78" s="877"/>
      <c r="AV78" s="877"/>
      <c r="AW78" s="877"/>
      <c r="AX78" s="877"/>
      <c r="AY78" s="886"/>
      <c r="AZ78" s="877"/>
      <c r="BA78" s="879"/>
      <c r="BB78" s="877"/>
      <c r="BC78" s="877"/>
      <c r="BD78" s="877"/>
      <c r="BE78" s="877"/>
      <c r="BF78" s="886"/>
      <c r="BG78" s="877"/>
      <c r="BH78" s="879"/>
      <c r="BI78" s="877"/>
      <c r="BJ78" s="877"/>
      <c r="BK78" s="877"/>
      <c r="BL78" s="877"/>
      <c r="BM78" s="886"/>
      <c r="BN78" s="877"/>
      <c r="BO78" s="879"/>
      <c r="BP78" s="877"/>
      <c r="BQ78" s="877"/>
      <c r="BR78" s="877"/>
      <c r="BS78" s="877"/>
      <c r="BT78" s="886"/>
      <c r="BU78" s="877"/>
      <c r="BV78" s="879"/>
      <c r="BW78" s="886"/>
    </row>
    <row r="79" spans="1:253" s="406" customFormat="1" ht="17.25">
      <c r="A79" s="18"/>
      <c r="B79" s="55"/>
      <c r="C79" s="595"/>
      <c r="D79" s="50"/>
      <c r="E79" s="1294" t="s">
        <v>367</v>
      </c>
      <c r="F79" s="928">
        <f>SUM(K79:L79)</f>
        <v>0</v>
      </c>
      <c r="G79" s="877">
        <f>SUM(I79:Q79)</f>
        <v>7.6980562852269267E-5</v>
      </c>
      <c r="H79" s="878">
        <f>SUM(U79:W79)/(1-'Common input data'!$F$140)</f>
        <v>1.1879716489547724E-4</v>
      </c>
      <c r="I79" s="877">
        <f>('Input data plant-based products'!$F$90*('Common input data'!$D$93*'Common input data'!B87+'Common input data'!$D$94*'Common input data'!C87))/'Input data plant-based products'!$E$90</f>
        <v>7.4765699719896655E-5</v>
      </c>
      <c r="J79" s="877">
        <v>0</v>
      </c>
      <c r="K79" s="877">
        <v>0</v>
      </c>
      <c r="L79" s="877">
        <v>0</v>
      </c>
      <c r="M79" s="877"/>
      <c r="N79" s="877">
        <f>('Input data plant-based products'!$P$90*'Common input data'!$C$76*'Common input data'!H67)/'Input data plant-based products'!$E$90</f>
        <v>2.2148631323726139E-6</v>
      </c>
      <c r="O79" s="877">
        <v>0</v>
      </c>
      <c r="P79" s="877">
        <v>0</v>
      </c>
      <c r="Q79" s="877">
        <v>0</v>
      </c>
      <c r="R79" s="877">
        <v>0</v>
      </c>
      <c r="S79" s="877">
        <v>0</v>
      </c>
      <c r="T79" s="877">
        <v>0</v>
      </c>
      <c r="U79" s="877">
        <f>G79+T79</f>
        <v>7.6980562852269267E-5</v>
      </c>
      <c r="V79" s="877">
        <v>0</v>
      </c>
      <c r="W79" s="877">
        <v>0</v>
      </c>
      <c r="X79" s="879"/>
      <c r="Y79" s="879"/>
      <c r="Z79" s="877"/>
      <c r="AA79" s="877"/>
      <c r="AB79" s="877"/>
      <c r="AC79" s="877"/>
      <c r="AD79" s="886"/>
      <c r="AE79" s="877"/>
      <c r="AF79" s="879"/>
      <c r="AG79" s="877"/>
      <c r="AH79" s="877"/>
      <c r="AI79" s="877"/>
      <c r="AJ79" s="877"/>
      <c r="AK79" s="886"/>
      <c r="AL79" s="877"/>
      <c r="AM79" s="879"/>
      <c r="AN79" s="877"/>
      <c r="AO79" s="877"/>
      <c r="AP79" s="877"/>
      <c r="AQ79" s="877"/>
      <c r="AR79" s="886"/>
      <c r="AS79" s="877"/>
      <c r="AT79" s="879"/>
      <c r="AU79" s="877"/>
      <c r="AV79" s="877"/>
      <c r="AW79" s="877"/>
      <c r="AX79" s="877"/>
      <c r="AY79" s="886"/>
      <c r="AZ79" s="877"/>
      <c r="BA79" s="879"/>
      <c r="BB79" s="877"/>
      <c r="BC79" s="877"/>
      <c r="BD79" s="877"/>
      <c r="BE79" s="877"/>
      <c r="BF79" s="886"/>
      <c r="BG79" s="877"/>
      <c r="BH79" s="879"/>
      <c r="BI79" s="877"/>
      <c r="BJ79" s="877"/>
      <c r="BK79" s="877"/>
      <c r="BL79" s="877"/>
      <c r="BM79" s="886"/>
      <c r="BN79" s="877"/>
      <c r="BO79" s="879"/>
      <c r="BP79" s="877"/>
      <c r="BQ79" s="877"/>
      <c r="BR79" s="877"/>
      <c r="BS79" s="877"/>
      <c r="BT79" s="886"/>
      <c r="BU79" s="877"/>
      <c r="BV79" s="879"/>
      <c r="BW79" s="886"/>
    </row>
    <row r="80" spans="1:253" s="406" customFormat="1" ht="17.25">
      <c r="A80" s="359"/>
      <c r="B80" s="360"/>
      <c r="C80" s="83"/>
      <c r="D80" s="54"/>
      <c r="E80" s="1295" t="s">
        <v>320</v>
      </c>
      <c r="F80" s="928">
        <f>SUM(K80:L80)</f>
        <v>2.328612315798912E-4</v>
      </c>
      <c r="G80" s="877">
        <f>SUM(I80:Q80)</f>
        <v>3.1205087959438552E-4</v>
      </c>
      <c r="H80" s="878">
        <f>SUM(U80:W80)/(1-'Common input data'!$F$140)</f>
        <v>4.8155999937405161E-4</v>
      </c>
      <c r="I80" s="877">
        <f>('Input data plant-based products'!$F$90*('Common input data'!$D$93*'Common input data'!B88+'Common input data'!$D$94*'Common input data'!C88))/'Input data plant-based products'!$E$90</f>
        <v>7.9055294140273669E-5</v>
      </c>
      <c r="J80" s="877">
        <v>0</v>
      </c>
      <c r="K80" s="877">
        <f>(SUM(('Input data plant-based products'!$F$90*'Input data plant-based products'!$B$258),(('Input data plant-based products'!$G$90+'Input data plant-based products'!$H$90)*'Input data plant-based products'!$B$259))*44/28)/'Input data plant-based products'!$E$90</f>
        <v>2.11692028708992E-4</v>
      </c>
      <c r="L80" s="877">
        <f>K80*'Input data plant-based products'!$B$261</f>
        <v>2.1169202870899201E-5</v>
      </c>
      <c r="M80" s="877"/>
      <c r="N80" s="877">
        <f>('Input data plant-based products'!$P$90*'Common input data'!$C$76*'Common input data'!H68)/'Input data plant-based products'!$E$90</f>
        <v>1.3435387422064026E-7</v>
      </c>
      <c r="O80" s="877">
        <v>0</v>
      </c>
      <c r="P80" s="877">
        <v>0</v>
      </c>
      <c r="Q80" s="877">
        <v>0</v>
      </c>
      <c r="R80" s="877">
        <v>0</v>
      </c>
      <c r="S80" s="877">
        <v>0</v>
      </c>
      <c r="T80" s="877">
        <v>0</v>
      </c>
      <c r="U80" s="877">
        <f>G80+T80</f>
        <v>3.1205087959438552E-4</v>
      </c>
      <c r="V80" s="877">
        <v>0</v>
      </c>
      <c r="W80" s="877">
        <v>0</v>
      </c>
      <c r="X80" s="879"/>
      <c r="Y80" s="879"/>
      <c r="Z80" s="877"/>
      <c r="AA80" s="877"/>
      <c r="AB80" s="877"/>
      <c r="AC80" s="877"/>
      <c r="AD80" s="886"/>
      <c r="AE80" s="877"/>
      <c r="AF80" s="879"/>
      <c r="AG80" s="877"/>
      <c r="AH80" s="877"/>
      <c r="AI80" s="877"/>
      <c r="AJ80" s="877"/>
      <c r="AK80" s="886"/>
      <c r="AL80" s="877"/>
      <c r="AM80" s="879"/>
      <c r="AN80" s="877"/>
      <c r="AO80" s="877"/>
      <c r="AP80" s="877"/>
      <c r="AQ80" s="877"/>
      <c r="AR80" s="886"/>
      <c r="AS80" s="877"/>
      <c r="AT80" s="879"/>
      <c r="AU80" s="877"/>
      <c r="AV80" s="877"/>
      <c r="AW80" s="877"/>
      <c r="AX80" s="877"/>
      <c r="AY80" s="886"/>
      <c r="AZ80" s="877"/>
      <c r="BA80" s="879"/>
      <c r="BB80" s="877"/>
      <c r="BC80" s="877"/>
      <c r="BD80" s="877"/>
      <c r="BE80" s="877"/>
      <c r="BF80" s="886"/>
      <c r="BG80" s="877"/>
      <c r="BH80" s="879"/>
      <c r="BI80" s="877"/>
      <c r="BJ80" s="877"/>
      <c r="BK80" s="877"/>
      <c r="BL80" s="877"/>
      <c r="BM80" s="886"/>
      <c r="BN80" s="877"/>
      <c r="BO80" s="879"/>
      <c r="BP80" s="877"/>
      <c r="BQ80" s="877"/>
      <c r="BR80" s="877"/>
      <c r="BS80" s="877"/>
      <c r="BT80" s="886"/>
      <c r="BU80" s="877"/>
      <c r="BV80" s="879"/>
      <c r="BW80" s="886"/>
    </row>
    <row r="81" spans="1:253" s="502" customFormat="1" ht="17.25">
      <c r="A81" s="108" t="s">
        <v>132</v>
      </c>
      <c r="B81" s="93" t="s">
        <v>121</v>
      </c>
      <c r="C81" s="87">
        <f>'Input data plant-based products'!D91</f>
        <v>0.21006030641199946</v>
      </c>
      <c r="D81" s="54"/>
      <c r="E81" s="1293" t="s">
        <v>316</v>
      </c>
      <c r="F81" s="930">
        <f>SUMPRODUCT($CI$4:$CI$6,F82:F84)</f>
        <v>-2.9093666435250902E-2</v>
      </c>
      <c r="G81" s="872">
        <f>SUMPRODUCT($CI$4:$CI$6,G82:G84)</f>
        <v>0.11578023891040223</v>
      </c>
      <c r="H81" s="873">
        <f>SUMPRODUCT($CI$4:$CI$6,H82:H84)</f>
        <v>0.76509296128148474</v>
      </c>
      <c r="I81" s="884"/>
      <c r="J81" s="884"/>
      <c r="K81" s="884"/>
      <c r="L81" s="884"/>
      <c r="M81" s="884"/>
      <c r="N81" s="884"/>
      <c r="O81" s="884"/>
      <c r="P81" s="884"/>
      <c r="Q81" s="884"/>
      <c r="R81" s="884"/>
      <c r="S81" s="884"/>
      <c r="T81" s="884"/>
      <c r="U81" s="884"/>
      <c r="V81" s="884"/>
      <c r="W81" s="884"/>
      <c r="X81" s="879"/>
      <c r="Y81" s="879">
        <f>1/'Input data plant-based products'!E91*10^4</f>
        <v>0.27391653292598361</v>
      </c>
      <c r="Z81" s="877">
        <f>$Y81*'Input data plant-based products'!Z91</f>
        <v>0.27391653292598361</v>
      </c>
      <c r="AA81" s="877">
        <f>$Y81*'Input data plant-based products'!AA91</f>
        <v>0.27391653292598361</v>
      </c>
      <c r="AB81" s="877">
        <f>$Y81*'Input data plant-based products'!AB91</f>
        <v>0.27391653292598361</v>
      </c>
      <c r="AC81" s="877">
        <f>$Y81*'Input data plant-based products'!AC91</f>
        <v>0.42271069895985119</v>
      </c>
      <c r="AD81" s="886">
        <f>$Y81*'Input data plant-based products'!AD91</f>
        <v>0.52186506044426073</v>
      </c>
      <c r="AE81" s="877"/>
      <c r="AF81" s="879">
        <f>SUM('Input data plant-based products'!F91,'Input data plant-based products'!Q91)/'Input data plant-based products'!E91</f>
        <v>8.2174959877795075E-3</v>
      </c>
      <c r="AG81" s="877">
        <f>$AF81*'Input data plant-based products'!Z91</f>
        <v>8.2174959877795075E-3</v>
      </c>
      <c r="AH81" s="877">
        <f>$AF81*'Input data plant-based products'!AA91</f>
        <v>8.2174959877795075E-3</v>
      </c>
      <c r="AI81" s="877">
        <f>$AF81*'Input data plant-based products'!AB91</f>
        <v>8.2174959877795075E-3</v>
      </c>
      <c r="AJ81" s="877">
        <f>$AF81*'Input data plant-based products'!AC91</f>
        <v>1.2681320968795535E-2</v>
      </c>
      <c r="AK81" s="886">
        <f>$AF81*'Input data plant-based products'!AD91</f>
        <v>1.565595181332782E-2</v>
      </c>
      <c r="AL81" s="877"/>
      <c r="AM81" s="879">
        <f>'Input data plant-based products'!R91/'Input data plant-based products'!E91</f>
        <v>5.4783306585196717E-4</v>
      </c>
      <c r="AN81" s="877">
        <f>$AM81*'Input data plant-based products'!Z91</f>
        <v>5.4783306585196717E-4</v>
      </c>
      <c r="AO81" s="877">
        <f>$AM81*'Input data plant-based products'!AA91</f>
        <v>5.4783306585196717E-4</v>
      </c>
      <c r="AP81" s="877">
        <f>$AM81*'Input data plant-based products'!AB91</f>
        <v>5.4783306585196717E-4</v>
      </c>
      <c r="AQ81" s="877">
        <f>$AM81*'Input data plant-based products'!AC91</f>
        <v>8.4542139791970224E-4</v>
      </c>
      <c r="AR81" s="886">
        <f>$AM81*'Input data plant-based products'!AD91</f>
        <v>1.0437301208885213E-3</v>
      </c>
      <c r="AS81" s="877"/>
      <c r="AT81" s="879">
        <f>'Input data plant-based products'!S91</f>
        <v>0.05</v>
      </c>
      <c r="AU81" s="877">
        <f>$AT81*'Input data plant-based products'!Z91</f>
        <v>0.05</v>
      </c>
      <c r="AV81" s="877">
        <f>$AT81*'Input data plant-based products'!AA91</f>
        <v>0.05</v>
      </c>
      <c r="AW81" s="877">
        <f>$AT81*'Input data plant-based products'!AB91</f>
        <v>0.05</v>
      </c>
      <c r="AX81" s="877">
        <f>$AT81*'Input data plant-based products'!AC91</f>
        <v>7.716049382716049E-2</v>
      </c>
      <c r="AY81" s="886">
        <f>$AT81*'Input data plant-based products'!AD91</f>
        <v>9.5259868922420346E-2</v>
      </c>
      <c r="AZ81" s="877"/>
      <c r="BA81" s="879">
        <f>((SUM('Input data plant-based products'!U91:Y91)*Y81)/('Common input data'!$B$192/10^6))/$BB$3</f>
        <v>1.3520424045365345E-9</v>
      </c>
      <c r="BB81" s="877">
        <f>$BA81*'Input data plant-based products'!Z91</f>
        <v>1.3520424045365345E-9</v>
      </c>
      <c r="BC81" s="877">
        <f>$BA81*'Input data plant-based products'!AA91</f>
        <v>1.3520424045365345E-9</v>
      </c>
      <c r="BD81" s="877">
        <f>$BA81*'Input data plant-based products'!AB91</f>
        <v>1.3520424045365345E-9</v>
      </c>
      <c r="BE81" s="877">
        <f>$BA81*'Input data plant-based products'!AC91</f>
        <v>2.0864851921860098E-9</v>
      </c>
      <c r="BF81" s="886">
        <f>$BA81*'Input data plant-based products'!AD91</f>
        <v>2.5759076446740861E-9</v>
      </c>
      <c r="BG81" s="877"/>
      <c r="BH81" s="879">
        <f>'Input data plant-based products'!T91/'Input data plant-based products'!E91</f>
        <v>4.4999190640102537E-4</v>
      </c>
      <c r="BI81" s="877">
        <f>$BH81*'Input data plant-based products'!Z91</f>
        <v>4.4999190640102537E-4</v>
      </c>
      <c r="BJ81" s="877">
        <f>$BH81*'Input data plant-based products'!AA91</f>
        <v>4.4999190640102537E-4</v>
      </c>
      <c r="BK81" s="877">
        <f>$BH81*'Input data plant-based products'!AB91</f>
        <v>4.4999190640102537E-4</v>
      </c>
      <c r="BL81" s="877">
        <f>$BH81*'Input data plant-based products'!AC91</f>
        <v>6.9443195432256988E-4</v>
      </c>
      <c r="BM81" s="886">
        <f>$BH81*'Input data plant-based products'!AD91</f>
        <v>8.5732340039823443E-4</v>
      </c>
      <c r="BN81" s="877"/>
      <c r="BO81" s="879">
        <f>('Input data plant-based products'!F91/'Input data plant-based products'!E91*'Common input data'!$B$195+'Input data plant-based products'!G91/'Input data plant-based products'!E91*'Common input data'!$B$196)/'Common input data'!$B$198</f>
        <v>2.0982334957702069E-4</v>
      </c>
      <c r="BP81" s="877">
        <f>$BO81*'Input data plant-based products'!Z91</f>
        <v>2.0982334957702069E-4</v>
      </c>
      <c r="BQ81" s="877">
        <f>$BO81*'Input data plant-based products'!AA91</f>
        <v>2.0982334957702069E-4</v>
      </c>
      <c r="BR81" s="877">
        <f>$BO81*'Input data plant-based products'!AB91</f>
        <v>2.0982334957702069E-4</v>
      </c>
      <c r="BS81" s="877">
        <f>$BO81*'Input data plant-based products'!AC91</f>
        <v>3.2380146539663684E-4</v>
      </c>
      <c r="BT81" s="886">
        <f>$BO81*'Input data plant-based products'!AD91</f>
        <v>3.9975489555140348E-4</v>
      </c>
      <c r="BU81" s="877"/>
      <c r="BV81" s="879">
        <f>('Common input data'!$C$202+'Common input data'!$B$217)*'Input data plant-based products'!AC91</f>
        <v>7.6037037037037027</v>
      </c>
      <c r="BW81" s="886">
        <f>('Common input data'!$C$202+'Common input data'!$B$217)*'Input data plant-based products'!AD91</f>
        <v>9.3872885230909908</v>
      </c>
      <c r="BX81" s="406"/>
      <c r="BY81" s="406"/>
      <c r="BZ81" s="406"/>
      <c r="CA81" s="406"/>
      <c r="CB81" s="406"/>
      <c r="CC81" s="406"/>
      <c r="CD81" s="406"/>
      <c r="CE81" s="406"/>
      <c r="CF81" s="406"/>
      <c r="CG81" s="406"/>
      <c r="CH81" s="406"/>
      <c r="CI81" s="406"/>
      <c r="CJ81" s="406"/>
      <c r="CK81" s="406"/>
      <c r="CL81" s="406"/>
      <c r="CM81" s="406"/>
      <c r="CN81" s="406"/>
      <c r="CO81" s="406"/>
      <c r="CP81" s="406"/>
      <c r="CQ81" s="406"/>
      <c r="CR81" s="406"/>
      <c r="CS81" s="406"/>
      <c r="CT81" s="406"/>
      <c r="CU81" s="406"/>
      <c r="CV81" s="406"/>
      <c r="CW81" s="406"/>
      <c r="CX81" s="406"/>
      <c r="CY81" s="406"/>
      <c r="CZ81" s="406"/>
      <c r="DA81" s="406"/>
      <c r="DB81" s="406"/>
      <c r="DC81" s="406"/>
      <c r="DD81" s="406"/>
      <c r="DE81" s="406"/>
      <c r="DF81" s="406"/>
      <c r="DG81" s="406"/>
      <c r="DH81" s="406"/>
      <c r="DI81" s="406"/>
      <c r="DJ81" s="406"/>
      <c r="DK81" s="406"/>
      <c r="DL81" s="406"/>
      <c r="DM81" s="406"/>
      <c r="DN81" s="406"/>
      <c r="DO81" s="406"/>
      <c r="DP81" s="406"/>
      <c r="DQ81" s="406"/>
      <c r="DR81" s="406"/>
      <c r="DS81" s="406"/>
      <c r="DT81" s="406"/>
      <c r="DU81" s="406"/>
      <c r="DV81" s="406"/>
      <c r="DW81" s="406"/>
      <c r="DX81" s="406"/>
      <c r="DY81" s="406"/>
      <c r="DZ81" s="406"/>
      <c r="EA81" s="406"/>
      <c r="EB81" s="406"/>
      <c r="EC81" s="406"/>
      <c r="ED81" s="406"/>
      <c r="EE81" s="406"/>
      <c r="EF81" s="406"/>
      <c r="EG81" s="406"/>
      <c r="EH81" s="406"/>
      <c r="EI81" s="406"/>
      <c r="EJ81" s="406"/>
      <c r="EK81" s="406"/>
      <c r="EL81" s="406"/>
      <c r="EM81" s="406"/>
      <c r="EN81" s="406"/>
      <c r="EO81" s="406"/>
      <c r="EP81" s="406"/>
      <c r="EQ81" s="406"/>
      <c r="ER81" s="406"/>
      <c r="ES81" s="406"/>
      <c r="ET81" s="406"/>
      <c r="EU81" s="406"/>
      <c r="EV81" s="406"/>
      <c r="EW81" s="406"/>
      <c r="EX81" s="406"/>
      <c r="EY81" s="406"/>
      <c r="EZ81" s="406"/>
      <c r="FA81" s="406"/>
      <c r="FB81" s="406"/>
      <c r="FC81" s="406"/>
      <c r="FD81" s="406"/>
      <c r="FE81" s="406"/>
      <c r="FF81" s="406"/>
      <c r="FG81" s="406"/>
      <c r="FH81" s="406"/>
      <c r="FI81" s="406"/>
      <c r="FJ81" s="406"/>
      <c r="FK81" s="406"/>
      <c r="FL81" s="406"/>
      <c r="FM81" s="406"/>
      <c r="FN81" s="406"/>
      <c r="FO81" s="406"/>
      <c r="FP81" s="406"/>
      <c r="FQ81" s="406"/>
      <c r="FR81" s="406"/>
      <c r="FS81" s="406"/>
      <c r="FT81" s="406"/>
      <c r="FU81" s="406"/>
      <c r="FV81" s="406"/>
      <c r="FW81" s="406"/>
      <c r="FX81" s="406"/>
      <c r="FY81" s="406"/>
      <c r="FZ81" s="406"/>
      <c r="GA81" s="406"/>
      <c r="GB81" s="406"/>
      <c r="GC81" s="406"/>
      <c r="GD81" s="406"/>
      <c r="GE81" s="406"/>
      <c r="GF81" s="406"/>
      <c r="GG81" s="406"/>
      <c r="GH81" s="406"/>
      <c r="GI81" s="406"/>
      <c r="GJ81" s="406"/>
      <c r="GK81" s="406"/>
      <c r="GL81" s="406"/>
      <c r="GM81" s="406"/>
      <c r="GN81" s="406"/>
      <c r="GO81" s="406"/>
      <c r="GP81" s="406"/>
      <c r="GQ81" s="406"/>
      <c r="GR81" s="406"/>
      <c r="GS81" s="406"/>
      <c r="GT81" s="406"/>
      <c r="GU81" s="406"/>
      <c r="GV81" s="406"/>
      <c r="GW81" s="406"/>
      <c r="GX81" s="406"/>
      <c r="GY81" s="406"/>
      <c r="GZ81" s="406"/>
      <c r="HA81" s="406"/>
      <c r="HB81" s="406"/>
      <c r="HC81" s="406"/>
      <c r="HD81" s="406"/>
      <c r="HE81" s="406"/>
      <c r="HF81" s="406"/>
      <c r="HG81" s="406"/>
      <c r="HH81" s="406"/>
      <c r="HI81" s="406"/>
      <c r="HJ81" s="406"/>
      <c r="HK81" s="406"/>
      <c r="HL81" s="406"/>
      <c r="HM81" s="406"/>
      <c r="HN81" s="406"/>
      <c r="HO81" s="406"/>
      <c r="HP81" s="406"/>
      <c r="HQ81" s="406"/>
      <c r="HR81" s="406"/>
      <c r="HS81" s="406"/>
      <c r="HT81" s="406"/>
      <c r="HU81" s="406"/>
      <c r="HV81" s="406"/>
      <c r="HW81" s="406"/>
      <c r="HX81" s="406"/>
      <c r="HY81" s="406"/>
      <c r="HZ81" s="406"/>
      <c r="IA81" s="406"/>
      <c r="IB81" s="406"/>
      <c r="IC81" s="406"/>
      <c r="ID81" s="406"/>
      <c r="IE81" s="406"/>
      <c r="IF81" s="406"/>
      <c r="IG81" s="406"/>
      <c r="IH81" s="406"/>
      <c r="II81" s="406"/>
      <c r="IJ81" s="406"/>
      <c r="IK81" s="406"/>
      <c r="IL81" s="406"/>
      <c r="IM81" s="406"/>
      <c r="IN81" s="406"/>
      <c r="IO81" s="406"/>
      <c r="IP81" s="406"/>
      <c r="IQ81" s="406"/>
      <c r="IR81" s="406"/>
      <c r="IS81" s="406"/>
    </row>
    <row r="82" spans="1:253" s="406" customFormat="1" ht="17.25">
      <c r="A82" s="195"/>
      <c r="B82" s="55"/>
      <c r="C82" s="917"/>
      <c r="D82" s="5"/>
      <c r="E82" s="1294" t="s">
        <v>317</v>
      </c>
      <c r="F82" s="928">
        <f>IF(AND($G$2="No",$G$3="No"),SUM(K82:L82),IF(AND($G$2="Yes", $G$3="No"), SUM(K82:L82)+S82, IF(AND($G$2="No", $G$3="Yes"),SUM(K82:L82)+R82, SUM(K82:L82)+S82+R82)))</f>
        <v>-9.1139048141381296E-2</v>
      </c>
      <c r="G82" s="877">
        <f>IF(AND($G$2="No",$G$3="No"),SUM(I82:Q82),IF(AND($G$2="Yes", $G$3="No"), SUM(I82:Q82)+S82, IF(AND($G$2="No", $G$3="Yes"),SUM(I82:Q82)+R82, SUM(I82:Q82)+S82+R82)))</f>
        <v>3.0559270236994882E-2</v>
      </c>
      <c r="H82" s="878">
        <f>SUM(U82:W82)/(1-'Common input data'!$F$140)</f>
        <v>0.63357912073610301</v>
      </c>
      <c r="I82" s="877">
        <f>('Input data plant-based products'!$F$91*('Common input data'!$D$93*'Common input data'!B86+'Common input data'!$D$94*'Common input data'!C86))/'Input data plant-based products'!$E$91</f>
        <v>3.4378216779107462E-2</v>
      </c>
      <c r="J82" s="877">
        <f>'Common input data'!$B$98</f>
        <v>0.03</v>
      </c>
      <c r="K82" s="877">
        <v>0</v>
      </c>
      <c r="L82" s="877">
        <v>0</v>
      </c>
      <c r="M82" s="877"/>
      <c r="N82" s="877">
        <f>('Input data plant-based products'!$P$91*'Common input data'!$C$76*'Common input data'!H66)/'Input data plant-based products'!$E$91</f>
        <v>7.3201015992687178E-3</v>
      </c>
      <c r="O82" s="877">
        <v>0</v>
      </c>
      <c r="P82" s="877">
        <f>'Input data plant-based products'!F$309</f>
        <v>0.05</v>
      </c>
      <c r="Q82" s="877">
        <v>0</v>
      </c>
      <c r="R82" s="877">
        <f>'Common input data'!$F$19</f>
        <v>-9.1139048141381296E-2</v>
      </c>
      <c r="S82" s="877">
        <v>0</v>
      </c>
      <c r="T82" s="877">
        <v>0</v>
      </c>
      <c r="U82" s="877">
        <f>G82+T82</f>
        <v>3.0559270236994882E-2</v>
      </c>
      <c r="V82" s="877">
        <f>'Common input data'!$B$105</f>
        <v>0.05</v>
      </c>
      <c r="W82" s="877">
        <f>'Common input data'!B$123+'Common input data'!C$123</f>
        <v>0.32999999999999996</v>
      </c>
      <c r="X82" s="879"/>
      <c r="Y82" s="879"/>
      <c r="Z82" s="877"/>
      <c r="AA82" s="877"/>
      <c r="AB82" s="877"/>
      <c r="AC82" s="877"/>
      <c r="AD82" s="886"/>
      <c r="AE82" s="877"/>
      <c r="AF82" s="879"/>
      <c r="AG82" s="877"/>
      <c r="AH82" s="877"/>
      <c r="AI82" s="877"/>
      <c r="AJ82" s="877"/>
      <c r="AK82" s="886"/>
      <c r="AL82" s="877"/>
      <c r="AM82" s="879"/>
      <c r="AN82" s="877"/>
      <c r="AO82" s="877"/>
      <c r="AP82" s="877"/>
      <c r="AQ82" s="877"/>
      <c r="AR82" s="886"/>
      <c r="AS82" s="877"/>
      <c r="AT82" s="879"/>
      <c r="AU82" s="877"/>
      <c r="AV82" s="877"/>
      <c r="AW82" s="877"/>
      <c r="AX82" s="877"/>
      <c r="AY82" s="886"/>
      <c r="AZ82" s="877"/>
      <c r="BA82" s="879"/>
      <c r="BB82" s="877"/>
      <c r="BC82" s="877"/>
      <c r="BD82" s="877"/>
      <c r="BE82" s="877"/>
      <c r="BF82" s="886"/>
      <c r="BG82" s="877"/>
      <c r="BH82" s="879"/>
      <c r="BI82" s="877"/>
      <c r="BJ82" s="877"/>
      <c r="BK82" s="877"/>
      <c r="BL82" s="877"/>
      <c r="BM82" s="886"/>
      <c r="BN82" s="877"/>
      <c r="BO82" s="879"/>
      <c r="BP82" s="877"/>
      <c r="BQ82" s="877"/>
      <c r="BR82" s="877"/>
      <c r="BS82" s="877"/>
      <c r="BT82" s="886"/>
      <c r="BU82" s="877"/>
      <c r="BV82" s="879"/>
      <c r="BW82" s="886"/>
    </row>
    <row r="83" spans="1:253" s="406" customFormat="1" ht="17.25">
      <c r="A83" s="195"/>
      <c r="B83" s="55"/>
      <c r="C83" s="595"/>
      <c r="D83" s="50"/>
      <c r="E83" s="1294" t="s">
        <v>367</v>
      </c>
      <c r="F83" s="928">
        <f>SUM(K83:L83)</f>
        <v>0</v>
      </c>
      <c r="G83" s="877">
        <f>SUM(I83:Q83)</f>
        <v>7.6213848495161661E-5</v>
      </c>
      <c r="H83" s="878">
        <f>SUM(U83:W83)/(1-'Common input data'!$F$140)</f>
        <v>1.1761396372710131E-4</v>
      </c>
      <c r="I83" s="877">
        <f>('Input data plant-based products'!$F$91*('Common input data'!$D$93*'Common input data'!B87+'Common input data'!$D$94*'Common input data'!C87))/'Input data plant-based products'!$E$91</f>
        <v>7.2971290318351773E-5</v>
      </c>
      <c r="J83" s="877">
        <v>0</v>
      </c>
      <c r="K83" s="877">
        <v>0</v>
      </c>
      <c r="L83" s="877">
        <v>0</v>
      </c>
      <c r="M83" s="877"/>
      <c r="N83" s="877">
        <f>('Input data plant-based products'!$P$91*'Common input data'!$C$76*'Common input data'!H67)/'Input data plant-based products'!$E$91</f>
        <v>3.2425581768098922E-6</v>
      </c>
      <c r="O83" s="877">
        <v>0</v>
      </c>
      <c r="P83" s="877">
        <v>0</v>
      </c>
      <c r="Q83" s="877">
        <v>0</v>
      </c>
      <c r="R83" s="877">
        <v>0</v>
      </c>
      <c r="S83" s="877">
        <v>0</v>
      </c>
      <c r="T83" s="877">
        <v>0</v>
      </c>
      <c r="U83" s="877">
        <f>G83+T83</f>
        <v>7.6213848495161661E-5</v>
      </c>
      <c r="V83" s="877">
        <v>0</v>
      </c>
      <c r="W83" s="877">
        <v>0</v>
      </c>
      <c r="X83" s="879"/>
      <c r="Y83" s="879"/>
      <c r="Z83" s="877"/>
      <c r="AA83" s="877"/>
      <c r="AB83" s="877"/>
      <c r="AC83" s="877"/>
      <c r="AD83" s="886"/>
      <c r="AE83" s="877"/>
      <c r="AF83" s="879"/>
      <c r="AG83" s="877"/>
      <c r="AH83" s="877"/>
      <c r="AI83" s="877"/>
      <c r="AJ83" s="877"/>
      <c r="AK83" s="886"/>
      <c r="AL83" s="877"/>
      <c r="AM83" s="879"/>
      <c r="AN83" s="877"/>
      <c r="AO83" s="877"/>
      <c r="AP83" s="877"/>
      <c r="AQ83" s="877"/>
      <c r="AR83" s="886"/>
      <c r="AS83" s="877"/>
      <c r="AT83" s="879"/>
      <c r="AU83" s="877"/>
      <c r="AV83" s="877"/>
      <c r="AW83" s="877"/>
      <c r="AX83" s="877"/>
      <c r="AY83" s="886"/>
      <c r="AZ83" s="877"/>
      <c r="BA83" s="879"/>
      <c r="BB83" s="877"/>
      <c r="BC83" s="877"/>
      <c r="BD83" s="877"/>
      <c r="BE83" s="877"/>
      <c r="BF83" s="886"/>
      <c r="BG83" s="877"/>
      <c r="BH83" s="879"/>
      <c r="BI83" s="877"/>
      <c r="BJ83" s="877"/>
      <c r="BK83" s="877"/>
      <c r="BL83" s="877"/>
      <c r="BM83" s="886"/>
      <c r="BN83" s="877"/>
      <c r="BO83" s="879"/>
      <c r="BP83" s="877"/>
      <c r="BQ83" s="877"/>
      <c r="BR83" s="877"/>
      <c r="BS83" s="877"/>
      <c r="BT83" s="886"/>
      <c r="BU83" s="877"/>
      <c r="BV83" s="879"/>
      <c r="BW83" s="886"/>
    </row>
    <row r="84" spans="1:253" s="406" customFormat="1" ht="17.25">
      <c r="A84" s="18"/>
      <c r="B84" s="360"/>
      <c r="C84" s="83"/>
      <c r="D84" s="54"/>
      <c r="E84" s="1295" t="s">
        <v>320</v>
      </c>
      <c r="F84" s="928">
        <f>SUM(K84:L84)</f>
        <v>2.2727246046201611E-4</v>
      </c>
      <c r="G84" s="877">
        <f>SUM(I84:Q84)</f>
        <v>3.0462708704775824E-4</v>
      </c>
      <c r="H84" s="878">
        <f>SUM(U84:W84)/(1-'Common input data'!$F$140)</f>
        <v>4.7010352939468855E-4</v>
      </c>
      <c r="I84" s="877">
        <f>('Input data plant-based products'!$F$91*('Common input data'!$D$93*'Common input data'!B88+'Common input data'!$D$94*'Common input data'!C88))/'Input data plant-based products'!$E$91</f>
        <v>7.7157932601778606E-5</v>
      </c>
      <c r="J84" s="877">
        <v>0</v>
      </c>
      <c r="K84" s="877">
        <f>(SUM(('Input data plant-based products'!$F$91*'Input data plant-based products'!$B$258),(('Input data plant-based products'!$G$91+'Input data plant-based products'!$H$91)*'Input data plant-based products'!$B$259))*44/28)/'Input data plant-based products'!$E$91</f>
        <v>2.0661132769274191E-4</v>
      </c>
      <c r="L84" s="877">
        <f>K84*'Input data plant-based products'!$B$261</f>
        <v>2.0661132769274193E-5</v>
      </c>
      <c r="M84" s="877"/>
      <c r="N84" s="877">
        <f>('Input data plant-based products'!$P$91*'Common input data'!$C$76*'Common input data'!H68)/'Input data plant-based products'!$E$91</f>
        <v>1.9669398396349033E-7</v>
      </c>
      <c r="O84" s="877">
        <v>0</v>
      </c>
      <c r="P84" s="877">
        <v>0</v>
      </c>
      <c r="Q84" s="877">
        <v>0</v>
      </c>
      <c r="R84" s="877">
        <v>0</v>
      </c>
      <c r="S84" s="877">
        <v>0</v>
      </c>
      <c r="T84" s="877">
        <v>0</v>
      </c>
      <c r="U84" s="877">
        <f>G84+T84</f>
        <v>3.0462708704775824E-4</v>
      </c>
      <c r="V84" s="877">
        <v>0</v>
      </c>
      <c r="W84" s="877">
        <v>0</v>
      </c>
      <c r="X84" s="879"/>
      <c r="Y84" s="879"/>
      <c r="Z84" s="877"/>
      <c r="AA84" s="877"/>
      <c r="AB84" s="877"/>
      <c r="AC84" s="877"/>
      <c r="AD84" s="886"/>
      <c r="AE84" s="877"/>
      <c r="AF84" s="879"/>
      <c r="AG84" s="877"/>
      <c r="AH84" s="877"/>
      <c r="AI84" s="877"/>
      <c r="AJ84" s="877"/>
      <c r="AK84" s="886"/>
      <c r="AL84" s="877"/>
      <c r="AM84" s="879"/>
      <c r="AN84" s="877"/>
      <c r="AO84" s="877"/>
      <c r="AP84" s="877"/>
      <c r="AQ84" s="877"/>
      <c r="AR84" s="886"/>
      <c r="AS84" s="877"/>
      <c r="AT84" s="879"/>
      <c r="AU84" s="877"/>
      <c r="AV84" s="877"/>
      <c r="AW84" s="877"/>
      <c r="AX84" s="877"/>
      <c r="AY84" s="886"/>
      <c r="AZ84" s="877"/>
      <c r="BA84" s="879"/>
      <c r="BB84" s="877"/>
      <c r="BC84" s="877"/>
      <c r="BD84" s="877"/>
      <c r="BE84" s="877"/>
      <c r="BF84" s="886"/>
      <c r="BG84" s="877"/>
      <c r="BH84" s="879"/>
      <c r="BI84" s="877"/>
      <c r="BJ84" s="877"/>
      <c r="BK84" s="877"/>
      <c r="BL84" s="877"/>
      <c r="BM84" s="886"/>
      <c r="BN84" s="877"/>
      <c r="BO84" s="879"/>
      <c r="BP84" s="877"/>
      <c r="BQ84" s="877"/>
      <c r="BR84" s="877"/>
      <c r="BS84" s="877"/>
      <c r="BT84" s="886"/>
      <c r="BU84" s="877"/>
      <c r="BV84" s="879"/>
      <c r="BW84" s="886"/>
    </row>
    <row r="85" spans="1:253" s="502" customFormat="1" ht="17.25">
      <c r="A85" s="108" t="s">
        <v>133</v>
      </c>
      <c r="B85" s="93" t="s">
        <v>121</v>
      </c>
      <c r="C85" s="87">
        <f>'Input data plant-based products'!D92</f>
        <v>0.18600802880570008</v>
      </c>
      <c r="D85" s="54"/>
      <c r="E85" s="1293" t="s">
        <v>316</v>
      </c>
      <c r="F85" s="930">
        <f>SUMPRODUCT($CI$4:$CI$6,F86:F88)</f>
        <v>-7.2283196966554955E-2</v>
      </c>
      <c r="G85" s="872">
        <f>SUMPRODUCT($CI$4:$CI$6,G86:G88)</f>
        <v>3.1967324227295119E-2</v>
      </c>
      <c r="H85" s="873">
        <f>SUMPRODUCT($CI$4:$CI$6,H86:H88)</f>
        <v>0.63575204356064041</v>
      </c>
      <c r="I85" s="884"/>
      <c r="J85" s="884"/>
      <c r="K85" s="884"/>
      <c r="L85" s="884"/>
      <c r="M85" s="884"/>
      <c r="N85" s="884"/>
      <c r="O85" s="884"/>
      <c r="P85" s="884"/>
      <c r="Q85" s="884"/>
      <c r="R85" s="884"/>
      <c r="S85" s="884"/>
      <c r="T85" s="884"/>
      <c r="U85" s="884"/>
      <c r="V85" s="884"/>
      <c r="W85" s="884"/>
      <c r="X85" s="879"/>
      <c r="Y85" s="879">
        <f>1/'Input data plant-based products'!E92*10^4</f>
        <v>0.24973314228155249</v>
      </c>
      <c r="Z85" s="877">
        <f>$Y85*'Input data plant-based products'!Z92</f>
        <v>0.24973314228155249</v>
      </c>
      <c r="AA85" s="877">
        <f>$Y85*'Input data plant-based products'!AA92</f>
        <v>0.24973314228155249</v>
      </c>
      <c r="AB85" s="877">
        <f>$Y85*'Input data plant-based products'!AB92</f>
        <v>0.24973314228155249</v>
      </c>
      <c r="AC85" s="877">
        <f>$Y85*'Input data plant-based products'!AC92</f>
        <v>0.38539065166906245</v>
      </c>
      <c r="AD85" s="886">
        <f>$Y85*'Input data plant-based products'!AD92</f>
        <v>0.4757909279864968</v>
      </c>
      <c r="AE85" s="877"/>
      <c r="AF85" s="879">
        <f>SUM('Input data plant-based products'!F92,'Input data plant-based products'!Q92)/'Input data plant-based products'!E92</f>
        <v>2.497331422815525E-3</v>
      </c>
      <c r="AG85" s="877">
        <f>$AF85*'Input data plant-based products'!Z92</f>
        <v>2.497331422815525E-3</v>
      </c>
      <c r="AH85" s="877">
        <f>$AF85*'Input data plant-based products'!AA92</f>
        <v>2.497331422815525E-3</v>
      </c>
      <c r="AI85" s="877">
        <f>$AF85*'Input data plant-based products'!AB92</f>
        <v>2.497331422815525E-3</v>
      </c>
      <c r="AJ85" s="877">
        <f>$AF85*'Input data plant-based products'!AC92</f>
        <v>3.8539065166906241E-3</v>
      </c>
      <c r="AK85" s="886">
        <f>$AF85*'Input data plant-based products'!AD92</f>
        <v>4.7579092798649683E-3</v>
      </c>
      <c r="AL85" s="877"/>
      <c r="AM85" s="879">
        <f>'Input data plant-based products'!R92/'Input data plant-based products'!E92</f>
        <v>1.4983988536893149E-3</v>
      </c>
      <c r="AN85" s="877">
        <f>$AM85*'Input data plant-based products'!Z92</f>
        <v>1.4983988536893149E-3</v>
      </c>
      <c r="AO85" s="877">
        <f>$AM85*'Input data plant-based products'!AA92</f>
        <v>1.4983988536893149E-3</v>
      </c>
      <c r="AP85" s="877">
        <f>$AM85*'Input data plant-based products'!AB92</f>
        <v>1.4983988536893149E-3</v>
      </c>
      <c r="AQ85" s="877">
        <f>$AM85*'Input data plant-based products'!AC92</f>
        <v>2.3123439100143747E-3</v>
      </c>
      <c r="AR85" s="886">
        <f>$AM85*'Input data plant-based products'!AD92</f>
        <v>2.8547455679189806E-3</v>
      </c>
      <c r="AS85" s="877"/>
      <c r="AT85" s="879">
        <f>'Input data plant-based products'!S92</f>
        <v>2.4909386453178264E-2</v>
      </c>
      <c r="AU85" s="877">
        <f>$AT85*'Input data plant-based products'!Z92</f>
        <v>2.4909386453178264E-2</v>
      </c>
      <c r="AV85" s="877">
        <f>$AT85*'Input data plant-based products'!AA92</f>
        <v>2.4909386453178264E-2</v>
      </c>
      <c r="AW85" s="877">
        <f>$AT85*'Input data plant-based products'!AB92</f>
        <v>2.4909386453178264E-2</v>
      </c>
      <c r="AX85" s="877">
        <f>$AT85*'Input data plant-based products'!AC92</f>
        <v>3.844041119317633E-2</v>
      </c>
      <c r="AY85" s="886">
        <f>$AT85*'Input data plant-based products'!AD92</f>
        <v>4.7457297769353486E-2</v>
      </c>
      <c r="AZ85" s="877"/>
      <c r="BA85" s="879">
        <f>((SUM('Input data plant-based products'!U92:Y92)*Y85)/('Common input data'!$B$192/10^6))/$BB$3</f>
        <v>3.9304384161163613E-9</v>
      </c>
      <c r="BB85" s="877">
        <f>$BA85*'Input data plant-based products'!Z92</f>
        <v>3.9304384161163613E-9</v>
      </c>
      <c r="BC85" s="877">
        <f>$BA85*'Input data plant-based products'!AA92</f>
        <v>3.9304384161163613E-9</v>
      </c>
      <c r="BD85" s="877">
        <f>$BA85*'Input data plant-based products'!AB92</f>
        <v>3.9304384161163613E-9</v>
      </c>
      <c r="BE85" s="877">
        <f>$BA85*'Input data plant-based products'!AC92</f>
        <v>6.0654913828956184E-9</v>
      </c>
      <c r="BF85" s="886">
        <f>$BA85*'Input data plant-based products'!AD92</f>
        <v>7.4882609665378007E-9</v>
      </c>
      <c r="BG85" s="877"/>
      <c r="BH85" s="879">
        <f>'Input data plant-based products'!T92/'Input data plant-based products'!E92</f>
        <v>1.1965811965811999E-4</v>
      </c>
      <c r="BI85" s="877">
        <f>$BH85*'Input data plant-based products'!Z92</f>
        <v>1.1965811965811999E-4</v>
      </c>
      <c r="BJ85" s="877">
        <f>$BH85*'Input data plant-based products'!AA92</f>
        <v>1.1965811965811999E-4</v>
      </c>
      <c r="BK85" s="877">
        <f>$BH85*'Input data plant-based products'!AB92</f>
        <v>1.1965811965811999E-4</v>
      </c>
      <c r="BL85" s="877">
        <f>$BH85*'Input data plant-based products'!AC92</f>
        <v>1.8465759206499994E-4</v>
      </c>
      <c r="BM85" s="886">
        <f>$BH85*'Input data plant-based products'!AD92</f>
        <v>2.2797233588271599E-4</v>
      </c>
      <c r="BN85" s="877"/>
      <c r="BO85" s="879">
        <f>('Input data plant-based products'!F92/'Input data plant-based products'!E92*'Common input data'!$B$195+'Input data plant-based products'!G92/'Input data plant-based products'!E92*'Common input data'!$B$196)/'Common input data'!$B$198</f>
        <v>6.3766194095908846E-5</v>
      </c>
      <c r="BP85" s="877">
        <f>$BO85*'Input data plant-based products'!Z92</f>
        <v>6.3766194095908846E-5</v>
      </c>
      <c r="BQ85" s="877">
        <f>$BO85*'Input data plant-based products'!AA92</f>
        <v>6.3766194095908846E-5</v>
      </c>
      <c r="BR85" s="877">
        <f>$BO85*'Input data plant-based products'!AB92</f>
        <v>6.3766194095908846E-5</v>
      </c>
      <c r="BS85" s="877">
        <f>$BO85*'Input data plant-based products'!AC92</f>
        <v>9.8404620518377826E-5</v>
      </c>
      <c r="BT85" s="886">
        <f>$BO85*'Input data plant-based products'!AD92</f>
        <v>1.2148718582515782E-4</v>
      </c>
      <c r="BU85" s="877"/>
      <c r="BV85" s="879">
        <f>('Common input data'!$C$202+'Common input data'!$B$216)*'Input data plant-based products'!AC92</f>
        <v>6.6116358024691353</v>
      </c>
      <c r="BW85" s="886">
        <f>('Common input data'!$C$202+'Common input data'!$B$216)*'Input data plant-based products'!AD92</f>
        <v>8.1625133363816484</v>
      </c>
      <c r="BX85" s="406"/>
      <c r="BY85" s="406"/>
      <c r="BZ85" s="406"/>
      <c r="CA85" s="406"/>
      <c r="CB85" s="406"/>
      <c r="CC85" s="406"/>
      <c r="CD85" s="406"/>
      <c r="CE85" s="406"/>
      <c r="CF85" s="406"/>
      <c r="CG85" s="406"/>
      <c r="CH85" s="406"/>
      <c r="CI85" s="406"/>
      <c r="CJ85" s="406"/>
      <c r="CK85" s="406"/>
      <c r="CL85" s="406"/>
      <c r="CM85" s="406"/>
      <c r="CN85" s="406"/>
      <c r="CO85" s="406"/>
      <c r="CP85" s="406"/>
      <c r="CQ85" s="406"/>
      <c r="CR85" s="406"/>
      <c r="CS85" s="406"/>
      <c r="CT85" s="406"/>
      <c r="CU85" s="406"/>
      <c r="CV85" s="406"/>
      <c r="CW85" s="406"/>
      <c r="CX85" s="406"/>
      <c r="CY85" s="406"/>
      <c r="CZ85" s="406"/>
      <c r="DA85" s="406"/>
      <c r="DB85" s="406"/>
      <c r="DC85" s="406"/>
      <c r="DD85" s="406"/>
      <c r="DE85" s="406"/>
      <c r="DF85" s="406"/>
      <c r="DG85" s="406"/>
      <c r="DH85" s="406"/>
      <c r="DI85" s="406"/>
      <c r="DJ85" s="406"/>
      <c r="DK85" s="406"/>
      <c r="DL85" s="406"/>
      <c r="DM85" s="406"/>
      <c r="DN85" s="406"/>
      <c r="DO85" s="406"/>
      <c r="DP85" s="406"/>
      <c r="DQ85" s="406"/>
      <c r="DR85" s="406"/>
      <c r="DS85" s="406"/>
      <c r="DT85" s="406"/>
      <c r="DU85" s="406"/>
      <c r="DV85" s="406"/>
      <c r="DW85" s="406"/>
      <c r="DX85" s="406"/>
      <c r="DY85" s="406"/>
      <c r="DZ85" s="406"/>
      <c r="EA85" s="406"/>
      <c r="EB85" s="406"/>
      <c r="EC85" s="406"/>
      <c r="ED85" s="406"/>
      <c r="EE85" s="406"/>
      <c r="EF85" s="406"/>
      <c r="EG85" s="406"/>
      <c r="EH85" s="406"/>
      <c r="EI85" s="406"/>
      <c r="EJ85" s="406"/>
      <c r="EK85" s="406"/>
      <c r="EL85" s="406"/>
      <c r="EM85" s="406"/>
      <c r="EN85" s="406"/>
      <c r="EO85" s="406"/>
      <c r="EP85" s="406"/>
      <c r="EQ85" s="406"/>
      <c r="ER85" s="406"/>
      <c r="ES85" s="406"/>
      <c r="ET85" s="406"/>
      <c r="EU85" s="406"/>
      <c r="EV85" s="406"/>
      <c r="EW85" s="406"/>
      <c r="EX85" s="406"/>
      <c r="EY85" s="406"/>
      <c r="EZ85" s="406"/>
      <c r="FA85" s="406"/>
      <c r="FB85" s="406"/>
      <c r="FC85" s="406"/>
      <c r="FD85" s="406"/>
      <c r="FE85" s="406"/>
      <c r="FF85" s="406"/>
      <c r="FG85" s="406"/>
      <c r="FH85" s="406"/>
      <c r="FI85" s="406"/>
      <c r="FJ85" s="406"/>
      <c r="FK85" s="406"/>
      <c r="FL85" s="406"/>
      <c r="FM85" s="406"/>
      <c r="FN85" s="406"/>
      <c r="FO85" s="406"/>
      <c r="FP85" s="406"/>
      <c r="FQ85" s="406"/>
      <c r="FR85" s="406"/>
      <c r="FS85" s="406"/>
      <c r="FT85" s="406"/>
      <c r="FU85" s="406"/>
      <c r="FV85" s="406"/>
      <c r="FW85" s="406"/>
      <c r="FX85" s="406"/>
      <c r="FY85" s="406"/>
      <c r="FZ85" s="406"/>
      <c r="GA85" s="406"/>
      <c r="GB85" s="406"/>
      <c r="GC85" s="406"/>
      <c r="GD85" s="406"/>
      <c r="GE85" s="406"/>
      <c r="GF85" s="406"/>
      <c r="GG85" s="406"/>
      <c r="GH85" s="406"/>
      <c r="GI85" s="406"/>
      <c r="GJ85" s="406"/>
      <c r="GK85" s="406"/>
      <c r="GL85" s="406"/>
      <c r="GM85" s="406"/>
      <c r="GN85" s="406"/>
      <c r="GO85" s="406"/>
      <c r="GP85" s="406"/>
      <c r="GQ85" s="406"/>
      <c r="GR85" s="406"/>
      <c r="GS85" s="406"/>
      <c r="GT85" s="406"/>
      <c r="GU85" s="406"/>
      <c r="GV85" s="406"/>
      <c r="GW85" s="406"/>
      <c r="GX85" s="406"/>
      <c r="GY85" s="406"/>
      <c r="GZ85" s="406"/>
      <c r="HA85" s="406"/>
      <c r="HB85" s="406"/>
      <c r="HC85" s="406"/>
      <c r="HD85" s="406"/>
      <c r="HE85" s="406"/>
      <c r="HF85" s="406"/>
      <c r="HG85" s="406"/>
      <c r="HH85" s="406"/>
      <c r="HI85" s="406"/>
      <c r="HJ85" s="406"/>
      <c r="HK85" s="406"/>
      <c r="HL85" s="406"/>
      <c r="HM85" s="406"/>
      <c r="HN85" s="406"/>
      <c r="HO85" s="406"/>
      <c r="HP85" s="406"/>
      <c r="HQ85" s="406"/>
      <c r="HR85" s="406"/>
      <c r="HS85" s="406"/>
      <c r="HT85" s="406"/>
      <c r="HU85" s="406"/>
      <c r="HV85" s="406"/>
      <c r="HW85" s="406"/>
      <c r="HX85" s="406"/>
      <c r="HY85" s="406"/>
      <c r="HZ85" s="406"/>
      <c r="IA85" s="406"/>
      <c r="IB85" s="406"/>
      <c r="IC85" s="406"/>
      <c r="ID85" s="406"/>
      <c r="IE85" s="406"/>
      <c r="IF85" s="406"/>
      <c r="IG85" s="406"/>
      <c r="IH85" s="406"/>
      <c r="II85" s="406"/>
      <c r="IJ85" s="406"/>
      <c r="IK85" s="406"/>
      <c r="IL85" s="406"/>
      <c r="IM85" s="406"/>
      <c r="IN85" s="406"/>
      <c r="IO85" s="406"/>
      <c r="IP85" s="406"/>
      <c r="IQ85" s="406"/>
      <c r="IR85" s="406"/>
      <c r="IS85" s="406"/>
    </row>
    <row r="86" spans="1:253" s="406" customFormat="1" ht="17.25">
      <c r="A86" s="68"/>
      <c r="B86" s="55"/>
      <c r="C86" s="917"/>
      <c r="D86" s="5"/>
      <c r="E86" s="1294" t="s">
        <v>317</v>
      </c>
      <c r="F86" s="928">
        <f>IF(AND($G$2="No",$G$3="No"),SUM(K86:L86),IF(AND($G$2="Yes", $G$3="No"), SUM(K86:L86)+S86, IF(AND($G$2="No", $G$3="Yes"),SUM(K86:L86)+R86, SUM(K86:L86)+S86+R86)))</f>
        <v>-9.1139048141381296E-2</v>
      </c>
      <c r="G86" s="877">
        <f>IF(AND($G$2="No",$G$3="No"),SUM(I86:Q86),IF(AND($G$2="Yes", $G$3="No"), SUM(I86:Q86)+S86, IF(AND($G$2="No", $G$3="Yes"),SUM(I86:Q86)+R86, SUM(I86:Q86)+S86+R86)))</f>
        <v>5.9824643556409263E-3</v>
      </c>
      <c r="H86" s="878">
        <f>SUM(U86:W86)/(1-'Common input data'!$F$140)</f>
        <v>0.59565195116611236</v>
      </c>
      <c r="I86" s="877">
        <f>('Input data plant-based products'!$F$92*('Common input data'!$D$93*'Common input data'!B86+'Common input data'!$D$94*'Common input data'!C86))/'Input data plant-based products'!$E$92</f>
        <v>1.0447683959992779E-2</v>
      </c>
      <c r="J86" s="877">
        <f>'Common input data'!$B$98</f>
        <v>0.03</v>
      </c>
      <c r="K86" s="877">
        <v>0</v>
      </c>
      <c r="L86" s="877">
        <v>0</v>
      </c>
      <c r="M86" s="877"/>
      <c r="N86" s="877">
        <f>('Input data plant-based products'!$P$92*'Common input data'!$C$76*'Common input data'!H66)/'Input data plant-based products'!$E$92</f>
        <v>6.6738285370294441E-3</v>
      </c>
      <c r="O86" s="877">
        <v>0</v>
      </c>
      <c r="P86" s="877">
        <f>'Input data plant-based products'!F$309</f>
        <v>0.05</v>
      </c>
      <c r="Q86" s="877">
        <v>0</v>
      </c>
      <c r="R86" s="877">
        <f>'Common input data'!$F$19</f>
        <v>-9.1139048141381296E-2</v>
      </c>
      <c r="S86" s="877">
        <v>0</v>
      </c>
      <c r="T86" s="877">
        <v>0</v>
      </c>
      <c r="U86" s="877">
        <f>G86+T86</f>
        <v>5.9824643556409263E-3</v>
      </c>
      <c r="V86" s="877">
        <f>'Common input data'!$B$105</f>
        <v>0.05</v>
      </c>
      <c r="W86" s="877">
        <f>'Common input data'!B$123+'Common input data'!C$123</f>
        <v>0.32999999999999996</v>
      </c>
      <c r="X86" s="879"/>
      <c r="Y86" s="879"/>
      <c r="Z86" s="877"/>
      <c r="AA86" s="877"/>
      <c r="AB86" s="877"/>
      <c r="AC86" s="877"/>
      <c r="AD86" s="886"/>
      <c r="AE86" s="877"/>
      <c r="AF86" s="879"/>
      <c r="AG86" s="877"/>
      <c r="AH86" s="877"/>
      <c r="AI86" s="877"/>
      <c r="AJ86" s="877"/>
      <c r="AK86" s="886"/>
      <c r="AL86" s="877"/>
      <c r="AM86" s="879"/>
      <c r="AN86" s="877"/>
      <c r="AO86" s="877"/>
      <c r="AP86" s="877"/>
      <c r="AQ86" s="877"/>
      <c r="AR86" s="886"/>
      <c r="AS86" s="877"/>
      <c r="AT86" s="879"/>
      <c r="AU86" s="877"/>
      <c r="AV86" s="877"/>
      <c r="AW86" s="877"/>
      <c r="AX86" s="877"/>
      <c r="AY86" s="886"/>
      <c r="AZ86" s="877"/>
      <c r="BA86" s="879"/>
      <c r="BB86" s="877"/>
      <c r="BC86" s="877"/>
      <c r="BD86" s="877"/>
      <c r="BE86" s="877"/>
      <c r="BF86" s="886"/>
      <c r="BG86" s="877"/>
      <c r="BH86" s="879"/>
      <c r="BI86" s="877"/>
      <c r="BJ86" s="877"/>
      <c r="BK86" s="877"/>
      <c r="BL86" s="877"/>
      <c r="BM86" s="886"/>
      <c r="BN86" s="877"/>
      <c r="BO86" s="879"/>
      <c r="BP86" s="877"/>
      <c r="BQ86" s="877"/>
      <c r="BR86" s="877"/>
      <c r="BS86" s="877"/>
      <c r="BT86" s="886"/>
      <c r="BU86" s="877"/>
      <c r="BV86" s="879"/>
      <c r="BW86" s="886"/>
    </row>
    <row r="87" spans="1:253" s="406" customFormat="1" ht="17.25">
      <c r="A87" s="68"/>
      <c r="B87" s="55"/>
      <c r="C87" s="595"/>
      <c r="D87" s="50"/>
      <c r="E87" s="1294" t="s">
        <v>367</v>
      </c>
      <c r="F87" s="928">
        <f>SUM(K87:L87)</f>
        <v>0</v>
      </c>
      <c r="G87" s="877">
        <f>SUM(I87:Q87)</f>
        <v>2.5132561531920516E-5</v>
      </c>
      <c r="H87" s="878">
        <f>SUM(U87:W87)/(1-'Common input data'!$F$140)</f>
        <v>3.8784817178889681E-5</v>
      </c>
      <c r="I87" s="877">
        <f>('Input data plant-based products'!$F$92*('Common input data'!$D$93*'Common input data'!B87+'Common input data'!$D$94*'Common input data'!C87))/'Input data plant-based products'!$E$92</f>
        <v>2.2176280529545644E-5</v>
      </c>
      <c r="J87" s="877">
        <v>0</v>
      </c>
      <c r="K87" s="877">
        <v>0</v>
      </c>
      <c r="L87" s="877">
        <v>0</v>
      </c>
      <c r="M87" s="877"/>
      <c r="N87" s="877">
        <f>('Input data plant-based products'!$P$92*'Common input data'!$C$76*'Common input data'!H67)/'Input data plant-based products'!$E$92</f>
        <v>2.9562810023748717E-6</v>
      </c>
      <c r="O87" s="877">
        <v>0</v>
      </c>
      <c r="P87" s="877">
        <v>0</v>
      </c>
      <c r="Q87" s="877">
        <v>0</v>
      </c>
      <c r="R87" s="877">
        <v>0</v>
      </c>
      <c r="S87" s="877">
        <v>0</v>
      </c>
      <c r="T87" s="877">
        <v>0</v>
      </c>
      <c r="U87" s="877">
        <f>G87+T87</f>
        <v>2.5132561531920516E-5</v>
      </c>
      <c r="V87" s="877">
        <v>0</v>
      </c>
      <c r="W87" s="877">
        <v>0</v>
      </c>
      <c r="X87" s="879"/>
      <c r="Y87" s="879"/>
      <c r="Z87" s="877"/>
      <c r="AA87" s="877"/>
      <c r="AB87" s="877"/>
      <c r="AC87" s="877"/>
      <c r="AD87" s="886"/>
      <c r="AE87" s="877"/>
      <c r="AF87" s="879"/>
      <c r="AG87" s="877"/>
      <c r="AH87" s="877"/>
      <c r="AI87" s="877"/>
      <c r="AJ87" s="877"/>
      <c r="AK87" s="886"/>
      <c r="AL87" s="877"/>
      <c r="AM87" s="879"/>
      <c r="AN87" s="877"/>
      <c r="AO87" s="877"/>
      <c r="AP87" s="877"/>
      <c r="AQ87" s="877"/>
      <c r="AR87" s="886"/>
      <c r="AS87" s="877"/>
      <c r="AT87" s="879"/>
      <c r="AU87" s="877"/>
      <c r="AV87" s="877"/>
      <c r="AW87" s="877"/>
      <c r="AX87" s="877"/>
      <c r="AY87" s="886"/>
      <c r="AZ87" s="877"/>
      <c r="BA87" s="879"/>
      <c r="BB87" s="877"/>
      <c r="BC87" s="877"/>
      <c r="BD87" s="877"/>
      <c r="BE87" s="877"/>
      <c r="BF87" s="886"/>
      <c r="BG87" s="877"/>
      <c r="BH87" s="879"/>
      <c r="BI87" s="877"/>
      <c r="BJ87" s="877"/>
      <c r="BK87" s="877"/>
      <c r="BL87" s="877"/>
      <c r="BM87" s="886"/>
      <c r="BN87" s="877"/>
      <c r="BO87" s="879"/>
      <c r="BP87" s="877"/>
      <c r="BQ87" s="877"/>
      <c r="BR87" s="877"/>
      <c r="BS87" s="877"/>
      <c r="BT87" s="886"/>
      <c r="BU87" s="877"/>
      <c r="BV87" s="879"/>
      <c r="BW87" s="886"/>
    </row>
    <row r="88" spans="1:253" s="406" customFormat="1" ht="17.25">
      <c r="A88" s="18"/>
      <c r="B88" s="360"/>
      <c r="C88" s="83"/>
      <c r="D88" s="54"/>
      <c r="E88" s="1295" t="s">
        <v>320</v>
      </c>
      <c r="F88" s="928">
        <f>SUM(K88:L88)</f>
        <v>6.9069051922440819E-5</v>
      </c>
      <c r="G88" s="877">
        <f>SUM(I88:Q88)</f>
        <v>9.269699893879977E-5</v>
      </c>
      <c r="H88" s="878">
        <f>SUM(U88:W88)/(1-'Common input data'!$F$140)</f>
        <v>1.4305092428827123E-4</v>
      </c>
      <c r="I88" s="877">
        <f>('Input data plant-based products'!$F$92*('Common input data'!$D$93*'Common input data'!B88+'Common input data'!$D$94*'Common input data'!C88))/'Input data plant-based products'!$E$92</f>
        <v>2.3448618641549419E-5</v>
      </c>
      <c r="J88" s="877">
        <v>0</v>
      </c>
      <c r="K88" s="877">
        <f>(SUM(('Input data plant-based products'!$F$92*'Input data plant-based products'!$B$258),(('Input data plant-based products'!$G$92+'Input data plant-based products'!$H$92)*'Input data plant-based products'!$B$259))*44/28)/'Input data plant-based products'!$E$92</f>
        <v>6.2790047202218927E-5</v>
      </c>
      <c r="L88" s="877">
        <f>K88*'Input data plant-based products'!$B$261</f>
        <v>6.2790047202218927E-6</v>
      </c>
      <c r="M88" s="877"/>
      <c r="N88" s="877">
        <f>('Input data plant-based products'!$P$92*'Common input data'!$C$76*'Common input data'!H68)/'Input data plant-based products'!$E$92</f>
        <v>1.7932837480953724E-7</v>
      </c>
      <c r="O88" s="877">
        <v>0</v>
      </c>
      <c r="P88" s="877">
        <v>0</v>
      </c>
      <c r="Q88" s="877">
        <v>0</v>
      </c>
      <c r="R88" s="877">
        <v>0</v>
      </c>
      <c r="S88" s="877">
        <v>0</v>
      </c>
      <c r="T88" s="877">
        <v>0</v>
      </c>
      <c r="U88" s="877">
        <f>G88+T88</f>
        <v>9.269699893879977E-5</v>
      </c>
      <c r="V88" s="877">
        <v>0</v>
      </c>
      <c r="W88" s="877">
        <v>0</v>
      </c>
      <c r="X88" s="879"/>
      <c r="Y88" s="879"/>
      <c r="Z88" s="877"/>
      <c r="AA88" s="877"/>
      <c r="AB88" s="877"/>
      <c r="AC88" s="877"/>
      <c r="AD88" s="886"/>
      <c r="AE88" s="877"/>
      <c r="AF88" s="879"/>
      <c r="AG88" s="877"/>
      <c r="AH88" s="877"/>
      <c r="AI88" s="877"/>
      <c r="AJ88" s="877"/>
      <c r="AK88" s="886"/>
      <c r="AL88" s="877"/>
      <c r="AM88" s="879"/>
      <c r="AN88" s="877"/>
      <c r="AO88" s="877"/>
      <c r="AP88" s="877"/>
      <c r="AQ88" s="877"/>
      <c r="AR88" s="886"/>
      <c r="AS88" s="877"/>
      <c r="AT88" s="879"/>
      <c r="AU88" s="877"/>
      <c r="AV88" s="877"/>
      <c r="AW88" s="877"/>
      <c r="AX88" s="877"/>
      <c r="AY88" s="886"/>
      <c r="AZ88" s="877"/>
      <c r="BA88" s="879"/>
      <c r="BB88" s="877"/>
      <c r="BC88" s="877"/>
      <c r="BD88" s="877"/>
      <c r="BE88" s="877"/>
      <c r="BF88" s="886"/>
      <c r="BG88" s="877"/>
      <c r="BH88" s="879"/>
      <c r="BI88" s="877"/>
      <c r="BJ88" s="877"/>
      <c r="BK88" s="877"/>
      <c r="BL88" s="877"/>
      <c r="BM88" s="886"/>
      <c r="BN88" s="877"/>
      <c r="BO88" s="879"/>
      <c r="BP88" s="877"/>
      <c r="BQ88" s="877"/>
      <c r="BR88" s="877"/>
      <c r="BS88" s="877"/>
      <c r="BT88" s="886"/>
      <c r="BU88" s="877"/>
      <c r="BV88" s="879"/>
      <c r="BW88" s="886"/>
    </row>
    <row r="89" spans="1:253" s="502" customFormat="1" ht="17.25">
      <c r="A89" s="108" t="s">
        <v>134</v>
      </c>
      <c r="B89" s="93" t="s">
        <v>121</v>
      </c>
      <c r="C89" s="87">
        <f>'Input data plant-based products'!D93</f>
        <v>0.37709480939117224</v>
      </c>
      <c r="D89" s="54"/>
      <c r="E89" s="1293" t="s">
        <v>316</v>
      </c>
      <c r="F89" s="930">
        <f>SUMPRODUCT($CI$4:$CI$6,F90:F92)</f>
        <v>-8.1236652153613156E-2</v>
      </c>
      <c r="G89" s="872">
        <f>SUMPRODUCT($CI$4:$CI$6,G90:G92)</f>
        <v>2.3204870354613671E-2</v>
      </c>
      <c r="H89" s="873">
        <f>SUMPRODUCT($CI$4:$CI$6,H90:H92)</f>
        <v>0.69049463520859233</v>
      </c>
      <c r="I89" s="884"/>
      <c r="J89" s="884"/>
      <c r="K89" s="884"/>
      <c r="L89" s="884"/>
      <c r="M89" s="884"/>
      <c r="N89" s="884"/>
      <c r="O89" s="884"/>
      <c r="P89" s="884"/>
      <c r="Q89" s="884"/>
      <c r="R89" s="884"/>
      <c r="S89" s="884"/>
      <c r="T89" s="884"/>
      <c r="U89" s="884"/>
      <c r="V89" s="884"/>
      <c r="W89" s="884"/>
      <c r="X89" s="879"/>
      <c r="Y89" s="879">
        <f>1/'Input data plant-based products'!E93*10^4</f>
        <v>0.48076229669764381</v>
      </c>
      <c r="Z89" s="877">
        <f>$Y89*'Input data plant-based products'!Z93</f>
        <v>0.48076229669764381</v>
      </c>
      <c r="AA89" s="877">
        <f>$Y89*'Input data plant-based products'!AA93</f>
        <v>0.48076229669764381</v>
      </c>
      <c r="AB89" s="877">
        <f>$Y89*'Input data plant-based products'!AB93</f>
        <v>0.48076229669764381</v>
      </c>
      <c r="AC89" s="877">
        <f>$Y89*'Input data plant-based products'!AC93</f>
        <v>0.65969907335425071</v>
      </c>
      <c r="AD89" s="886">
        <f>$Y89*'Input data plant-based products'!AD93</f>
        <v>0.81444330043734647</v>
      </c>
      <c r="AE89" s="877"/>
      <c r="AF89" s="879">
        <f>SUM('Input data plant-based products'!F93,'Input data plant-based products'!Q93)/'Input data plant-based products'!E93</f>
        <v>1.62393162393162E-3</v>
      </c>
      <c r="AG89" s="877">
        <f>$AF89*'Input data plant-based products'!Z93</f>
        <v>1.62393162393162E-3</v>
      </c>
      <c r="AH89" s="877">
        <f>$AF89*'Input data plant-based products'!AA93</f>
        <v>1.62393162393162E-3</v>
      </c>
      <c r="AI89" s="877">
        <f>$AF89*'Input data plant-based products'!AB93</f>
        <v>1.62393162393162E-3</v>
      </c>
      <c r="AJ89" s="877">
        <f>$AF89*'Input data plant-based products'!AC93</f>
        <v>2.2283490091821998E-3</v>
      </c>
      <c r="AK89" s="886">
        <f>$AF89*'Input data plant-based products'!AD93</f>
        <v>2.751048159484197E-3</v>
      </c>
      <c r="AL89" s="877"/>
      <c r="AM89" s="879">
        <f>'Input data plant-based products'!R93/'Input data plant-based products'!E93</f>
        <v>0</v>
      </c>
      <c r="AN89" s="877">
        <f>$AM89*'Input data plant-based products'!Z93</f>
        <v>0</v>
      </c>
      <c r="AO89" s="877">
        <f>$AM89*'Input data plant-based products'!AA93</f>
        <v>0</v>
      </c>
      <c r="AP89" s="877">
        <f>$AM89*'Input data plant-based products'!AB93</f>
        <v>0</v>
      </c>
      <c r="AQ89" s="877">
        <f>$AM89*'Input data plant-based products'!AC93</f>
        <v>0</v>
      </c>
      <c r="AR89" s="886">
        <f>$AM89*'Input data plant-based products'!AD93</f>
        <v>0</v>
      </c>
      <c r="AS89" s="877"/>
      <c r="AT89" s="879">
        <f>'Input data plant-based products'!S93</f>
        <v>4.5969795484392756E-2</v>
      </c>
      <c r="AU89" s="877">
        <f>$AT89*'Input data plant-based products'!Z93</f>
        <v>4.5969795484392756E-2</v>
      </c>
      <c r="AV89" s="877">
        <f>$AT89*'Input data plant-based products'!AA93</f>
        <v>4.5969795484392756E-2</v>
      </c>
      <c r="AW89" s="877">
        <f>$AT89*'Input data plant-based products'!AB93</f>
        <v>4.5969795484392756E-2</v>
      </c>
      <c r="AX89" s="877">
        <f>$AT89*'Input data plant-based products'!AC93</f>
        <v>6.3079471272288204E-2</v>
      </c>
      <c r="AY89" s="886">
        <f>$AT89*'Input data plant-based products'!AD93</f>
        <v>7.7875890459615058E-2</v>
      </c>
      <c r="AZ89" s="877"/>
      <c r="BA89" s="879">
        <f>((SUM('Input data plant-based products'!U93:Y93)*Y89)/('Common input data'!$B$192/10^6))/$BB$3</f>
        <v>4.3416816286196149E-9</v>
      </c>
      <c r="BB89" s="877">
        <f>$BA89*'Input data plant-based products'!Z93</f>
        <v>4.3416816286196149E-9</v>
      </c>
      <c r="BC89" s="877">
        <f>$BA89*'Input data plant-based products'!AA93</f>
        <v>4.3416816286196149E-9</v>
      </c>
      <c r="BD89" s="877">
        <f>$BA89*'Input data plant-based products'!AB93</f>
        <v>4.3416816286196149E-9</v>
      </c>
      <c r="BE89" s="877">
        <f>$BA89*'Input data plant-based products'!AC93</f>
        <v>5.9576288882754463E-9</v>
      </c>
      <c r="BF89" s="886">
        <f>$BA89*'Input data plant-based products'!AD93</f>
        <v>7.355097392932649E-9</v>
      </c>
      <c r="BG89" s="877"/>
      <c r="BH89" s="879">
        <f>'Input data plant-based products'!T93/'Input data plant-based products'!E93</f>
        <v>1.1818369976665771E-4</v>
      </c>
      <c r="BI89" s="877">
        <f>$BH89*'Input data plant-based products'!Z93</f>
        <v>1.1818369976665771E-4</v>
      </c>
      <c r="BJ89" s="877">
        <f>$BH89*'Input data plant-based products'!AA93</f>
        <v>1.1818369976665771E-4</v>
      </c>
      <c r="BK89" s="877">
        <f>$BH89*'Input data plant-based products'!AB93</f>
        <v>1.1818369976665771E-4</v>
      </c>
      <c r="BL89" s="877">
        <f>$BH89*'Input data plant-based products'!AC93</f>
        <v>1.6217094759133006E-4</v>
      </c>
      <c r="BM89" s="886">
        <f>$BH89*'Input data plant-based products'!AD93</f>
        <v>2.0021104640904943E-4</v>
      </c>
      <c r="BN89" s="877"/>
      <c r="BO89" s="879">
        <f>('Input data plant-based products'!F93/'Input data plant-based products'!E93*'Common input data'!$B$195+'Input data plant-based products'!G93/'Input data plant-based products'!E93*'Common input data'!$B$196)/'Common input data'!$B$198</f>
        <v>1.3342517303071774E-4</v>
      </c>
      <c r="BP89" s="877">
        <f>$BO89*'Input data plant-based products'!Z93</f>
        <v>1.3342517303071774E-4</v>
      </c>
      <c r="BQ89" s="877">
        <f>$BO89*'Input data plant-based products'!AA93</f>
        <v>1.3342517303071774E-4</v>
      </c>
      <c r="BR89" s="877">
        <f>$BO89*'Input data plant-based products'!AB93</f>
        <v>1.3342517303071774E-4</v>
      </c>
      <c r="BS89" s="877">
        <f>$BO89*'Input data plant-based products'!AC93</f>
        <v>1.8308520367572002E-4</v>
      </c>
      <c r="BT89" s="886">
        <f>$BO89*'Input data plant-based products'!AD93</f>
        <v>2.2603111564903705E-4</v>
      </c>
      <c r="BU89" s="877"/>
      <c r="BV89" s="879">
        <f>('Common input data'!$C$202+'Common input data'!$B$228)*'Input data plant-based products'!AC93</f>
        <v>7.7562421752278485</v>
      </c>
      <c r="BW89" s="886">
        <f>('Common input data'!$C$202+'Common input data'!$B$228)*'Input data plant-based products'!AD93</f>
        <v>9.5756076237380832</v>
      </c>
      <c r="BX89" s="406"/>
      <c r="BY89" s="406"/>
      <c r="BZ89" s="406"/>
      <c r="CA89" s="406"/>
      <c r="CB89" s="406"/>
      <c r="CC89" s="406"/>
      <c r="CD89" s="406"/>
      <c r="CE89" s="406"/>
      <c r="CF89" s="406"/>
      <c r="CG89" s="406"/>
      <c r="CH89" s="406"/>
      <c r="CI89" s="406"/>
      <c r="CJ89" s="406"/>
      <c r="CK89" s="406"/>
      <c r="CL89" s="406"/>
      <c r="CM89" s="406"/>
      <c r="CN89" s="406"/>
      <c r="CO89" s="406"/>
      <c r="CP89" s="406"/>
      <c r="CQ89" s="406"/>
      <c r="CR89" s="406"/>
      <c r="CS89" s="406"/>
      <c r="CT89" s="406"/>
      <c r="CU89" s="406"/>
      <c r="CV89" s="406"/>
      <c r="CW89" s="406"/>
      <c r="CX89" s="406"/>
      <c r="CY89" s="406"/>
      <c r="CZ89" s="406"/>
      <c r="DA89" s="406"/>
      <c r="DB89" s="406"/>
      <c r="DC89" s="406"/>
      <c r="DD89" s="406"/>
      <c r="DE89" s="406"/>
      <c r="DF89" s="406"/>
      <c r="DG89" s="406"/>
      <c r="DH89" s="406"/>
      <c r="DI89" s="406"/>
      <c r="DJ89" s="406"/>
      <c r="DK89" s="406"/>
      <c r="DL89" s="406"/>
      <c r="DM89" s="406"/>
      <c r="DN89" s="406"/>
      <c r="DO89" s="406"/>
      <c r="DP89" s="406"/>
      <c r="DQ89" s="406"/>
      <c r="DR89" s="406"/>
      <c r="DS89" s="406"/>
      <c r="DT89" s="406"/>
      <c r="DU89" s="406"/>
      <c r="DV89" s="406"/>
      <c r="DW89" s="406"/>
      <c r="DX89" s="406"/>
      <c r="DY89" s="406"/>
      <c r="DZ89" s="406"/>
      <c r="EA89" s="406"/>
      <c r="EB89" s="406"/>
      <c r="EC89" s="406"/>
      <c r="ED89" s="406"/>
      <c r="EE89" s="406"/>
      <c r="EF89" s="406"/>
      <c r="EG89" s="406"/>
      <c r="EH89" s="406"/>
      <c r="EI89" s="406"/>
      <c r="EJ89" s="406"/>
      <c r="EK89" s="406"/>
      <c r="EL89" s="406"/>
      <c r="EM89" s="406"/>
      <c r="EN89" s="406"/>
      <c r="EO89" s="406"/>
      <c r="EP89" s="406"/>
      <c r="EQ89" s="406"/>
      <c r="ER89" s="406"/>
      <c r="ES89" s="406"/>
      <c r="ET89" s="406"/>
      <c r="EU89" s="406"/>
      <c r="EV89" s="406"/>
      <c r="EW89" s="406"/>
      <c r="EX89" s="406"/>
      <c r="EY89" s="406"/>
      <c r="EZ89" s="406"/>
      <c r="FA89" s="406"/>
      <c r="FB89" s="406"/>
      <c r="FC89" s="406"/>
      <c r="FD89" s="406"/>
      <c r="FE89" s="406"/>
      <c r="FF89" s="406"/>
      <c r="FG89" s="406"/>
      <c r="FH89" s="406"/>
      <c r="FI89" s="406"/>
      <c r="FJ89" s="406"/>
      <c r="FK89" s="406"/>
      <c r="FL89" s="406"/>
      <c r="FM89" s="406"/>
      <c r="FN89" s="406"/>
      <c r="FO89" s="406"/>
      <c r="FP89" s="406"/>
      <c r="FQ89" s="406"/>
      <c r="FR89" s="406"/>
      <c r="FS89" s="406"/>
      <c r="FT89" s="406"/>
      <c r="FU89" s="406"/>
      <c r="FV89" s="406"/>
      <c r="FW89" s="406"/>
      <c r="FX89" s="406"/>
      <c r="FY89" s="406"/>
      <c r="FZ89" s="406"/>
      <c r="GA89" s="406"/>
      <c r="GB89" s="406"/>
      <c r="GC89" s="406"/>
      <c r="GD89" s="406"/>
      <c r="GE89" s="406"/>
      <c r="GF89" s="406"/>
      <c r="GG89" s="406"/>
      <c r="GH89" s="406"/>
      <c r="GI89" s="406"/>
      <c r="GJ89" s="406"/>
      <c r="GK89" s="406"/>
      <c r="GL89" s="406"/>
      <c r="GM89" s="406"/>
      <c r="GN89" s="406"/>
      <c r="GO89" s="406"/>
      <c r="GP89" s="406"/>
      <c r="GQ89" s="406"/>
      <c r="GR89" s="406"/>
      <c r="GS89" s="406"/>
      <c r="GT89" s="406"/>
      <c r="GU89" s="406"/>
      <c r="GV89" s="406"/>
      <c r="GW89" s="406"/>
      <c r="GX89" s="406"/>
      <c r="GY89" s="406"/>
      <c r="GZ89" s="406"/>
      <c r="HA89" s="406"/>
      <c r="HB89" s="406"/>
      <c r="HC89" s="406"/>
      <c r="HD89" s="406"/>
      <c r="HE89" s="406"/>
      <c r="HF89" s="406"/>
      <c r="HG89" s="406"/>
      <c r="HH89" s="406"/>
      <c r="HI89" s="406"/>
      <c r="HJ89" s="406"/>
      <c r="HK89" s="406"/>
      <c r="HL89" s="406"/>
      <c r="HM89" s="406"/>
      <c r="HN89" s="406"/>
      <c r="HO89" s="406"/>
      <c r="HP89" s="406"/>
      <c r="HQ89" s="406"/>
      <c r="HR89" s="406"/>
      <c r="HS89" s="406"/>
      <c r="HT89" s="406"/>
      <c r="HU89" s="406"/>
      <c r="HV89" s="406"/>
      <c r="HW89" s="406"/>
      <c r="HX89" s="406"/>
      <c r="HY89" s="406"/>
      <c r="HZ89" s="406"/>
      <c r="IA89" s="406"/>
      <c r="IB89" s="406"/>
      <c r="IC89" s="406"/>
      <c r="ID89" s="406"/>
      <c r="IE89" s="406"/>
      <c r="IF89" s="406"/>
      <c r="IG89" s="406"/>
      <c r="IH89" s="406"/>
      <c r="II89" s="406"/>
      <c r="IJ89" s="406"/>
      <c r="IK89" s="406"/>
      <c r="IL89" s="406"/>
      <c r="IM89" s="406"/>
      <c r="IN89" s="406"/>
      <c r="IO89" s="406"/>
      <c r="IP89" s="406"/>
      <c r="IQ89" s="406"/>
      <c r="IR89" s="406"/>
      <c r="IS89" s="406"/>
    </row>
    <row r="90" spans="1:253" s="406" customFormat="1" ht="17.25">
      <c r="A90" s="68"/>
      <c r="B90" s="55"/>
      <c r="C90" s="917"/>
      <c r="D90" s="5"/>
      <c r="E90" s="1294" t="s">
        <v>317</v>
      </c>
      <c r="F90" s="928">
        <f>IF(AND($G$2="No",$G$3="No"),SUM(K90:L90),IF(AND($G$2="Yes", $G$3="No"), SUM(K90:L90)+S90, IF(AND($G$2="No", $G$3="Yes"),SUM(K90:L90)+R90, SUM(K90:L90)+S90+R90)))</f>
        <v>-9.1139048141381296E-2</v>
      </c>
      <c r="G90" s="877">
        <f>IF(AND($G$2="No",$G$3="No"),SUM(I90:Q90),IF(AND($G$2="Yes", $G$3="No"), SUM(I90:Q90)+S90, IF(AND($G$2="No", $G$3="Yes"),SUM(I90:Q90)+R90, SUM(I90:Q90)+S90+R90)))</f>
        <v>8.5025481976659101E-3</v>
      </c>
      <c r="H90" s="878">
        <f>SUM(U90:W90)/(1-'Common input data'!$I$140)</f>
        <v>0.67032019896490747</v>
      </c>
      <c r="I90" s="877">
        <f>('Input data plant-based products'!$F$93*('Common input data'!$D$93*'Common input data'!B86+'Common input data'!$D$94*'Common input data'!C86))/'Input data plant-based products'!$E$93</f>
        <v>6.7937816440668307E-3</v>
      </c>
      <c r="J90" s="877">
        <f>'Common input data'!$B$98</f>
        <v>0.03</v>
      </c>
      <c r="K90" s="877">
        <v>0</v>
      </c>
      <c r="L90" s="877">
        <v>0</v>
      </c>
      <c r="M90" s="877"/>
      <c r="N90" s="877">
        <f>('Input data plant-based products'!$P$93*'Common input data'!$C$76*'Common input data'!H66)/'Input data plant-based products'!$E$93</f>
        <v>1.2847814694980362E-2</v>
      </c>
      <c r="O90" s="877">
        <v>0</v>
      </c>
      <c r="P90" s="877">
        <f>'Input data plant-based products'!F$309</f>
        <v>0.05</v>
      </c>
      <c r="Q90" s="877">
        <v>0</v>
      </c>
      <c r="R90" s="877">
        <f>'Common input data'!$F$19</f>
        <v>-9.1139048141381296E-2</v>
      </c>
      <c r="S90" s="877">
        <v>0</v>
      </c>
      <c r="T90" s="877">
        <v>0</v>
      </c>
      <c r="U90" s="877">
        <f>G90+T90</f>
        <v>8.5025481976659101E-3</v>
      </c>
      <c r="V90" s="877">
        <f>'Common input data'!$B$105</f>
        <v>0.05</v>
      </c>
      <c r="W90" s="877">
        <f>'Common input data'!B128+'Common input data'!C128</f>
        <v>0.43000000000000005</v>
      </c>
      <c r="X90" s="879"/>
      <c r="Y90" s="879"/>
      <c r="Z90" s="877"/>
      <c r="AA90" s="877"/>
      <c r="AB90" s="877"/>
      <c r="AC90" s="877"/>
      <c r="AD90" s="886"/>
      <c r="AE90" s="877"/>
      <c r="AF90" s="879"/>
      <c r="AG90" s="877"/>
      <c r="AH90" s="877"/>
      <c r="AI90" s="877"/>
      <c r="AJ90" s="877"/>
      <c r="AK90" s="886"/>
      <c r="AL90" s="877"/>
      <c r="AM90" s="879"/>
      <c r="AN90" s="877"/>
      <c r="AO90" s="877"/>
      <c r="AP90" s="877"/>
      <c r="AQ90" s="877"/>
      <c r="AR90" s="886"/>
      <c r="AS90" s="877"/>
      <c r="AT90" s="879"/>
      <c r="AU90" s="877"/>
      <c r="AV90" s="877"/>
      <c r="AW90" s="877"/>
      <c r="AX90" s="877"/>
      <c r="AY90" s="886"/>
      <c r="AZ90" s="877"/>
      <c r="BA90" s="879"/>
      <c r="BB90" s="877"/>
      <c r="BC90" s="877"/>
      <c r="BD90" s="877"/>
      <c r="BE90" s="877"/>
      <c r="BF90" s="886"/>
      <c r="BG90" s="877"/>
      <c r="BH90" s="879"/>
      <c r="BI90" s="877"/>
      <c r="BJ90" s="877"/>
      <c r="BK90" s="877"/>
      <c r="BL90" s="877"/>
      <c r="BM90" s="886"/>
      <c r="BN90" s="877"/>
      <c r="BO90" s="879"/>
      <c r="BP90" s="877"/>
      <c r="BQ90" s="877"/>
      <c r="BR90" s="877"/>
      <c r="BS90" s="877"/>
      <c r="BT90" s="886"/>
      <c r="BU90" s="877"/>
      <c r="BV90" s="879"/>
      <c r="BW90" s="886"/>
    </row>
    <row r="91" spans="1:253" s="406" customFormat="1" ht="17.25">
      <c r="A91" s="18"/>
      <c r="B91" s="55"/>
      <c r="C91" s="595"/>
      <c r="D91" s="50"/>
      <c r="E91" s="1294" t="s">
        <v>367</v>
      </c>
      <c r="F91" s="928">
        <f>SUM(K91:L91)</f>
        <v>0</v>
      </c>
      <c r="G91" s="877">
        <f>SUM(I91:Q91)</f>
        <v>2.0111646871578198E-5</v>
      </c>
      <c r="H91" s="878">
        <f>SUM(U91:W91)/(1-'Common input data'!$I$140)</f>
        <v>2.7597078423044893E-5</v>
      </c>
      <c r="I91" s="877">
        <f>('Input data plant-based products'!$F$93*('Common input data'!$D$93*'Common input data'!B87+'Common input data'!$D$94*'Common input data'!C87))/'Input data plant-based products'!$E$93</f>
        <v>1.4420498186222697E-5</v>
      </c>
      <c r="J91" s="877">
        <v>0</v>
      </c>
      <c r="K91" s="877">
        <v>0</v>
      </c>
      <c r="L91" s="877">
        <v>0</v>
      </c>
      <c r="M91" s="877"/>
      <c r="N91" s="877">
        <f>('Input data plant-based products'!$P$93*'Common input data'!$C$76*'Common input data'!H67)/'Input data plant-based products'!$E$93</f>
        <v>5.6911486853555013E-6</v>
      </c>
      <c r="O91" s="877">
        <v>0</v>
      </c>
      <c r="P91" s="877">
        <v>0</v>
      </c>
      <c r="Q91" s="877">
        <v>0</v>
      </c>
      <c r="R91" s="877">
        <v>0</v>
      </c>
      <c r="S91" s="877">
        <v>0</v>
      </c>
      <c r="T91" s="877">
        <v>0</v>
      </c>
      <c r="U91" s="877">
        <f>G91+T91</f>
        <v>2.0111646871578198E-5</v>
      </c>
      <c r="V91" s="877">
        <v>0</v>
      </c>
      <c r="W91" s="877">
        <v>0</v>
      </c>
      <c r="X91" s="879"/>
      <c r="Y91" s="879"/>
      <c r="Z91" s="877"/>
      <c r="AA91" s="877"/>
      <c r="AB91" s="877"/>
      <c r="AC91" s="877"/>
      <c r="AD91" s="886"/>
      <c r="AE91" s="877"/>
      <c r="AF91" s="879"/>
      <c r="AG91" s="877"/>
      <c r="AH91" s="877"/>
      <c r="AI91" s="877"/>
      <c r="AJ91" s="877"/>
      <c r="AK91" s="886"/>
      <c r="AL91" s="877"/>
      <c r="AM91" s="879"/>
      <c r="AN91" s="877"/>
      <c r="AO91" s="877"/>
      <c r="AP91" s="877"/>
      <c r="AQ91" s="877"/>
      <c r="AR91" s="886"/>
      <c r="AS91" s="877"/>
      <c r="AT91" s="879"/>
      <c r="AU91" s="877"/>
      <c r="AV91" s="877"/>
      <c r="AW91" s="877"/>
      <c r="AX91" s="877"/>
      <c r="AY91" s="886"/>
      <c r="AZ91" s="877"/>
      <c r="BA91" s="879"/>
      <c r="BB91" s="877"/>
      <c r="BC91" s="877"/>
      <c r="BD91" s="877"/>
      <c r="BE91" s="877"/>
      <c r="BF91" s="886"/>
      <c r="BG91" s="877"/>
      <c r="BH91" s="879"/>
      <c r="BI91" s="877"/>
      <c r="BJ91" s="877"/>
      <c r="BK91" s="877"/>
      <c r="BL91" s="877"/>
      <c r="BM91" s="886"/>
      <c r="BN91" s="877"/>
      <c r="BO91" s="879"/>
      <c r="BP91" s="877"/>
      <c r="BQ91" s="877"/>
      <c r="BR91" s="877"/>
      <c r="BS91" s="877"/>
      <c r="BT91" s="886"/>
      <c r="BU91" s="877"/>
      <c r="BV91" s="879"/>
      <c r="BW91" s="886"/>
    </row>
    <row r="92" spans="1:253" s="406" customFormat="1" ht="17.25">
      <c r="A92" s="359"/>
      <c r="B92" s="360"/>
      <c r="C92" s="83"/>
      <c r="D92" s="54"/>
      <c r="E92" s="1295" t="s">
        <v>320</v>
      </c>
      <c r="F92" s="932">
        <f>SUM(K92:L92)</f>
        <v>3.6272512775707489E-5</v>
      </c>
      <c r="G92" s="896">
        <f>SUM(I92:Q92)</f>
        <v>5.1865595939249627E-5</v>
      </c>
      <c r="H92" s="933">
        <f>SUM(U92:W92)/(1-'Common input data'!$I$140)</f>
        <v>7.1169652477152449E-5</v>
      </c>
      <c r="I92" s="877">
        <f>('Input data plant-based products'!$F$93*('Common input data'!$D$93*'Common input data'!B88+'Common input data'!$D$94*'Common input data'!C88))/'Input data plant-based products'!$E$93</f>
        <v>1.5247857373529493E-5</v>
      </c>
      <c r="J92" s="877">
        <v>0</v>
      </c>
      <c r="K92" s="877">
        <f>(SUM('Input data plant-based products'!F93:H93)*'Input data plant-based products'!$B$257*44/28)/'Input data plant-based products'!E93</f>
        <v>3.2975011614279534E-5</v>
      </c>
      <c r="L92" s="877">
        <f>K92*'Input data plant-based products'!$B$261</f>
        <v>3.2975011614279537E-6</v>
      </c>
      <c r="M92" s="877"/>
      <c r="N92" s="877">
        <f>('Input data plant-based products'!$P$93*'Common input data'!$C$76*'Common input data'!H68)/'Input data plant-based products'!$E$93</f>
        <v>3.4522579001264409E-7</v>
      </c>
      <c r="O92" s="877">
        <v>0</v>
      </c>
      <c r="P92" s="877">
        <v>0</v>
      </c>
      <c r="Q92" s="877">
        <v>0</v>
      </c>
      <c r="R92" s="877">
        <v>0</v>
      </c>
      <c r="S92" s="877">
        <v>0</v>
      </c>
      <c r="T92" s="877">
        <v>0</v>
      </c>
      <c r="U92" s="877">
        <f>G92+T92</f>
        <v>5.1865595939249627E-5</v>
      </c>
      <c r="V92" s="877">
        <v>0</v>
      </c>
      <c r="W92" s="877">
        <v>0</v>
      </c>
      <c r="X92" s="879"/>
      <c r="Y92" s="879"/>
      <c r="Z92" s="877"/>
      <c r="AA92" s="877"/>
      <c r="AB92" s="877"/>
      <c r="AC92" s="877"/>
      <c r="AD92" s="886"/>
      <c r="AE92" s="877"/>
      <c r="AF92" s="879"/>
      <c r="AG92" s="877"/>
      <c r="AH92" s="877"/>
      <c r="AI92" s="877"/>
      <c r="AJ92" s="877"/>
      <c r="AK92" s="886"/>
      <c r="AL92" s="877"/>
      <c r="AM92" s="879"/>
      <c r="AN92" s="877"/>
      <c r="AO92" s="877"/>
      <c r="AP92" s="877"/>
      <c r="AQ92" s="877"/>
      <c r="AR92" s="886"/>
      <c r="AS92" s="877"/>
      <c r="AT92" s="879"/>
      <c r="AU92" s="877"/>
      <c r="AV92" s="877"/>
      <c r="AW92" s="877"/>
      <c r="AX92" s="877"/>
      <c r="AY92" s="886"/>
      <c r="AZ92" s="877"/>
      <c r="BA92" s="879"/>
      <c r="BB92" s="877"/>
      <c r="BC92" s="877"/>
      <c r="BD92" s="877"/>
      <c r="BE92" s="877"/>
      <c r="BF92" s="886"/>
      <c r="BG92" s="877"/>
      <c r="BH92" s="879"/>
      <c r="BI92" s="877"/>
      <c r="BJ92" s="877"/>
      <c r="BK92" s="877"/>
      <c r="BL92" s="877"/>
      <c r="BM92" s="886"/>
      <c r="BN92" s="877"/>
      <c r="BO92" s="879"/>
      <c r="BP92" s="877"/>
      <c r="BQ92" s="877"/>
      <c r="BR92" s="877"/>
      <c r="BS92" s="877"/>
      <c r="BT92" s="886"/>
      <c r="BU92" s="877"/>
      <c r="BV92" s="879"/>
      <c r="BW92" s="886"/>
    </row>
    <row r="93" spans="1:253" s="406" customFormat="1" ht="17.25">
      <c r="A93" s="362" t="s">
        <v>510</v>
      </c>
      <c r="B93" s="363"/>
      <c r="C93" s="770"/>
      <c r="D93" s="54"/>
      <c r="E93" s="1296"/>
      <c r="F93" s="925" t="s">
        <v>511</v>
      </c>
      <c r="G93" s="1290" t="s">
        <v>511</v>
      </c>
      <c r="H93" s="870" t="s">
        <v>511</v>
      </c>
      <c r="I93" s="889"/>
      <c r="J93" s="889"/>
      <c r="K93" s="889"/>
      <c r="L93" s="889"/>
      <c r="M93" s="889"/>
      <c r="N93" s="889"/>
      <c r="O93" s="1305"/>
      <c r="P93" s="889"/>
      <c r="Q93" s="889"/>
      <c r="R93" s="889"/>
      <c r="S93" s="889"/>
      <c r="T93" s="889"/>
      <c r="U93" s="889"/>
      <c r="V93" s="889"/>
      <c r="W93" s="889"/>
      <c r="X93" s="879"/>
      <c r="Y93" s="879"/>
      <c r="Z93" s="877"/>
      <c r="AA93" s="877"/>
      <c r="AB93" s="877"/>
      <c r="AC93" s="877"/>
      <c r="AD93" s="886"/>
      <c r="AE93" s="877"/>
      <c r="AF93" s="879"/>
      <c r="AG93" s="877"/>
      <c r="AH93" s="877"/>
      <c r="AI93" s="877"/>
      <c r="AJ93" s="877"/>
      <c r="AK93" s="886"/>
      <c r="AL93" s="877"/>
      <c r="AM93" s="879"/>
      <c r="AN93" s="877"/>
      <c r="AO93" s="877"/>
      <c r="AP93" s="877"/>
      <c r="AQ93" s="877"/>
      <c r="AR93" s="886"/>
      <c r="AS93" s="877"/>
      <c r="AT93" s="879"/>
      <c r="AU93" s="877"/>
      <c r="AV93" s="877"/>
      <c r="AW93" s="877"/>
      <c r="AX93" s="877"/>
      <c r="AY93" s="886"/>
      <c r="AZ93" s="877"/>
      <c r="BA93" s="879"/>
      <c r="BB93" s="877"/>
      <c r="BC93" s="877"/>
      <c r="BD93" s="877"/>
      <c r="BE93" s="877"/>
      <c r="BF93" s="886"/>
      <c r="BG93" s="877"/>
      <c r="BH93" s="879"/>
      <c r="BI93" s="877"/>
      <c r="BJ93" s="877"/>
      <c r="BK93" s="877"/>
      <c r="BL93" s="877"/>
      <c r="BM93" s="886"/>
      <c r="BN93" s="877"/>
      <c r="BO93" s="879"/>
      <c r="BP93" s="877"/>
      <c r="BQ93" s="877"/>
      <c r="BR93" s="877"/>
      <c r="BS93" s="877"/>
      <c r="BT93" s="886"/>
      <c r="BU93" s="877"/>
      <c r="BV93" s="879"/>
      <c r="BW93" s="886"/>
    </row>
    <row r="94" spans="1:253" s="406" customFormat="1" ht="17.25">
      <c r="A94" s="20" t="s">
        <v>120</v>
      </c>
      <c r="B94" s="93"/>
      <c r="C94" s="903">
        <f>SUM(C98:C105)</f>
        <v>1</v>
      </c>
      <c r="D94" s="26"/>
      <c r="E94" s="1293" t="s">
        <v>316</v>
      </c>
      <c r="F94" s="926">
        <f>SUMPRODUCT($CI$4:$CI$6,F95:F97)</f>
        <v>-6.1738475053883093E-2</v>
      </c>
      <c r="G94" s="874">
        <f>SUMPRODUCT($CI$4:$CI$6,G95:G97)</f>
        <v>0.10211424170502963</v>
      </c>
      <c r="H94" s="927">
        <f>SUMPRODUCT($CI$4:$CI$6,H95:H97)</f>
        <v>0.64641312159587705</v>
      </c>
      <c r="I94" s="872"/>
      <c r="J94" s="884"/>
      <c r="K94" s="884"/>
      <c r="L94" s="884"/>
      <c r="M94" s="884"/>
      <c r="N94" s="884"/>
      <c r="O94" s="884"/>
      <c r="P94" s="884"/>
      <c r="Q94" s="884"/>
      <c r="R94" s="884"/>
      <c r="S94" s="884"/>
      <c r="T94" s="884"/>
      <c r="U94" s="884"/>
      <c r="V94" s="884"/>
      <c r="W94" s="884"/>
      <c r="X94" s="879"/>
      <c r="Y94" s="883">
        <f>Y98*$C$98+Y102*$C$102</f>
        <v>0.50950575935233466</v>
      </c>
      <c r="Z94" s="884">
        <f t="shared" ref="Z94:BW94" si="11">Z98*$C$98+Z102*$C$102</f>
        <v>0.50950575935233466</v>
      </c>
      <c r="AA94" s="884">
        <f t="shared" si="11"/>
        <v>0.50950575935233466</v>
      </c>
      <c r="AB94" s="884">
        <f t="shared" si="11"/>
        <v>0.50950575935233466</v>
      </c>
      <c r="AC94" s="884">
        <f t="shared" si="11"/>
        <v>0.66324344626537246</v>
      </c>
      <c r="AD94" s="885">
        <f t="shared" si="11"/>
        <v>0.81881906946342276</v>
      </c>
      <c r="AE94" s="877"/>
      <c r="AF94" s="883">
        <f t="shared" si="11"/>
        <v>8.6095674861579943E-3</v>
      </c>
      <c r="AG94" s="884">
        <f t="shared" si="11"/>
        <v>8.6095674861579943E-3</v>
      </c>
      <c r="AH94" s="884">
        <f t="shared" si="11"/>
        <v>8.6095674861579943E-3</v>
      </c>
      <c r="AI94" s="884">
        <f t="shared" si="11"/>
        <v>8.6095674861579943E-3</v>
      </c>
      <c r="AJ94" s="884">
        <f t="shared" si="11"/>
        <v>1.0880667688136655E-2</v>
      </c>
      <c r="AK94" s="885">
        <f t="shared" si="11"/>
        <v>1.3432923071773647E-2</v>
      </c>
      <c r="AL94" s="877"/>
      <c r="AM94" s="883">
        <f t="shared" si="11"/>
        <v>2.7162205910893442E-3</v>
      </c>
      <c r="AN94" s="884">
        <f t="shared" si="11"/>
        <v>2.7162205910893442E-3</v>
      </c>
      <c r="AO94" s="884">
        <f t="shared" si="11"/>
        <v>2.7162205910893442E-3</v>
      </c>
      <c r="AP94" s="884">
        <f t="shared" si="11"/>
        <v>2.7162205910893442E-3</v>
      </c>
      <c r="AQ94" s="884">
        <f t="shared" si="11"/>
        <v>3.4579520009323799E-3</v>
      </c>
      <c r="AR94" s="885">
        <f t="shared" si="11"/>
        <v>4.2690765443609627E-3</v>
      </c>
      <c r="AS94" s="877"/>
      <c r="AT94" s="883">
        <f t="shared" si="11"/>
        <v>0.13181174337848198</v>
      </c>
      <c r="AU94" s="884">
        <f t="shared" si="11"/>
        <v>0.13181174337848198</v>
      </c>
      <c r="AV94" s="884">
        <f t="shared" si="11"/>
        <v>0.13181174337848198</v>
      </c>
      <c r="AW94" s="884">
        <f t="shared" si="11"/>
        <v>0.13181174337848198</v>
      </c>
      <c r="AX94" s="884">
        <f t="shared" si="11"/>
        <v>0.16824318598522586</v>
      </c>
      <c r="AY94" s="885">
        <f t="shared" si="11"/>
        <v>0.20770763701879738</v>
      </c>
      <c r="AZ94" s="877"/>
      <c r="BA94" s="883">
        <f t="shared" si="11"/>
        <v>8.6321269916124009E-10</v>
      </c>
      <c r="BB94" s="884">
        <f t="shared" si="11"/>
        <v>8.6321269916124009E-10</v>
      </c>
      <c r="BC94" s="884">
        <f t="shared" si="11"/>
        <v>8.6321269916124009E-10</v>
      </c>
      <c r="BD94" s="884">
        <f t="shared" si="11"/>
        <v>8.6321269916124009E-10</v>
      </c>
      <c r="BE94" s="884">
        <f t="shared" si="11"/>
        <v>1.1236775148125942E-9</v>
      </c>
      <c r="BF94" s="885">
        <f t="shared" si="11"/>
        <v>1.3872561911266593E-9</v>
      </c>
      <c r="BG94" s="877"/>
      <c r="BH94" s="883">
        <f t="shared" si="11"/>
        <v>4.2987180465053063E-4</v>
      </c>
      <c r="BI94" s="884">
        <f t="shared" si="11"/>
        <v>4.2987180465053063E-4</v>
      </c>
      <c r="BJ94" s="884">
        <f t="shared" si="11"/>
        <v>4.2987180465053063E-4</v>
      </c>
      <c r="BK94" s="884">
        <f t="shared" si="11"/>
        <v>4.2987180465053063E-4</v>
      </c>
      <c r="BL94" s="884">
        <f t="shared" si="11"/>
        <v>5.5971377911914202E-4</v>
      </c>
      <c r="BM94" s="885">
        <f t="shared" si="11"/>
        <v>6.9100466557918763E-4</v>
      </c>
      <c r="BN94" s="877"/>
      <c r="BO94" s="883">
        <f t="shared" si="11"/>
        <v>2.6472705224969326E-4</v>
      </c>
      <c r="BP94" s="884">
        <f t="shared" si="11"/>
        <v>2.6472705224969326E-4</v>
      </c>
      <c r="BQ94" s="884">
        <f t="shared" si="11"/>
        <v>2.6472705224969326E-4</v>
      </c>
      <c r="BR94" s="884">
        <f t="shared" si="11"/>
        <v>2.6472705224969326E-4</v>
      </c>
      <c r="BS94" s="884">
        <f t="shared" si="11"/>
        <v>3.3942548893842054E-4</v>
      </c>
      <c r="BT94" s="885">
        <f t="shared" si="11"/>
        <v>4.1904381350422288E-4</v>
      </c>
      <c r="BU94" s="877"/>
      <c r="BV94" s="883">
        <f t="shared" si="11"/>
        <v>4.9864126637620014</v>
      </c>
      <c r="BW94" s="885">
        <f t="shared" si="11"/>
        <v>6.1560650169901239</v>
      </c>
    </row>
    <row r="95" spans="1:253" s="406" customFormat="1" ht="17.25">
      <c r="A95" s="499"/>
      <c r="B95" s="55"/>
      <c r="C95" s="917"/>
      <c r="D95" s="5"/>
      <c r="E95" s="1294" t="s">
        <v>317</v>
      </c>
      <c r="F95" s="928">
        <f t="shared" ref="F95:W97" si="12">F99*$C$98+F103*$C$102</f>
        <v>-9.1139048141381296E-2</v>
      </c>
      <c r="G95" s="877">
        <f t="shared" si="12"/>
        <v>4.9925622666965992E-2</v>
      </c>
      <c r="H95" s="878">
        <f t="shared" si="12"/>
        <v>0.57932125613392393</v>
      </c>
      <c r="I95" s="877">
        <f t="shared" si="12"/>
        <v>3.3832770024326692E-2</v>
      </c>
      <c r="J95" s="877">
        <f t="shared" si="12"/>
        <v>0.03</v>
      </c>
      <c r="K95" s="877">
        <f t="shared" si="12"/>
        <v>0</v>
      </c>
      <c r="L95" s="877">
        <f t="shared" si="12"/>
        <v>0</v>
      </c>
      <c r="M95" s="877"/>
      <c r="N95" s="877">
        <f t="shared" si="12"/>
        <v>2.7231900784020588E-2</v>
      </c>
      <c r="O95" s="877">
        <f t="shared" si="12"/>
        <v>0</v>
      </c>
      <c r="P95" s="877">
        <f t="shared" si="12"/>
        <v>0.05</v>
      </c>
      <c r="Q95" s="877">
        <f t="shared" si="12"/>
        <v>0</v>
      </c>
      <c r="R95" s="877">
        <f t="shared" si="12"/>
        <v>-9.1139048141381296E-2</v>
      </c>
      <c r="S95" s="877">
        <f t="shared" si="12"/>
        <v>0</v>
      </c>
      <c r="T95" s="877">
        <f t="shared" si="12"/>
        <v>0</v>
      </c>
      <c r="U95" s="877">
        <f t="shared" si="12"/>
        <v>4.9925622666965992E-2</v>
      </c>
      <c r="V95" s="877">
        <f t="shared" si="12"/>
        <v>0.05</v>
      </c>
      <c r="W95" s="877">
        <f t="shared" si="12"/>
        <v>0.34168385866695533</v>
      </c>
      <c r="X95" s="879"/>
      <c r="Y95" s="879"/>
      <c r="Z95" s="877"/>
      <c r="AA95" s="877"/>
      <c r="AB95" s="877"/>
      <c r="AC95" s="877"/>
      <c r="AD95" s="886"/>
      <c r="AE95" s="877"/>
      <c r="AF95" s="879"/>
      <c r="AG95" s="877"/>
      <c r="AH95" s="877"/>
      <c r="AI95" s="877"/>
      <c r="AJ95" s="877"/>
      <c r="AK95" s="886"/>
      <c r="AL95" s="877"/>
      <c r="AM95" s="879"/>
      <c r="AN95" s="877"/>
      <c r="AO95" s="877"/>
      <c r="AP95" s="877"/>
      <c r="AQ95" s="877"/>
      <c r="AR95" s="886"/>
      <c r="AS95" s="877"/>
      <c r="AT95" s="879"/>
      <c r="AU95" s="877"/>
      <c r="AV95" s="877"/>
      <c r="AW95" s="877"/>
      <c r="AX95" s="877"/>
      <c r="AY95" s="886"/>
      <c r="AZ95" s="877"/>
      <c r="BA95" s="879"/>
      <c r="BB95" s="877"/>
      <c r="BC95" s="877"/>
      <c r="BD95" s="877"/>
      <c r="BE95" s="877"/>
      <c r="BF95" s="886"/>
      <c r="BG95" s="877"/>
      <c r="BH95" s="879"/>
      <c r="BI95" s="877"/>
      <c r="BJ95" s="877"/>
      <c r="BK95" s="877"/>
      <c r="BL95" s="877"/>
      <c r="BM95" s="886"/>
      <c r="BN95" s="877"/>
      <c r="BO95" s="879"/>
      <c r="BP95" s="877"/>
      <c r="BQ95" s="877"/>
      <c r="BR95" s="877"/>
      <c r="BS95" s="877"/>
      <c r="BT95" s="886"/>
      <c r="BU95" s="877"/>
      <c r="BV95" s="879"/>
      <c r="BW95" s="886"/>
    </row>
    <row r="96" spans="1:253" s="406" customFormat="1" ht="17.25">
      <c r="A96" s="499"/>
      <c r="B96" s="55"/>
      <c r="C96" s="595"/>
      <c r="D96" s="50"/>
      <c r="E96" s="1294" t="s">
        <v>367</v>
      </c>
      <c r="F96" s="928">
        <f t="shared" si="12"/>
        <v>0</v>
      </c>
      <c r="G96" s="877">
        <f t="shared" si="12"/>
        <v>7.8211192083741261E-5</v>
      </c>
      <c r="H96" s="878">
        <f t="shared" si="12"/>
        <v>1.0002485351188757E-4</v>
      </c>
      <c r="I96" s="877">
        <f t="shared" si="12"/>
        <v>6.6148378288079874E-5</v>
      </c>
      <c r="J96" s="877">
        <f t="shared" si="12"/>
        <v>0</v>
      </c>
      <c r="K96" s="877">
        <f t="shared" si="12"/>
        <v>0</v>
      </c>
      <c r="L96" s="877">
        <f t="shared" si="12"/>
        <v>0</v>
      </c>
      <c r="M96" s="877"/>
      <c r="N96" s="877">
        <f t="shared" si="12"/>
        <v>1.206281379566139E-5</v>
      </c>
      <c r="O96" s="877">
        <f t="shared" si="12"/>
        <v>0</v>
      </c>
      <c r="P96" s="877">
        <f t="shared" si="12"/>
        <v>0</v>
      </c>
      <c r="Q96" s="877">
        <f t="shared" si="12"/>
        <v>0</v>
      </c>
      <c r="R96" s="877">
        <f t="shared" si="12"/>
        <v>0</v>
      </c>
      <c r="S96" s="877">
        <f t="shared" si="12"/>
        <v>0</v>
      </c>
      <c r="T96" s="877">
        <f t="shared" si="12"/>
        <v>0</v>
      </c>
      <c r="U96" s="877">
        <f t="shared" si="12"/>
        <v>7.8211192083741261E-5</v>
      </c>
      <c r="V96" s="877">
        <f t="shared" si="12"/>
        <v>0</v>
      </c>
      <c r="W96" s="877">
        <f t="shared" si="12"/>
        <v>0</v>
      </c>
      <c r="X96" s="879"/>
      <c r="Y96" s="879"/>
      <c r="Z96" s="877"/>
      <c r="AA96" s="877"/>
      <c r="AB96" s="877"/>
      <c r="AC96" s="877"/>
      <c r="AD96" s="886"/>
      <c r="AE96" s="877"/>
      <c r="AF96" s="879"/>
      <c r="AG96" s="877"/>
      <c r="AH96" s="877"/>
      <c r="AI96" s="877"/>
      <c r="AJ96" s="877"/>
      <c r="AK96" s="886"/>
      <c r="AL96" s="877"/>
      <c r="AM96" s="879"/>
      <c r="AN96" s="877"/>
      <c r="AO96" s="877"/>
      <c r="AP96" s="877"/>
      <c r="AQ96" s="877"/>
      <c r="AR96" s="886"/>
      <c r="AS96" s="877"/>
      <c r="AT96" s="879"/>
      <c r="AU96" s="877"/>
      <c r="AV96" s="877"/>
      <c r="AW96" s="877"/>
      <c r="AX96" s="877"/>
      <c r="AY96" s="886"/>
      <c r="AZ96" s="877"/>
      <c r="BA96" s="879"/>
      <c r="BB96" s="877"/>
      <c r="BC96" s="877"/>
      <c r="BD96" s="877"/>
      <c r="BE96" s="877"/>
      <c r="BF96" s="886"/>
      <c r="BG96" s="877"/>
      <c r="BH96" s="879"/>
      <c r="BI96" s="877"/>
      <c r="BJ96" s="877"/>
      <c r="BK96" s="877"/>
      <c r="BL96" s="877"/>
      <c r="BM96" s="886"/>
      <c r="BN96" s="877"/>
      <c r="BO96" s="879"/>
      <c r="BP96" s="877"/>
      <c r="BQ96" s="877"/>
      <c r="BR96" s="877"/>
      <c r="BS96" s="877"/>
      <c r="BT96" s="886"/>
      <c r="BU96" s="877"/>
      <c r="BV96" s="879"/>
      <c r="BW96" s="886"/>
    </row>
    <row r="97" spans="1:75" s="406" customFormat="1" ht="17.25">
      <c r="A97" s="18"/>
      <c r="B97" s="360"/>
      <c r="C97" s="83"/>
      <c r="D97" s="54"/>
      <c r="E97" s="1295" t="s">
        <v>320</v>
      </c>
      <c r="F97" s="928">
        <f t="shared" si="12"/>
        <v>1.0769440691391282E-4</v>
      </c>
      <c r="G97" s="877">
        <f t="shared" si="12"/>
        <v>1.8343192986008285E-4</v>
      </c>
      <c r="H97" s="878">
        <f t="shared" si="12"/>
        <v>2.3586518101513629E-4</v>
      </c>
      <c r="I97" s="877">
        <f t="shared" si="12"/>
        <v>7.5005791154818583E-5</v>
      </c>
      <c r="J97" s="877">
        <f t="shared" si="12"/>
        <v>0</v>
      </c>
      <c r="K97" s="877">
        <f t="shared" si="12"/>
        <v>9.79040062853753E-5</v>
      </c>
      <c r="L97" s="877">
        <f t="shared" si="12"/>
        <v>9.7904006285375293E-6</v>
      </c>
      <c r="M97" s="877"/>
      <c r="N97" s="877">
        <f t="shared" si="12"/>
        <v>7.3173179135144894E-7</v>
      </c>
      <c r="O97" s="877">
        <f t="shared" si="12"/>
        <v>0</v>
      </c>
      <c r="P97" s="877">
        <f t="shared" si="12"/>
        <v>0</v>
      </c>
      <c r="Q97" s="877">
        <f t="shared" si="12"/>
        <v>0</v>
      </c>
      <c r="R97" s="877">
        <f t="shared" si="12"/>
        <v>0</v>
      </c>
      <c r="S97" s="877">
        <f t="shared" si="12"/>
        <v>0</v>
      </c>
      <c r="T97" s="877">
        <f t="shared" si="12"/>
        <v>0</v>
      </c>
      <c r="U97" s="877">
        <f t="shared" si="12"/>
        <v>1.8343192986008285E-4</v>
      </c>
      <c r="V97" s="877">
        <f t="shared" si="12"/>
        <v>0</v>
      </c>
      <c r="W97" s="877">
        <f t="shared" si="12"/>
        <v>0</v>
      </c>
      <c r="X97" s="879"/>
      <c r="Y97" s="879"/>
      <c r="Z97" s="877"/>
      <c r="AA97" s="877"/>
      <c r="AB97" s="877"/>
      <c r="AC97" s="877"/>
      <c r="AD97" s="886"/>
      <c r="AE97" s="877"/>
      <c r="AF97" s="879"/>
      <c r="AG97" s="877"/>
      <c r="AH97" s="877"/>
      <c r="AI97" s="877"/>
      <c r="AJ97" s="877"/>
      <c r="AK97" s="886"/>
      <c r="AL97" s="877"/>
      <c r="AM97" s="879"/>
      <c r="AN97" s="877"/>
      <c r="AO97" s="877"/>
      <c r="AP97" s="877"/>
      <c r="AQ97" s="877"/>
      <c r="AR97" s="886"/>
      <c r="AS97" s="877"/>
      <c r="AT97" s="879"/>
      <c r="AU97" s="877"/>
      <c r="AV97" s="877"/>
      <c r="AW97" s="877"/>
      <c r="AX97" s="877"/>
      <c r="AY97" s="886"/>
      <c r="AZ97" s="877"/>
      <c r="BA97" s="879"/>
      <c r="BB97" s="877"/>
      <c r="BC97" s="877"/>
      <c r="BD97" s="877"/>
      <c r="BE97" s="877"/>
      <c r="BF97" s="886"/>
      <c r="BG97" s="877"/>
      <c r="BH97" s="879"/>
      <c r="BI97" s="877"/>
      <c r="BJ97" s="877"/>
      <c r="BK97" s="877"/>
      <c r="BL97" s="877"/>
      <c r="BM97" s="886"/>
      <c r="BN97" s="877"/>
      <c r="BO97" s="879"/>
      <c r="BP97" s="877"/>
      <c r="BQ97" s="877"/>
      <c r="BR97" s="877"/>
      <c r="BS97" s="877"/>
      <c r="BT97" s="886"/>
      <c r="BU97" s="877"/>
      <c r="BV97" s="879"/>
      <c r="BW97" s="886"/>
    </row>
    <row r="98" spans="1:75" s="406" customFormat="1" ht="17.25">
      <c r="A98" s="20" t="s">
        <v>130</v>
      </c>
      <c r="B98" s="93" t="s">
        <v>121</v>
      </c>
      <c r="C98" s="87">
        <f>'Input data plant-based products'!D122</f>
        <v>0.44158070666522325</v>
      </c>
      <c r="D98" s="54"/>
      <c r="E98" s="1293" t="s">
        <v>316</v>
      </c>
      <c r="F98" s="930">
        <f>SUMPRODUCT($CI$4:$CI$6,F99:F101)</f>
        <v>-6.3236944519661636E-2</v>
      </c>
      <c r="G98" s="872">
        <f>SUMPRODUCT($CI$4:$CI$6,G99:G101)</f>
        <v>0.11497504599305666</v>
      </c>
      <c r="H98" s="873">
        <f>SUMPRODUCT($CI$4:$CI$6,H99:H101)</f>
        <v>0.47138685522503482</v>
      </c>
      <c r="I98" s="884"/>
      <c r="J98" s="884"/>
      <c r="K98" s="884"/>
      <c r="L98" s="884"/>
      <c r="M98" s="884"/>
      <c r="N98" s="884"/>
      <c r="O98" s="884"/>
      <c r="P98" s="884"/>
      <c r="Q98" s="884"/>
      <c r="R98" s="884"/>
      <c r="S98" s="884"/>
      <c r="T98" s="884"/>
      <c r="U98" s="884"/>
      <c r="V98" s="884"/>
      <c r="W98" s="884"/>
      <c r="X98" s="879"/>
      <c r="Y98" s="879">
        <f>1/'Input data plant-based products'!E122*10^4</f>
        <v>0.45482425581886088</v>
      </c>
      <c r="Z98" s="877">
        <f>$Y98*'Input data plant-based products'!Z122</f>
        <v>0.45482425581886088</v>
      </c>
      <c r="AA98" s="877">
        <f>$Y98*'Input data plant-based products'!AA122</f>
        <v>0.45482425581886088</v>
      </c>
      <c r="AB98" s="877">
        <f>$Y98*'Input data plant-based products'!AB122</f>
        <v>0.45482425581886088</v>
      </c>
      <c r="AC98" s="877">
        <f>$Y98*'Input data plant-based products'!AC122</f>
        <v>0.54281448361243689</v>
      </c>
      <c r="AD98" s="886">
        <f>$Y98*'Input data plant-based products'!AD122</f>
        <v>0.6701413377931319</v>
      </c>
      <c r="AE98" s="877"/>
      <c r="AF98" s="879">
        <f>SUM('Input data plant-based products'!F122,'Input data plant-based products'!Q122)/'Input data plant-based products'!E122</f>
        <v>1.1825430651290382E-2</v>
      </c>
      <c r="AG98" s="877">
        <f>$AF98*'Input data plant-based products'!Z122</f>
        <v>1.1825430651290382E-2</v>
      </c>
      <c r="AH98" s="877">
        <f>$AF98*'Input data plant-based products'!AA122</f>
        <v>1.1825430651290382E-2</v>
      </c>
      <c r="AI98" s="877">
        <f>$AF98*'Input data plant-based products'!AB122</f>
        <v>1.1825430651290382E-2</v>
      </c>
      <c r="AJ98" s="877">
        <f>$AF98*'Input data plant-based products'!AC122</f>
        <v>1.4113176573923358E-2</v>
      </c>
      <c r="AK98" s="886">
        <f>$AF98*'Input data plant-based products'!AD122</f>
        <v>1.742367478262143E-2</v>
      </c>
      <c r="AL98" s="877"/>
      <c r="AM98" s="879">
        <f>'Input data plant-based products'!R122/'Input data plant-based products'!E122</f>
        <v>3.4111819186414564E-3</v>
      </c>
      <c r="AN98" s="877">
        <f>$AM98*'Input data plant-based products'!Z122</f>
        <v>3.4111819186414564E-3</v>
      </c>
      <c r="AO98" s="877">
        <f>$AM98*'Input data plant-based products'!AA122</f>
        <v>3.4111819186414564E-3</v>
      </c>
      <c r="AP98" s="877">
        <f>$AM98*'Input data plant-based products'!AB122</f>
        <v>3.4111819186414564E-3</v>
      </c>
      <c r="AQ98" s="877">
        <f>$AM98*'Input data plant-based products'!AC122</f>
        <v>4.0711086270932761E-3</v>
      </c>
      <c r="AR98" s="886">
        <f>$AM98*'Input data plant-based products'!AD122</f>
        <v>5.0260600334484885E-3</v>
      </c>
      <c r="AS98" s="877"/>
      <c r="AT98" s="879">
        <f>'Input data plant-based products'!S122</f>
        <v>0.16</v>
      </c>
      <c r="AU98" s="877">
        <f>$AT98*'Input data plant-based products'!Z122</f>
        <v>0.16</v>
      </c>
      <c r="AV98" s="877">
        <f>$AT98*'Input data plant-based products'!AA122</f>
        <v>0.16</v>
      </c>
      <c r="AW98" s="877">
        <f>$AT98*'Input data plant-based products'!AB122</f>
        <v>0.16</v>
      </c>
      <c r="AX98" s="877">
        <f>$AT98*'Input data plant-based products'!AC122</f>
        <v>0.19095357441222102</v>
      </c>
      <c r="AY98" s="886">
        <f>$AT98*'Input data plant-based products'!AD122</f>
        <v>0.23574515359533457</v>
      </c>
      <c r="AZ98" s="877"/>
      <c r="BA98" s="879">
        <f>((SUM('Input data plant-based products'!U122:Y122)*Y98)/('Common input data'!$B$192/10^6))/$BB$3</f>
        <v>7.705704328219429E-10</v>
      </c>
      <c r="BB98" s="877">
        <f>$BA98*'Input data plant-based products'!Z122</f>
        <v>7.705704328219429E-10</v>
      </c>
      <c r="BC98" s="877">
        <f>$BA98*'Input data plant-based products'!AA122</f>
        <v>7.705704328219429E-10</v>
      </c>
      <c r="BD98" s="877">
        <f>$BA98*'Input data plant-based products'!AB122</f>
        <v>7.705704328219429E-10</v>
      </c>
      <c r="BE98" s="877">
        <f>$BA98*'Input data plant-based products'!AC122</f>
        <v>9.1964486552326401E-10</v>
      </c>
      <c r="BF98" s="886">
        <f>$BA98*'Input data plant-based products'!AD122</f>
        <v>1.1353640315102023E-9</v>
      </c>
      <c r="BG98" s="877"/>
      <c r="BH98" s="879">
        <f>'Input data plant-based products'!T122/'Input data plant-based products'!E122</f>
        <v>3.8205237488784317E-4</v>
      </c>
      <c r="BI98" s="877">
        <f>$BH98*'Input data plant-based products'!Z122</f>
        <v>3.8205237488784317E-4</v>
      </c>
      <c r="BJ98" s="877">
        <f>$BH98*'Input data plant-based products'!AA122</f>
        <v>3.8205237488784317E-4</v>
      </c>
      <c r="BK98" s="877">
        <f>$BH98*'Input data plant-based products'!AB122</f>
        <v>3.8205237488784317E-4</v>
      </c>
      <c r="BL98" s="877">
        <f>$BH98*'Input data plant-based products'!AC122</f>
        <v>4.5596416623444705E-4</v>
      </c>
      <c r="BM98" s="886">
        <f>$BH98*'Input data plant-based products'!AD122</f>
        <v>5.6291872374623084E-4</v>
      </c>
      <c r="BN98" s="877"/>
      <c r="BO98" s="879">
        <f>('Input data plant-based products'!F122/'Input data plant-based products'!E122*'Common input data'!$B$195+'Input data plant-based products'!G122/'Input data plant-based products'!E122*'Common input data'!$B$196)/'Common input data'!$B$198</f>
        <v>3.0194739043797075E-4</v>
      </c>
      <c r="BP98" s="877">
        <f>$BO98*'Input data plant-based products'!Z122</f>
        <v>3.0194739043797075E-4</v>
      </c>
      <c r="BQ98" s="877">
        <f>$BO98*'Input data plant-based products'!AA122</f>
        <v>3.0194739043797075E-4</v>
      </c>
      <c r="BR98" s="877">
        <f>$BO98*'Input data plant-based products'!AB122</f>
        <v>3.0194739043797075E-4</v>
      </c>
      <c r="BS98" s="877">
        <f>$BO98*'Input data plant-based products'!AC122</f>
        <v>3.6036208430358124E-4</v>
      </c>
      <c r="BT98" s="886">
        <f>$BO98*'Input data plant-based products'!AD122</f>
        <v>4.4489146210318671E-4</v>
      </c>
      <c r="BU98" s="877"/>
      <c r="BV98" s="879">
        <f>('Common input data'!$C$202+'Common input data'!$B$210)*'Input data plant-based products'!AC122</f>
        <v>1.4837092731829575</v>
      </c>
      <c r="BW98" s="886">
        <f>('Common input data'!$C$202+'Common input data'!$B$210)*'Input data plant-based products'!AD122</f>
        <v>1.8317398434357497</v>
      </c>
    </row>
    <row r="99" spans="1:75" s="406" customFormat="1" ht="17.25">
      <c r="A99" s="499"/>
      <c r="B99" s="55"/>
      <c r="C99" s="917"/>
      <c r="D99" s="5"/>
      <c r="E99" s="1294" t="s">
        <v>317</v>
      </c>
      <c r="F99" s="928">
        <f>IF(AND($G$2="No",$G$3="No"),SUM(K99:L99),IF(AND($G$2="Yes", $G$3="No"), SUM(K99:L99)+S99, IF(AND($G$2="No", $G$3="Yes"),SUM(K99:L99)+R99, SUM(K99:L99)+S99+R99)))</f>
        <v>-9.1139048141381296E-2</v>
      </c>
      <c r="G99" s="877">
        <f>IF(AND($G$2="No",$G$3="No"),SUM(I99:Q99),IF(AND($G$2="Yes", $G$3="No"), SUM(I99:Q99)+S99, IF(AND($G$2="No", $G$3="Yes"),SUM(I99:Q99)+R99, SUM(I99:Q99)+S99+R99)))</f>
        <v>5.7692703328700717E-2</v>
      </c>
      <c r="H99" s="878">
        <f>SUM(U99:W99)/(1-'Common input data'!$B$140)</f>
        <v>0.40302267970963207</v>
      </c>
      <c r="I99" s="877">
        <f>('Input data plant-based products'!$F$122*('Common input data'!$C$93*'Common input data'!B86+'Common input data'!$C$94*'Common input data'!C86))/'Input data plant-based products'!$E$122</f>
        <v>4.4522450188837395E-2</v>
      </c>
      <c r="J99" s="877">
        <f>'Common input data'!$B$98</f>
        <v>0.03</v>
      </c>
      <c r="K99" s="877">
        <v>0</v>
      </c>
      <c r="L99" s="877">
        <v>0</v>
      </c>
      <c r="M99" s="877"/>
      <c r="N99" s="877">
        <f>('Input data plant-based products'!$P$122*'Common input data'!$C$76*'Common input data'!H66)/'Input data plant-based products'!$E$122</f>
        <v>2.4309301281244616E-2</v>
      </c>
      <c r="O99" s="877">
        <v>0</v>
      </c>
      <c r="P99" s="877">
        <f>'Input data plant-based products'!$F$309</f>
        <v>0.05</v>
      </c>
      <c r="Q99" s="877">
        <v>0</v>
      </c>
      <c r="R99" s="877">
        <f>'Common input data'!$F$19</f>
        <v>-9.1139048141381296E-2</v>
      </c>
      <c r="S99" s="877">
        <v>0</v>
      </c>
      <c r="T99" s="877">
        <v>0</v>
      </c>
      <c r="U99" s="877">
        <f>G99+T99</f>
        <v>5.7692703328700717E-2</v>
      </c>
      <c r="V99" s="877">
        <f>'Common input data'!$B$105</f>
        <v>0.05</v>
      </c>
      <c r="W99" s="877">
        <f>'Common input data'!B117+'Common input data'!C117</f>
        <v>0.23</v>
      </c>
      <c r="X99" s="879"/>
      <c r="Y99" s="879"/>
      <c r="Z99" s="877"/>
      <c r="AA99" s="877"/>
      <c r="AB99" s="877"/>
      <c r="AC99" s="877"/>
      <c r="AD99" s="886"/>
      <c r="AE99" s="877"/>
      <c r="AF99" s="879"/>
      <c r="AG99" s="877"/>
      <c r="AH99" s="877"/>
      <c r="AI99" s="877"/>
      <c r="AJ99" s="877"/>
      <c r="AK99" s="886"/>
      <c r="AL99" s="877"/>
      <c r="AM99" s="879"/>
      <c r="AN99" s="877"/>
      <c r="AO99" s="877"/>
      <c r="AP99" s="877"/>
      <c r="AQ99" s="877"/>
      <c r="AR99" s="886"/>
      <c r="AS99" s="877"/>
      <c r="AT99" s="879"/>
      <c r="AU99" s="877"/>
      <c r="AV99" s="877"/>
      <c r="AW99" s="877"/>
      <c r="AX99" s="877"/>
      <c r="AY99" s="886"/>
      <c r="AZ99" s="877"/>
      <c r="BA99" s="879"/>
      <c r="BB99" s="877"/>
      <c r="BC99" s="877"/>
      <c r="BD99" s="877"/>
      <c r="BE99" s="877"/>
      <c r="BF99" s="886"/>
      <c r="BG99" s="877"/>
      <c r="BH99" s="879"/>
      <c r="BI99" s="877"/>
      <c r="BJ99" s="877"/>
      <c r="BK99" s="877"/>
      <c r="BL99" s="877"/>
      <c r="BM99" s="886"/>
      <c r="BN99" s="877"/>
      <c r="BO99" s="879"/>
      <c r="BP99" s="877"/>
      <c r="BQ99" s="877"/>
      <c r="BR99" s="877"/>
      <c r="BS99" s="877"/>
      <c r="BT99" s="886"/>
      <c r="BU99" s="877"/>
      <c r="BV99" s="879"/>
      <c r="BW99" s="886"/>
    </row>
    <row r="100" spans="1:75" s="406" customFormat="1" ht="17.25">
      <c r="A100" s="18"/>
      <c r="B100" s="55"/>
      <c r="C100" s="595"/>
      <c r="D100" s="50"/>
      <c r="E100" s="1294" t="s">
        <v>367</v>
      </c>
      <c r="F100" s="928">
        <f>SUM(K100:L100)</f>
        <v>0</v>
      </c>
      <c r="G100" s="877">
        <f>SUM(I100:Q100)</f>
        <v>9.244242557827952E-5</v>
      </c>
      <c r="H100" s="878">
        <f>SUM(U100:W100)/(1-'Common input data'!$B$140)</f>
        <v>1.1032632244692627E-4</v>
      </c>
      <c r="I100" s="877">
        <f>('Input data plant-based products'!$F$122*('Common input data'!$C$93*'Common input data'!B87+'Common input data'!$C$94*'Common input data'!C87))/'Input data plant-based products'!$E$122</f>
        <v>8.1674224813154967E-5</v>
      </c>
      <c r="J100" s="877">
        <v>0</v>
      </c>
      <c r="K100" s="877">
        <v>0</v>
      </c>
      <c r="L100" s="877">
        <v>0</v>
      </c>
      <c r="M100" s="877"/>
      <c r="N100" s="877">
        <f>('Input data plant-based products'!$P$122*'Common input data'!$C$76*'Common input data'!H67)/'Input data plant-based products'!$E$122</f>
        <v>1.0768200765124559E-5</v>
      </c>
      <c r="O100" s="877">
        <v>0</v>
      </c>
      <c r="P100" s="877">
        <v>0</v>
      </c>
      <c r="Q100" s="877">
        <v>0</v>
      </c>
      <c r="R100" s="877">
        <v>0</v>
      </c>
      <c r="S100" s="877">
        <v>0</v>
      </c>
      <c r="T100" s="877">
        <v>0</v>
      </c>
      <c r="U100" s="877">
        <f>G100+T100</f>
        <v>9.244242557827952E-5</v>
      </c>
      <c r="V100" s="877">
        <v>0</v>
      </c>
      <c r="W100" s="877">
        <v>0</v>
      </c>
      <c r="X100" s="879"/>
      <c r="Y100" s="879"/>
      <c r="Z100" s="877"/>
      <c r="AA100" s="877"/>
      <c r="AB100" s="877"/>
      <c r="AC100" s="877"/>
      <c r="AD100" s="886"/>
      <c r="AE100" s="877"/>
      <c r="AF100" s="879"/>
      <c r="AG100" s="877"/>
      <c r="AH100" s="877"/>
      <c r="AI100" s="877"/>
      <c r="AJ100" s="877"/>
      <c r="AK100" s="886"/>
      <c r="AL100" s="877"/>
      <c r="AM100" s="879"/>
      <c r="AN100" s="877"/>
      <c r="AO100" s="877"/>
      <c r="AP100" s="877"/>
      <c r="AQ100" s="877"/>
      <c r="AR100" s="886"/>
      <c r="AS100" s="877"/>
      <c r="AT100" s="879"/>
      <c r="AU100" s="877"/>
      <c r="AV100" s="877"/>
      <c r="AW100" s="877"/>
      <c r="AX100" s="877"/>
      <c r="AY100" s="886"/>
      <c r="AZ100" s="877"/>
      <c r="BA100" s="879"/>
      <c r="BB100" s="877"/>
      <c r="BC100" s="877"/>
      <c r="BD100" s="877"/>
      <c r="BE100" s="877"/>
      <c r="BF100" s="886"/>
      <c r="BG100" s="877"/>
      <c r="BH100" s="879"/>
      <c r="BI100" s="877"/>
      <c r="BJ100" s="877"/>
      <c r="BK100" s="877"/>
      <c r="BL100" s="877"/>
      <c r="BM100" s="886"/>
      <c r="BN100" s="877"/>
      <c r="BO100" s="879"/>
      <c r="BP100" s="877"/>
      <c r="BQ100" s="877"/>
      <c r="BR100" s="877"/>
      <c r="BS100" s="877"/>
      <c r="BT100" s="886"/>
      <c r="BU100" s="877"/>
      <c r="BV100" s="879"/>
      <c r="BW100" s="886"/>
    </row>
    <row r="101" spans="1:75" s="406" customFormat="1" ht="17.25">
      <c r="A101" s="359"/>
      <c r="B101" s="360"/>
      <c r="C101" s="83"/>
      <c r="D101" s="54"/>
      <c r="E101" s="1295" t="s">
        <v>320</v>
      </c>
      <c r="F101" s="928">
        <f>SUM(K101:L101)</f>
        <v>1.022055077718669E-4</v>
      </c>
      <c r="G101" s="877">
        <f>SUM(I101:Q101)</f>
        <v>2.0068277353019193E-4</v>
      </c>
      <c r="H101" s="878">
        <f>SUM(U101:W101)/(1-'Common input data'!$B$140)</f>
        <v>2.3950683080342753E-4</v>
      </c>
      <c r="I101" s="877">
        <f>('Input data plant-based products'!$F$122*('Common input data'!$C$93*'Common input data'!B88+'Common input data'!$C$94*'Common input data'!C88))/'Input data plant-based products'!$E$122</f>
        <v>9.7824065355088194E-5</v>
      </c>
      <c r="J101" s="877">
        <v>0</v>
      </c>
      <c r="K101" s="877">
        <f>(SUM('Input data plant-based products'!F122:H122)*'Input data plant-based products'!$B$260*44/28)/'Input data plant-based products'!E122</f>
        <v>9.2914097974424457E-5</v>
      </c>
      <c r="L101" s="877">
        <f>K101*'Input data plant-based products'!$B$261</f>
        <v>9.2914097974424463E-6</v>
      </c>
      <c r="M101" s="877"/>
      <c r="N101" s="877">
        <f>('Input data plant-based products'!$P$122*'Common input data'!$C$76*'Common input data'!H68)/'Input data plant-based products'!$E$122</f>
        <v>6.532004032368153E-7</v>
      </c>
      <c r="O101" s="877">
        <v>0</v>
      </c>
      <c r="P101" s="877">
        <v>0</v>
      </c>
      <c r="Q101" s="877">
        <v>0</v>
      </c>
      <c r="R101" s="877">
        <v>0</v>
      </c>
      <c r="S101" s="877">
        <v>0</v>
      </c>
      <c r="T101" s="877">
        <v>0</v>
      </c>
      <c r="U101" s="877">
        <f>G101+T101</f>
        <v>2.0068277353019193E-4</v>
      </c>
      <c r="V101" s="877">
        <v>0</v>
      </c>
      <c r="W101" s="877">
        <v>0</v>
      </c>
      <c r="X101" s="879"/>
      <c r="Y101" s="879"/>
      <c r="Z101" s="877"/>
      <c r="AA101" s="877"/>
      <c r="AB101" s="877"/>
      <c r="AC101" s="877"/>
      <c r="AD101" s="886"/>
      <c r="AE101" s="877"/>
      <c r="AF101" s="879"/>
      <c r="AG101" s="877"/>
      <c r="AH101" s="877"/>
      <c r="AI101" s="877"/>
      <c r="AJ101" s="877"/>
      <c r="AK101" s="886"/>
      <c r="AL101" s="877"/>
      <c r="AM101" s="879"/>
      <c r="AN101" s="877"/>
      <c r="AO101" s="877"/>
      <c r="AP101" s="877"/>
      <c r="AQ101" s="877"/>
      <c r="AR101" s="886"/>
      <c r="AS101" s="877"/>
      <c r="AT101" s="879"/>
      <c r="AU101" s="877"/>
      <c r="AV101" s="877"/>
      <c r="AW101" s="877"/>
      <c r="AX101" s="877"/>
      <c r="AY101" s="886"/>
      <c r="AZ101" s="877"/>
      <c r="BA101" s="879"/>
      <c r="BB101" s="877"/>
      <c r="BC101" s="877"/>
      <c r="BD101" s="877"/>
      <c r="BE101" s="877"/>
      <c r="BF101" s="886"/>
      <c r="BG101" s="877"/>
      <c r="BH101" s="879"/>
      <c r="BI101" s="877"/>
      <c r="BJ101" s="877"/>
      <c r="BK101" s="877"/>
      <c r="BL101" s="877"/>
      <c r="BM101" s="886"/>
      <c r="BN101" s="877"/>
      <c r="BO101" s="879"/>
      <c r="BP101" s="877"/>
      <c r="BQ101" s="877"/>
      <c r="BR101" s="877"/>
      <c r="BS101" s="877"/>
      <c r="BT101" s="886"/>
      <c r="BU101" s="877"/>
      <c r="BV101" s="879"/>
      <c r="BW101" s="886"/>
    </row>
    <row r="102" spans="1:75" s="406" customFormat="1" ht="17.25">
      <c r="A102" s="20" t="s">
        <v>134</v>
      </c>
      <c r="B102" s="93" t="s">
        <v>121</v>
      </c>
      <c r="C102" s="87">
        <f>'Input data plant-based products'!D123</f>
        <v>0.55841929333477669</v>
      </c>
      <c r="D102" s="54"/>
      <c r="E102" s="1293" t="s">
        <v>316</v>
      </c>
      <c r="F102" s="930">
        <f>SUMPRODUCT($CI$4:$CI$6,F103:F105)</f>
        <v>-6.0553531744236277E-2</v>
      </c>
      <c r="G102" s="872">
        <f>SUMPRODUCT($CI$4:$CI$6,G103:G105)</f>
        <v>9.1944315426380346E-2</v>
      </c>
      <c r="H102" s="873">
        <f>SUMPRODUCT($CI$4:$CI$6,H103:H105)</f>
        <v>0.78481847991983689</v>
      </c>
      <c r="I102" s="884"/>
      <c r="J102" s="884"/>
      <c r="K102" s="884"/>
      <c r="L102" s="884"/>
      <c r="M102" s="884"/>
      <c r="N102" s="884"/>
      <c r="O102" s="884"/>
      <c r="P102" s="884"/>
      <c r="Q102" s="884"/>
      <c r="R102" s="884"/>
      <c r="S102" s="884"/>
      <c r="T102" s="884"/>
      <c r="U102" s="884"/>
      <c r="V102" s="884"/>
      <c r="W102" s="884"/>
      <c r="X102" s="879"/>
      <c r="Y102" s="879">
        <f>1/'Input data plant-based products'!E123*10^4</f>
        <v>0.55274620118526463</v>
      </c>
      <c r="Z102" s="877">
        <f>$Y102*'Input data plant-based products'!Z123</f>
        <v>0.55274620118526463</v>
      </c>
      <c r="AA102" s="877">
        <f>$Y102*'Input data plant-based products'!AA123</f>
        <v>0.55274620118526463</v>
      </c>
      <c r="AB102" s="877">
        <f>$Y102*'Input data plant-based products'!AB123</f>
        <v>0.55274620118526463</v>
      </c>
      <c r="AC102" s="877">
        <f>$Y102*'Input data plant-based products'!AC123</f>
        <v>0.75847494536646431</v>
      </c>
      <c r="AD102" s="886">
        <f>$Y102*'Input data plant-based products'!AD123</f>
        <v>0.9363888214400794</v>
      </c>
      <c r="AE102" s="877"/>
      <c r="AF102" s="879">
        <f>SUM('Input data plant-based products'!F123,'Input data plant-based products'!Q123)/'Input data plant-based products'!E123</f>
        <v>6.0665623537287999E-3</v>
      </c>
      <c r="AG102" s="877">
        <f>$AF102*'Input data plant-based products'!Z123</f>
        <v>6.0665623537287999E-3</v>
      </c>
      <c r="AH102" s="877">
        <f>$AF102*'Input data plant-based products'!AA123</f>
        <v>6.0665623537287999E-3</v>
      </c>
      <c r="AI102" s="877">
        <f>$AF102*'Input data plant-based products'!AB123</f>
        <v>6.0665623537287999E-3</v>
      </c>
      <c r="AJ102" s="877">
        <f>$AF102*'Input data plant-based products'!AC123</f>
        <v>8.3244996346242914E-3</v>
      </c>
      <c r="AK102" s="886">
        <f>$AF102*'Input data plant-based products'!AD123</f>
        <v>1.0277160042746038E-2</v>
      </c>
      <c r="AL102" s="877"/>
      <c r="AM102" s="879">
        <f>'Input data plant-based products'!R123/'Input data plant-based products'!E123</f>
        <v>2.16666666666667E-3</v>
      </c>
      <c r="AN102" s="877">
        <f>$AM102*'Input data plant-based products'!Z123</f>
        <v>2.16666666666667E-3</v>
      </c>
      <c r="AO102" s="877">
        <f>$AM102*'Input data plant-based products'!AA123</f>
        <v>2.16666666666667E-3</v>
      </c>
      <c r="AP102" s="877">
        <f>$AM102*'Input data plant-based products'!AB123</f>
        <v>2.16666666666667E-3</v>
      </c>
      <c r="AQ102" s="877">
        <f>$AM102*'Input data plant-based products'!AC123</f>
        <v>2.9730867043562623E-3</v>
      </c>
      <c r="AR102" s="886">
        <f>$AM102*'Input data plant-based products'!AD123</f>
        <v>3.6704774127855086E-3</v>
      </c>
      <c r="AS102" s="877"/>
      <c r="AT102" s="879">
        <f>'Input data plant-based products'!S123</f>
        <v>0.1095213418340492</v>
      </c>
      <c r="AU102" s="877">
        <f>$AT102*'Input data plant-based products'!Z123</f>
        <v>0.1095213418340492</v>
      </c>
      <c r="AV102" s="877">
        <f>$AT102*'Input data plant-based products'!AA123</f>
        <v>0.1095213418340492</v>
      </c>
      <c r="AW102" s="877">
        <f>$AT102*'Input data plant-based products'!AB123</f>
        <v>0.1095213418340492</v>
      </c>
      <c r="AX102" s="877">
        <f>$AT102*'Input data plant-based products'!AC123</f>
        <v>0.15028451319233929</v>
      </c>
      <c r="AY102" s="886">
        <f>$AT102*'Input data plant-based products'!AD123</f>
        <v>0.18553643603992503</v>
      </c>
      <c r="AZ102" s="877"/>
      <c r="BA102" s="879">
        <f>((SUM('Input data plant-based products'!U123:Y123)*Y102)/('Common input data'!$B$192/10^6))/$BB$3</f>
        <v>9.3647133819012008E-10</v>
      </c>
      <c r="BB102" s="877">
        <f>$BA102*'Input data plant-based products'!Z123</f>
        <v>9.3647133819012008E-10</v>
      </c>
      <c r="BC102" s="877">
        <f>$BA102*'Input data plant-based products'!AA123</f>
        <v>9.3647133819012008E-10</v>
      </c>
      <c r="BD102" s="877">
        <f>$BA102*'Input data plant-based products'!AB123</f>
        <v>9.3647133819012008E-10</v>
      </c>
      <c r="BE102" s="877">
        <f>$BA102*'Input data plant-based products'!AC123</f>
        <v>1.2850202236540424E-9</v>
      </c>
      <c r="BF102" s="886">
        <f>$BA102*'Input data plant-based products'!AD123</f>
        <v>1.5864447205605461E-9</v>
      </c>
      <c r="BG102" s="877"/>
      <c r="BH102" s="879">
        <f>'Input data plant-based products'!T123/'Input data plant-based products'!E123</f>
        <v>4.6768593077220147E-4</v>
      </c>
      <c r="BI102" s="877">
        <f>$BH102*'Input data plant-based products'!Z123</f>
        <v>4.6768593077220147E-4</v>
      </c>
      <c r="BJ102" s="877">
        <f>$BH102*'Input data plant-based products'!AA123</f>
        <v>4.6768593077220147E-4</v>
      </c>
      <c r="BK102" s="877">
        <f>$BH102*'Input data plant-based products'!AB123</f>
        <v>4.6768593077220147E-4</v>
      </c>
      <c r="BL102" s="877">
        <f>$BH102*'Input data plant-based products'!AC123</f>
        <v>6.4175576427383696E-4</v>
      </c>
      <c r="BM102" s="886">
        <f>$BH102*'Input data plant-based products'!AD123</f>
        <v>7.9229106700473692E-4</v>
      </c>
      <c r="BN102" s="877"/>
      <c r="BO102" s="879">
        <f>('Input data plant-based products'!F123/'Input data plant-based products'!E123*'Common input data'!$B$195+'Input data plant-based products'!G123/'Input data plant-based products'!E123*'Common input data'!$B$196)/'Common input data'!$B$198</f>
        <v>2.3529435994182782E-4</v>
      </c>
      <c r="BP102" s="877">
        <f>$BO102*'Input data plant-based products'!Z123</f>
        <v>2.3529435994182782E-4</v>
      </c>
      <c r="BQ102" s="877">
        <f>$BO102*'Input data plant-based products'!AA123</f>
        <v>2.3529435994182782E-4</v>
      </c>
      <c r="BR102" s="877">
        <f>$BO102*'Input data plant-based products'!AB123</f>
        <v>2.3529435994182782E-4</v>
      </c>
      <c r="BS102" s="877">
        <f>$BO102*'Input data plant-based products'!AC123</f>
        <v>3.2286947683987568E-4</v>
      </c>
      <c r="BT102" s="886">
        <f>$BO102*'Input data plant-based products'!AD123</f>
        <v>3.9860429239490819E-4</v>
      </c>
      <c r="BU102" s="877"/>
      <c r="BV102" s="879">
        <f>('Common input data'!$C$202+'Common input data'!$B$228)*'Input data plant-based products'!AC123</f>
        <v>7.7562421752278485</v>
      </c>
      <c r="BW102" s="886">
        <f>('Common input data'!$C$202+'Common input data'!$B$228)*'Input data plant-based products'!AD123</f>
        <v>9.5756076237380832</v>
      </c>
    </row>
    <row r="103" spans="1:75" s="406" customFormat="1" ht="17.25">
      <c r="A103" s="68"/>
      <c r="B103" s="55"/>
      <c r="C103" s="917"/>
      <c r="D103" s="5"/>
      <c r="E103" s="1294" t="s">
        <v>317</v>
      </c>
      <c r="F103" s="928">
        <f>IF(AND($G$2="No",$G$3="No"),SUM(K103:L103),IF(AND($G$2="Yes", $G$3="No"), SUM(K103:L103)+S103, IF(AND($G$2="No", $G$3="Yes"),SUM(K103:L103)+R103, SUM(K103:L103)+S103+R103)))</f>
        <v>-9.1139048141381296E-2</v>
      </c>
      <c r="G103" s="877">
        <f>IF(AND($G$2="No",$G$3="No"),SUM(I103:Q103),IF(AND($G$2="Yes", $G$3="No"), SUM(I103:Q103)+S103, IF(AND($G$2="No", $G$3="Yes"),SUM(I103:Q103)+R103, SUM(I103:Q103)+S103+R103)))</f>
        <v>4.3783655495931273E-2</v>
      </c>
      <c r="H103" s="878">
        <f>SUM(U103:W103)/(1-'Common input data'!$I$140)</f>
        <v>0.71873271789880244</v>
      </c>
      <c r="I103" s="877">
        <f>('Input data plant-based products'!$F$123*('Common input data'!$D$93*'Common input data'!B86+'Common input data'!$D$94*'Common input data'!C86))/'Input data plant-based products'!$E$123</f>
        <v>2.5379701555146909E-2</v>
      </c>
      <c r="J103" s="877">
        <f>'Common input data'!$B$98</f>
        <v>0.03</v>
      </c>
      <c r="K103" s="877">
        <v>0</v>
      </c>
      <c r="L103" s="877">
        <v>0</v>
      </c>
      <c r="M103" s="877"/>
      <c r="N103" s="877">
        <f>('Input data plant-based products'!$P$123*'Common input data'!$C$76*'Common input data'!H66)/'Input data plant-based products'!$E$123</f>
        <v>2.9543002082165645E-2</v>
      </c>
      <c r="O103" s="877">
        <v>0</v>
      </c>
      <c r="P103" s="877">
        <f>'Input data plant-based products'!$F$309</f>
        <v>0.05</v>
      </c>
      <c r="Q103" s="877">
        <v>0</v>
      </c>
      <c r="R103" s="877">
        <f>'Common input data'!$F$19</f>
        <v>-9.1139048141381296E-2</v>
      </c>
      <c r="S103" s="877">
        <v>0</v>
      </c>
      <c r="T103" s="877">
        <v>0</v>
      </c>
      <c r="U103" s="877">
        <f>G103+T103</f>
        <v>4.3783655495931273E-2</v>
      </c>
      <c r="V103" s="877">
        <f>'Common input data'!$B$105</f>
        <v>0.05</v>
      </c>
      <c r="W103" s="877">
        <f>'Common input data'!B128+'Common input data'!C128</f>
        <v>0.43000000000000005</v>
      </c>
      <c r="X103" s="879"/>
      <c r="Y103" s="879"/>
      <c r="Z103" s="877"/>
      <c r="AA103" s="877"/>
      <c r="AB103" s="877"/>
      <c r="AC103" s="877"/>
      <c r="AD103" s="886"/>
      <c r="AE103" s="877"/>
      <c r="AF103" s="879"/>
      <c r="AG103" s="877"/>
      <c r="AH103" s="877"/>
      <c r="AI103" s="877"/>
      <c r="AJ103" s="877"/>
      <c r="AK103" s="886"/>
      <c r="AL103" s="877"/>
      <c r="AM103" s="879"/>
      <c r="AN103" s="877"/>
      <c r="AO103" s="877"/>
      <c r="AP103" s="877"/>
      <c r="AQ103" s="877"/>
      <c r="AR103" s="886"/>
      <c r="AS103" s="877"/>
      <c r="AT103" s="879"/>
      <c r="AU103" s="877"/>
      <c r="AV103" s="877"/>
      <c r="AW103" s="877"/>
      <c r="AX103" s="877"/>
      <c r="AY103" s="886"/>
      <c r="AZ103" s="877"/>
      <c r="BA103" s="879"/>
      <c r="BB103" s="877"/>
      <c r="BC103" s="877"/>
      <c r="BD103" s="877"/>
      <c r="BE103" s="877"/>
      <c r="BF103" s="886"/>
      <c r="BG103" s="877"/>
      <c r="BH103" s="879"/>
      <c r="BI103" s="877"/>
      <c r="BJ103" s="877"/>
      <c r="BK103" s="877"/>
      <c r="BL103" s="877"/>
      <c r="BM103" s="886"/>
      <c r="BN103" s="877"/>
      <c r="BO103" s="879"/>
      <c r="BP103" s="877"/>
      <c r="BQ103" s="877"/>
      <c r="BR103" s="877"/>
      <c r="BS103" s="877"/>
      <c r="BT103" s="886"/>
      <c r="BU103" s="877"/>
      <c r="BV103" s="879"/>
      <c r="BW103" s="886"/>
    </row>
    <row r="104" spans="1:75" s="406" customFormat="1" ht="17.25">
      <c r="A104" s="68"/>
      <c r="B104" s="55"/>
      <c r="C104" s="595"/>
      <c r="D104" s="50"/>
      <c r="E104" s="1294" t="s">
        <v>367</v>
      </c>
      <c r="F104" s="928">
        <f>SUM(K104:L104)</f>
        <v>0</v>
      </c>
      <c r="G104" s="877">
        <f>SUM(I104:Q104)</f>
        <v>6.6957572772510657E-5</v>
      </c>
      <c r="H104" s="878">
        <f>SUM(U104:W104)/(1-'Common input data'!$I$140)</f>
        <v>9.1878770476577548E-5</v>
      </c>
      <c r="I104" s="877">
        <f>('Input data plant-based products'!$F$123*('Common input data'!$D$93*'Common input data'!B87+'Common input data'!$D$94*'Common input data'!C87))/'Input data plant-based products'!$E$123</f>
        <v>5.38710190314249E-5</v>
      </c>
      <c r="J104" s="877">
        <v>0</v>
      </c>
      <c r="K104" s="877">
        <v>0</v>
      </c>
      <c r="L104" s="877">
        <v>0</v>
      </c>
      <c r="M104" s="877"/>
      <c r="N104" s="877">
        <f>('Input data plant-based products'!$P$123*'Common input data'!$C$76*'Common input data'!H67)/'Input data plant-based products'!$E$123</f>
        <v>1.3086553741085759E-5</v>
      </c>
      <c r="O104" s="877">
        <v>0</v>
      </c>
      <c r="P104" s="877">
        <v>0</v>
      </c>
      <c r="Q104" s="877">
        <v>0</v>
      </c>
      <c r="R104" s="877">
        <v>0</v>
      </c>
      <c r="S104" s="877">
        <v>0</v>
      </c>
      <c r="T104" s="877">
        <v>0</v>
      </c>
      <c r="U104" s="877">
        <f>G104+T104</f>
        <v>6.6957572772510657E-5</v>
      </c>
      <c r="V104" s="877">
        <v>0</v>
      </c>
      <c r="W104" s="877">
        <v>0</v>
      </c>
      <c r="X104" s="879"/>
      <c r="Y104" s="879"/>
      <c r="Z104" s="877"/>
      <c r="AA104" s="877"/>
      <c r="AB104" s="877"/>
      <c r="AC104" s="877"/>
      <c r="AD104" s="886"/>
      <c r="AE104" s="877"/>
      <c r="AF104" s="879"/>
      <c r="AG104" s="877"/>
      <c r="AH104" s="877"/>
      <c r="AI104" s="877"/>
      <c r="AJ104" s="877"/>
      <c r="AK104" s="886"/>
      <c r="AL104" s="877"/>
      <c r="AM104" s="879"/>
      <c r="AN104" s="877"/>
      <c r="AO104" s="877"/>
      <c r="AP104" s="877"/>
      <c r="AQ104" s="877"/>
      <c r="AR104" s="886"/>
      <c r="AS104" s="877"/>
      <c r="AT104" s="879"/>
      <c r="AU104" s="877"/>
      <c r="AV104" s="877"/>
      <c r="AW104" s="877"/>
      <c r="AX104" s="877"/>
      <c r="AY104" s="886"/>
      <c r="AZ104" s="877"/>
      <c r="BA104" s="879"/>
      <c r="BB104" s="877"/>
      <c r="BC104" s="877"/>
      <c r="BD104" s="877"/>
      <c r="BE104" s="877"/>
      <c r="BF104" s="886"/>
      <c r="BG104" s="877"/>
      <c r="BH104" s="879"/>
      <c r="BI104" s="877"/>
      <c r="BJ104" s="877"/>
      <c r="BK104" s="877"/>
      <c r="BL104" s="877"/>
      <c r="BM104" s="886"/>
      <c r="BN104" s="877"/>
      <c r="BO104" s="879"/>
      <c r="BP104" s="877"/>
      <c r="BQ104" s="877"/>
      <c r="BR104" s="877"/>
      <c r="BS104" s="877"/>
      <c r="BT104" s="886"/>
      <c r="BU104" s="877"/>
      <c r="BV104" s="879"/>
      <c r="BW104" s="886"/>
    </row>
    <row r="105" spans="1:75" s="406" customFormat="1" ht="17.25">
      <c r="A105" s="359"/>
      <c r="B105" s="360"/>
      <c r="C105" s="83"/>
      <c r="D105" s="54"/>
      <c r="E105" s="1295" t="s">
        <v>320</v>
      </c>
      <c r="F105" s="932">
        <f>SUM(K105:L105)</f>
        <v>1.1203485859760079E-4</v>
      </c>
      <c r="G105" s="896">
        <f>SUM(I105:Q105)</f>
        <v>1.697904962109571E-4</v>
      </c>
      <c r="H105" s="933">
        <f>SUM(U105:W105)/(1-'Common input data'!$I$140)</f>
        <v>2.329854769896222E-4</v>
      </c>
      <c r="I105" s="877">
        <f>('Input data plant-based products'!$F$123*('Common input data'!$D$93*'Common input data'!B88+'Common input data'!$D$94*'Common input data'!C88))/'Input data plant-based products'!$E$123</f>
        <v>5.6961805629062104E-5</v>
      </c>
      <c r="J105" s="877">
        <v>0</v>
      </c>
      <c r="K105" s="877">
        <f>(SUM('Input data plant-based products'!F123:H123)*'Input data plant-based products'!$B$257*44/28)/'Input data plant-based products'!E123</f>
        <v>1.0184987145236435E-4</v>
      </c>
      <c r="L105" s="877">
        <f>K105*'Input data plant-based products'!$B$261</f>
        <v>1.0184987145236436E-5</v>
      </c>
      <c r="M105" s="877"/>
      <c r="N105" s="877">
        <f>('Input data plant-based products'!$P$123*'Common input data'!$C$76*'Common input data'!H68)/'Input data plant-based products'!$E$123</f>
        <v>7.9383198429422971E-7</v>
      </c>
      <c r="O105" s="877">
        <v>0</v>
      </c>
      <c r="P105" s="877">
        <v>0</v>
      </c>
      <c r="Q105" s="877">
        <v>0</v>
      </c>
      <c r="R105" s="877">
        <v>0</v>
      </c>
      <c r="S105" s="877">
        <v>0</v>
      </c>
      <c r="T105" s="877">
        <v>0</v>
      </c>
      <c r="U105" s="877">
        <f>G105+T105</f>
        <v>1.697904962109571E-4</v>
      </c>
      <c r="V105" s="877">
        <v>0</v>
      </c>
      <c r="W105" s="877">
        <v>0</v>
      </c>
      <c r="X105" s="879"/>
      <c r="Y105" s="879"/>
      <c r="Z105" s="877"/>
      <c r="AA105" s="877"/>
      <c r="AB105" s="877"/>
      <c r="AC105" s="877"/>
      <c r="AD105" s="886"/>
      <c r="AE105" s="877"/>
      <c r="AF105" s="879"/>
      <c r="AG105" s="877"/>
      <c r="AH105" s="877"/>
      <c r="AI105" s="877"/>
      <c r="AJ105" s="877"/>
      <c r="AK105" s="886"/>
      <c r="AL105" s="877"/>
      <c r="AM105" s="879"/>
      <c r="AN105" s="877"/>
      <c r="AO105" s="877"/>
      <c r="AP105" s="877"/>
      <c r="AQ105" s="877"/>
      <c r="AR105" s="886"/>
      <c r="AS105" s="877"/>
      <c r="AT105" s="879"/>
      <c r="AU105" s="877"/>
      <c r="AV105" s="877"/>
      <c r="AW105" s="877"/>
      <c r="AX105" s="877"/>
      <c r="AY105" s="886"/>
      <c r="AZ105" s="877"/>
      <c r="BA105" s="879"/>
      <c r="BB105" s="877"/>
      <c r="BC105" s="877"/>
      <c r="BD105" s="877"/>
      <c r="BE105" s="877"/>
      <c r="BF105" s="886"/>
      <c r="BG105" s="877"/>
      <c r="BH105" s="879"/>
      <c r="BI105" s="877"/>
      <c r="BJ105" s="877"/>
      <c r="BK105" s="877"/>
      <c r="BL105" s="877"/>
      <c r="BM105" s="886"/>
      <c r="BN105" s="877"/>
      <c r="BO105" s="879"/>
      <c r="BP105" s="877"/>
      <c r="BQ105" s="877"/>
      <c r="BR105" s="877"/>
      <c r="BS105" s="877"/>
      <c r="BT105" s="886"/>
      <c r="BU105" s="877"/>
      <c r="BV105" s="879"/>
      <c r="BW105" s="886"/>
    </row>
    <row r="106" spans="1:75" s="406" customFormat="1" ht="17.25">
      <c r="A106" s="362" t="s">
        <v>512</v>
      </c>
      <c r="B106" s="363"/>
      <c r="C106" s="770"/>
      <c r="D106" s="54"/>
      <c r="E106" s="1296"/>
      <c r="F106" s="925" t="s">
        <v>513</v>
      </c>
      <c r="G106" s="1290" t="s">
        <v>513</v>
      </c>
      <c r="H106" s="870" t="s">
        <v>513</v>
      </c>
      <c r="I106" s="889"/>
      <c r="J106" s="889"/>
      <c r="K106" s="889"/>
      <c r="L106" s="889"/>
      <c r="M106" s="889"/>
      <c r="N106" s="889"/>
      <c r="O106" s="1305"/>
      <c r="P106" s="889"/>
      <c r="Q106" s="889"/>
      <c r="R106" s="889"/>
      <c r="S106" s="889"/>
      <c r="T106" s="889"/>
      <c r="U106" s="889"/>
      <c r="V106" s="889"/>
      <c r="W106" s="889"/>
      <c r="X106" s="879"/>
      <c r="Y106" s="879"/>
      <c r="Z106" s="877"/>
      <c r="AA106" s="877"/>
      <c r="AB106" s="877"/>
      <c r="AC106" s="877"/>
      <c r="AD106" s="886"/>
      <c r="AE106" s="877"/>
      <c r="AF106" s="879"/>
      <c r="AG106" s="877"/>
      <c r="AH106" s="877"/>
      <c r="AI106" s="877"/>
      <c r="AJ106" s="877"/>
      <c r="AK106" s="886"/>
      <c r="AL106" s="877"/>
      <c r="AM106" s="879"/>
      <c r="AN106" s="877"/>
      <c r="AO106" s="877"/>
      <c r="AP106" s="877"/>
      <c r="AQ106" s="877"/>
      <c r="AR106" s="886"/>
      <c r="AS106" s="877"/>
      <c r="AT106" s="879"/>
      <c r="AU106" s="877"/>
      <c r="AV106" s="877"/>
      <c r="AW106" s="877"/>
      <c r="AX106" s="877"/>
      <c r="AY106" s="886"/>
      <c r="AZ106" s="877"/>
      <c r="BA106" s="879"/>
      <c r="BB106" s="877"/>
      <c r="BC106" s="877"/>
      <c r="BD106" s="877"/>
      <c r="BE106" s="877"/>
      <c r="BF106" s="886"/>
      <c r="BG106" s="877"/>
      <c r="BH106" s="879"/>
      <c r="BI106" s="877"/>
      <c r="BJ106" s="877"/>
      <c r="BK106" s="877"/>
      <c r="BL106" s="877"/>
      <c r="BM106" s="886"/>
      <c r="BN106" s="877"/>
      <c r="BO106" s="879"/>
      <c r="BP106" s="877"/>
      <c r="BQ106" s="877"/>
      <c r="BR106" s="877"/>
      <c r="BS106" s="877"/>
      <c r="BT106" s="886"/>
      <c r="BU106" s="877"/>
      <c r="BV106" s="879"/>
      <c r="BW106" s="886"/>
    </row>
    <row r="107" spans="1:75" s="406" customFormat="1" ht="17.25">
      <c r="A107" s="20" t="s">
        <v>120</v>
      </c>
      <c r="B107" s="93"/>
      <c r="C107" s="903">
        <f>SUM(C111:C118)</f>
        <v>1</v>
      </c>
      <c r="D107" s="26"/>
      <c r="E107" s="1293" t="s">
        <v>316</v>
      </c>
      <c r="F107" s="926">
        <f>SUMPRODUCT($CI$4:$CI$6,F108:F110)</f>
        <v>-6.1924076665039601E-2</v>
      </c>
      <c r="G107" s="874">
        <f>SUMPRODUCT($CI$4:$CI$6,G108:G110)</f>
        <v>0.10181672224962898</v>
      </c>
      <c r="H107" s="927">
        <f>SUMPRODUCT($CI$4:$CI$6,H108:H110)</f>
        <v>0.45568292427453033</v>
      </c>
      <c r="I107" s="872"/>
      <c r="J107" s="884"/>
      <c r="K107" s="884"/>
      <c r="L107" s="884"/>
      <c r="M107" s="884"/>
      <c r="N107" s="884"/>
      <c r="O107" s="884"/>
      <c r="P107" s="884"/>
      <c r="Q107" s="884"/>
      <c r="R107" s="884"/>
      <c r="S107" s="884"/>
      <c r="T107" s="884"/>
      <c r="U107" s="884"/>
      <c r="V107" s="884"/>
      <c r="W107" s="884"/>
      <c r="X107" s="879"/>
      <c r="Y107" s="883">
        <f>Y111*$C$111+Y115*$C$115</f>
        <v>0.49773227134558573</v>
      </c>
      <c r="Z107" s="884">
        <f t="shared" ref="Z107:BW107" si="13">Z111*$C$111+Z115*$C$115</f>
        <v>0.49773227134558573</v>
      </c>
      <c r="AA107" s="884">
        <f t="shared" si="13"/>
        <v>0.49773227134558573</v>
      </c>
      <c r="AB107" s="884">
        <f t="shared" si="13"/>
        <v>0.49773227134558573</v>
      </c>
      <c r="AC107" s="884">
        <f t="shared" si="13"/>
        <v>0.59402347696095692</v>
      </c>
      <c r="AD107" s="885">
        <f t="shared" si="13"/>
        <v>0.73336231723574918</v>
      </c>
      <c r="AE107" s="877"/>
      <c r="AF107" s="883">
        <f t="shared" si="13"/>
        <v>9.1186184938153066E-3</v>
      </c>
      <c r="AG107" s="884">
        <f t="shared" si="13"/>
        <v>9.1186184938153066E-3</v>
      </c>
      <c r="AH107" s="884">
        <f t="shared" si="13"/>
        <v>9.1186184938153066E-3</v>
      </c>
      <c r="AI107" s="884">
        <f t="shared" si="13"/>
        <v>9.1186184938153066E-3</v>
      </c>
      <c r="AJ107" s="884">
        <f t="shared" si="13"/>
        <v>1.088270496934635E-2</v>
      </c>
      <c r="AK107" s="885">
        <f t="shared" si="13"/>
        <v>1.3435438233760925E-2</v>
      </c>
      <c r="AL107" s="877"/>
      <c r="AM107" s="883">
        <f t="shared" si="13"/>
        <v>1.9164501076886053E-3</v>
      </c>
      <c r="AN107" s="884">
        <f t="shared" si="13"/>
        <v>1.9164501076886053E-3</v>
      </c>
      <c r="AO107" s="884">
        <f t="shared" si="13"/>
        <v>1.9164501076886053E-3</v>
      </c>
      <c r="AP107" s="884">
        <f t="shared" si="13"/>
        <v>1.9164501076886053E-3</v>
      </c>
      <c r="AQ107" s="884">
        <f t="shared" si="13"/>
        <v>2.2872062390364065E-3</v>
      </c>
      <c r="AR107" s="885">
        <f t="shared" si="13"/>
        <v>2.8237114062177856E-3</v>
      </c>
      <c r="AS107" s="877"/>
      <c r="AT107" s="883">
        <f t="shared" si="13"/>
        <v>0.159</v>
      </c>
      <c r="AU107" s="884">
        <f t="shared" si="13"/>
        <v>0.159</v>
      </c>
      <c r="AV107" s="884">
        <f t="shared" si="13"/>
        <v>0.159</v>
      </c>
      <c r="AW107" s="884">
        <f t="shared" si="13"/>
        <v>0.159</v>
      </c>
      <c r="AX107" s="884">
        <f t="shared" si="13"/>
        <v>0.18976011457214464</v>
      </c>
      <c r="AY107" s="885">
        <f t="shared" si="13"/>
        <v>0.23427174638536374</v>
      </c>
      <c r="AZ107" s="877"/>
      <c r="BA107" s="883">
        <f t="shared" si="13"/>
        <v>8.4326586995607643E-10</v>
      </c>
      <c r="BB107" s="884">
        <f t="shared" si="13"/>
        <v>8.4326586995607643E-10</v>
      </c>
      <c r="BC107" s="884">
        <f t="shared" si="13"/>
        <v>8.4326586995607643E-10</v>
      </c>
      <c r="BD107" s="884">
        <f t="shared" si="13"/>
        <v>8.4326586995607643E-10</v>
      </c>
      <c r="BE107" s="884">
        <f t="shared" si="13"/>
        <v>1.0064039502996497E-9</v>
      </c>
      <c r="BF107" s="885">
        <f t="shared" si="13"/>
        <v>1.2424740127156166E-9</v>
      </c>
      <c r="BG107" s="877"/>
      <c r="BH107" s="883">
        <f t="shared" si="13"/>
        <v>3.609345886146686E-4</v>
      </c>
      <c r="BI107" s="884">
        <f t="shared" si="13"/>
        <v>3.609345886146686E-4</v>
      </c>
      <c r="BJ107" s="884">
        <f t="shared" si="13"/>
        <v>3.609345886146686E-4</v>
      </c>
      <c r="BK107" s="884">
        <f t="shared" si="13"/>
        <v>3.609345886146686E-4</v>
      </c>
      <c r="BL107" s="884">
        <f t="shared" si="13"/>
        <v>4.3076093640609695E-4</v>
      </c>
      <c r="BM107" s="885">
        <f t="shared" si="13"/>
        <v>5.3180362519271213E-4</v>
      </c>
      <c r="BN107" s="877"/>
      <c r="BO107" s="883">
        <f t="shared" si="13"/>
        <v>3.0922434466440973E-4</v>
      </c>
      <c r="BP107" s="884">
        <f t="shared" si="13"/>
        <v>3.0922434466440973E-4</v>
      </c>
      <c r="BQ107" s="884">
        <f t="shared" si="13"/>
        <v>3.0922434466440973E-4</v>
      </c>
      <c r="BR107" s="884">
        <f t="shared" si="13"/>
        <v>3.0922434466440973E-4</v>
      </c>
      <c r="BS107" s="884">
        <f t="shared" si="13"/>
        <v>3.6904683693091025E-4</v>
      </c>
      <c r="BT107" s="885">
        <f t="shared" si="13"/>
        <v>4.5561337892704968E-4</v>
      </c>
      <c r="BU107" s="877"/>
      <c r="BV107" s="883">
        <f t="shared" si="13"/>
        <v>1.3304653607850556</v>
      </c>
      <c r="BW107" s="885">
        <f t="shared" si="13"/>
        <v>1.642549828129698</v>
      </c>
    </row>
    <row r="108" spans="1:75" s="406" customFormat="1" ht="17.25">
      <c r="A108" s="499"/>
      <c r="B108" s="55"/>
      <c r="C108" s="917"/>
      <c r="D108" s="5"/>
      <c r="E108" s="1294" t="s">
        <v>317</v>
      </c>
      <c r="F108" s="928">
        <f t="shared" ref="F108:V110" si="14">F112*$C$111+F116*$C$115</f>
        <v>-9.1139048141381296E-2</v>
      </c>
      <c r="G108" s="877">
        <f t="shared" si="14"/>
        <v>4.9794957241607804E-2</v>
      </c>
      <c r="H108" s="878">
        <f t="shared" si="14"/>
        <v>0.39359703692756631</v>
      </c>
      <c r="I108" s="877">
        <f t="shared" si="14"/>
        <v>3.4331370218437067E-2</v>
      </c>
      <c r="J108" s="877">
        <f t="shared" si="14"/>
        <v>0.03</v>
      </c>
      <c r="K108" s="877">
        <f t="shared" si="14"/>
        <v>0</v>
      </c>
      <c r="L108" s="877">
        <f t="shared" si="14"/>
        <v>0</v>
      </c>
      <c r="M108" s="877"/>
      <c r="N108" s="877">
        <f t="shared" si="14"/>
        <v>2.6602635164552038E-2</v>
      </c>
      <c r="O108" s="877">
        <f t="shared" si="14"/>
        <v>0</v>
      </c>
      <c r="P108" s="877">
        <f t="shared" si="14"/>
        <v>0.05</v>
      </c>
      <c r="Q108" s="877">
        <f t="shared" si="14"/>
        <v>0</v>
      </c>
      <c r="R108" s="877">
        <f t="shared" si="14"/>
        <v>-9.1139048141381296E-2</v>
      </c>
      <c r="S108" s="877">
        <f t="shared" si="14"/>
        <v>0</v>
      </c>
      <c r="T108" s="877">
        <f t="shared" si="14"/>
        <v>0</v>
      </c>
      <c r="U108" s="877">
        <f t="shared" si="14"/>
        <v>4.9794957241607804E-2</v>
      </c>
      <c r="V108" s="877">
        <f t="shared" si="14"/>
        <v>0.05</v>
      </c>
      <c r="W108" s="877">
        <f>W112*$C$111+W116*$C$115</f>
        <v>0.23</v>
      </c>
      <c r="X108" s="879"/>
      <c r="Y108" s="879"/>
      <c r="Z108" s="877"/>
      <c r="AA108" s="877"/>
      <c r="AB108" s="877"/>
      <c r="AC108" s="877"/>
      <c r="AD108" s="886"/>
      <c r="AE108" s="877"/>
      <c r="AF108" s="879"/>
      <c r="AG108" s="877"/>
      <c r="AH108" s="877"/>
      <c r="AI108" s="877"/>
      <c r="AJ108" s="877"/>
      <c r="AK108" s="886"/>
      <c r="AL108" s="877"/>
      <c r="AM108" s="879"/>
      <c r="AN108" s="877"/>
      <c r="AO108" s="877"/>
      <c r="AP108" s="877"/>
      <c r="AQ108" s="877"/>
      <c r="AR108" s="886"/>
      <c r="AS108" s="877"/>
      <c r="AT108" s="879"/>
      <c r="AU108" s="877"/>
      <c r="AV108" s="877"/>
      <c r="AW108" s="877"/>
      <c r="AX108" s="877"/>
      <c r="AY108" s="886"/>
      <c r="AZ108" s="877"/>
      <c r="BA108" s="879"/>
      <c r="BB108" s="877"/>
      <c r="BC108" s="877"/>
      <c r="BD108" s="877"/>
      <c r="BE108" s="877"/>
      <c r="BF108" s="886"/>
      <c r="BG108" s="877"/>
      <c r="BH108" s="879"/>
      <c r="BI108" s="877"/>
      <c r="BJ108" s="877"/>
      <c r="BK108" s="877"/>
      <c r="BL108" s="877"/>
      <c r="BM108" s="886"/>
      <c r="BN108" s="877"/>
      <c r="BO108" s="879"/>
      <c r="BP108" s="877"/>
      <c r="BQ108" s="877"/>
      <c r="BR108" s="877"/>
      <c r="BS108" s="877"/>
      <c r="BT108" s="886"/>
      <c r="BU108" s="877"/>
      <c r="BV108" s="879"/>
      <c r="BW108" s="886"/>
    </row>
    <row r="109" spans="1:75" s="406" customFormat="1" ht="17.25">
      <c r="A109" s="499"/>
      <c r="B109" s="55"/>
      <c r="C109" s="595"/>
      <c r="D109" s="50"/>
      <c r="E109" s="1294" t="s">
        <v>367</v>
      </c>
      <c r="F109" s="928">
        <f t="shared" si="14"/>
        <v>0</v>
      </c>
      <c r="G109" s="877">
        <f t="shared" si="14"/>
        <v>7.4763264829276173E-5</v>
      </c>
      <c r="H109" s="878">
        <f t="shared" si="14"/>
        <v>8.9226954086736091E-5</v>
      </c>
      <c r="I109" s="877">
        <f t="shared" si="14"/>
        <v>6.2979194484388319E-5</v>
      </c>
      <c r="J109" s="877">
        <f t="shared" si="14"/>
        <v>0</v>
      </c>
      <c r="K109" s="877">
        <f t="shared" si="14"/>
        <v>0</v>
      </c>
      <c r="L109" s="877">
        <f t="shared" si="14"/>
        <v>0</v>
      </c>
      <c r="M109" s="877"/>
      <c r="N109" s="877">
        <f t="shared" si="14"/>
        <v>1.1784070344887844E-5</v>
      </c>
      <c r="O109" s="877">
        <f t="shared" si="14"/>
        <v>0</v>
      </c>
      <c r="P109" s="877">
        <f t="shared" si="14"/>
        <v>0</v>
      </c>
      <c r="Q109" s="877">
        <f t="shared" si="14"/>
        <v>0</v>
      </c>
      <c r="R109" s="877">
        <f t="shared" si="14"/>
        <v>0</v>
      </c>
      <c r="S109" s="877">
        <f t="shared" si="14"/>
        <v>0</v>
      </c>
      <c r="T109" s="877">
        <f t="shared" si="14"/>
        <v>0</v>
      </c>
      <c r="U109" s="877">
        <f t="shared" si="14"/>
        <v>7.4763264829276173E-5</v>
      </c>
      <c r="V109" s="877">
        <f t="shared" si="14"/>
        <v>0</v>
      </c>
      <c r="W109" s="877">
        <f>W113*$C$111+W117*$C$115</f>
        <v>0</v>
      </c>
      <c r="X109" s="879"/>
      <c r="Y109" s="879"/>
      <c r="Z109" s="877"/>
      <c r="AA109" s="877"/>
      <c r="AB109" s="877"/>
      <c r="AC109" s="877"/>
      <c r="AD109" s="886"/>
      <c r="AE109" s="877"/>
      <c r="AF109" s="879"/>
      <c r="AG109" s="877"/>
      <c r="AH109" s="877"/>
      <c r="AI109" s="877"/>
      <c r="AJ109" s="877"/>
      <c r="AK109" s="886"/>
      <c r="AL109" s="877"/>
      <c r="AM109" s="879"/>
      <c r="AN109" s="877"/>
      <c r="AO109" s="877"/>
      <c r="AP109" s="877"/>
      <c r="AQ109" s="877"/>
      <c r="AR109" s="886"/>
      <c r="AS109" s="877"/>
      <c r="AT109" s="879"/>
      <c r="AU109" s="877"/>
      <c r="AV109" s="877"/>
      <c r="AW109" s="877"/>
      <c r="AX109" s="877"/>
      <c r="AY109" s="886"/>
      <c r="AZ109" s="877"/>
      <c r="BA109" s="879"/>
      <c r="BB109" s="877"/>
      <c r="BC109" s="877"/>
      <c r="BD109" s="877"/>
      <c r="BE109" s="877"/>
      <c r="BF109" s="886"/>
      <c r="BG109" s="877"/>
      <c r="BH109" s="879"/>
      <c r="BI109" s="877"/>
      <c r="BJ109" s="877"/>
      <c r="BK109" s="877"/>
      <c r="BL109" s="877"/>
      <c r="BM109" s="886"/>
      <c r="BN109" s="877"/>
      <c r="BO109" s="879"/>
      <c r="BP109" s="877"/>
      <c r="BQ109" s="877"/>
      <c r="BR109" s="877"/>
      <c r="BS109" s="877"/>
      <c r="BT109" s="886"/>
      <c r="BU109" s="877"/>
      <c r="BV109" s="879"/>
      <c r="BW109" s="886"/>
    </row>
    <row r="110" spans="1:75" s="406" customFormat="1" ht="17.25">
      <c r="A110" s="18"/>
      <c r="B110" s="360"/>
      <c r="C110" s="83"/>
      <c r="D110" s="54"/>
      <c r="E110" s="1295" t="s">
        <v>320</v>
      </c>
      <c r="F110" s="928">
        <f t="shared" si="14"/>
        <v>1.0701454753238716E-4</v>
      </c>
      <c r="G110" s="877">
        <f t="shared" si="14"/>
        <v>1.8316174673124806E-4</v>
      </c>
      <c r="H110" s="878">
        <f t="shared" si="14"/>
        <v>2.1859618896198602E-4</v>
      </c>
      <c r="I110" s="877">
        <f t="shared" si="14"/>
        <v>7.5432376020045225E-5</v>
      </c>
      <c r="J110" s="877">
        <f t="shared" si="14"/>
        <v>0</v>
      </c>
      <c r="K110" s="877">
        <f t="shared" si="14"/>
        <v>9.7285952302170132E-5</v>
      </c>
      <c r="L110" s="877">
        <f t="shared" si="14"/>
        <v>9.728595230217016E-6</v>
      </c>
      <c r="M110" s="877"/>
      <c r="N110" s="877">
        <f t="shared" si="14"/>
        <v>7.1482317881567656E-7</v>
      </c>
      <c r="O110" s="877">
        <f t="shared" si="14"/>
        <v>0</v>
      </c>
      <c r="P110" s="877">
        <f t="shared" si="14"/>
        <v>0</v>
      </c>
      <c r="Q110" s="877">
        <f t="shared" si="14"/>
        <v>0</v>
      </c>
      <c r="R110" s="877">
        <f t="shared" si="14"/>
        <v>0</v>
      </c>
      <c r="S110" s="877">
        <f t="shared" si="14"/>
        <v>0</v>
      </c>
      <c r="T110" s="877">
        <f t="shared" si="14"/>
        <v>0</v>
      </c>
      <c r="U110" s="877">
        <f t="shared" si="14"/>
        <v>1.8316174673124806E-4</v>
      </c>
      <c r="V110" s="877">
        <f t="shared" si="14"/>
        <v>0</v>
      </c>
      <c r="W110" s="877">
        <f>W114*$C$111+W118*$C$115</f>
        <v>0</v>
      </c>
      <c r="X110" s="879"/>
      <c r="Y110" s="879"/>
      <c r="Z110" s="877"/>
      <c r="AA110" s="877"/>
      <c r="AB110" s="877"/>
      <c r="AC110" s="877"/>
      <c r="AD110" s="886"/>
      <c r="AE110" s="877"/>
      <c r="AF110" s="879"/>
      <c r="AG110" s="877"/>
      <c r="AH110" s="877"/>
      <c r="AI110" s="877"/>
      <c r="AJ110" s="877"/>
      <c r="AK110" s="886"/>
      <c r="AL110" s="877"/>
      <c r="AM110" s="879"/>
      <c r="AN110" s="877"/>
      <c r="AO110" s="877"/>
      <c r="AP110" s="877"/>
      <c r="AQ110" s="877"/>
      <c r="AR110" s="886"/>
      <c r="AS110" s="877"/>
      <c r="AT110" s="879"/>
      <c r="AU110" s="877"/>
      <c r="AV110" s="877"/>
      <c r="AW110" s="877"/>
      <c r="AX110" s="877"/>
      <c r="AY110" s="886"/>
      <c r="AZ110" s="877"/>
      <c r="BA110" s="879"/>
      <c r="BB110" s="877"/>
      <c r="BC110" s="877"/>
      <c r="BD110" s="877"/>
      <c r="BE110" s="877"/>
      <c r="BF110" s="886"/>
      <c r="BG110" s="877"/>
      <c r="BH110" s="879"/>
      <c r="BI110" s="877"/>
      <c r="BJ110" s="877"/>
      <c r="BK110" s="877"/>
      <c r="BL110" s="877"/>
      <c r="BM110" s="886"/>
      <c r="BN110" s="877"/>
      <c r="BO110" s="879"/>
      <c r="BP110" s="877"/>
      <c r="BQ110" s="877"/>
      <c r="BR110" s="877"/>
      <c r="BS110" s="877"/>
      <c r="BT110" s="886"/>
      <c r="BU110" s="877"/>
      <c r="BV110" s="879"/>
      <c r="BW110" s="886"/>
    </row>
    <row r="111" spans="1:75" s="406" customFormat="1" ht="17.25">
      <c r="A111" s="20" t="s">
        <v>130</v>
      </c>
      <c r="B111" s="93" t="s">
        <v>121</v>
      </c>
      <c r="C111" s="87">
        <f>'Input data plant-based products'!D105</f>
        <v>0.56181410238356744</v>
      </c>
      <c r="D111" s="54"/>
      <c r="E111" s="1293" t="s">
        <v>316</v>
      </c>
      <c r="F111" s="930">
        <f>SUMPRODUCT($CI$4:$CI$6,F112:F114)</f>
        <v>-6.3236944519661636E-2</v>
      </c>
      <c r="G111" s="872">
        <f>SUMPRODUCT($CI$4:$CI$6,G112:G114)</f>
        <v>0.11497504599305666</v>
      </c>
      <c r="H111" s="873">
        <f>SUMPRODUCT($CI$4:$CI$6,H112:H114)</f>
        <v>0.47138685522503482</v>
      </c>
      <c r="I111" s="884"/>
      <c r="J111" s="884"/>
      <c r="K111" s="884"/>
      <c r="L111" s="884"/>
      <c r="M111" s="884"/>
      <c r="N111" s="884"/>
      <c r="O111" s="884"/>
      <c r="P111" s="884"/>
      <c r="Q111" s="884"/>
      <c r="R111" s="884"/>
      <c r="S111" s="884"/>
      <c r="T111" s="884"/>
      <c r="U111" s="884"/>
      <c r="V111" s="884"/>
      <c r="W111" s="884"/>
      <c r="X111" s="879"/>
      <c r="Y111" s="879">
        <f>1/'Input data plant-based products'!E105*10^4</f>
        <v>0.45482425581886088</v>
      </c>
      <c r="Z111" s="877">
        <f>$Y111*'Input data plant-based products'!Z105</f>
        <v>0.45482425581886088</v>
      </c>
      <c r="AA111" s="877">
        <f>$Y111*'Input data plant-based products'!AA105</f>
        <v>0.45482425581886088</v>
      </c>
      <c r="AB111" s="877">
        <f>$Y111*'Input data plant-based products'!AB105</f>
        <v>0.45482425581886088</v>
      </c>
      <c r="AC111" s="877">
        <f>$Y111*'Input data plant-based products'!AC105</f>
        <v>0.54281448361243689</v>
      </c>
      <c r="AD111" s="886">
        <f>$Y111*'Input data plant-based products'!AD105</f>
        <v>0.6701413377931319</v>
      </c>
      <c r="AE111" s="877"/>
      <c r="AF111" s="879">
        <f>SUM('Input data plant-based products'!F105,'Input data plant-based products'!Q105)/'Input data plant-based products'!E105</f>
        <v>1.1825430651290382E-2</v>
      </c>
      <c r="AG111" s="877">
        <f>$AF111*'Input data plant-based products'!Z105</f>
        <v>1.1825430651290382E-2</v>
      </c>
      <c r="AH111" s="877">
        <f>$AF111*'Input data plant-based products'!AA105</f>
        <v>1.1825430651290382E-2</v>
      </c>
      <c r="AI111" s="877">
        <f>$AF111*'Input data plant-based products'!AB105</f>
        <v>1.1825430651290382E-2</v>
      </c>
      <c r="AJ111" s="877">
        <f>$AF111*'Input data plant-based products'!AC105</f>
        <v>1.4113176573923358E-2</v>
      </c>
      <c r="AK111" s="886">
        <f>$AF111*'Input data plant-based products'!AD105</f>
        <v>1.742367478262143E-2</v>
      </c>
      <c r="AL111" s="877"/>
      <c r="AM111" s="879">
        <f>'Input data plant-based products'!R105/'Input data plant-based products'!E105</f>
        <v>3.4111819186414564E-3</v>
      </c>
      <c r="AN111" s="877">
        <f>$AM111*'Input data plant-based products'!Z105</f>
        <v>3.4111819186414564E-3</v>
      </c>
      <c r="AO111" s="877">
        <f>$AM111*'Input data plant-based products'!AA105</f>
        <v>3.4111819186414564E-3</v>
      </c>
      <c r="AP111" s="877">
        <f>$AM111*'Input data plant-based products'!AB105</f>
        <v>3.4111819186414564E-3</v>
      </c>
      <c r="AQ111" s="877">
        <f>$AM111*'Input data plant-based products'!AC105</f>
        <v>4.0711086270932761E-3</v>
      </c>
      <c r="AR111" s="886">
        <f>$AM111*'Input data plant-based products'!AD105</f>
        <v>5.0260600334484885E-3</v>
      </c>
      <c r="AS111" s="877"/>
      <c r="AT111" s="879">
        <f>'Input data plant-based products'!S105</f>
        <v>0.159</v>
      </c>
      <c r="AU111" s="877">
        <f>$AT111*'Input data plant-based products'!Z105</f>
        <v>0.159</v>
      </c>
      <c r="AV111" s="877">
        <f>$AT111*'Input data plant-based products'!AA105</f>
        <v>0.159</v>
      </c>
      <c r="AW111" s="877">
        <f>$AT111*'Input data plant-based products'!AB105</f>
        <v>0.159</v>
      </c>
      <c r="AX111" s="877">
        <f>$AT111*'Input data plant-based products'!AC105</f>
        <v>0.18976011457214464</v>
      </c>
      <c r="AY111" s="886">
        <f>$AT111*'Input data plant-based products'!AD105</f>
        <v>0.23427174638536374</v>
      </c>
      <c r="AZ111" s="877"/>
      <c r="BA111" s="879">
        <f>((SUM('Input data plant-based products'!U105:Y105)*Y111)/('Common input data'!$B$192/10^6))/$BB$3</f>
        <v>7.705704328219429E-10</v>
      </c>
      <c r="BB111" s="877">
        <f>$BA111*'Input data plant-based products'!Z105</f>
        <v>7.705704328219429E-10</v>
      </c>
      <c r="BC111" s="877">
        <f>$BA111*'Input data plant-based products'!AA105</f>
        <v>7.705704328219429E-10</v>
      </c>
      <c r="BD111" s="877">
        <f>$BA111*'Input data plant-based products'!AB105</f>
        <v>7.705704328219429E-10</v>
      </c>
      <c r="BE111" s="877">
        <f>$BA111*'Input data plant-based products'!AC105</f>
        <v>9.1964486552326401E-10</v>
      </c>
      <c r="BF111" s="886">
        <f>$BA111*'Input data plant-based products'!AD105</f>
        <v>1.1353640315102023E-9</v>
      </c>
      <c r="BG111" s="877"/>
      <c r="BH111" s="879">
        <f>'Input data plant-based products'!T105/'Input data plant-based products'!E105</f>
        <v>3.8205237488784317E-4</v>
      </c>
      <c r="BI111" s="877">
        <f>$BH111*'Input data plant-based products'!Z105</f>
        <v>3.8205237488784317E-4</v>
      </c>
      <c r="BJ111" s="877">
        <f>$BH111*'Input data plant-based products'!AA105</f>
        <v>3.8205237488784317E-4</v>
      </c>
      <c r="BK111" s="877">
        <f>$BH111*'Input data plant-based products'!AB105</f>
        <v>3.8205237488784317E-4</v>
      </c>
      <c r="BL111" s="877">
        <f>$BH111*'Input data plant-based products'!AC105</f>
        <v>4.5596416623444705E-4</v>
      </c>
      <c r="BM111" s="886">
        <f>$BH111*'Input data plant-based products'!AD105</f>
        <v>5.6291872374623084E-4</v>
      </c>
      <c r="BN111" s="877"/>
      <c r="BO111" s="879">
        <f>('Input data plant-based products'!F105/'Input data plant-based products'!E105*'Common input data'!$B$195+'Input data plant-based products'!G105/'Input data plant-based products'!E105*'Common input data'!$B$196)/'Common input data'!$B$198</f>
        <v>3.0194739043797075E-4</v>
      </c>
      <c r="BP111" s="877">
        <f>$BO111*'Input data plant-based products'!Z105</f>
        <v>3.0194739043797075E-4</v>
      </c>
      <c r="BQ111" s="877">
        <f>$BO111*'Input data plant-based products'!AA105</f>
        <v>3.0194739043797075E-4</v>
      </c>
      <c r="BR111" s="877">
        <f>$BO111*'Input data plant-based products'!AB105</f>
        <v>3.0194739043797075E-4</v>
      </c>
      <c r="BS111" s="877">
        <f>$BO111*'Input data plant-based products'!AC105</f>
        <v>3.6036208430358124E-4</v>
      </c>
      <c r="BT111" s="886">
        <f>$BO111*'Input data plant-based products'!AD105</f>
        <v>4.4489146210318671E-4</v>
      </c>
      <c r="BU111" s="877"/>
      <c r="BV111" s="879">
        <f>('Common input data'!$C$202+'Common input data'!$B$210)*'Input data plant-based products'!AC105</f>
        <v>1.4837092731829575</v>
      </c>
      <c r="BW111" s="886">
        <f>('Common input data'!$C$202+'Common input data'!$B$210)*'Input data plant-based products'!AD105</f>
        <v>1.8317398434357497</v>
      </c>
    </row>
    <row r="112" spans="1:75" s="406" customFormat="1" ht="17.25">
      <c r="A112" s="499"/>
      <c r="B112" s="55"/>
      <c r="C112" s="917"/>
      <c r="D112" s="5"/>
      <c r="E112" s="1294" t="s">
        <v>317</v>
      </c>
      <c r="F112" s="928">
        <f>IF(AND($G$2="No",$G$3="No"),SUM(K112:L112),IF(AND($G$2="Yes", $G$3="No"), SUM(K112:L112)+S112, IF(AND($G$2="No", $G$3="Yes"),SUM(K112:L112)+R112, SUM(K112:L112)+S112+R112)))</f>
        <v>-9.1139048141381296E-2</v>
      </c>
      <c r="G112" s="877">
        <f>IF(AND($G$2="No",$G$3="No"),SUM(I112:Q112),IF(AND($G$2="Yes", $G$3="No"), SUM(I112:Q112)+S112, IF(AND($G$2="No", $G$3="Yes"),SUM(I112:Q112)+R112, SUM(I112:Q112)+S112+R112)))</f>
        <v>5.7692703328700717E-2</v>
      </c>
      <c r="H112" s="878">
        <f>SUM(U112:W112)/(1-'Common input data'!$B$140)</f>
        <v>0.40302267970963207</v>
      </c>
      <c r="I112" s="877">
        <f>('Input data plant-based products'!$F$105*('Common input data'!$C$93*'Common input data'!B86+'Common input data'!$C$94*'Common input data'!C86))/'Input data plant-based products'!$E$105</f>
        <v>4.4522450188837395E-2</v>
      </c>
      <c r="J112" s="877">
        <f>'Common input data'!$B$98</f>
        <v>0.03</v>
      </c>
      <c r="K112" s="877">
        <v>0</v>
      </c>
      <c r="L112" s="877">
        <v>0</v>
      </c>
      <c r="M112" s="877"/>
      <c r="N112" s="877">
        <f>('Input data plant-based products'!$P$105*'Common input data'!$C$76*'Common input data'!H66)/'Input data plant-based products'!$E$105</f>
        <v>2.4309301281244616E-2</v>
      </c>
      <c r="O112" s="877">
        <v>0</v>
      </c>
      <c r="P112" s="877">
        <f>'Input data plant-based products'!$F$309</f>
        <v>0.05</v>
      </c>
      <c r="Q112" s="877">
        <v>0</v>
      </c>
      <c r="R112" s="877">
        <f>'Common input data'!$F$19</f>
        <v>-9.1139048141381296E-2</v>
      </c>
      <c r="S112" s="877">
        <v>0</v>
      </c>
      <c r="T112" s="877">
        <v>0</v>
      </c>
      <c r="U112" s="877">
        <f>G112+T112</f>
        <v>5.7692703328700717E-2</v>
      </c>
      <c r="V112" s="877">
        <f>'Common input data'!$B$105</f>
        <v>0.05</v>
      </c>
      <c r="W112" s="877">
        <f>'Common input data'!B117+'Common input data'!C117</f>
        <v>0.23</v>
      </c>
      <c r="X112" s="879"/>
      <c r="Y112" s="879"/>
      <c r="Z112" s="877"/>
      <c r="AA112" s="877"/>
      <c r="AB112" s="877"/>
      <c r="AC112" s="877"/>
      <c r="AD112" s="886"/>
      <c r="AE112" s="877"/>
      <c r="AF112" s="879"/>
      <c r="AG112" s="877"/>
      <c r="AH112" s="877"/>
      <c r="AI112" s="877"/>
      <c r="AJ112" s="877"/>
      <c r="AK112" s="886"/>
      <c r="AL112" s="877"/>
      <c r="AM112" s="879"/>
      <c r="AN112" s="877"/>
      <c r="AO112" s="877"/>
      <c r="AP112" s="877"/>
      <c r="AQ112" s="877"/>
      <c r="AR112" s="886"/>
      <c r="AS112" s="877"/>
      <c r="AT112" s="879"/>
      <c r="AU112" s="877"/>
      <c r="AV112" s="877"/>
      <c r="AW112" s="877"/>
      <c r="AX112" s="877"/>
      <c r="AY112" s="886"/>
      <c r="AZ112" s="877"/>
      <c r="BA112" s="879"/>
      <c r="BB112" s="877"/>
      <c r="BC112" s="877"/>
      <c r="BD112" s="877"/>
      <c r="BE112" s="877"/>
      <c r="BF112" s="886"/>
      <c r="BG112" s="877"/>
      <c r="BH112" s="879"/>
      <c r="BI112" s="877"/>
      <c r="BJ112" s="877"/>
      <c r="BK112" s="877"/>
      <c r="BL112" s="877"/>
      <c r="BM112" s="886"/>
      <c r="BN112" s="877"/>
      <c r="BO112" s="879"/>
      <c r="BP112" s="877"/>
      <c r="BQ112" s="877"/>
      <c r="BR112" s="877"/>
      <c r="BS112" s="877"/>
      <c r="BT112" s="886"/>
      <c r="BU112" s="877"/>
      <c r="BV112" s="879"/>
      <c r="BW112" s="886"/>
    </row>
    <row r="113" spans="1:75" s="406" customFormat="1" ht="17.25">
      <c r="A113" s="18"/>
      <c r="B113" s="55"/>
      <c r="C113" s="595"/>
      <c r="D113" s="50"/>
      <c r="E113" s="1294" t="s">
        <v>367</v>
      </c>
      <c r="F113" s="928">
        <f>SUM(K113:L113)</f>
        <v>0</v>
      </c>
      <c r="G113" s="877">
        <f>SUM(I113:Q113)</f>
        <v>9.244242557827952E-5</v>
      </c>
      <c r="H113" s="878">
        <f>SUM(U113:W113)/(1-'Common input data'!$B$140)</f>
        <v>1.1032632244692627E-4</v>
      </c>
      <c r="I113" s="877">
        <f>('Input data plant-based products'!$F$105*('Common input data'!$C$93*'Common input data'!B87+'Common input data'!$C$94*'Common input data'!C87))/'Input data plant-based products'!$E$105</f>
        <v>8.1674224813154967E-5</v>
      </c>
      <c r="J113" s="877">
        <v>0</v>
      </c>
      <c r="K113" s="877">
        <v>0</v>
      </c>
      <c r="L113" s="877">
        <v>0</v>
      </c>
      <c r="M113" s="877"/>
      <c r="N113" s="877">
        <f>('Input data plant-based products'!$P$105*'Common input data'!$C$76*'Common input data'!H67)/'Input data plant-based products'!$E$105</f>
        <v>1.0768200765124559E-5</v>
      </c>
      <c r="O113" s="877">
        <v>0</v>
      </c>
      <c r="P113" s="877">
        <v>0</v>
      </c>
      <c r="Q113" s="877">
        <v>0</v>
      </c>
      <c r="R113" s="877">
        <v>0</v>
      </c>
      <c r="S113" s="877">
        <v>0</v>
      </c>
      <c r="T113" s="877">
        <v>0</v>
      </c>
      <c r="U113" s="877">
        <f>G113+T113</f>
        <v>9.244242557827952E-5</v>
      </c>
      <c r="V113" s="877">
        <v>0</v>
      </c>
      <c r="W113" s="877">
        <v>0</v>
      </c>
      <c r="X113" s="879"/>
      <c r="Y113" s="879"/>
      <c r="Z113" s="877"/>
      <c r="AA113" s="877"/>
      <c r="AB113" s="877"/>
      <c r="AC113" s="877"/>
      <c r="AD113" s="886"/>
      <c r="AE113" s="877"/>
      <c r="AF113" s="879"/>
      <c r="AG113" s="877"/>
      <c r="AH113" s="877"/>
      <c r="AI113" s="877"/>
      <c r="AJ113" s="877"/>
      <c r="AK113" s="886"/>
      <c r="AL113" s="877"/>
      <c r="AM113" s="879"/>
      <c r="AN113" s="877"/>
      <c r="AO113" s="877"/>
      <c r="AP113" s="877"/>
      <c r="AQ113" s="877"/>
      <c r="AR113" s="886"/>
      <c r="AS113" s="877"/>
      <c r="AT113" s="879"/>
      <c r="AU113" s="877"/>
      <c r="AV113" s="877"/>
      <c r="AW113" s="877"/>
      <c r="AX113" s="877"/>
      <c r="AY113" s="886"/>
      <c r="AZ113" s="877"/>
      <c r="BA113" s="879"/>
      <c r="BB113" s="877"/>
      <c r="BC113" s="877"/>
      <c r="BD113" s="877"/>
      <c r="BE113" s="877"/>
      <c r="BF113" s="886"/>
      <c r="BG113" s="877"/>
      <c r="BH113" s="879"/>
      <c r="BI113" s="877"/>
      <c r="BJ113" s="877"/>
      <c r="BK113" s="877"/>
      <c r="BL113" s="877"/>
      <c r="BM113" s="886"/>
      <c r="BN113" s="877"/>
      <c r="BO113" s="879"/>
      <c r="BP113" s="877"/>
      <c r="BQ113" s="877"/>
      <c r="BR113" s="877"/>
      <c r="BS113" s="877"/>
      <c r="BT113" s="886"/>
      <c r="BU113" s="877"/>
      <c r="BV113" s="879"/>
      <c r="BW113" s="886"/>
    </row>
    <row r="114" spans="1:75" s="406" customFormat="1" ht="17.25">
      <c r="A114" s="359"/>
      <c r="B114" s="360"/>
      <c r="C114" s="83"/>
      <c r="D114" s="54"/>
      <c r="E114" s="1295" t="s">
        <v>320</v>
      </c>
      <c r="F114" s="928">
        <f>SUM(K114:L114)</f>
        <v>1.022055077718669E-4</v>
      </c>
      <c r="G114" s="877">
        <f>SUM(I114:Q114)</f>
        <v>2.0068277353019193E-4</v>
      </c>
      <c r="H114" s="878">
        <f>SUM(U114:W114)/(1-'Common input data'!$B$140)</f>
        <v>2.3950683080342753E-4</v>
      </c>
      <c r="I114" s="877">
        <f>('Input data plant-based products'!$F$105*('Common input data'!$C$93*'Common input data'!B88+'Common input data'!$C$94*'Common input data'!C88))/'Input data plant-based products'!$E$105</f>
        <v>9.7824065355088194E-5</v>
      </c>
      <c r="J114" s="877">
        <v>0</v>
      </c>
      <c r="K114" s="877">
        <f>(SUM('Input data plant-based products'!F105:H105)*'Input data plant-based products'!$B$260*44/28)/'Input data plant-based products'!E105</f>
        <v>9.2914097974424457E-5</v>
      </c>
      <c r="L114" s="877">
        <f>K114*'Input data plant-based products'!$B$261</f>
        <v>9.2914097974424463E-6</v>
      </c>
      <c r="M114" s="877"/>
      <c r="N114" s="877">
        <f>('Input data plant-based products'!$P$105*'Common input data'!$C$76*'Common input data'!H68)/'Input data plant-based products'!$E$105</f>
        <v>6.532004032368153E-7</v>
      </c>
      <c r="O114" s="877">
        <v>0</v>
      </c>
      <c r="P114" s="877">
        <v>0</v>
      </c>
      <c r="Q114" s="877">
        <v>0</v>
      </c>
      <c r="R114" s="877">
        <v>0</v>
      </c>
      <c r="S114" s="877">
        <v>0</v>
      </c>
      <c r="T114" s="877">
        <v>0</v>
      </c>
      <c r="U114" s="877">
        <f>G114+T114</f>
        <v>2.0068277353019193E-4</v>
      </c>
      <c r="V114" s="877">
        <v>0</v>
      </c>
      <c r="W114" s="877">
        <v>0</v>
      </c>
      <c r="X114" s="879"/>
      <c r="Y114" s="879"/>
      <c r="Z114" s="877"/>
      <c r="AA114" s="877"/>
      <c r="AB114" s="877"/>
      <c r="AC114" s="877"/>
      <c r="AD114" s="886"/>
      <c r="AE114" s="877"/>
      <c r="AF114" s="879"/>
      <c r="AG114" s="877"/>
      <c r="AH114" s="877"/>
      <c r="AI114" s="877"/>
      <c r="AJ114" s="877"/>
      <c r="AK114" s="886"/>
      <c r="AL114" s="877"/>
      <c r="AM114" s="879"/>
      <c r="AN114" s="877"/>
      <c r="AO114" s="877"/>
      <c r="AP114" s="877"/>
      <c r="AQ114" s="877"/>
      <c r="AR114" s="886"/>
      <c r="AS114" s="877"/>
      <c r="AT114" s="879"/>
      <c r="AU114" s="877"/>
      <c r="AV114" s="877"/>
      <c r="AW114" s="877"/>
      <c r="AX114" s="877"/>
      <c r="AY114" s="886"/>
      <c r="AZ114" s="877"/>
      <c r="BA114" s="879"/>
      <c r="BB114" s="877"/>
      <c r="BC114" s="877"/>
      <c r="BD114" s="877"/>
      <c r="BE114" s="877"/>
      <c r="BF114" s="886"/>
      <c r="BG114" s="877"/>
      <c r="BH114" s="879"/>
      <c r="BI114" s="877"/>
      <c r="BJ114" s="877"/>
      <c r="BK114" s="877"/>
      <c r="BL114" s="877"/>
      <c r="BM114" s="886"/>
      <c r="BN114" s="877"/>
      <c r="BO114" s="879"/>
      <c r="BP114" s="877"/>
      <c r="BQ114" s="877"/>
      <c r="BR114" s="877"/>
      <c r="BS114" s="877"/>
      <c r="BT114" s="886"/>
      <c r="BU114" s="877"/>
      <c r="BV114" s="879"/>
      <c r="BW114" s="886"/>
    </row>
    <row r="115" spans="1:75" s="406" customFormat="1" ht="17.25">
      <c r="A115" s="20" t="s">
        <v>125</v>
      </c>
      <c r="B115" s="93" t="s">
        <v>121</v>
      </c>
      <c r="C115" s="87">
        <f>'Input data plant-based products'!D106</f>
        <v>0.43818589761643256</v>
      </c>
      <c r="D115" s="54"/>
      <c r="E115" s="1293" t="s">
        <v>316</v>
      </c>
      <c r="F115" s="930">
        <f>SUMPRODUCT($CI$4:$CI$6,F116:F118)</f>
        <v>-6.0240800961040647E-2</v>
      </c>
      <c r="G115" s="872">
        <f>SUMPRODUCT($CI$4:$CI$6,G116:G118)</f>
        <v>8.4945956022329544E-2</v>
      </c>
      <c r="H115" s="873">
        <f>SUMPRODUCT($CI$4:$CI$6,H116:H118)</f>
        <v>0.43554834231093159</v>
      </c>
      <c r="I115" s="884"/>
      <c r="J115" s="884"/>
      <c r="K115" s="884"/>
      <c r="L115" s="884"/>
      <c r="M115" s="884"/>
      <c r="N115" s="884"/>
      <c r="O115" s="884"/>
      <c r="P115" s="884"/>
      <c r="Q115" s="884"/>
      <c r="R115" s="884"/>
      <c r="S115" s="884"/>
      <c r="T115" s="884"/>
      <c r="U115" s="884"/>
      <c r="V115" s="884"/>
      <c r="W115" s="884"/>
      <c r="X115" s="879"/>
      <c r="Y115" s="879">
        <f>1/'Input data plant-based products'!E106*10^4</f>
        <v>0.55274620118526463</v>
      </c>
      <c r="Z115" s="877">
        <f>$Y115*'Input data plant-based products'!Z106</f>
        <v>0.55274620118526463</v>
      </c>
      <c r="AA115" s="877">
        <f>$Y115*'Input data plant-based products'!AA106</f>
        <v>0.55274620118526463</v>
      </c>
      <c r="AB115" s="877">
        <f>$Y115*'Input data plant-based products'!AB106</f>
        <v>0.55274620118526463</v>
      </c>
      <c r="AC115" s="877">
        <f>$Y115*'Input data plant-based products'!AC106</f>
        <v>0.65968039286939328</v>
      </c>
      <c r="AD115" s="886">
        <f>$Y115*'Input data plant-based products'!AD106</f>
        <v>0.81442023811036202</v>
      </c>
      <c r="AE115" s="877"/>
      <c r="AF115" s="879">
        <f>SUM('Input data plant-based products'!F106,'Input data plant-based products'!Q106)/'Input data plant-based products'!E106</f>
        <v>5.6481160179369999E-3</v>
      </c>
      <c r="AG115" s="877">
        <f>$AF115*'Input data plant-based products'!Z106</f>
        <v>5.6481160179369999E-3</v>
      </c>
      <c r="AH115" s="877">
        <f>$AF115*'Input data plant-based products'!AA106</f>
        <v>5.6481160179369999E-3</v>
      </c>
      <c r="AI115" s="877">
        <f>$AF115*'Input data plant-based products'!AB106</f>
        <v>5.6481160179369999E-3</v>
      </c>
      <c r="AJ115" s="877">
        <f>$AF115*'Input data plant-based products'!AC106</f>
        <v>6.7407996394999396E-3</v>
      </c>
      <c r="AK115" s="886">
        <f>$AF115*'Input data plant-based products'!AD106</f>
        <v>8.321974863580172E-3</v>
      </c>
      <c r="AL115" s="877"/>
      <c r="AM115" s="879">
        <f>'Input data plant-based products'!R106/'Input data plant-based products'!E106</f>
        <v>0</v>
      </c>
      <c r="AN115" s="877">
        <f>$AM115*'Input data plant-based products'!Z106</f>
        <v>0</v>
      </c>
      <c r="AO115" s="877">
        <f>$AM115*'Input data plant-based products'!AA106</f>
        <v>0</v>
      </c>
      <c r="AP115" s="877">
        <f>$AM115*'Input data plant-based products'!AB106</f>
        <v>0</v>
      </c>
      <c r="AQ115" s="877">
        <f>$AM115*'Input data plant-based products'!AC106</f>
        <v>0</v>
      </c>
      <c r="AR115" s="886">
        <f>$AM115*'Input data plant-based products'!AD106</f>
        <v>0</v>
      </c>
      <c r="AS115" s="877"/>
      <c r="AT115" s="879">
        <f>'Input data plant-based products'!S106</f>
        <v>0.159</v>
      </c>
      <c r="AU115" s="877">
        <f>$AT115*'Input data plant-based products'!Z106</f>
        <v>0.159</v>
      </c>
      <c r="AV115" s="877">
        <f>$AT115*'Input data plant-based products'!AA106</f>
        <v>0.159</v>
      </c>
      <c r="AW115" s="877">
        <f>$AT115*'Input data plant-based products'!AB106</f>
        <v>0.159</v>
      </c>
      <c r="AX115" s="877">
        <f>$AT115*'Input data plant-based products'!AC106</f>
        <v>0.18976011457214464</v>
      </c>
      <c r="AY115" s="886">
        <f>$AT115*'Input data plant-based products'!AD106</f>
        <v>0.23427174638536374</v>
      </c>
      <c r="AZ115" s="877"/>
      <c r="BA115" s="879">
        <f>((SUM('Input data plant-based products'!U106:Y106)*Y115)/('Common input data'!$B$192/10^6))/$BB$3</f>
        <v>9.3647133819012008E-10</v>
      </c>
      <c r="BB115" s="877">
        <f>$BA115*'Input data plant-based products'!Z106</f>
        <v>9.3647133819012008E-10</v>
      </c>
      <c r="BC115" s="877">
        <f>$BA115*'Input data plant-based products'!AA106</f>
        <v>9.3647133819012008E-10</v>
      </c>
      <c r="BD115" s="877">
        <f>$BA115*'Input data plant-based products'!AB106</f>
        <v>9.3647133819012008E-10</v>
      </c>
      <c r="BE115" s="877">
        <f>$BA115*'Input data plant-based products'!AC106</f>
        <v>1.1176409335124956E-9</v>
      </c>
      <c r="BF115" s="886">
        <f>$BA115*'Input data plant-based products'!AD106</f>
        <v>1.3798036216203649E-9</v>
      </c>
      <c r="BG115" s="877"/>
      <c r="BH115" s="879">
        <f>'Input data plant-based products'!T106/'Input data plant-based products'!E106</f>
        <v>3.338587055158998E-4</v>
      </c>
      <c r="BI115" s="877">
        <f>$BH115*'Input data plant-based products'!Z106</f>
        <v>3.338587055158998E-4</v>
      </c>
      <c r="BJ115" s="877">
        <f>$BH115*'Input data plant-based products'!AA106</f>
        <v>3.338587055158998E-4</v>
      </c>
      <c r="BK115" s="877">
        <f>$BH115*'Input data plant-based products'!AB106</f>
        <v>3.338587055158998E-4</v>
      </c>
      <c r="BL115" s="877">
        <f>$BH115*'Input data plant-based products'!AC106</f>
        <v>3.9844695729311349E-4</v>
      </c>
      <c r="BM115" s="886">
        <f>$BH115*'Input data plant-based products'!AD106</f>
        <v>4.9190982381865859E-4</v>
      </c>
      <c r="BN115" s="877"/>
      <c r="BO115" s="879">
        <f>('Input data plant-based products'!F106/'Input data plant-based products'!E106*'Common input data'!$B$195+'Input data plant-based products'!G106/'Input data plant-based products'!E106*'Common input data'!$B$196)/'Common input data'!$B$198</f>
        <v>3.1855439277652818E-4</v>
      </c>
      <c r="BP115" s="877">
        <f>$BO115*'Input data plant-based products'!Z106</f>
        <v>3.1855439277652818E-4</v>
      </c>
      <c r="BQ115" s="877">
        <f>$BO115*'Input data plant-based products'!AA106</f>
        <v>3.1855439277652818E-4</v>
      </c>
      <c r="BR115" s="877">
        <f>$BO115*'Input data plant-based products'!AB106</f>
        <v>3.1855439277652818E-4</v>
      </c>
      <c r="BS115" s="877">
        <f>$BO115*'Input data plant-based products'!AC106</f>
        <v>3.8018187465870413E-4</v>
      </c>
      <c r="BT115" s="886">
        <f>$BO115*'Input data plant-based products'!AD106</f>
        <v>4.6936033908481984E-4</v>
      </c>
      <c r="BU115" s="877"/>
      <c r="BV115" s="879">
        <f>('Common input data'!$C$202+'Common input data'!$B$214)*'Input data plant-based products'!AC106</f>
        <v>1.1339857580459085</v>
      </c>
      <c r="BW115" s="886">
        <f>('Common input data'!$C$202+'Common input data'!$B$214)*'Input data plant-based products'!AD106</f>
        <v>1.3999824173406277</v>
      </c>
    </row>
    <row r="116" spans="1:75" s="406" customFormat="1" ht="17.25">
      <c r="A116" s="68"/>
      <c r="B116" s="55"/>
      <c r="C116" s="917"/>
      <c r="D116" s="5"/>
      <c r="E116" s="1294" t="s">
        <v>317</v>
      </c>
      <c r="F116" s="928">
        <f>IF(AND($G$2="No",$G$3="No"),SUM(K116:L116),IF(AND($G$2="Yes", $G$3="No"), SUM(K116:L116)+S116, IF(AND($G$2="No", $G$3="Yes"),SUM(K116:L116)+R116, SUM(K116:L116)+S116+R116)))</f>
        <v>-9.1139048141381296E-2</v>
      </c>
      <c r="G116" s="877">
        <f>IF(AND($G$2="No",$G$3="No"),SUM(I116:Q116),IF(AND($G$2="Yes", $G$3="No"), SUM(I116:Q116)+S116, IF(AND($G$2="No", $G$3="Yes"),SUM(I116:Q116)+R116, SUM(I116:Q116)+S116+R116)))</f>
        <v>3.9668969269586324E-2</v>
      </c>
      <c r="H116" s="878">
        <f>SUM(U116:W116)/(1-'Common input data'!$B$140)</f>
        <v>0.38151207694186223</v>
      </c>
      <c r="I116" s="877">
        <f>('Input data plant-based products'!$F$106*('Common input data'!$C$93*'Common input data'!B86+'Common input data'!$C$94*'Common input data'!C86))/'Input data plant-based products'!$E$106</f>
        <v>2.1265015328801977E-2</v>
      </c>
      <c r="J116" s="877">
        <f>'Common input data'!$B$98</f>
        <v>0.03</v>
      </c>
      <c r="K116" s="877">
        <v>0</v>
      </c>
      <c r="L116" s="877">
        <v>0</v>
      </c>
      <c r="M116" s="877"/>
      <c r="N116" s="877">
        <f>('Input data plant-based products'!$P$106*'Common input data'!$C$76*'Common input data'!H66)/'Input data plant-based products'!$E$106</f>
        <v>2.9543002082165645E-2</v>
      </c>
      <c r="O116" s="877">
        <v>0</v>
      </c>
      <c r="P116" s="877">
        <f>'Input data plant-based products'!$F$309</f>
        <v>0.05</v>
      </c>
      <c r="Q116" s="877">
        <v>0</v>
      </c>
      <c r="R116" s="877">
        <f>'Common input data'!$F$19</f>
        <v>-9.1139048141381296E-2</v>
      </c>
      <c r="S116" s="877">
        <v>0</v>
      </c>
      <c r="T116" s="877">
        <v>0</v>
      </c>
      <c r="U116" s="877">
        <f>G116+T116</f>
        <v>3.9668969269586324E-2</v>
      </c>
      <c r="V116" s="877">
        <f>'Common input data'!$B$105</f>
        <v>0.05</v>
      </c>
      <c r="W116" s="877">
        <f>'Common input data'!B119+'Common input data'!C119</f>
        <v>0.23000000000000004</v>
      </c>
      <c r="X116" s="879"/>
      <c r="Y116" s="879"/>
      <c r="Z116" s="877"/>
      <c r="AA116" s="877"/>
      <c r="AB116" s="877"/>
      <c r="AC116" s="877"/>
      <c r="AD116" s="886"/>
      <c r="AE116" s="877"/>
      <c r="AF116" s="879"/>
      <c r="AG116" s="877"/>
      <c r="AH116" s="877"/>
      <c r="AI116" s="877"/>
      <c r="AJ116" s="877"/>
      <c r="AK116" s="886"/>
      <c r="AL116" s="877"/>
      <c r="AM116" s="879"/>
      <c r="AN116" s="877"/>
      <c r="AO116" s="877"/>
      <c r="AP116" s="877"/>
      <c r="AQ116" s="877"/>
      <c r="AR116" s="886"/>
      <c r="AS116" s="877"/>
      <c r="AT116" s="879"/>
      <c r="AU116" s="877"/>
      <c r="AV116" s="877"/>
      <c r="AW116" s="877"/>
      <c r="AX116" s="877"/>
      <c r="AY116" s="886"/>
      <c r="AZ116" s="877"/>
      <c r="BA116" s="879"/>
      <c r="BB116" s="877"/>
      <c r="BC116" s="877"/>
      <c r="BD116" s="877"/>
      <c r="BE116" s="877"/>
      <c r="BF116" s="886"/>
      <c r="BG116" s="877"/>
      <c r="BH116" s="879"/>
      <c r="BI116" s="877"/>
      <c r="BJ116" s="877"/>
      <c r="BK116" s="877"/>
      <c r="BL116" s="877"/>
      <c r="BM116" s="886"/>
      <c r="BN116" s="877"/>
      <c r="BO116" s="879"/>
      <c r="BP116" s="877"/>
      <c r="BQ116" s="877"/>
      <c r="BR116" s="877"/>
      <c r="BS116" s="877"/>
      <c r="BT116" s="886"/>
      <c r="BU116" s="877"/>
      <c r="BV116" s="879"/>
      <c r="BW116" s="886"/>
    </row>
    <row r="117" spans="1:75" s="406" customFormat="1" ht="17.25">
      <c r="A117" s="68"/>
      <c r="B117" s="55"/>
      <c r="C117" s="595"/>
      <c r="D117" s="50"/>
      <c r="E117" s="1294" t="s">
        <v>367</v>
      </c>
      <c r="F117" s="928">
        <f>SUM(K117:L117)</f>
        <v>0</v>
      </c>
      <c r="G117" s="877">
        <f>SUM(I117:Q117)</f>
        <v>5.2096168783683031E-5</v>
      </c>
      <c r="H117" s="878">
        <f>SUM(U117:W117)/(1-'Common input data'!$B$140)</f>
        <v>6.2174685265166529E-5</v>
      </c>
      <c r="I117" s="877">
        <f>('Input data plant-based products'!$F$106*('Common input data'!$C$93*'Common input data'!B87+'Common input data'!$C$94*'Common input data'!C87))/'Input data plant-based products'!$E$106</f>
        <v>3.9009615042597274E-5</v>
      </c>
      <c r="J117" s="877">
        <v>0</v>
      </c>
      <c r="K117" s="877">
        <v>0</v>
      </c>
      <c r="L117" s="877">
        <v>0</v>
      </c>
      <c r="M117" s="877"/>
      <c r="N117" s="877">
        <f>('Input data plant-based products'!$P$106*'Common input data'!$C$76*'Common input data'!H67)/'Input data plant-based products'!$E$106</f>
        <v>1.3086553741085759E-5</v>
      </c>
      <c r="O117" s="877">
        <v>0</v>
      </c>
      <c r="P117" s="877">
        <v>0</v>
      </c>
      <c r="Q117" s="877">
        <v>0</v>
      </c>
      <c r="R117" s="877">
        <v>0</v>
      </c>
      <c r="S117" s="877">
        <v>0</v>
      </c>
      <c r="T117" s="877">
        <v>0</v>
      </c>
      <c r="U117" s="877">
        <f>G117+T117</f>
        <v>5.2096168783683031E-5</v>
      </c>
      <c r="V117" s="877">
        <v>0</v>
      </c>
      <c r="W117" s="877">
        <v>0</v>
      </c>
      <c r="X117" s="879"/>
      <c r="Y117" s="879"/>
      <c r="Z117" s="877"/>
      <c r="AA117" s="877"/>
      <c r="AB117" s="877"/>
      <c r="AC117" s="877"/>
      <c r="AD117" s="886"/>
      <c r="AE117" s="877"/>
      <c r="AF117" s="879"/>
      <c r="AG117" s="877"/>
      <c r="AH117" s="877"/>
      <c r="AI117" s="877"/>
      <c r="AJ117" s="877"/>
      <c r="AK117" s="886"/>
      <c r="AL117" s="877"/>
      <c r="AM117" s="879"/>
      <c r="AN117" s="877"/>
      <c r="AO117" s="877"/>
      <c r="AP117" s="877"/>
      <c r="AQ117" s="877"/>
      <c r="AR117" s="886"/>
      <c r="AS117" s="877"/>
      <c r="AT117" s="879"/>
      <c r="AU117" s="877"/>
      <c r="AV117" s="877"/>
      <c r="AW117" s="877"/>
      <c r="AX117" s="877"/>
      <c r="AY117" s="886"/>
      <c r="AZ117" s="877"/>
      <c r="BA117" s="879"/>
      <c r="BB117" s="877"/>
      <c r="BC117" s="877"/>
      <c r="BD117" s="877"/>
      <c r="BE117" s="877"/>
      <c r="BF117" s="886"/>
      <c r="BG117" s="877"/>
      <c r="BH117" s="879"/>
      <c r="BI117" s="877"/>
      <c r="BJ117" s="877"/>
      <c r="BK117" s="877"/>
      <c r="BL117" s="877"/>
      <c r="BM117" s="886"/>
      <c r="BN117" s="877"/>
      <c r="BO117" s="879"/>
      <c r="BP117" s="877"/>
      <c r="BQ117" s="877"/>
      <c r="BR117" s="877"/>
      <c r="BS117" s="877"/>
      <c r="BT117" s="886"/>
      <c r="BU117" s="877"/>
      <c r="BV117" s="879"/>
      <c r="BW117" s="886"/>
    </row>
    <row r="118" spans="1:75" s="406" customFormat="1" ht="17.25">
      <c r="A118" s="359"/>
      <c r="B118" s="360"/>
      <c r="C118" s="83"/>
      <c r="D118" s="54"/>
      <c r="E118" s="1295" t="s">
        <v>320</v>
      </c>
      <c r="F118" s="932">
        <f>SUM(K118:L118)</f>
        <v>1.1318039260198041E-4</v>
      </c>
      <c r="G118" s="896">
        <f>SUM(I118:Q118)</f>
        <v>1.6069739998382336E-4</v>
      </c>
      <c r="H118" s="933">
        <f>SUM(U118:W118)/(1-'Common input data'!$B$140)</f>
        <v>1.9178589328538415E-4</v>
      </c>
      <c r="I118" s="877">
        <f>('Input data plant-based products'!$F$106*('Common input data'!$C$93*'Common input data'!B88+'Common input data'!$C$94*'Common input data'!C88))/'Input data plant-based products'!$E$106</f>
        <v>4.6723175397548739E-5</v>
      </c>
      <c r="J118" s="877">
        <v>0</v>
      </c>
      <c r="K118" s="877">
        <f>(SUM('Input data plant-based products'!F106:H106)*'Input data plant-based products'!$B$257*44/28)/'Input data plant-based products'!E106</f>
        <v>1.0289126600180037E-4</v>
      </c>
      <c r="L118" s="877">
        <f>K118*'Input data plant-based products'!$B$261</f>
        <v>1.0289126600180037E-5</v>
      </c>
      <c r="M118" s="877"/>
      <c r="N118" s="877">
        <f>('Input data plant-based products'!$P$106*'Common input data'!$C$76*'Common input data'!H68)/'Input data plant-based products'!$E$106</f>
        <v>7.9383198429422971E-7</v>
      </c>
      <c r="O118" s="877">
        <v>0</v>
      </c>
      <c r="P118" s="877">
        <v>0</v>
      </c>
      <c r="Q118" s="877">
        <v>0</v>
      </c>
      <c r="R118" s="877">
        <v>0</v>
      </c>
      <c r="S118" s="877">
        <v>0</v>
      </c>
      <c r="T118" s="877">
        <v>0</v>
      </c>
      <c r="U118" s="877">
        <f>G118+T118</f>
        <v>1.6069739998382336E-4</v>
      </c>
      <c r="V118" s="877">
        <v>0</v>
      </c>
      <c r="W118" s="877">
        <v>0</v>
      </c>
      <c r="X118" s="879"/>
      <c r="Y118" s="879"/>
      <c r="Z118" s="877"/>
      <c r="AA118" s="877"/>
      <c r="AB118" s="877"/>
      <c r="AC118" s="877"/>
      <c r="AD118" s="886"/>
      <c r="AE118" s="877"/>
      <c r="AF118" s="879"/>
      <c r="AG118" s="877"/>
      <c r="AH118" s="877"/>
      <c r="AI118" s="877"/>
      <c r="AJ118" s="877"/>
      <c r="AK118" s="886"/>
      <c r="AL118" s="877"/>
      <c r="AM118" s="879"/>
      <c r="AN118" s="877"/>
      <c r="AO118" s="877"/>
      <c r="AP118" s="877"/>
      <c r="AQ118" s="877"/>
      <c r="AR118" s="886"/>
      <c r="AS118" s="877"/>
      <c r="AT118" s="879"/>
      <c r="AU118" s="877"/>
      <c r="AV118" s="877"/>
      <c r="AW118" s="877"/>
      <c r="AX118" s="877"/>
      <c r="AY118" s="886"/>
      <c r="AZ118" s="877"/>
      <c r="BA118" s="879"/>
      <c r="BB118" s="877"/>
      <c r="BC118" s="877"/>
      <c r="BD118" s="877"/>
      <c r="BE118" s="877"/>
      <c r="BF118" s="886"/>
      <c r="BG118" s="877"/>
      <c r="BH118" s="879"/>
      <c r="BI118" s="877"/>
      <c r="BJ118" s="877"/>
      <c r="BK118" s="877"/>
      <c r="BL118" s="877"/>
      <c r="BM118" s="886"/>
      <c r="BN118" s="877"/>
      <c r="BO118" s="879"/>
      <c r="BP118" s="877"/>
      <c r="BQ118" s="877"/>
      <c r="BR118" s="877"/>
      <c r="BS118" s="877"/>
      <c r="BT118" s="886"/>
      <c r="BU118" s="877"/>
      <c r="BV118" s="879"/>
      <c r="BW118" s="886"/>
    </row>
    <row r="119" spans="1:75" s="406" customFormat="1" ht="17.25">
      <c r="A119" s="362" t="s">
        <v>514</v>
      </c>
      <c r="B119" s="363"/>
      <c r="C119" s="770"/>
      <c r="D119" s="54"/>
      <c r="E119" s="1296"/>
      <c r="F119" s="925" t="s">
        <v>515</v>
      </c>
      <c r="G119" s="1290" t="s">
        <v>515</v>
      </c>
      <c r="H119" s="870" t="s">
        <v>515</v>
      </c>
      <c r="I119" s="889"/>
      <c r="J119" s="889"/>
      <c r="K119" s="889"/>
      <c r="L119" s="889"/>
      <c r="M119" s="889"/>
      <c r="N119" s="889"/>
      <c r="O119" s="1305"/>
      <c r="P119" s="889"/>
      <c r="Q119" s="889"/>
      <c r="R119" s="889"/>
      <c r="S119" s="889"/>
      <c r="T119" s="889"/>
      <c r="U119" s="889"/>
      <c r="V119" s="889"/>
      <c r="W119" s="889"/>
      <c r="X119" s="879"/>
      <c r="Y119" s="879"/>
      <c r="Z119" s="877"/>
      <c r="AA119" s="877"/>
      <c r="AB119" s="877"/>
      <c r="AC119" s="877"/>
      <c r="AD119" s="886"/>
      <c r="AE119" s="877"/>
      <c r="AF119" s="879"/>
      <c r="AG119" s="877"/>
      <c r="AH119" s="877"/>
      <c r="AI119" s="877"/>
      <c r="AJ119" s="877"/>
      <c r="AK119" s="886"/>
      <c r="AL119" s="877"/>
      <c r="AM119" s="879"/>
      <c r="AN119" s="877"/>
      <c r="AO119" s="877"/>
      <c r="AP119" s="877"/>
      <c r="AQ119" s="877"/>
      <c r="AR119" s="886"/>
      <c r="AS119" s="877"/>
      <c r="AT119" s="879"/>
      <c r="AU119" s="877"/>
      <c r="AV119" s="877"/>
      <c r="AW119" s="877"/>
      <c r="AX119" s="877"/>
      <c r="AY119" s="886"/>
      <c r="AZ119" s="877"/>
      <c r="BA119" s="879"/>
      <c r="BB119" s="877"/>
      <c r="BC119" s="877"/>
      <c r="BD119" s="877"/>
      <c r="BE119" s="877"/>
      <c r="BF119" s="886"/>
      <c r="BG119" s="877"/>
      <c r="BH119" s="879"/>
      <c r="BI119" s="877"/>
      <c r="BJ119" s="877"/>
      <c r="BK119" s="877"/>
      <c r="BL119" s="877"/>
      <c r="BM119" s="886"/>
      <c r="BN119" s="877"/>
      <c r="BO119" s="879"/>
      <c r="BP119" s="877"/>
      <c r="BQ119" s="877"/>
      <c r="BR119" s="877"/>
      <c r="BS119" s="877"/>
      <c r="BT119" s="886"/>
      <c r="BU119" s="877"/>
      <c r="BV119" s="879"/>
      <c r="BW119" s="886"/>
    </row>
    <row r="120" spans="1:75" s="406" customFormat="1" ht="17.25">
      <c r="A120" s="108" t="s">
        <v>135</v>
      </c>
      <c r="B120" s="93" t="s">
        <v>121</v>
      </c>
      <c r="C120" s="903">
        <f>'Input data plant-based products'!D117</f>
        <v>1</v>
      </c>
      <c r="D120" s="26"/>
      <c r="E120" s="1293" t="s">
        <v>316</v>
      </c>
      <c r="F120" s="926">
        <f>SUMPRODUCT($CI$4:$CI$6,F121:F123)</f>
        <v>-2.0082360807457469E-2</v>
      </c>
      <c r="G120" s="874">
        <f>SUMPRODUCT($CI$4:$CI$6,G121:G123)</f>
        <v>0.29527811964752404</v>
      </c>
      <c r="H120" s="927">
        <f>SUMPRODUCT($CI$4:$CI$6,H121:H123)</f>
        <v>1.0638318783241727</v>
      </c>
      <c r="I120" s="872"/>
      <c r="J120" s="884"/>
      <c r="K120" s="884"/>
      <c r="L120" s="884"/>
      <c r="M120" s="884"/>
      <c r="N120" s="884"/>
      <c r="O120" s="884"/>
      <c r="P120" s="884"/>
      <c r="Q120" s="884"/>
      <c r="R120" s="884"/>
      <c r="S120" s="884"/>
      <c r="T120" s="884"/>
      <c r="U120" s="884"/>
      <c r="V120" s="884"/>
      <c r="W120" s="884"/>
      <c r="X120" s="879"/>
      <c r="Y120" s="883">
        <f>1/'Input data plant-based products'!E117*10^4</f>
        <v>1.1071744906997343</v>
      </c>
      <c r="Z120" s="884">
        <f>$Y120*'Input data plant-based products'!Z117</f>
        <v>1.1071744906997343</v>
      </c>
      <c r="AA120" s="884">
        <f>$Y120*'Input data plant-based products'!AA117</f>
        <v>1.1071744906997343</v>
      </c>
      <c r="AB120" s="884">
        <f>$Y120*'Input data plant-based products'!AB117</f>
        <v>1.1071744906997343</v>
      </c>
      <c r="AC120" s="884">
        <f>$Y120*'Input data plant-based products'!AC117</f>
        <v>1.5192580420162114</v>
      </c>
      <c r="AD120" s="885">
        <f>$Y120*'Input data plant-based products'!AD117</f>
        <v>1.8756272123656927</v>
      </c>
      <c r="AE120" s="877"/>
      <c r="AF120" s="883">
        <f>SUM('Input data plant-based products'!F117,'Input data plant-based products'!Q117)/'Input data plant-based products'!E117</f>
        <v>1.5057573073516387E-2</v>
      </c>
      <c r="AG120" s="884">
        <f>$AF120*'Input data plant-based products'!Z117</f>
        <v>1.5057573073516387E-2</v>
      </c>
      <c r="AH120" s="884">
        <f>$AF120*'Input data plant-based products'!AA117</f>
        <v>1.5057573073516387E-2</v>
      </c>
      <c r="AI120" s="884">
        <f>$AF120*'Input data plant-based products'!AB117</f>
        <v>1.5057573073516387E-2</v>
      </c>
      <c r="AJ120" s="884">
        <f>$AF120*'Input data plant-based products'!AC117</f>
        <v>2.0661909371420473E-2</v>
      </c>
      <c r="AK120" s="885">
        <f>$AF120*'Input data plant-based products'!AD117</f>
        <v>2.5508530088173421E-2</v>
      </c>
      <c r="AL120" s="877"/>
      <c r="AM120" s="883">
        <f>'Input data plant-based products'!R117/'Input data plant-based products'!E117</f>
        <v>8.5000000000000006E-3</v>
      </c>
      <c r="AN120" s="884">
        <f>$AM120*'Input data plant-based products'!Z117</f>
        <v>8.5000000000000006E-3</v>
      </c>
      <c r="AO120" s="884">
        <f>$AM120*'Input data plant-based products'!AA117</f>
        <v>8.5000000000000006E-3</v>
      </c>
      <c r="AP120" s="884">
        <f>$AM120*'Input data plant-based products'!AB117</f>
        <v>8.5000000000000006E-3</v>
      </c>
      <c r="AQ120" s="884">
        <f>$AM120*'Input data plant-based products'!AC117</f>
        <v>1.1663647840166859E-2</v>
      </c>
      <c r="AR120" s="885">
        <f>$AM120*'Input data plant-based products'!AD117</f>
        <v>1.4399565234773898E-2</v>
      </c>
      <c r="AS120" s="877"/>
      <c r="AT120" s="883">
        <f>'Input data plant-based products'!S117</f>
        <v>0.23736722853917699</v>
      </c>
      <c r="AU120" s="884">
        <f>$AT120*'Input data plant-based products'!Z117</f>
        <v>0.23736722853917699</v>
      </c>
      <c r="AV120" s="884">
        <f>$AT120*'Input data plant-based products'!AA117</f>
        <v>0.23736722853917699</v>
      </c>
      <c r="AW120" s="884">
        <f>$AT120*'Input data plant-based products'!AB117</f>
        <v>0.23736722853917699</v>
      </c>
      <c r="AX120" s="884">
        <f>$AT120*'Input data plant-based products'!AC117</f>
        <v>0.32571385440910172</v>
      </c>
      <c r="AY120" s="885">
        <f>$AT120*'Input data plant-based products'!AD117</f>
        <v>0.40211586964086626</v>
      </c>
      <c r="AZ120" s="877"/>
      <c r="BA120" s="883">
        <f>((SUM('Input data plant-based products'!U117:Y117)*Y120)/('Common input data'!$B$192/10^6))/$BB$3</f>
        <v>1.4788782375283088E-9</v>
      </c>
      <c r="BB120" s="884">
        <f>$BA120*'Input data plant-based products'!Z117</f>
        <v>1.4788782375283088E-9</v>
      </c>
      <c r="BC120" s="884">
        <f>$BA120*'Input data plant-based products'!AA117</f>
        <v>1.4788782375283088E-9</v>
      </c>
      <c r="BD120" s="884">
        <f>$BA120*'Input data plant-based products'!AB117</f>
        <v>1.4788782375283088E-9</v>
      </c>
      <c r="BE120" s="884">
        <f>$BA120*'Input data plant-based products'!AC117</f>
        <v>2.0293076424725679E-9</v>
      </c>
      <c r="BF120" s="885">
        <f>$BA120*'Input data plant-based products'!AD117</f>
        <v>2.5053180771266268E-9</v>
      </c>
      <c r="BG120" s="877"/>
      <c r="BH120" s="883">
        <f>'Input data plant-based products'!T117/'Input data plant-based products'!E117</f>
        <v>8.5000000000000006E-4</v>
      </c>
      <c r="BI120" s="884">
        <f>$BH120*'Input data plant-based products'!Z117</f>
        <v>8.5000000000000006E-4</v>
      </c>
      <c r="BJ120" s="884">
        <f>$BH120*'Input data plant-based products'!AA117</f>
        <v>8.5000000000000006E-4</v>
      </c>
      <c r="BK120" s="884">
        <f>$BH120*'Input data plant-based products'!AB117</f>
        <v>8.5000000000000006E-4</v>
      </c>
      <c r="BL120" s="884">
        <f>$BH120*'Input data plant-based products'!AC117</f>
        <v>1.1663647840166858E-3</v>
      </c>
      <c r="BM120" s="885">
        <f>$BH120*'Input data plant-based products'!AD117</f>
        <v>1.4399565234773897E-3</v>
      </c>
      <c r="BN120" s="877"/>
      <c r="BO120" s="883">
        <f>('Input data plant-based products'!F117/'Input data plant-based products'!E117*'Common input data'!$B$195+'Input data plant-based products'!G117/'Input data plant-based products'!E117*'Common input data'!$B$196)/'Common input data'!$B$198</f>
        <v>3.8447605249633819E-4</v>
      </c>
      <c r="BP120" s="884">
        <f>$BO120*'Input data plant-based products'!Z117</f>
        <v>3.8447605249633819E-4</v>
      </c>
      <c r="BQ120" s="884">
        <f>$BO120*'Input data plant-based products'!AA117</f>
        <v>3.8447605249633819E-4</v>
      </c>
      <c r="BR120" s="884">
        <f>$BO120*'Input data plant-based products'!AB117</f>
        <v>3.8447605249633819E-4</v>
      </c>
      <c r="BS120" s="884">
        <f>$BO120*'Input data plant-based products'!AC117</f>
        <v>5.2757567991703464E-4</v>
      </c>
      <c r="BT120" s="885">
        <f>$BO120*'Input data plant-based products'!AD117</f>
        <v>6.5132799989757353E-4</v>
      </c>
      <c r="BU120" s="877"/>
      <c r="BV120" s="883">
        <f>('Common input data'!$C$202+'Common input data'!$B$228)*'Input data plant-based products'!AC117</f>
        <v>7.7562421752278485</v>
      </c>
      <c r="BW120" s="885">
        <f>('Common input data'!$C$202+'Common input data'!$B$228)*'Input data plant-based products'!AD117</f>
        <v>9.5756076237380832</v>
      </c>
    </row>
    <row r="121" spans="1:75" s="406" customFormat="1" ht="17.25">
      <c r="A121" s="68"/>
      <c r="B121" s="55"/>
      <c r="C121" s="917"/>
      <c r="D121" s="5"/>
      <c r="E121" s="1294" t="s">
        <v>317</v>
      </c>
      <c r="F121" s="928">
        <f>IF(AND($G$2="No",$G$3="No"),SUM(K121:L121),IF(AND($G$2="Yes", $G$3="No"), SUM(K121:L121)+S121, IF(AND($G$2="No", $G$3="Yes"),SUM(K121:L121)+R121, SUM(K121:L121)+S121+R121)))</f>
        <v>-9.1139048141381296E-2</v>
      </c>
      <c r="G121" s="877">
        <f>IF(AND($G$2="No",$G$3="No"),SUM(I121:Q121),IF(AND($G$2="Yes", $G$3="No"), SUM(I121:Q121)+S121, IF(AND($G$2="No", $G$3="Yes"),SUM(I121:Q121)+R121, SUM(I121:Q121)+S121+R121)))</f>
        <v>0.18144285335528065</v>
      </c>
      <c r="H121" s="878">
        <f>SUM(U121:W121)/(1-'Common input data'!$I$140)</f>
        <v>0.90762782446248513</v>
      </c>
      <c r="I121" s="877">
        <f>('Input data plant-based products'!$F$117*('Common input data'!$D$93*'Common input data'!B86+'Common input data'!$D$94*'Common input data'!C86))/'Input data plant-based products'!$E$117</f>
        <v>6.2993947555120777E-2</v>
      </c>
      <c r="J121" s="877">
        <f>'Common input data'!B98</f>
        <v>0.03</v>
      </c>
      <c r="K121" s="877">
        <v>0</v>
      </c>
      <c r="L121" s="877">
        <v>0</v>
      </c>
      <c r="M121" s="877"/>
      <c r="N121" s="877">
        <f>('Input data plant-based products'!$P$117*'Common input data'!$C$76*'Common input data'!H66)/'Input data plant-based products'!$E$117</f>
        <v>2.9587953941541189E-2</v>
      </c>
      <c r="O121" s="877">
        <v>0</v>
      </c>
      <c r="P121" s="877">
        <f>'Input data plant-based products'!$E$309</f>
        <v>0.15</v>
      </c>
      <c r="Q121" s="877">
        <v>0</v>
      </c>
      <c r="R121" s="877">
        <f>'Common input data'!$F$19</f>
        <v>-9.1139048141381296E-2</v>
      </c>
      <c r="S121" s="877">
        <v>0</v>
      </c>
      <c r="T121" s="877">
        <v>0</v>
      </c>
      <c r="U121" s="877">
        <f>G121+T121</f>
        <v>0.18144285335528065</v>
      </c>
      <c r="V121" s="877">
        <f>'Common input data'!B105</f>
        <v>0.05</v>
      </c>
      <c r="W121" s="877">
        <f>'Common input data'!B128+'Common input data'!C128</f>
        <v>0.43000000000000005</v>
      </c>
      <c r="X121" s="879"/>
      <c r="Y121" s="879"/>
      <c r="Z121" s="877"/>
      <c r="AA121" s="877"/>
      <c r="AB121" s="877"/>
      <c r="AC121" s="877"/>
      <c r="AD121" s="886"/>
      <c r="AE121" s="877"/>
      <c r="AF121" s="879"/>
      <c r="AG121" s="877"/>
      <c r="AH121" s="877"/>
      <c r="AI121" s="877"/>
      <c r="AJ121" s="877"/>
      <c r="AK121" s="886"/>
      <c r="AL121" s="877"/>
      <c r="AM121" s="879"/>
      <c r="AN121" s="877"/>
      <c r="AO121" s="877"/>
      <c r="AP121" s="877"/>
      <c r="AQ121" s="877"/>
      <c r="AR121" s="886"/>
      <c r="AS121" s="877"/>
      <c r="AT121" s="879"/>
      <c r="AU121" s="877"/>
      <c r="AV121" s="877"/>
      <c r="AW121" s="877"/>
      <c r="AX121" s="877"/>
      <c r="AY121" s="886"/>
      <c r="AZ121" s="877"/>
      <c r="BA121" s="879"/>
      <c r="BB121" s="877"/>
      <c r="BC121" s="877"/>
      <c r="BD121" s="877"/>
      <c r="BE121" s="877"/>
      <c r="BF121" s="886"/>
      <c r="BG121" s="877"/>
      <c r="BH121" s="879"/>
      <c r="BI121" s="877"/>
      <c r="BJ121" s="877"/>
      <c r="BK121" s="877"/>
      <c r="BL121" s="877"/>
      <c r="BM121" s="886"/>
      <c r="BN121" s="877"/>
      <c r="BO121" s="879"/>
      <c r="BP121" s="877"/>
      <c r="BQ121" s="877"/>
      <c r="BR121" s="877"/>
      <c r="BS121" s="877"/>
      <c r="BT121" s="886"/>
      <c r="BU121" s="877"/>
      <c r="BV121" s="879"/>
      <c r="BW121" s="886"/>
    </row>
    <row r="122" spans="1:75" s="406" customFormat="1" ht="17.25">
      <c r="A122" s="68"/>
      <c r="B122" s="55"/>
      <c r="C122" s="595"/>
      <c r="D122" s="50"/>
      <c r="E122" s="1294" t="s">
        <v>367</v>
      </c>
      <c r="F122" s="928">
        <f>SUM(K122:L122)</f>
        <v>0</v>
      </c>
      <c r="G122" s="877">
        <f>SUM(I122:Q122)</f>
        <v>1.4681757909839642E-4</v>
      </c>
      <c r="H122" s="878">
        <f>SUM(U122:W122)/(1-'Common input data'!$I$140)</f>
        <v>2.0146218109994566E-4</v>
      </c>
      <c r="I122" s="877">
        <f>('Input data plant-based products'!$F$117*('Common input data'!$D$93*'Common input data'!B87+'Common input data'!$D$94*'Common input data'!C87))/'Input data plant-based products'!$E$117</f>
        <v>1.3371111319937073E-4</v>
      </c>
      <c r="J122" s="877">
        <v>0</v>
      </c>
      <c r="K122" s="877">
        <v>0</v>
      </c>
      <c r="L122" s="877">
        <v>0</v>
      </c>
      <c r="M122" s="877"/>
      <c r="N122" s="877">
        <f>('Input data plant-based products'!$P$117*'Common input data'!$C$76*'Common input data'!H67)/'Input data plant-based products'!$E$117</f>
        <v>1.310646589902569E-5</v>
      </c>
      <c r="O122" s="877">
        <v>0</v>
      </c>
      <c r="P122" s="877">
        <v>0</v>
      </c>
      <c r="Q122" s="877">
        <v>0</v>
      </c>
      <c r="R122" s="877">
        <v>0</v>
      </c>
      <c r="S122" s="877">
        <v>0</v>
      </c>
      <c r="T122" s="877">
        <v>0</v>
      </c>
      <c r="U122" s="877">
        <f>G122+T122</f>
        <v>1.4681757909839642E-4</v>
      </c>
      <c r="V122" s="877">
        <v>0</v>
      </c>
      <c r="W122" s="877">
        <v>0</v>
      </c>
      <c r="X122" s="879"/>
      <c r="Y122" s="879"/>
      <c r="Z122" s="877"/>
      <c r="AA122" s="877"/>
      <c r="AB122" s="877"/>
      <c r="AC122" s="877"/>
      <c r="AD122" s="886"/>
      <c r="AE122" s="877"/>
      <c r="AF122" s="879"/>
      <c r="AG122" s="877"/>
      <c r="AH122" s="877"/>
      <c r="AI122" s="877"/>
      <c r="AJ122" s="877"/>
      <c r="AK122" s="886"/>
      <c r="AL122" s="877"/>
      <c r="AM122" s="879"/>
      <c r="AN122" s="877"/>
      <c r="AO122" s="877"/>
      <c r="AP122" s="877"/>
      <c r="AQ122" s="877"/>
      <c r="AR122" s="886"/>
      <c r="AS122" s="877"/>
      <c r="AT122" s="879"/>
      <c r="AU122" s="877"/>
      <c r="AV122" s="877"/>
      <c r="AW122" s="877"/>
      <c r="AX122" s="877"/>
      <c r="AY122" s="886"/>
      <c r="AZ122" s="877"/>
      <c r="BA122" s="879"/>
      <c r="BB122" s="877"/>
      <c r="BC122" s="877"/>
      <c r="BD122" s="877"/>
      <c r="BE122" s="877"/>
      <c r="BF122" s="886"/>
      <c r="BG122" s="877"/>
      <c r="BH122" s="879"/>
      <c r="BI122" s="877"/>
      <c r="BJ122" s="877"/>
      <c r="BK122" s="877"/>
      <c r="BL122" s="877"/>
      <c r="BM122" s="886"/>
      <c r="BN122" s="877"/>
      <c r="BO122" s="879"/>
      <c r="BP122" s="877"/>
      <c r="BQ122" s="877"/>
      <c r="BR122" s="877"/>
      <c r="BS122" s="877"/>
      <c r="BT122" s="886"/>
      <c r="BU122" s="877"/>
      <c r="BV122" s="879"/>
      <c r="BW122" s="886"/>
    </row>
    <row r="123" spans="1:75" s="406" customFormat="1" ht="17.25">
      <c r="A123" s="359"/>
      <c r="B123" s="360"/>
      <c r="C123" s="83"/>
      <c r="D123" s="54"/>
      <c r="E123" s="1295" t="s">
        <v>320</v>
      </c>
      <c r="F123" s="932">
        <f>SUM(K123:L123)</f>
        <v>2.6028090598506897E-4</v>
      </c>
      <c r="G123" s="896">
        <f>SUM(I123:Q123)</f>
        <v>4.0245857749665462E-4</v>
      </c>
      <c r="H123" s="933">
        <f>SUM(U123:W123)/(1-'Common input data'!$I$140)</f>
        <v>5.5225119037358606E-4</v>
      </c>
      <c r="I123" s="877">
        <f>('Input data plant-based products'!$F$117*('Common input data'!$D$93*'Common input data'!B88+'Common input data'!$D$94*'Common input data'!C88))/'Input data plant-based products'!$E$117</f>
        <v>1.41382631653304E-4</v>
      </c>
      <c r="J123" s="877">
        <v>0</v>
      </c>
      <c r="K123" s="877">
        <f>(SUM('Input data plant-based products'!F117:H117)*'Input data plant-based products'!B257*44/28)/'Input data plant-based products'!E117</f>
        <v>2.3661900544097182E-4</v>
      </c>
      <c r="L123" s="877">
        <f>K123*'Input data plant-based products'!$B$261</f>
        <v>2.3661900544097182E-5</v>
      </c>
      <c r="M123" s="877"/>
      <c r="N123" s="877">
        <f>('Input data plant-based products'!$P$117*'Common input data'!$C$76*'Common input data'!H68)/'Input data plant-based products'!$E$117</f>
        <v>7.9503985828166531E-7</v>
      </c>
      <c r="O123" s="877">
        <v>0</v>
      </c>
      <c r="P123" s="877">
        <v>0</v>
      </c>
      <c r="Q123" s="877">
        <v>0</v>
      </c>
      <c r="R123" s="877">
        <v>0</v>
      </c>
      <c r="S123" s="877">
        <v>0</v>
      </c>
      <c r="T123" s="877">
        <v>0</v>
      </c>
      <c r="U123" s="877">
        <f>G123+T123</f>
        <v>4.0245857749665462E-4</v>
      </c>
      <c r="V123" s="877">
        <v>0</v>
      </c>
      <c r="W123" s="877">
        <v>0</v>
      </c>
      <c r="X123" s="879"/>
      <c r="Y123" s="879"/>
      <c r="Z123" s="877"/>
      <c r="AA123" s="877"/>
      <c r="AB123" s="877"/>
      <c r="AC123" s="877"/>
      <c r="AD123" s="886"/>
      <c r="AE123" s="877"/>
      <c r="AF123" s="879"/>
      <c r="AG123" s="877"/>
      <c r="AH123" s="877"/>
      <c r="AI123" s="877"/>
      <c r="AJ123" s="877"/>
      <c r="AK123" s="886"/>
      <c r="AL123" s="877"/>
      <c r="AM123" s="879"/>
      <c r="AN123" s="877"/>
      <c r="AO123" s="877"/>
      <c r="AP123" s="877"/>
      <c r="AQ123" s="877"/>
      <c r="AR123" s="886"/>
      <c r="AS123" s="877"/>
      <c r="AT123" s="879"/>
      <c r="AU123" s="877"/>
      <c r="AV123" s="877"/>
      <c r="AW123" s="877"/>
      <c r="AX123" s="877"/>
      <c r="AY123" s="886"/>
      <c r="AZ123" s="877"/>
      <c r="BA123" s="879"/>
      <c r="BB123" s="877"/>
      <c r="BC123" s="877"/>
      <c r="BD123" s="877"/>
      <c r="BE123" s="877"/>
      <c r="BF123" s="886"/>
      <c r="BG123" s="877"/>
      <c r="BH123" s="879"/>
      <c r="BI123" s="877"/>
      <c r="BJ123" s="877"/>
      <c r="BK123" s="877"/>
      <c r="BL123" s="877"/>
      <c r="BM123" s="886"/>
      <c r="BN123" s="877"/>
      <c r="BO123" s="879"/>
      <c r="BP123" s="877"/>
      <c r="BQ123" s="877"/>
      <c r="BR123" s="877"/>
      <c r="BS123" s="877"/>
      <c r="BT123" s="886"/>
      <c r="BU123" s="877"/>
      <c r="BV123" s="879"/>
      <c r="BW123" s="886"/>
    </row>
    <row r="124" spans="1:75" s="406" customFormat="1" ht="17.25">
      <c r="A124" s="362" t="s">
        <v>516</v>
      </c>
      <c r="B124" s="363"/>
      <c r="C124" s="770"/>
      <c r="D124" s="54"/>
      <c r="E124" s="1296"/>
      <c r="F124" s="925" t="s">
        <v>517</v>
      </c>
      <c r="G124" s="1290" t="s">
        <v>517</v>
      </c>
      <c r="H124" s="870" t="s">
        <v>517</v>
      </c>
      <c r="I124" s="889"/>
      <c r="J124" s="889"/>
      <c r="K124" s="889"/>
      <c r="L124" s="889"/>
      <c r="M124" s="889"/>
      <c r="N124" s="889"/>
      <c r="O124" s="1305"/>
      <c r="P124" s="889"/>
      <c r="Q124" s="889"/>
      <c r="R124" s="889"/>
      <c r="S124" s="889"/>
      <c r="T124" s="889"/>
      <c r="U124" s="889"/>
      <c r="V124" s="889"/>
      <c r="W124" s="889"/>
      <c r="X124" s="879"/>
      <c r="Y124" s="879"/>
      <c r="Z124" s="877"/>
      <c r="AA124" s="877"/>
      <c r="AB124" s="877"/>
      <c r="AC124" s="877"/>
      <c r="AD124" s="886"/>
      <c r="AE124" s="877"/>
      <c r="AF124" s="879"/>
      <c r="AG124" s="877"/>
      <c r="AH124" s="877"/>
      <c r="AI124" s="877"/>
      <c r="AJ124" s="877"/>
      <c r="AK124" s="886"/>
      <c r="AL124" s="877"/>
      <c r="AM124" s="879"/>
      <c r="AN124" s="877"/>
      <c r="AO124" s="877"/>
      <c r="AP124" s="877"/>
      <c r="AQ124" s="877"/>
      <c r="AR124" s="886"/>
      <c r="AS124" s="877"/>
      <c r="AT124" s="879"/>
      <c r="AU124" s="877"/>
      <c r="AV124" s="877"/>
      <c r="AW124" s="877"/>
      <c r="AX124" s="877"/>
      <c r="AY124" s="886"/>
      <c r="AZ124" s="877"/>
      <c r="BA124" s="879"/>
      <c r="BB124" s="877"/>
      <c r="BC124" s="877"/>
      <c r="BD124" s="877"/>
      <c r="BE124" s="877"/>
      <c r="BF124" s="886"/>
      <c r="BG124" s="877"/>
      <c r="BH124" s="879"/>
      <c r="BI124" s="877"/>
      <c r="BJ124" s="877"/>
      <c r="BK124" s="877"/>
      <c r="BL124" s="877"/>
      <c r="BM124" s="886"/>
      <c r="BN124" s="877"/>
      <c r="BO124" s="879"/>
      <c r="BP124" s="877"/>
      <c r="BQ124" s="877"/>
      <c r="BR124" s="877"/>
      <c r="BS124" s="877"/>
      <c r="BT124" s="886"/>
      <c r="BU124" s="877"/>
      <c r="BV124" s="879"/>
      <c r="BW124" s="886"/>
    </row>
    <row r="125" spans="1:75" s="406" customFormat="1" ht="17.25">
      <c r="A125" s="20" t="s">
        <v>120</v>
      </c>
      <c r="B125" s="93"/>
      <c r="C125" s="903">
        <f>SUM(C129:C136)</f>
        <v>1</v>
      </c>
      <c r="D125" s="26"/>
      <c r="E125" s="1293" t="s">
        <v>316</v>
      </c>
      <c r="F125" s="926">
        <f>SUMPRODUCT($CI$4:$CI$6,F126:F128)</f>
        <v>-6.372890334460099E-2</v>
      </c>
      <c r="G125" s="874">
        <f>SUMPRODUCT($CI$4:$CI$6,G126:G128)</f>
        <v>0.10305941240173463</v>
      </c>
      <c r="H125" s="927">
        <f>SUMPRODUCT($CI$4:$CI$6,H126:H128)</f>
        <v>0.63196088352131119</v>
      </c>
      <c r="I125" s="874"/>
      <c r="J125" s="875"/>
      <c r="K125" s="875"/>
      <c r="L125" s="875"/>
      <c r="M125" s="875"/>
      <c r="N125" s="875"/>
      <c r="O125" s="875"/>
      <c r="P125" s="875"/>
      <c r="Q125" s="875"/>
      <c r="R125" s="875"/>
      <c r="S125" s="875"/>
      <c r="T125" s="875"/>
      <c r="U125" s="875"/>
      <c r="V125" s="875"/>
      <c r="W125" s="981"/>
      <c r="X125" s="877"/>
      <c r="Y125" s="883">
        <f>Y129*$C$129+Y133*$C$133</f>
        <v>0.59900844605657011</v>
      </c>
      <c r="Z125" s="884">
        <f t="shared" ref="Z125:BW125" si="15">Z129*$C$129+Z133*$C$133</f>
        <v>0.59900844605657011</v>
      </c>
      <c r="AA125" s="884">
        <f t="shared" si="15"/>
        <v>0.59900844605657011</v>
      </c>
      <c r="AB125" s="884">
        <f t="shared" si="15"/>
        <v>0.59900844605657011</v>
      </c>
      <c r="AC125" s="884">
        <f t="shared" si="15"/>
        <v>0.77274259212303475</v>
      </c>
      <c r="AD125" s="885">
        <f t="shared" si="15"/>
        <v>0.95400320015189466</v>
      </c>
      <c r="AE125" s="877"/>
      <c r="AF125" s="883">
        <f t="shared" si="15"/>
        <v>4.4920502740369364E-3</v>
      </c>
      <c r="AG125" s="884">
        <f t="shared" si="15"/>
        <v>4.4920502740369364E-3</v>
      </c>
      <c r="AH125" s="884">
        <f t="shared" si="15"/>
        <v>4.4920502740369364E-3</v>
      </c>
      <c r="AI125" s="884">
        <f t="shared" si="15"/>
        <v>4.4920502740369364E-3</v>
      </c>
      <c r="AJ125" s="884">
        <f t="shared" si="15"/>
        <v>5.7718170836716957E-3</v>
      </c>
      <c r="AK125" s="885">
        <f t="shared" si="15"/>
        <v>7.1257001032983894E-3</v>
      </c>
      <c r="AL125" s="877"/>
      <c r="AM125" s="883">
        <f t="shared" si="15"/>
        <v>7.4599999999999996E-3</v>
      </c>
      <c r="AN125" s="884">
        <f t="shared" si="15"/>
        <v>7.4599999999999996E-3</v>
      </c>
      <c r="AO125" s="884">
        <f t="shared" si="15"/>
        <v>7.4599999999999996E-3</v>
      </c>
      <c r="AP125" s="884">
        <f t="shared" si="15"/>
        <v>7.4599999999999996E-3</v>
      </c>
      <c r="AQ125" s="884">
        <f t="shared" si="15"/>
        <v>9.5832218726738892E-3</v>
      </c>
      <c r="AR125" s="885">
        <f t="shared" si="15"/>
        <v>1.1831138114412209E-2</v>
      </c>
      <c r="AS125" s="877"/>
      <c r="AT125" s="883">
        <f t="shared" si="15"/>
        <v>0.12757854303403368</v>
      </c>
      <c r="AU125" s="884">
        <f t="shared" si="15"/>
        <v>0.12757854303403368</v>
      </c>
      <c r="AV125" s="884">
        <f t="shared" si="15"/>
        <v>0.12757854303403368</v>
      </c>
      <c r="AW125" s="884">
        <f t="shared" si="15"/>
        <v>0.12757854303403368</v>
      </c>
      <c r="AX125" s="884">
        <f t="shared" si="15"/>
        <v>0.16761822179419208</v>
      </c>
      <c r="AY125" s="885">
        <f t="shared" si="15"/>
        <v>0.206936076289126</v>
      </c>
      <c r="AZ125" s="877"/>
      <c r="BA125" s="883">
        <f t="shared" si="15"/>
        <v>6.1092025813194319E-10</v>
      </c>
      <c r="BB125" s="884">
        <f t="shared" si="15"/>
        <v>6.1092025813194319E-10</v>
      </c>
      <c r="BC125" s="884">
        <f t="shared" si="15"/>
        <v>6.1092025813194319E-10</v>
      </c>
      <c r="BD125" s="884">
        <f t="shared" si="15"/>
        <v>6.1092025813194319E-10</v>
      </c>
      <c r="BE125" s="884">
        <f t="shared" si="15"/>
        <v>7.8810926115851121E-10</v>
      </c>
      <c r="BF125" s="885">
        <f t="shared" si="15"/>
        <v>9.7297439649198922E-10</v>
      </c>
      <c r="BG125" s="877"/>
      <c r="BH125" s="883">
        <f t="shared" si="15"/>
        <v>4.4808382063385021E-4</v>
      </c>
      <c r="BI125" s="884">
        <f t="shared" si="15"/>
        <v>4.4808382063385021E-4</v>
      </c>
      <c r="BJ125" s="884">
        <f t="shared" si="15"/>
        <v>4.4808382063385021E-4</v>
      </c>
      <c r="BK125" s="884">
        <f t="shared" si="15"/>
        <v>4.4808382063385021E-4</v>
      </c>
      <c r="BL125" s="884">
        <f t="shared" si="15"/>
        <v>5.4280985875833603E-4</v>
      </c>
      <c r="BM125" s="885">
        <f t="shared" si="15"/>
        <v>6.7013562809671112E-4</v>
      </c>
      <c r="BN125" s="877"/>
      <c r="BO125" s="883">
        <f t="shared" si="15"/>
        <v>1.1469881291922498E-4</v>
      </c>
      <c r="BP125" s="884">
        <f t="shared" si="15"/>
        <v>1.1469881291922498E-4</v>
      </c>
      <c r="BQ125" s="884">
        <f t="shared" si="15"/>
        <v>1.1469881291922498E-4</v>
      </c>
      <c r="BR125" s="884">
        <f t="shared" si="15"/>
        <v>1.1469881291922498E-4</v>
      </c>
      <c r="BS125" s="884">
        <f t="shared" si="15"/>
        <v>1.4737603710946424E-4</v>
      </c>
      <c r="BT125" s="885">
        <f t="shared" si="15"/>
        <v>1.8194572482649904E-4</v>
      </c>
      <c r="BU125" s="877"/>
      <c r="BV125" s="883">
        <f t="shared" si="15"/>
        <v>4.5946893573194192</v>
      </c>
      <c r="BW125" s="885">
        <f t="shared" si="15"/>
        <v>5.6724559966906396</v>
      </c>
    </row>
    <row r="126" spans="1:75" s="406" customFormat="1" ht="17.25">
      <c r="A126" s="499"/>
      <c r="B126" s="55"/>
      <c r="C126" s="917"/>
      <c r="D126" s="5"/>
      <c r="E126" s="1294" t="s">
        <v>317</v>
      </c>
      <c r="F126" s="928">
        <f>F130*$C$129+F134*$C$133</f>
        <v>-9.1139048141381296E-2</v>
      </c>
      <c r="G126" s="877">
        <f>G130*$C$129+G134*$C$133</f>
        <v>6.2762600862343768E-2</v>
      </c>
      <c r="H126" s="878">
        <f>H130*$C$129+H134*$C$133</f>
        <v>0.58067426258134103</v>
      </c>
      <c r="I126" s="877">
        <f>I130*$C$129+I134*$C$133</f>
        <v>1.7874328454999609E-2</v>
      </c>
      <c r="J126" s="877">
        <f t="shared" ref="J126:W126" si="16">J130*$C$129+J134*$C$133</f>
        <v>0.03</v>
      </c>
      <c r="K126" s="877">
        <f t="shared" si="16"/>
        <v>0</v>
      </c>
      <c r="L126" s="877">
        <f t="shared" si="16"/>
        <v>0</v>
      </c>
      <c r="M126" s="877"/>
      <c r="N126" s="877">
        <f t="shared" si="16"/>
        <v>5.6027320548725439E-2</v>
      </c>
      <c r="O126" s="877">
        <f t="shared" si="16"/>
        <v>0</v>
      </c>
      <c r="P126" s="877">
        <f t="shared" si="16"/>
        <v>0.05</v>
      </c>
      <c r="Q126" s="877">
        <f t="shared" si="16"/>
        <v>0</v>
      </c>
      <c r="R126" s="877">
        <f t="shared" si="16"/>
        <v>-9.1139048141381296E-2</v>
      </c>
      <c r="S126" s="877">
        <f t="shared" si="16"/>
        <v>0</v>
      </c>
      <c r="T126" s="877">
        <f t="shared" si="16"/>
        <v>0</v>
      </c>
      <c r="U126" s="877">
        <f t="shared" si="16"/>
        <v>6.2762600862343768E-2</v>
      </c>
      <c r="V126" s="877">
        <f t="shared" si="16"/>
        <v>0.05</v>
      </c>
      <c r="W126" s="886">
        <f t="shared" si="16"/>
        <v>0.33200000000000002</v>
      </c>
      <c r="X126" s="877"/>
      <c r="Y126" s="879"/>
      <c r="Z126" s="877"/>
      <c r="AA126" s="877"/>
      <c r="AB126" s="877"/>
      <c r="AC126" s="877"/>
      <c r="AD126" s="886"/>
      <c r="AE126" s="877"/>
      <c r="AF126" s="879"/>
      <c r="AG126" s="877"/>
      <c r="AH126" s="877"/>
      <c r="AI126" s="877"/>
      <c r="AJ126" s="877"/>
      <c r="AK126" s="886"/>
      <c r="AL126" s="877"/>
      <c r="AM126" s="879"/>
      <c r="AN126" s="877"/>
      <c r="AO126" s="877"/>
      <c r="AP126" s="877"/>
      <c r="AQ126" s="877"/>
      <c r="AR126" s="886"/>
      <c r="AS126" s="877"/>
      <c r="AT126" s="879"/>
      <c r="AU126" s="877"/>
      <c r="AV126" s="877"/>
      <c r="AW126" s="877"/>
      <c r="AX126" s="877"/>
      <c r="AY126" s="886"/>
      <c r="AZ126" s="877"/>
      <c r="BA126" s="879"/>
      <c r="BB126" s="877"/>
      <c r="BC126" s="877"/>
      <c r="BD126" s="877"/>
      <c r="BE126" s="877"/>
      <c r="BF126" s="886"/>
      <c r="BG126" s="877"/>
      <c r="BH126" s="879"/>
      <c r="BI126" s="877"/>
      <c r="BJ126" s="877"/>
      <c r="BK126" s="877"/>
      <c r="BL126" s="877"/>
      <c r="BM126" s="886"/>
      <c r="BN126" s="877"/>
      <c r="BO126" s="879"/>
      <c r="BP126" s="877"/>
      <c r="BQ126" s="877"/>
      <c r="BR126" s="877"/>
      <c r="BS126" s="877"/>
      <c r="BT126" s="886"/>
      <c r="BU126" s="877"/>
      <c r="BV126" s="879"/>
      <c r="BW126" s="886"/>
    </row>
    <row r="127" spans="1:75" s="406" customFormat="1" ht="17.25">
      <c r="A127" s="499"/>
      <c r="B127" s="55"/>
      <c r="C127" s="595"/>
      <c r="D127" s="50"/>
      <c r="E127" s="1294" t="s">
        <v>367</v>
      </c>
      <c r="F127" s="928">
        <f t="shared" ref="F127:W128" si="17">F131*$C$129+F135*$C$133</f>
        <v>0</v>
      </c>
      <c r="G127" s="877">
        <f t="shared" si="17"/>
        <v>6.0378043431457944E-5</v>
      </c>
      <c r="H127" s="878">
        <f t="shared" si="17"/>
        <v>7.8102950705376395E-5</v>
      </c>
      <c r="I127" s="877">
        <f t="shared" si="17"/>
        <v>3.5559829653090758E-5</v>
      </c>
      <c r="J127" s="877">
        <f t="shared" si="17"/>
        <v>0</v>
      </c>
      <c r="K127" s="877">
        <f t="shared" si="17"/>
        <v>0</v>
      </c>
      <c r="L127" s="877">
        <f t="shared" si="17"/>
        <v>0</v>
      </c>
      <c r="M127" s="877"/>
      <c r="N127" s="877">
        <f t="shared" si="17"/>
        <v>2.4818213778367182E-5</v>
      </c>
      <c r="O127" s="877">
        <f t="shared" si="17"/>
        <v>0</v>
      </c>
      <c r="P127" s="877">
        <f t="shared" si="17"/>
        <v>0</v>
      </c>
      <c r="Q127" s="877">
        <f t="shared" si="17"/>
        <v>0</v>
      </c>
      <c r="R127" s="877">
        <f t="shared" si="17"/>
        <v>0</v>
      </c>
      <c r="S127" s="877">
        <f t="shared" si="17"/>
        <v>0</v>
      </c>
      <c r="T127" s="877">
        <f t="shared" si="17"/>
        <v>0</v>
      </c>
      <c r="U127" s="877">
        <f t="shared" si="17"/>
        <v>6.0378043431457944E-5</v>
      </c>
      <c r="V127" s="877">
        <f t="shared" si="17"/>
        <v>0</v>
      </c>
      <c r="W127" s="886">
        <f t="shared" si="17"/>
        <v>0</v>
      </c>
      <c r="X127" s="877"/>
      <c r="Y127" s="879"/>
      <c r="Z127" s="877"/>
      <c r="AA127" s="877"/>
      <c r="AB127" s="877"/>
      <c r="AC127" s="877"/>
      <c r="AD127" s="886"/>
      <c r="AE127" s="877"/>
      <c r="AF127" s="879"/>
      <c r="AG127" s="877"/>
      <c r="AH127" s="877"/>
      <c r="AI127" s="877"/>
      <c r="AJ127" s="877"/>
      <c r="AK127" s="886"/>
      <c r="AL127" s="877"/>
      <c r="AM127" s="879"/>
      <c r="AN127" s="877"/>
      <c r="AO127" s="877"/>
      <c r="AP127" s="877"/>
      <c r="AQ127" s="877"/>
      <c r="AR127" s="886"/>
      <c r="AS127" s="877"/>
      <c r="AT127" s="879"/>
      <c r="AU127" s="877"/>
      <c r="AV127" s="877"/>
      <c r="AW127" s="877"/>
      <c r="AX127" s="877"/>
      <c r="AY127" s="886"/>
      <c r="AZ127" s="877"/>
      <c r="BA127" s="879"/>
      <c r="BB127" s="877"/>
      <c r="BC127" s="877"/>
      <c r="BD127" s="877"/>
      <c r="BE127" s="877"/>
      <c r="BF127" s="886"/>
      <c r="BG127" s="877"/>
      <c r="BH127" s="879"/>
      <c r="BI127" s="877"/>
      <c r="BJ127" s="877"/>
      <c r="BK127" s="877"/>
      <c r="BL127" s="877"/>
      <c r="BM127" s="886"/>
      <c r="BN127" s="877"/>
      <c r="BO127" s="879"/>
      <c r="BP127" s="877"/>
      <c r="BQ127" s="877"/>
      <c r="BR127" s="877"/>
      <c r="BS127" s="877"/>
      <c r="BT127" s="886"/>
      <c r="BU127" s="877"/>
      <c r="BV127" s="879"/>
      <c r="BW127" s="886"/>
    </row>
    <row r="128" spans="1:75" s="406" customFormat="1" ht="17.25">
      <c r="A128" s="18"/>
      <c r="B128" s="360"/>
      <c r="C128" s="83"/>
      <c r="D128" s="54"/>
      <c r="E128" s="1295" t="s">
        <v>320</v>
      </c>
      <c r="F128" s="928">
        <f t="shared" si="17"/>
        <v>1.0040346079406704E-4</v>
      </c>
      <c r="G128" s="877">
        <f t="shared" si="17"/>
        <v>1.4163591343128757E-4</v>
      </c>
      <c r="H128" s="878">
        <f t="shared" si="17"/>
        <v>1.8013861271401086E-4</v>
      </c>
      <c r="I128" s="877">
        <f t="shared" si="17"/>
        <v>3.9726976689915459E-5</v>
      </c>
      <c r="J128" s="877">
        <f t="shared" si="17"/>
        <v>0</v>
      </c>
      <c r="K128" s="877">
        <f t="shared" si="17"/>
        <v>9.1275873449151855E-5</v>
      </c>
      <c r="L128" s="877">
        <f t="shared" si="17"/>
        <v>9.1275873449151872E-6</v>
      </c>
      <c r="M128" s="877"/>
      <c r="N128" s="877">
        <f t="shared" si="17"/>
        <v>1.5054759473050567E-6</v>
      </c>
      <c r="O128" s="877">
        <f t="shared" si="17"/>
        <v>0</v>
      </c>
      <c r="P128" s="877">
        <f t="shared" si="17"/>
        <v>0</v>
      </c>
      <c r="Q128" s="877">
        <f t="shared" si="17"/>
        <v>0</v>
      </c>
      <c r="R128" s="877">
        <f t="shared" si="17"/>
        <v>0</v>
      </c>
      <c r="S128" s="877">
        <f t="shared" si="17"/>
        <v>0</v>
      </c>
      <c r="T128" s="877">
        <f t="shared" si="17"/>
        <v>0</v>
      </c>
      <c r="U128" s="877">
        <f t="shared" si="17"/>
        <v>1.4163591343128757E-4</v>
      </c>
      <c r="V128" s="877">
        <f t="shared" si="17"/>
        <v>0</v>
      </c>
      <c r="W128" s="886">
        <f t="shared" si="17"/>
        <v>0</v>
      </c>
      <c r="X128" s="877"/>
      <c r="Y128" s="879"/>
      <c r="Z128" s="877"/>
      <c r="AA128" s="877"/>
      <c r="AB128" s="877"/>
      <c r="AC128" s="877"/>
      <c r="AD128" s="886"/>
      <c r="AE128" s="877"/>
      <c r="AF128" s="879"/>
      <c r="AG128" s="877"/>
      <c r="AH128" s="877"/>
      <c r="AI128" s="877"/>
      <c r="AJ128" s="877"/>
      <c r="AK128" s="886"/>
      <c r="AL128" s="877"/>
      <c r="AM128" s="879"/>
      <c r="AN128" s="877"/>
      <c r="AO128" s="877"/>
      <c r="AP128" s="877"/>
      <c r="AQ128" s="877"/>
      <c r="AR128" s="886"/>
      <c r="AS128" s="877"/>
      <c r="AT128" s="879"/>
      <c r="AU128" s="877"/>
      <c r="AV128" s="877"/>
      <c r="AW128" s="877"/>
      <c r="AX128" s="877"/>
      <c r="AY128" s="886"/>
      <c r="AZ128" s="877"/>
      <c r="BA128" s="879"/>
      <c r="BB128" s="877"/>
      <c r="BC128" s="877"/>
      <c r="BD128" s="877"/>
      <c r="BE128" s="877"/>
      <c r="BF128" s="886"/>
      <c r="BG128" s="877"/>
      <c r="BH128" s="879"/>
      <c r="BI128" s="877"/>
      <c r="BJ128" s="877"/>
      <c r="BK128" s="877"/>
      <c r="BL128" s="877"/>
      <c r="BM128" s="886"/>
      <c r="BN128" s="877"/>
      <c r="BO128" s="879"/>
      <c r="BP128" s="877"/>
      <c r="BQ128" s="877"/>
      <c r="BR128" s="877"/>
      <c r="BS128" s="877"/>
      <c r="BT128" s="886"/>
      <c r="BU128" s="877"/>
      <c r="BV128" s="879"/>
      <c r="BW128" s="886"/>
    </row>
    <row r="129" spans="1:253" s="406" customFormat="1" ht="17.25">
      <c r="A129" s="20" t="s">
        <v>123</v>
      </c>
      <c r="B129" s="93" t="s">
        <v>121</v>
      </c>
      <c r="C129" s="87">
        <f>'Input data plant-based products'!D119</f>
        <v>0.49</v>
      </c>
      <c r="D129" s="54"/>
      <c r="E129" s="1293" t="s">
        <v>316</v>
      </c>
      <c r="F129" s="930">
        <f>SUMPRODUCT($CI$4:$CI$6,F130:F132)</f>
        <v>-5.7331377101381288E-2</v>
      </c>
      <c r="G129" s="872">
        <f>SUMPRODUCT($CI$4:$CI$6,G130:G132)</f>
        <v>0.10404649225519678</v>
      </c>
      <c r="H129" s="873">
        <f>SUMPRODUCT($CI$4:$CI$6,H130:H132)</f>
        <v>0.45834406522878246</v>
      </c>
      <c r="I129" s="884"/>
      <c r="J129" s="884"/>
      <c r="K129" s="884"/>
      <c r="L129" s="884"/>
      <c r="M129" s="884"/>
      <c r="N129" s="884"/>
      <c r="O129" s="884"/>
      <c r="P129" s="884"/>
      <c r="Q129" s="884"/>
      <c r="R129" s="884"/>
      <c r="S129" s="884"/>
      <c r="T129" s="884"/>
      <c r="U129" s="884"/>
      <c r="V129" s="884"/>
      <c r="W129" s="885"/>
      <c r="X129" s="877"/>
      <c r="Y129" s="879">
        <f>1/'Input data plant-based products'!E119*10^4</f>
        <v>0.56192402787143181</v>
      </c>
      <c r="Z129" s="877">
        <f>$Y129*'Input data plant-based products'!Z119</f>
        <v>0.56192402787143181</v>
      </c>
      <c r="AA129" s="877">
        <f>$Y129*'Input data plant-based products'!AA119</f>
        <v>0.56192402787143181</v>
      </c>
      <c r="AB129" s="877">
        <f>$Y129*'Input data plant-based products'!AB119</f>
        <v>0.56192402787143181</v>
      </c>
      <c r="AC129" s="877">
        <f>$Y129*'Input data plant-based products'!AC119</f>
        <v>0.67063376043851508</v>
      </c>
      <c r="AD129" s="886">
        <f>$Y129*'Input data plant-based products'!AD119</f>
        <v>0.82794291412162346</v>
      </c>
      <c r="AE129" s="877"/>
      <c r="AF129" s="879">
        <f>SUM('Input data plant-based products'!F119,'Input data plant-based products'!Q119)/'Input data plant-based products'!E119</f>
        <v>4.4776E-3</v>
      </c>
      <c r="AG129" s="877">
        <f>$AF129*'Input data plant-based products'!Z119</f>
        <v>4.4776E-3</v>
      </c>
      <c r="AH129" s="877">
        <f>$AF129*'Input data plant-based products'!AA119</f>
        <v>4.4776E-3</v>
      </c>
      <c r="AI129" s="877">
        <f>$AF129*'Input data plant-based products'!AB119</f>
        <v>4.4776E-3</v>
      </c>
      <c r="AJ129" s="877">
        <f>$AF129*'Input data plant-based products'!AC119</f>
        <v>5.3438357799260056E-3</v>
      </c>
      <c r="AK129" s="886">
        <f>$AF129*'Input data plant-based products'!AD119</f>
        <v>6.5973281233654381E-3</v>
      </c>
      <c r="AL129" s="877"/>
      <c r="AM129" s="879">
        <f>'Input data plant-based products'!R119/'Input data plant-based products'!E119</f>
        <v>7.4600000000000005E-3</v>
      </c>
      <c r="AN129" s="877">
        <f>$AM129*'Input data plant-based products'!Z119</f>
        <v>7.4600000000000005E-3</v>
      </c>
      <c r="AO129" s="877">
        <f>$AM129*'Input data plant-based products'!AA119</f>
        <v>7.4600000000000005E-3</v>
      </c>
      <c r="AP129" s="877">
        <f>$AM129*'Input data plant-based products'!AB119</f>
        <v>7.4600000000000005E-3</v>
      </c>
      <c r="AQ129" s="877">
        <f>$AM129*'Input data plant-based products'!AC119</f>
        <v>8.903210406969805E-3</v>
      </c>
      <c r="AR129" s="886">
        <f>$AM129*'Input data plant-based products'!AD119</f>
        <v>1.0991617786382475E-2</v>
      </c>
      <c r="AS129" s="877"/>
      <c r="AT129" s="879">
        <f>'Input data plant-based products'!S119</f>
        <v>8.5000000000000006E-2</v>
      </c>
      <c r="AU129" s="877">
        <f>$AT129*'Input data plant-based products'!Z119</f>
        <v>8.5000000000000006E-2</v>
      </c>
      <c r="AV129" s="877">
        <f>$AT129*'Input data plant-based products'!AA119</f>
        <v>8.5000000000000006E-2</v>
      </c>
      <c r="AW129" s="877">
        <f>$AT129*'Input data plant-based products'!AB119</f>
        <v>8.5000000000000006E-2</v>
      </c>
      <c r="AX129" s="877">
        <f>$AT129*'Input data plant-based products'!AC119</f>
        <v>0.10144408640649243</v>
      </c>
      <c r="AY129" s="886">
        <f>$AT129*'Input data plant-based products'!AD119</f>
        <v>0.1252396128475215</v>
      </c>
      <c r="AZ129" s="877"/>
      <c r="BA129" s="879">
        <f>((SUM('Input data plant-based products'!U119:Y119)*Y129)/('Common input data'!$B$192/10^6))/$BB$3</f>
        <v>5.7309838353320349E-10</v>
      </c>
      <c r="BB129" s="877">
        <f>$BA129*'Input data plant-based products'!Z119</f>
        <v>5.7309838353320349E-10</v>
      </c>
      <c r="BC129" s="877">
        <f>$BA129*'Input data plant-based products'!AA119</f>
        <v>5.7309838353320349E-10</v>
      </c>
      <c r="BD129" s="877">
        <f>$BA129*'Input data plant-based products'!AB119</f>
        <v>5.7309838353320349E-10</v>
      </c>
      <c r="BE129" s="877">
        <f>$BA129*'Input data plant-based products'!AC119</f>
        <v>6.8396990515956971E-10</v>
      </c>
      <c r="BF129" s="886">
        <f>$BA129*'Input data plant-based products'!AD119</f>
        <v>8.4440729032045639E-10</v>
      </c>
      <c r="BG129" s="877"/>
      <c r="BH129" s="879">
        <f>'Input data plant-based products'!T119/'Input data plant-based products'!E119</f>
        <v>8.2265677680377599E-4</v>
      </c>
      <c r="BI129" s="877">
        <f>$BH129*'Input data plant-based products'!Z119</f>
        <v>8.2265677680377599E-4</v>
      </c>
      <c r="BJ129" s="877">
        <f>$BH129*'Input data plant-based products'!AA119</f>
        <v>8.2265677680377599E-4</v>
      </c>
      <c r="BK129" s="877">
        <f>$BH129*'Input data plant-based products'!AB119</f>
        <v>8.2265677680377599E-4</v>
      </c>
      <c r="BL129" s="877">
        <f>$BH129*'Input data plant-based products'!AC119</f>
        <v>9.8180782528198588E-4</v>
      </c>
      <c r="BM129" s="886">
        <f>$BH129*'Input data plant-based products'!AD119</f>
        <v>1.2121084262740566E-3</v>
      </c>
      <c r="BN129" s="877"/>
      <c r="BO129" s="879">
        <f>('Input data plant-based products'!F119/'Input data plant-based products'!E119*'Common input data'!$B$195+'Input data plant-based products'!G119/'Input data plant-based products'!E119*'Common input data'!$B$196)/'Common input data'!$B$198</f>
        <v>1.1432984347826087E-4</v>
      </c>
      <c r="BP129" s="877">
        <f>$BO129*'Input data plant-based products'!Z119</f>
        <v>1.1432984347826087E-4</v>
      </c>
      <c r="BQ129" s="877">
        <f>$BO129*'Input data plant-based products'!AA119</f>
        <v>1.1432984347826087E-4</v>
      </c>
      <c r="BR129" s="877">
        <f>$BO129*'Input data plant-based products'!AB119</f>
        <v>1.1432984347826087E-4</v>
      </c>
      <c r="BS129" s="877">
        <f>$BO129*'Input data plant-based products'!AC119</f>
        <v>1.3644807671352294E-4</v>
      </c>
      <c r="BT129" s="886">
        <f>$BO129*'Input data plant-based products'!AD119</f>
        <v>1.684544156957073E-4</v>
      </c>
      <c r="BU129" s="877"/>
      <c r="BV129" s="879">
        <f>('Common input data'!$C$202+'Common input data'!$B$207)*'Input data plant-based products'!AC119</f>
        <v>1.304093567251462</v>
      </c>
      <c r="BW129" s="886">
        <f>('Common input data'!$C$202+'Common input data'!$B$207)*'Input data plant-based products'!AD119</f>
        <v>1.6099920583351381</v>
      </c>
    </row>
    <row r="130" spans="1:253" s="406" customFormat="1" ht="17.25">
      <c r="A130" s="499"/>
      <c r="B130" s="55"/>
      <c r="C130" s="917"/>
      <c r="D130" s="5"/>
      <c r="E130" s="1294" t="s">
        <v>317</v>
      </c>
      <c r="F130" s="928">
        <f>IF(AND($G$2="No",$G$3="No"),SUM(K130:L130),IF(AND($G$2="Yes", $G$3="No"), SUM(K130:L130)+S130, IF(AND($G$2="No", $G$3="Yes"),SUM(K130:L130)+R130, SUM(K130:L130)+S130+R130)))</f>
        <v>-9.1139048141381296E-2</v>
      </c>
      <c r="G130" s="877">
        <f>IF(AND($G$2="No",$G$3="No"),SUM(I130:Q130),IF(AND($G$2="Yes", $G$3="No"), SUM(I130:Q130)+S130, IF(AND($G$2="No", $G$3="Yes"),SUM(I130:Q130)+R130, SUM(I130:Q130)+S130+R130)))</f>
        <v>5.8277691045422353E-2</v>
      </c>
      <c r="H130" s="878">
        <f>SUM(U130:W130)/(1-'Common input data'!$B$140)</f>
        <v>0.40372083905647738</v>
      </c>
      <c r="I130" s="877">
        <f>('Input data plant-based products'!$F$119*('Common input data'!$C$93*'Common input data'!B86+'Common input data'!$C$94*'Common input data'!C86))/'Input data plant-based products'!$E$119</f>
        <v>1.6858051841332728E-2</v>
      </c>
      <c r="J130" s="877">
        <f>'Common input data'!$B$98</f>
        <v>0.03</v>
      </c>
      <c r="K130" s="877">
        <v>0</v>
      </c>
      <c r="L130" s="877">
        <v>0</v>
      </c>
      <c r="M130" s="877"/>
      <c r="N130" s="877">
        <f>('Input data plant-based products'!$P$119*'Common input data'!$C$76*'Common input data'!H66)/'Input data plant-based products'!$E$119</f>
        <v>5.2558687345470902E-2</v>
      </c>
      <c r="O130" s="877">
        <v>0</v>
      </c>
      <c r="P130" s="877">
        <f>'Input data plant-based products'!$F$309</f>
        <v>0.05</v>
      </c>
      <c r="Q130" s="877">
        <v>0</v>
      </c>
      <c r="R130" s="877">
        <f>'Common input data'!$F$19</f>
        <v>-9.1139048141381296E-2</v>
      </c>
      <c r="S130" s="877">
        <v>0</v>
      </c>
      <c r="T130" s="877">
        <v>0</v>
      </c>
      <c r="U130" s="877">
        <f>G130+T130</f>
        <v>5.8277691045422353E-2</v>
      </c>
      <c r="V130" s="877">
        <f>'Common input data'!$B$105</f>
        <v>0.05</v>
      </c>
      <c r="W130" s="886">
        <f>'Common input data'!B117+'Common input data'!C117</f>
        <v>0.23</v>
      </c>
      <c r="X130" s="877"/>
      <c r="Y130" s="879"/>
      <c r="Z130" s="877"/>
      <c r="AA130" s="877"/>
      <c r="AB130" s="877"/>
      <c r="AC130" s="877"/>
      <c r="AD130" s="886"/>
      <c r="AE130" s="877"/>
      <c r="AF130" s="879"/>
      <c r="AG130" s="877"/>
      <c r="AH130" s="877"/>
      <c r="AI130" s="877"/>
      <c r="AJ130" s="877"/>
      <c r="AK130" s="886"/>
      <c r="AL130" s="877"/>
      <c r="AM130" s="879"/>
      <c r="AN130" s="877"/>
      <c r="AO130" s="877"/>
      <c r="AP130" s="877"/>
      <c r="AQ130" s="877"/>
      <c r="AR130" s="886"/>
      <c r="AS130" s="877"/>
      <c r="AT130" s="879"/>
      <c r="AU130" s="877"/>
      <c r="AV130" s="877"/>
      <c r="AW130" s="877"/>
      <c r="AX130" s="877"/>
      <c r="AY130" s="886"/>
      <c r="AZ130" s="877"/>
      <c r="BA130" s="879"/>
      <c r="BB130" s="877"/>
      <c r="BC130" s="877"/>
      <c r="BD130" s="877"/>
      <c r="BE130" s="877"/>
      <c r="BF130" s="886"/>
      <c r="BG130" s="877"/>
      <c r="BH130" s="879"/>
      <c r="BI130" s="877"/>
      <c r="BJ130" s="877"/>
      <c r="BK130" s="877"/>
      <c r="BL130" s="877"/>
      <c r="BM130" s="886"/>
      <c r="BN130" s="877"/>
      <c r="BO130" s="879"/>
      <c r="BP130" s="877"/>
      <c r="BQ130" s="877"/>
      <c r="BR130" s="877"/>
      <c r="BS130" s="877"/>
      <c r="BT130" s="886"/>
      <c r="BU130" s="877"/>
      <c r="BV130" s="879"/>
      <c r="BW130" s="886"/>
    </row>
    <row r="131" spans="1:253" s="406" customFormat="1" ht="17.25">
      <c r="A131" s="18"/>
      <c r="B131" s="55"/>
      <c r="C131" s="595"/>
      <c r="D131" s="50"/>
      <c r="E131" s="1294" t="s">
        <v>367</v>
      </c>
      <c r="F131" s="928">
        <f>SUM(K131:L131)</f>
        <v>0</v>
      </c>
      <c r="G131" s="877">
        <f>SUM(I131:Q131)</f>
        <v>5.4206985513536848E-5</v>
      </c>
      <c r="H131" s="878">
        <f>SUM(U131:W131)/(1-'Common input data'!$B$140)</f>
        <v>6.469386026200841E-5</v>
      </c>
      <c r="I131" s="877">
        <f>('Input data plant-based products'!$F$119*('Common input data'!$C$93*'Common input data'!B87+'Common input data'!$C$94*'Common input data'!C87))/'Input data plant-based products'!$E$119</f>
        <v>3.0925259282923222E-5</v>
      </c>
      <c r="J131" s="877">
        <v>0</v>
      </c>
      <c r="K131" s="877">
        <v>0</v>
      </c>
      <c r="L131" s="877">
        <v>0</v>
      </c>
      <c r="M131" s="877"/>
      <c r="N131" s="877">
        <f>('Input data plant-based products'!$P$119*'Common input data'!$C$76*'Common input data'!H67)/'Input data plant-based products'!$E$119</f>
        <v>2.3281726230613626E-5</v>
      </c>
      <c r="O131" s="877">
        <v>0</v>
      </c>
      <c r="P131" s="877">
        <v>0</v>
      </c>
      <c r="Q131" s="877">
        <v>0</v>
      </c>
      <c r="R131" s="877">
        <v>0</v>
      </c>
      <c r="S131" s="877">
        <v>0</v>
      </c>
      <c r="T131" s="877">
        <v>0</v>
      </c>
      <c r="U131" s="877">
        <f>G131+T131</f>
        <v>5.4206985513536848E-5</v>
      </c>
      <c r="V131" s="877">
        <v>0</v>
      </c>
      <c r="W131" s="886">
        <v>0</v>
      </c>
      <c r="X131" s="877"/>
      <c r="Y131" s="879"/>
      <c r="Z131" s="877"/>
      <c r="AA131" s="877"/>
      <c r="AB131" s="877"/>
      <c r="AC131" s="877"/>
      <c r="AD131" s="886"/>
      <c r="AE131" s="877"/>
      <c r="AF131" s="879"/>
      <c r="AG131" s="877"/>
      <c r="AH131" s="877"/>
      <c r="AI131" s="877"/>
      <c r="AJ131" s="877"/>
      <c r="AK131" s="886"/>
      <c r="AL131" s="877"/>
      <c r="AM131" s="879"/>
      <c r="AN131" s="877"/>
      <c r="AO131" s="877"/>
      <c r="AP131" s="877"/>
      <c r="AQ131" s="877"/>
      <c r="AR131" s="886"/>
      <c r="AS131" s="877"/>
      <c r="AT131" s="879"/>
      <c r="AU131" s="877"/>
      <c r="AV131" s="877"/>
      <c r="AW131" s="877"/>
      <c r="AX131" s="877"/>
      <c r="AY131" s="886"/>
      <c r="AZ131" s="877"/>
      <c r="BA131" s="879"/>
      <c r="BB131" s="877"/>
      <c r="BC131" s="877"/>
      <c r="BD131" s="877"/>
      <c r="BE131" s="877"/>
      <c r="BF131" s="886"/>
      <c r="BG131" s="877"/>
      <c r="BH131" s="879"/>
      <c r="BI131" s="877"/>
      <c r="BJ131" s="877"/>
      <c r="BK131" s="877"/>
      <c r="BL131" s="877"/>
      <c r="BM131" s="886"/>
      <c r="BN131" s="877"/>
      <c r="BO131" s="879"/>
      <c r="BP131" s="877"/>
      <c r="BQ131" s="877"/>
      <c r="BR131" s="877"/>
      <c r="BS131" s="877"/>
      <c r="BT131" s="886"/>
      <c r="BU131" s="877"/>
      <c r="BV131" s="879"/>
      <c r="BW131" s="886"/>
    </row>
    <row r="132" spans="1:253" s="406" customFormat="1" ht="17.25">
      <c r="A132" s="359"/>
      <c r="B132" s="360"/>
      <c r="C132" s="83"/>
      <c r="D132" s="54"/>
      <c r="E132" s="1295" t="s">
        <v>320</v>
      </c>
      <c r="F132" s="928">
        <f>SUM(K132:L132)</f>
        <v>1.2383762285714288E-4</v>
      </c>
      <c r="G132" s="877">
        <f>SUM(I132:Q132)</f>
        <v>1.6229015604728549E-4</v>
      </c>
      <c r="H132" s="878">
        <f>SUM(U132:W132)/(1-'Common input data'!$B$140)</f>
        <v>1.9368678368216434E-4</v>
      </c>
      <c r="I132" s="877">
        <f>('Input data plant-based products'!$F$119*('Common input data'!$C$93*'Common input data'!B88+'Common input data'!$C$94*'Common input data'!C88))/'Input data plant-based products'!$E$119</f>
        <v>3.7040260769373913E-5</v>
      </c>
      <c r="J132" s="877">
        <v>0</v>
      </c>
      <c r="K132" s="877">
        <f>(SUM(('Input data plant-based products'!$F$119*'Input data plant-based products'!$B$258),(('Input data plant-based products'!$G$119+'Input data plant-based products'!$H$119)*'Input data plant-based products'!$B$259))*44/28)/'Input data plant-based products'!$E$119</f>
        <v>1.1257965714285716E-4</v>
      </c>
      <c r="L132" s="877">
        <f>K132*'Input data plant-based products'!$B$261</f>
        <v>1.1257965714285717E-5</v>
      </c>
      <c r="M132" s="877"/>
      <c r="N132" s="877">
        <f>('Input data plant-based products'!$P$119*'Common input data'!$C$76*'Common input data'!H68)/'Input data plant-based products'!$E$119</f>
        <v>1.4122724207687124E-6</v>
      </c>
      <c r="O132" s="877">
        <v>0</v>
      </c>
      <c r="P132" s="877">
        <v>0</v>
      </c>
      <c r="Q132" s="877">
        <v>0</v>
      </c>
      <c r="R132" s="877">
        <v>0</v>
      </c>
      <c r="S132" s="877">
        <v>0</v>
      </c>
      <c r="T132" s="877">
        <v>0</v>
      </c>
      <c r="U132" s="877">
        <f>G132+T132</f>
        <v>1.6229015604728549E-4</v>
      </c>
      <c r="V132" s="877">
        <v>0</v>
      </c>
      <c r="W132" s="886">
        <v>0</v>
      </c>
      <c r="X132" s="877"/>
      <c r="Y132" s="879"/>
      <c r="Z132" s="877"/>
      <c r="AA132" s="877"/>
      <c r="AB132" s="877"/>
      <c r="AC132" s="877"/>
      <c r="AD132" s="886"/>
      <c r="AE132" s="877"/>
      <c r="AF132" s="879"/>
      <c r="AG132" s="877"/>
      <c r="AH132" s="877"/>
      <c r="AI132" s="877"/>
      <c r="AJ132" s="877"/>
      <c r="AK132" s="886"/>
      <c r="AL132" s="877"/>
      <c r="AM132" s="879"/>
      <c r="AN132" s="877"/>
      <c r="AO132" s="877"/>
      <c r="AP132" s="877"/>
      <c r="AQ132" s="877"/>
      <c r="AR132" s="886"/>
      <c r="AS132" s="877"/>
      <c r="AT132" s="879"/>
      <c r="AU132" s="877"/>
      <c r="AV132" s="877"/>
      <c r="AW132" s="877"/>
      <c r="AX132" s="877"/>
      <c r="AY132" s="886"/>
      <c r="AZ132" s="877"/>
      <c r="BA132" s="879"/>
      <c r="BB132" s="877"/>
      <c r="BC132" s="877"/>
      <c r="BD132" s="877"/>
      <c r="BE132" s="877"/>
      <c r="BF132" s="886"/>
      <c r="BG132" s="877"/>
      <c r="BH132" s="879"/>
      <c r="BI132" s="877"/>
      <c r="BJ132" s="877"/>
      <c r="BK132" s="877"/>
      <c r="BL132" s="877"/>
      <c r="BM132" s="886"/>
      <c r="BN132" s="877"/>
      <c r="BO132" s="879"/>
      <c r="BP132" s="877"/>
      <c r="BQ132" s="877"/>
      <c r="BR132" s="877"/>
      <c r="BS132" s="877"/>
      <c r="BT132" s="886"/>
      <c r="BU132" s="877"/>
      <c r="BV132" s="879"/>
      <c r="BW132" s="886"/>
    </row>
    <row r="133" spans="1:253" s="406" customFormat="1" ht="17.25">
      <c r="A133" s="20" t="s">
        <v>134</v>
      </c>
      <c r="B133" s="93" t="s">
        <v>121</v>
      </c>
      <c r="C133" s="87">
        <f>'Input data plant-based products'!D120</f>
        <v>0.51</v>
      </c>
      <c r="D133" s="54"/>
      <c r="E133" s="1293" t="s">
        <v>316</v>
      </c>
      <c r="F133" s="930">
        <f>SUMPRODUCT($CI$4:$CI$6,F134:F136)</f>
        <v>-6.9875546205733649E-2</v>
      </c>
      <c r="G133" s="872">
        <f>SUMPRODUCT($CI$4:$CI$6,G134:G136)</f>
        <v>0.10211104156213373</v>
      </c>
      <c r="H133" s="873">
        <f>SUMPRODUCT($CI$4:$CI$6,H134:H136)</f>
        <v>0.79876919913570144</v>
      </c>
      <c r="I133" s="884"/>
      <c r="J133" s="884"/>
      <c r="K133" s="884"/>
      <c r="L133" s="884"/>
      <c r="M133" s="884"/>
      <c r="N133" s="884"/>
      <c r="O133" s="884"/>
      <c r="P133" s="884"/>
      <c r="Q133" s="884"/>
      <c r="R133" s="884"/>
      <c r="S133" s="884"/>
      <c r="T133" s="884"/>
      <c r="U133" s="884"/>
      <c r="V133" s="884"/>
      <c r="W133" s="885"/>
      <c r="X133" s="877"/>
      <c r="Y133" s="879">
        <f>1/'Input data plant-based products'!E120*10^4</f>
        <v>0.63463857333248719</v>
      </c>
      <c r="Z133" s="877">
        <f>$Y133*'Input data plant-based products'!Z120</f>
        <v>0.63463857333248719</v>
      </c>
      <c r="AA133" s="877">
        <f>$Y133*'Input data plant-based products'!AA120</f>
        <v>0.63463857333248719</v>
      </c>
      <c r="AB133" s="877">
        <f>$Y133*'Input data plant-based products'!AB120</f>
        <v>0.63463857333248719</v>
      </c>
      <c r="AC133" s="877">
        <f>$Y133*'Input data plant-based products'!AC120</f>
        <v>0.87084715589835759</v>
      </c>
      <c r="AD133" s="886">
        <f>$Y133*'Input data plant-based products'!AD120</f>
        <v>1.0751199455535279</v>
      </c>
      <c r="AE133" s="877"/>
      <c r="AF133" s="879">
        <f>SUM('Input data plant-based products'!F120,'Input data plant-based products'!Q120)/'Input data plant-based products'!E120</f>
        <v>4.5059338706606592E-3</v>
      </c>
      <c r="AG133" s="877">
        <f>$AF133*'Input data plant-based products'!Z120</f>
        <v>4.5059338706606592E-3</v>
      </c>
      <c r="AH133" s="877">
        <f>$AF133*'Input data plant-based products'!AA120</f>
        <v>4.5059338706606592E-3</v>
      </c>
      <c r="AI133" s="877">
        <f>$AF133*'Input data plant-based products'!AB120</f>
        <v>4.5059338706606592E-3</v>
      </c>
      <c r="AJ133" s="877">
        <f>$AF133*'Input data plant-based products'!AC120</f>
        <v>6.183014806878339E-3</v>
      </c>
      <c r="AK133" s="886">
        <f>$AF133*'Input data plant-based products'!AD120</f>
        <v>7.6333516134300481E-3</v>
      </c>
      <c r="AL133" s="877"/>
      <c r="AM133" s="879">
        <f>'Input data plant-based products'!R120/'Input data plant-based products'!E120</f>
        <v>7.4599999999999996E-3</v>
      </c>
      <c r="AN133" s="877">
        <f>$AM133*'Input data plant-based products'!Z120</f>
        <v>7.4599999999999996E-3</v>
      </c>
      <c r="AO133" s="877">
        <f>$AM133*'Input data plant-based products'!AA120</f>
        <v>7.4599999999999996E-3</v>
      </c>
      <c r="AP133" s="877">
        <f>$AM133*'Input data plant-based products'!AB120</f>
        <v>7.4599999999999996E-3</v>
      </c>
      <c r="AQ133" s="877">
        <f>$AM133*'Input data plant-based products'!AC120</f>
        <v>1.0236566222075853E-2</v>
      </c>
      <c r="AR133" s="886">
        <f>$AM133*'Input data plant-based products'!AD120</f>
        <v>1.2637736076636855E-2</v>
      </c>
      <c r="AS133" s="877"/>
      <c r="AT133" s="879">
        <f>'Input data plant-based products'!S120</f>
        <v>0.16848733928241896</v>
      </c>
      <c r="AU133" s="877">
        <f>$AT133*'Input data plant-based products'!Z120</f>
        <v>0.16848733928241896</v>
      </c>
      <c r="AV133" s="877">
        <f>$AT133*'Input data plant-based products'!AA120</f>
        <v>0.16848733928241896</v>
      </c>
      <c r="AW133" s="877">
        <f>$AT133*'Input data plant-based products'!AB120</f>
        <v>0.16848733928241896</v>
      </c>
      <c r="AX133" s="877">
        <f>$AT133*'Input data plant-based products'!AC120</f>
        <v>0.23119729304904077</v>
      </c>
      <c r="AY133" s="886">
        <f>$AT133*'Input data plant-based products'!AD120</f>
        <v>0.2854287568506676</v>
      </c>
      <c r="AZ133" s="877"/>
      <c r="BA133" s="879">
        <f>((SUM('Input data plant-based products'!U120:Y120)*Y133)/('Common input data'!$B$192/10^6))/$BB$3</f>
        <v>6.4725892196210503E-10</v>
      </c>
      <c r="BB133" s="877">
        <f>$BA133*'Input data plant-based products'!Z120</f>
        <v>6.4725892196210503E-10</v>
      </c>
      <c r="BC133" s="877">
        <f>$BA133*'Input data plant-based products'!AA120</f>
        <v>6.4725892196210503E-10</v>
      </c>
      <c r="BD133" s="877">
        <f>$BA133*'Input data plant-based products'!AB120</f>
        <v>6.4725892196210503E-10</v>
      </c>
      <c r="BE133" s="877">
        <f>$BA133*'Input data plant-based products'!AC120</f>
        <v>8.8816472084376879E-10</v>
      </c>
      <c r="BF133" s="886">
        <f>$BA133*'Input data plant-based products'!AD120</f>
        <v>1.0964996553626774E-9</v>
      </c>
      <c r="BG133" s="877"/>
      <c r="BH133" s="879">
        <f>'Input data plant-based products'!T120/'Input data plant-based products'!E120</f>
        <v>8.8200000000000003E-5</v>
      </c>
      <c r="BI133" s="877">
        <f>$BH133*'Input data plant-based products'!Z120</f>
        <v>8.8200000000000003E-5</v>
      </c>
      <c r="BJ133" s="877">
        <f>$BH133*'Input data plant-based products'!AA120</f>
        <v>8.8200000000000003E-5</v>
      </c>
      <c r="BK133" s="877">
        <f>$BH133*'Input data plant-based products'!AB120</f>
        <v>8.8200000000000003E-5</v>
      </c>
      <c r="BL133" s="877">
        <f>$BH133*'Input data plant-based products'!AC120</f>
        <v>1.2102749876502552E-4</v>
      </c>
      <c r="BM133" s="886">
        <f>$BH133*'Input data plant-based products'!AD120</f>
        <v>1.494166651420068E-4</v>
      </c>
      <c r="BN133" s="877"/>
      <c r="BO133" s="879">
        <f>('Input data plant-based products'!F120/'Input data plant-based products'!E120*'Common input data'!$B$195+'Input data plant-based products'!G120/'Input data plant-based products'!E120*'Common input data'!$B$196)/'Common input data'!$B$198</f>
        <v>1.1505331297034736E-4</v>
      </c>
      <c r="BP133" s="877">
        <f>$BO133*'Input data plant-based products'!Z120</f>
        <v>1.1505331297034736E-4</v>
      </c>
      <c r="BQ133" s="877">
        <f>$BO133*'Input data plant-based products'!AA120</f>
        <v>1.1505331297034736E-4</v>
      </c>
      <c r="BR133" s="877">
        <f>$BO133*'Input data plant-based products'!AB120</f>
        <v>1.1505331297034736E-4</v>
      </c>
      <c r="BS133" s="877">
        <f>$BO133*'Input data plant-based products'!AC120</f>
        <v>1.5787545003889805E-4</v>
      </c>
      <c r="BT133" s="886">
        <f>$BO133*'Input data plant-based products'!AD120</f>
        <v>1.9490796301098524E-4</v>
      </c>
      <c r="BU133" s="877"/>
      <c r="BV133" s="879">
        <f>('Common input data'!$C$202+'Common input data'!$B$228)*'Input data plant-based products'!AC120</f>
        <v>7.7562421752278485</v>
      </c>
      <c r="BW133" s="886">
        <f>('Common input data'!$C$202+'Common input data'!$B$228)*'Input data plant-based products'!AD120</f>
        <v>9.5756076237380832</v>
      </c>
    </row>
    <row r="134" spans="1:253" s="406" customFormat="1" ht="17.25">
      <c r="A134" s="68"/>
      <c r="B134" s="55"/>
      <c r="C134" s="917"/>
      <c r="D134" s="5"/>
      <c r="E134" s="1294" t="s">
        <v>317</v>
      </c>
      <c r="F134" s="928">
        <f>IF(AND($G$2="No",$G$3="No"),SUM(K134:L134),IF(AND($G$2="Yes", $G$3="No"), SUM(K134:L134)+S134, IF(AND($G$2="No", $G$3="Yes"),SUM(K134:L134)+R134, SUM(K134:L134)+S134+R134)))</f>
        <v>-9.1139048141381296E-2</v>
      </c>
      <c r="G134" s="877">
        <f>IF(AND($G$2="No",$G$3="No"),SUM(I134:Q134),IF(AND($G$2="Yes", $G$3="No"), SUM(I134:Q134)+S134, IF(AND($G$2="No", $G$3="Yes"),SUM(I134:Q134)+R134, SUM(I134:Q134)+S134+R134)))</f>
        <v>6.7071631862915315E-2</v>
      </c>
      <c r="H134" s="878">
        <f>SUM(U134:W134)/(1-'Common input data'!$I$140)</f>
        <v>0.75068833616405317</v>
      </c>
      <c r="I134" s="877">
        <f>('Input data plant-based products'!$F$120*('Common input data'!$D$93*'Common input data'!B86+'Common input data'!$D$94*'Common input data'!C86))/'Input data plant-based products'!$E$120</f>
        <v>1.8850751083816814E-2</v>
      </c>
      <c r="J134" s="877">
        <f>'Common input data'!$B$98</f>
        <v>0.03</v>
      </c>
      <c r="K134" s="877">
        <v>0</v>
      </c>
      <c r="L134" s="877">
        <v>0</v>
      </c>
      <c r="M134" s="877"/>
      <c r="N134" s="877">
        <f>('Input data plant-based products'!$P$120*'Common input data'!$C$76*'Common input data'!H66)/'Input data plant-based products'!$E$120</f>
        <v>5.9359928920479796E-2</v>
      </c>
      <c r="O134" s="877">
        <v>0</v>
      </c>
      <c r="P134" s="877">
        <f>'Input data plant-based products'!$F$309</f>
        <v>0.05</v>
      </c>
      <c r="Q134" s="877">
        <v>0</v>
      </c>
      <c r="R134" s="877">
        <f>'Common input data'!$F$19</f>
        <v>-9.1139048141381296E-2</v>
      </c>
      <c r="S134" s="877">
        <v>0</v>
      </c>
      <c r="T134" s="877">
        <v>0</v>
      </c>
      <c r="U134" s="877">
        <f>G134+T134</f>
        <v>6.7071631862915315E-2</v>
      </c>
      <c r="V134" s="877">
        <f>'Common input data'!$B$105</f>
        <v>0.05</v>
      </c>
      <c r="W134" s="886">
        <f>'Common input data'!B128+'Common input data'!C128</f>
        <v>0.43000000000000005</v>
      </c>
      <c r="X134" s="877"/>
      <c r="Y134" s="879"/>
      <c r="Z134" s="877"/>
      <c r="AA134" s="877"/>
      <c r="AB134" s="877"/>
      <c r="AC134" s="877"/>
      <c r="AD134" s="886"/>
      <c r="AE134" s="877"/>
      <c r="AF134" s="879"/>
      <c r="AG134" s="877"/>
      <c r="AH134" s="877"/>
      <c r="AI134" s="877"/>
      <c r="AJ134" s="877"/>
      <c r="AK134" s="886"/>
      <c r="AL134" s="877"/>
      <c r="AM134" s="879"/>
      <c r="AN134" s="877"/>
      <c r="AO134" s="877"/>
      <c r="AP134" s="877"/>
      <c r="AQ134" s="877"/>
      <c r="AR134" s="886"/>
      <c r="AS134" s="877"/>
      <c r="AT134" s="879"/>
      <c r="AU134" s="877"/>
      <c r="AV134" s="877"/>
      <c r="AW134" s="877"/>
      <c r="AX134" s="877"/>
      <c r="AY134" s="886"/>
      <c r="AZ134" s="877"/>
      <c r="BA134" s="879"/>
      <c r="BB134" s="877"/>
      <c r="BC134" s="877"/>
      <c r="BD134" s="877"/>
      <c r="BE134" s="877"/>
      <c r="BF134" s="886"/>
      <c r="BG134" s="877"/>
      <c r="BH134" s="879"/>
      <c r="BI134" s="877"/>
      <c r="BJ134" s="877"/>
      <c r="BK134" s="877"/>
      <c r="BL134" s="877"/>
      <c r="BM134" s="886"/>
      <c r="BN134" s="877"/>
      <c r="BO134" s="879"/>
      <c r="BP134" s="877"/>
      <c r="BQ134" s="877"/>
      <c r="BR134" s="877"/>
      <c r="BS134" s="877"/>
      <c r="BT134" s="886"/>
      <c r="BU134" s="877"/>
      <c r="BV134" s="879"/>
      <c r="BW134" s="886"/>
    </row>
    <row r="135" spans="1:253" s="406" customFormat="1" ht="17.25">
      <c r="A135" s="18"/>
      <c r="B135" s="55"/>
      <c r="C135" s="595"/>
      <c r="D135" s="50"/>
      <c r="E135" s="1294" t="s">
        <v>367</v>
      </c>
      <c r="F135" s="928">
        <f>SUM(K135:L135)</f>
        <v>0</v>
      </c>
      <c r="G135" s="877">
        <f>SUM(I135:Q135)</f>
        <v>6.630709907808802E-5</v>
      </c>
      <c r="H135" s="878">
        <f>SUM(U135:W135)/(1-'Common input data'!$I$140)</f>
        <v>9.0986194464690728E-5</v>
      </c>
      <c r="I135" s="877">
        <f>('Input data plant-based products'!$F$120*('Common input data'!$D$93*'Common input data'!B87+'Common input data'!$D$94*'Common input data'!C87))/'Input data plant-based products'!$E$120</f>
        <v>4.0012652165604671E-5</v>
      </c>
      <c r="J135" s="877">
        <v>0</v>
      </c>
      <c r="K135" s="877">
        <v>0</v>
      </c>
      <c r="L135" s="877">
        <v>0</v>
      </c>
      <c r="M135" s="877"/>
      <c r="N135" s="877">
        <f>('Input data plant-based products'!$P$120*'Common input data'!$C$76*'Common input data'!H67)/'Input data plant-based products'!$E$120</f>
        <v>2.6294446912483345E-5</v>
      </c>
      <c r="O135" s="877">
        <v>0</v>
      </c>
      <c r="P135" s="877">
        <v>0</v>
      </c>
      <c r="Q135" s="877">
        <v>0</v>
      </c>
      <c r="R135" s="877">
        <v>0</v>
      </c>
      <c r="S135" s="877">
        <v>0</v>
      </c>
      <c r="T135" s="877">
        <v>0</v>
      </c>
      <c r="U135" s="877">
        <f>G135+T135</f>
        <v>6.630709907808802E-5</v>
      </c>
      <c r="V135" s="877">
        <v>0</v>
      </c>
      <c r="W135" s="886">
        <v>0</v>
      </c>
      <c r="X135" s="877"/>
      <c r="Y135" s="879"/>
      <c r="Z135" s="877"/>
      <c r="AA135" s="877"/>
      <c r="AB135" s="877"/>
      <c r="AC135" s="877"/>
      <c r="AD135" s="886"/>
      <c r="AE135" s="877"/>
      <c r="AF135" s="879"/>
      <c r="AG135" s="877"/>
      <c r="AH135" s="877"/>
      <c r="AI135" s="877"/>
      <c r="AJ135" s="877"/>
      <c r="AK135" s="886"/>
      <c r="AL135" s="877"/>
      <c r="AM135" s="879"/>
      <c r="AN135" s="877"/>
      <c r="AO135" s="877"/>
      <c r="AP135" s="877"/>
      <c r="AQ135" s="877"/>
      <c r="AR135" s="886"/>
      <c r="AS135" s="877"/>
      <c r="AT135" s="879"/>
      <c r="AU135" s="877"/>
      <c r="AV135" s="877"/>
      <c r="AW135" s="877"/>
      <c r="AX135" s="877"/>
      <c r="AY135" s="886"/>
      <c r="AZ135" s="877"/>
      <c r="BA135" s="879"/>
      <c r="BB135" s="877"/>
      <c r="BC135" s="877"/>
      <c r="BD135" s="877"/>
      <c r="BE135" s="877"/>
      <c r="BF135" s="886"/>
      <c r="BG135" s="877"/>
      <c r="BH135" s="879"/>
      <c r="BI135" s="877"/>
      <c r="BJ135" s="877"/>
      <c r="BK135" s="877"/>
      <c r="BL135" s="877"/>
      <c r="BM135" s="886"/>
      <c r="BN135" s="877"/>
      <c r="BO135" s="879"/>
      <c r="BP135" s="877"/>
      <c r="BQ135" s="877"/>
      <c r="BR135" s="877"/>
      <c r="BS135" s="877"/>
      <c r="BT135" s="886"/>
      <c r="BU135" s="877"/>
      <c r="BV135" s="879"/>
      <c r="BW135" s="886"/>
    </row>
    <row r="136" spans="1:253" s="406" customFormat="1" ht="17.25">
      <c r="A136" s="359"/>
      <c r="B136" s="360"/>
      <c r="C136" s="83"/>
      <c r="D136" s="54"/>
      <c r="E136" s="1295" t="s">
        <v>320</v>
      </c>
      <c r="F136" s="932">
        <f>SUM(K136:L136)</f>
        <v>7.788828547856281E-5</v>
      </c>
      <c r="G136" s="896">
        <f>SUM(I136:Q136)</f>
        <v>1.2179164111395621E-4</v>
      </c>
      <c r="H136" s="933">
        <f>SUM(U136:W136)/(1-'Common input data'!$I$140)</f>
        <v>1.6712174256813792E-4</v>
      </c>
      <c r="I136" s="877">
        <f>('Input data plant-based products'!$F$120*('Common input data'!$D$93*'Common input data'!B88+'Common input data'!$D$94*'Common input data'!C88))/'Input data plant-based products'!$E$120</f>
        <v>4.2308331201808325E-5</v>
      </c>
      <c r="J136" s="877">
        <v>0</v>
      </c>
      <c r="K136" s="877">
        <f>(SUM('Input data plant-based products'!F120:H120)*'Input data plant-based products'!$B$257*44/28)/'Input data plant-based products'!E120</f>
        <v>7.0807532253238921E-5</v>
      </c>
      <c r="L136" s="877">
        <f>K136*'Input data plant-based products'!$B$261</f>
        <v>7.0807532253238928E-6</v>
      </c>
      <c r="M136" s="877"/>
      <c r="N136" s="877">
        <f>('Input data plant-based products'!$P$120*'Common input data'!$C$76*'Common input data'!H68)/'Input data plant-based products'!$E$120</f>
        <v>1.5950244335850736E-6</v>
      </c>
      <c r="O136" s="877">
        <v>0</v>
      </c>
      <c r="P136" s="877">
        <v>0</v>
      </c>
      <c r="Q136" s="877">
        <v>0</v>
      </c>
      <c r="R136" s="877">
        <v>0</v>
      </c>
      <c r="S136" s="877">
        <v>0</v>
      </c>
      <c r="T136" s="877">
        <v>0</v>
      </c>
      <c r="U136" s="877">
        <f>G136+T136</f>
        <v>1.2179164111395621E-4</v>
      </c>
      <c r="V136" s="877">
        <v>0</v>
      </c>
      <c r="W136" s="886">
        <v>0</v>
      </c>
      <c r="X136" s="877"/>
      <c r="Y136" s="879"/>
      <c r="Z136" s="877"/>
      <c r="AA136" s="877"/>
      <c r="AB136" s="877"/>
      <c r="AC136" s="877"/>
      <c r="AD136" s="886"/>
      <c r="AE136" s="877"/>
      <c r="AF136" s="879"/>
      <c r="AG136" s="877"/>
      <c r="AH136" s="877"/>
      <c r="AI136" s="877"/>
      <c r="AJ136" s="877"/>
      <c r="AK136" s="886"/>
      <c r="AL136" s="877"/>
      <c r="AM136" s="879"/>
      <c r="AN136" s="877"/>
      <c r="AO136" s="877"/>
      <c r="AP136" s="877"/>
      <c r="AQ136" s="877"/>
      <c r="AR136" s="886"/>
      <c r="AS136" s="877"/>
      <c r="AT136" s="879"/>
      <c r="AU136" s="877"/>
      <c r="AV136" s="877"/>
      <c r="AW136" s="877"/>
      <c r="AX136" s="877"/>
      <c r="AY136" s="886"/>
      <c r="AZ136" s="877"/>
      <c r="BA136" s="879"/>
      <c r="BB136" s="877"/>
      <c r="BC136" s="877"/>
      <c r="BD136" s="877"/>
      <c r="BE136" s="877"/>
      <c r="BF136" s="886"/>
      <c r="BG136" s="877"/>
      <c r="BH136" s="879"/>
      <c r="BI136" s="877"/>
      <c r="BJ136" s="877"/>
      <c r="BK136" s="877"/>
      <c r="BL136" s="877"/>
      <c r="BM136" s="886"/>
      <c r="BN136" s="877"/>
      <c r="BO136" s="879"/>
      <c r="BP136" s="877"/>
      <c r="BQ136" s="877"/>
      <c r="BR136" s="877"/>
      <c r="BS136" s="877"/>
      <c r="BT136" s="886"/>
      <c r="BU136" s="877"/>
      <c r="BV136" s="879"/>
      <c r="BW136" s="886"/>
    </row>
    <row r="137" spans="1:253" s="503" customFormat="1" ht="17.25">
      <c r="A137" s="362" t="s">
        <v>518</v>
      </c>
      <c r="B137" s="363"/>
      <c r="C137" s="770"/>
      <c r="D137" s="54"/>
      <c r="E137" s="1296"/>
      <c r="F137" s="925" t="s">
        <v>519</v>
      </c>
      <c r="G137" s="1290" t="s">
        <v>519</v>
      </c>
      <c r="H137" s="870" t="s">
        <v>519</v>
      </c>
      <c r="I137" s="889"/>
      <c r="J137" s="889"/>
      <c r="K137" s="889"/>
      <c r="L137" s="889"/>
      <c r="M137" s="889"/>
      <c r="N137" s="889"/>
      <c r="O137" s="1305"/>
      <c r="P137" s="889"/>
      <c r="Q137" s="889"/>
      <c r="R137" s="889"/>
      <c r="S137" s="889"/>
      <c r="T137" s="889"/>
      <c r="U137" s="889"/>
      <c r="V137" s="889"/>
      <c r="W137" s="960"/>
      <c r="X137" s="877"/>
      <c r="Y137" s="879"/>
      <c r="Z137" s="877"/>
      <c r="AA137" s="877"/>
      <c r="AB137" s="877"/>
      <c r="AC137" s="877"/>
      <c r="AD137" s="886"/>
      <c r="AE137" s="877"/>
      <c r="AF137" s="879"/>
      <c r="AG137" s="877"/>
      <c r="AH137" s="877"/>
      <c r="AI137" s="877"/>
      <c r="AJ137" s="877"/>
      <c r="AK137" s="886"/>
      <c r="AL137" s="877"/>
      <c r="AM137" s="879"/>
      <c r="AN137" s="877"/>
      <c r="AO137" s="877"/>
      <c r="AP137" s="877"/>
      <c r="AQ137" s="877"/>
      <c r="AR137" s="886"/>
      <c r="AS137" s="877"/>
      <c r="AT137" s="879"/>
      <c r="AU137" s="877"/>
      <c r="AV137" s="877"/>
      <c r="AW137" s="877"/>
      <c r="AX137" s="877"/>
      <c r="AY137" s="886"/>
      <c r="AZ137" s="877"/>
      <c r="BA137" s="879"/>
      <c r="BB137" s="877"/>
      <c r="BC137" s="877"/>
      <c r="BD137" s="877"/>
      <c r="BE137" s="877"/>
      <c r="BF137" s="886"/>
      <c r="BG137" s="877"/>
      <c r="BH137" s="879"/>
      <c r="BI137" s="877"/>
      <c r="BJ137" s="877"/>
      <c r="BK137" s="877"/>
      <c r="BL137" s="877"/>
      <c r="BM137" s="886"/>
      <c r="BN137" s="877"/>
      <c r="BO137" s="879"/>
      <c r="BP137" s="877"/>
      <c r="BQ137" s="877"/>
      <c r="BR137" s="877"/>
      <c r="BS137" s="877"/>
      <c r="BT137" s="886"/>
      <c r="BU137" s="877"/>
      <c r="BV137" s="879"/>
      <c r="BW137" s="886"/>
      <c r="BX137" s="406"/>
      <c r="BY137" s="406"/>
      <c r="BZ137" s="406"/>
      <c r="CA137" s="406"/>
      <c r="CB137" s="406"/>
      <c r="CC137" s="406"/>
      <c r="CD137" s="406"/>
      <c r="CE137" s="406"/>
      <c r="CF137" s="406"/>
      <c r="CG137" s="406"/>
      <c r="CH137" s="406"/>
      <c r="CI137" s="406"/>
      <c r="CJ137" s="406"/>
      <c r="CK137" s="406"/>
      <c r="CL137" s="406"/>
      <c r="CM137" s="406"/>
      <c r="CN137" s="406"/>
      <c r="CO137" s="406"/>
      <c r="CP137" s="406"/>
      <c r="CQ137" s="406"/>
      <c r="CR137" s="406"/>
      <c r="CS137" s="406"/>
      <c r="CT137" s="406"/>
      <c r="CU137" s="406"/>
      <c r="CV137" s="406"/>
      <c r="CW137" s="406"/>
      <c r="CX137" s="406"/>
      <c r="CY137" s="406"/>
      <c r="CZ137" s="406"/>
      <c r="DA137" s="406"/>
      <c r="DB137" s="406"/>
      <c r="DC137" s="406"/>
      <c r="DD137" s="406"/>
      <c r="DE137" s="406"/>
      <c r="DF137" s="406"/>
      <c r="DG137" s="406"/>
      <c r="DH137" s="406"/>
      <c r="DI137" s="406"/>
      <c r="DJ137" s="406"/>
      <c r="DK137" s="406"/>
      <c r="DL137" s="406"/>
      <c r="DM137" s="406"/>
      <c r="DN137" s="406"/>
      <c r="DO137" s="406"/>
      <c r="DP137" s="406"/>
      <c r="DQ137" s="406"/>
      <c r="DR137" s="406"/>
      <c r="DS137" s="406"/>
      <c r="DT137" s="406"/>
      <c r="DU137" s="406"/>
      <c r="DV137" s="406"/>
      <c r="DW137" s="406"/>
      <c r="DX137" s="406"/>
      <c r="DY137" s="406"/>
      <c r="DZ137" s="406"/>
      <c r="EA137" s="406"/>
      <c r="EB137" s="406"/>
      <c r="EC137" s="406"/>
      <c r="ED137" s="406"/>
      <c r="EE137" s="406"/>
      <c r="EF137" s="406"/>
      <c r="EG137" s="406"/>
      <c r="EH137" s="406"/>
      <c r="EI137" s="406"/>
      <c r="EJ137" s="406"/>
      <c r="EK137" s="406"/>
      <c r="EL137" s="406"/>
      <c r="EM137" s="406"/>
      <c r="EN137" s="406"/>
      <c r="EO137" s="406"/>
      <c r="EP137" s="406"/>
      <c r="EQ137" s="406"/>
      <c r="ER137" s="406"/>
      <c r="ES137" s="406"/>
      <c r="ET137" s="406"/>
      <c r="EU137" s="406"/>
      <c r="EV137" s="406"/>
      <c r="EW137" s="406"/>
      <c r="EX137" s="406"/>
      <c r="EY137" s="406"/>
      <c r="EZ137" s="406"/>
      <c r="FA137" s="406"/>
      <c r="FB137" s="406"/>
      <c r="FC137" s="406"/>
      <c r="FD137" s="406"/>
      <c r="FE137" s="406"/>
      <c r="FF137" s="406"/>
      <c r="FG137" s="406"/>
      <c r="FH137" s="406"/>
      <c r="FI137" s="406"/>
      <c r="FJ137" s="406"/>
      <c r="FK137" s="406"/>
      <c r="FL137" s="406"/>
      <c r="FM137" s="406"/>
      <c r="FN137" s="406"/>
      <c r="FO137" s="406"/>
      <c r="FP137" s="406"/>
      <c r="FQ137" s="406"/>
      <c r="FR137" s="406"/>
      <c r="FS137" s="406"/>
      <c r="FT137" s="406"/>
      <c r="FU137" s="406"/>
      <c r="FV137" s="406"/>
      <c r="FW137" s="406"/>
      <c r="FX137" s="406"/>
      <c r="FY137" s="406"/>
      <c r="FZ137" s="406"/>
      <c r="GA137" s="406"/>
      <c r="GB137" s="406"/>
      <c r="GC137" s="406"/>
      <c r="GD137" s="406"/>
      <c r="GE137" s="406"/>
      <c r="GF137" s="406"/>
      <c r="GG137" s="406"/>
      <c r="GH137" s="406"/>
      <c r="GI137" s="406"/>
      <c r="GJ137" s="406"/>
      <c r="GK137" s="406"/>
      <c r="GL137" s="406"/>
      <c r="GM137" s="406"/>
      <c r="GN137" s="406"/>
      <c r="GO137" s="406"/>
      <c r="GP137" s="406"/>
      <c r="GQ137" s="406"/>
      <c r="GR137" s="406"/>
      <c r="GS137" s="406"/>
      <c r="GT137" s="406"/>
      <c r="GU137" s="406"/>
      <c r="GV137" s="406"/>
      <c r="GW137" s="406"/>
      <c r="GX137" s="406"/>
      <c r="GY137" s="406"/>
      <c r="GZ137" s="406"/>
      <c r="HA137" s="406"/>
      <c r="HB137" s="406"/>
      <c r="HC137" s="406"/>
      <c r="HD137" s="406"/>
      <c r="HE137" s="406"/>
      <c r="HF137" s="406"/>
      <c r="HG137" s="406"/>
      <c r="HH137" s="406"/>
      <c r="HI137" s="406"/>
      <c r="HJ137" s="406"/>
      <c r="HK137" s="406"/>
      <c r="HL137" s="406"/>
      <c r="HM137" s="406"/>
      <c r="HN137" s="406"/>
      <c r="HO137" s="406"/>
      <c r="HP137" s="406"/>
      <c r="HQ137" s="406"/>
      <c r="HR137" s="406"/>
      <c r="HS137" s="406"/>
      <c r="HT137" s="406"/>
      <c r="HU137" s="406"/>
      <c r="HV137" s="406"/>
      <c r="HW137" s="406"/>
      <c r="HX137" s="406"/>
      <c r="HY137" s="406"/>
      <c r="HZ137" s="406"/>
      <c r="IA137" s="406"/>
      <c r="IB137" s="406"/>
      <c r="IC137" s="406"/>
      <c r="ID137" s="406"/>
      <c r="IE137" s="406"/>
      <c r="IF137" s="406"/>
      <c r="IG137" s="406"/>
      <c r="IH137" s="406"/>
      <c r="II137" s="406"/>
      <c r="IJ137" s="406"/>
      <c r="IK137" s="406"/>
      <c r="IL137" s="406"/>
      <c r="IM137" s="406"/>
      <c r="IN137" s="406"/>
      <c r="IO137" s="406"/>
      <c r="IP137" s="406"/>
      <c r="IQ137" s="406"/>
      <c r="IR137" s="406"/>
      <c r="IS137" s="406"/>
    </row>
    <row r="138" spans="1:253" s="502" customFormat="1" ht="17.25">
      <c r="A138" s="20" t="s">
        <v>120</v>
      </c>
      <c r="B138" s="93"/>
      <c r="C138" s="903">
        <f>SUM(C142:C157)</f>
        <v>0.99999999999999989</v>
      </c>
      <c r="D138" s="26"/>
      <c r="E138" s="1293" t="s">
        <v>316</v>
      </c>
      <c r="F138" s="926">
        <f>SUMPRODUCT($CI$4:$CI$6,F139:F141)</f>
        <v>-5.057993332160042E-2</v>
      </c>
      <c r="G138" s="874">
        <f>SUMPRODUCT($CI$4:$CI$6,G139:G141)</f>
        <v>0.38743367701564763</v>
      </c>
      <c r="H138" s="927">
        <f>SUMPRODUCT($CI$4:$CI$6,H139:H141)</f>
        <v>0.73449537774871432</v>
      </c>
      <c r="I138" s="872"/>
      <c r="J138" s="884"/>
      <c r="K138" s="884"/>
      <c r="L138" s="884"/>
      <c r="M138" s="884"/>
      <c r="N138" s="884"/>
      <c r="O138" s="884"/>
      <c r="P138" s="884"/>
      <c r="Q138" s="884"/>
      <c r="R138" s="884"/>
      <c r="S138" s="884"/>
      <c r="T138" s="884"/>
      <c r="U138" s="884"/>
      <c r="V138" s="884"/>
      <c r="W138" s="885"/>
      <c r="X138" s="877"/>
      <c r="Y138" s="883">
        <f>Y142*$C$142+Y146*$C$146+Y150*$C$150+Y154*$C$154</f>
        <v>1.2015339443910902</v>
      </c>
      <c r="Z138" s="884">
        <f t="shared" ref="Z138:BW138" si="18">Z142*$C$142+Z146*$C$146+Z150*$C$150+Z154*$C$154</f>
        <v>1.2015339443910902</v>
      </c>
      <c r="AA138" s="884">
        <f t="shared" si="18"/>
        <v>1.2015339443910902</v>
      </c>
      <c r="AB138" s="884">
        <f t="shared" si="18"/>
        <v>1.2015339443910902</v>
      </c>
      <c r="AC138" s="884">
        <f t="shared" si="18"/>
        <v>1.4339825091193343</v>
      </c>
      <c r="AD138" s="885">
        <f t="shared" si="18"/>
        <v>1.7703487766905361</v>
      </c>
      <c r="AE138" s="877"/>
      <c r="AF138" s="883">
        <f t="shared" si="18"/>
        <v>4.6349106734850706E-3</v>
      </c>
      <c r="AG138" s="884">
        <f t="shared" si="18"/>
        <v>4.6349106734850706E-3</v>
      </c>
      <c r="AH138" s="884">
        <f t="shared" si="18"/>
        <v>4.6349106734850706E-3</v>
      </c>
      <c r="AI138" s="884">
        <f t="shared" si="18"/>
        <v>4.6349106734850706E-3</v>
      </c>
      <c r="AJ138" s="884">
        <f t="shared" si="18"/>
        <v>5.5315797511458062E-3</v>
      </c>
      <c r="AK138" s="885">
        <f t="shared" si="18"/>
        <v>6.8291108038837098E-3</v>
      </c>
      <c r="AL138" s="877"/>
      <c r="AM138" s="883">
        <f t="shared" si="18"/>
        <v>2.0578932384341633E-3</v>
      </c>
      <c r="AN138" s="884">
        <f t="shared" si="18"/>
        <v>2.0578932384341633E-3</v>
      </c>
      <c r="AO138" s="884">
        <f t="shared" si="18"/>
        <v>2.0578932384341633E-3</v>
      </c>
      <c r="AP138" s="884">
        <f t="shared" si="18"/>
        <v>2.0578932384341633E-3</v>
      </c>
      <c r="AQ138" s="884">
        <f t="shared" si="18"/>
        <v>2.4560129352359035E-3</v>
      </c>
      <c r="AR138" s="885">
        <f t="shared" si="18"/>
        <v>3.0321147348591399E-3</v>
      </c>
      <c r="AS138" s="877"/>
      <c r="AT138" s="883">
        <f t="shared" si="18"/>
        <v>7.9424999999999996E-2</v>
      </c>
      <c r="AU138" s="884">
        <f t="shared" si="18"/>
        <v>7.9424999999999996E-2</v>
      </c>
      <c r="AV138" s="884">
        <f t="shared" si="18"/>
        <v>7.9424999999999996E-2</v>
      </c>
      <c r="AW138" s="884">
        <f t="shared" si="18"/>
        <v>7.9424999999999996E-2</v>
      </c>
      <c r="AX138" s="884">
        <f t="shared" si="18"/>
        <v>9.4790547798066588E-2</v>
      </c>
      <c r="AY138" s="885">
        <f t="shared" si="18"/>
        <v>0.11702536765193404</v>
      </c>
      <c r="AZ138" s="877"/>
      <c r="BA138" s="883">
        <f t="shared" si="18"/>
        <v>1.0182551866636449E-11</v>
      </c>
      <c r="BB138" s="884">
        <f t="shared" si="18"/>
        <v>1.0182551866636449E-11</v>
      </c>
      <c r="BC138" s="884">
        <f t="shared" si="18"/>
        <v>1.0182551866636449E-11</v>
      </c>
      <c r="BD138" s="884">
        <f t="shared" si="18"/>
        <v>1.0182551866636449E-11</v>
      </c>
      <c r="BE138" s="884">
        <f t="shared" si="18"/>
        <v>1.2152466722325395E-11</v>
      </c>
      <c r="BF138" s="885">
        <f t="shared" si="18"/>
        <v>1.500304533620419E-11</v>
      </c>
      <c r="BG138" s="877"/>
      <c r="BH138" s="883">
        <f t="shared" si="18"/>
        <v>6.2451390101106832E-4</v>
      </c>
      <c r="BI138" s="884">
        <f t="shared" si="18"/>
        <v>6.2451390101106832E-4</v>
      </c>
      <c r="BJ138" s="884">
        <f t="shared" si="18"/>
        <v>6.2451390101106832E-4</v>
      </c>
      <c r="BK138" s="884">
        <f t="shared" si="18"/>
        <v>6.2451390101106832E-4</v>
      </c>
      <c r="BL138" s="884">
        <f t="shared" si="18"/>
        <v>7.453322604261466E-4</v>
      </c>
      <c r="BM138" s="885">
        <f t="shared" si="18"/>
        <v>9.2016328447672418E-4</v>
      </c>
      <c r="BN138" s="877"/>
      <c r="BO138" s="883">
        <f t="shared" si="18"/>
        <v>1.1834657223406934E-4</v>
      </c>
      <c r="BP138" s="884">
        <f t="shared" si="18"/>
        <v>1.1834657223406934E-4</v>
      </c>
      <c r="BQ138" s="884">
        <f t="shared" si="18"/>
        <v>1.1834657223406934E-4</v>
      </c>
      <c r="BR138" s="884">
        <f t="shared" si="18"/>
        <v>1.1834657223406934E-4</v>
      </c>
      <c r="BS138" s="884">
        <f t="shared" si="18"/>
        <v>1.4124188117206033E-4</v>
      </c>
      <c r="BT138" s="885">
        <f t="shared" si="18"/>
        <v>1.7437269280501269E-4</v>
      </c>
      <c r="BU138" s="877"/>
      <c r="BV138" s="883">
        <f t="shared" si="18"/>
        <v>0.43033337311532799</v>
      </c>
      <c r="BW138" s="885">
        <f t="shared" si="18"/>
        <v>0.53127576927818265</v>
      </c>
      <c r="BX138" s="406"/>
      <c r="BY138" s="406"/>
      <c r="BZ138" s="406"/>
      <c r="CA138" s="406"/>
      <c r="CB138" s="406"/>
      <c r="CC138" s="406"/>
      <c r="CD138" s="406"/>
      <c r="CE138" s="406"/>
      <c r="CF138" s="406"/>
      <c r="CG138" s="406"/>
      <c r="CH138" s="406"/>
      <c r="CI138" s="406"/>
      <c r="CJ138" s="406"/>
      <c r="CK138" s="406"/>
      <c r="CL138" s="406"/>
      <c r="CM138" s="406"/>
      <c r="CN138" s="406"/>
      <c r="CO138" s="406"/>
      <c r="CP138" s="406"/>
      <c r="CQ138" s="406"/>
      <c r="CR138" s="406"/>
      <c r="CS138" s="406"/>
      <c r="CT138" s="406"/>
      <c r="CU138" s="406"/>
      <c r="CV138" s="406"/>
      <c r="CW138" s="406"/>
      <c r="CX138" s="406"/>
      <c r="CY138" s="406"/>
      <c r="CZ138" s="406"/>
      <c r="DA138" s="406"/>
      <c r="DB138" s="406"/>
      <c r="DC138" s="406"/>
      <c r="DD138" s="406"/>
      <c r="DE138" s="406"/>
      <c r="DF138" s="406"/>
      <c r="DG138" s="406"/>
      <c r="DH138" s="406"/>
      <c r="DI138" s="406"/>
      <c r="DJ138" s="406"/>
      <c r="DK138" s="406"/>
      <c r="DL138" s="406"/>
      <c r="DM138" s="406"/>
      <c r="DN138" s="406"/>
      <c r="DO138" s="406"/>
      <c r="DP138" s="406"/>
      <c r="DQ138" s="406"/>
      <c r="DR138" s="406"/>
      <c r="DS138" s="406"/>
      <c r="DT138" s="406"/>
      <c r="DU138" s="406"/>
      <c r="DV138" s="406"/>
      <c r="DW138" s="406"/>
      <c r="DX138" s="406"/>
      <c r="DY138" s="406"/>
      <c r="DZ138" s="406"/>
      <c r="EA138" s="406"/>
      <c r="EB138" s="406"/>
      <c r="EC138" s="406"/>
      <c r="ED138" s="406"/>
      <c r="EE138" s="406"/>
      <c r="EF138" s="406"/>
      <c r="EG138" s="406"/>
      <c r="EH138" s="406"/>
      <c r="EI138" s="406"/>
      <c r="EJ138" s="406"/>
      <c r="EK138" s="406"/>
      <c r="EL138" s="406"/>
      <c r="EM138" s="406"/>
      <c r="EN138" s="406"/>
      <c r="EO138" s="406"/>
      <c r="EP138" s="406"/>
      <c r="EQ138" s="406"/>
      <c r="ER138" s="406"/>
      <c r="ES138" s="406"/>
      <c r="ET138" s="406"/>
      <c r="EU138" s="406"/>
      <c r="EV138" s="406"/>
      <c r="EW138" s="406"/>
      <c r="EX138" s="406"/>
      <c r="EY138" s="406"/>
      <c r="EZ138" s="406"/>
      <c r="FA138" s="406"/>
      <c r="FB138" s="406"/>
      <c r="FC138" s="406"/>
      <c r="FD138" s="406"/>
      <c r="FE138" s="406"/>
      <c r="FF138" s="406"/>
      <c r="FG138" s="406"/>
      <c r="FH138" s="406"/>
      <c r="FI138" s="406"/>
      <c r="FJ138" s="406"/>
      <c r="FK138" s="406"/>
      <c r="FL138" s="406"/>
      <c r="FM138" s="406"/>
      <c r="FN138" s="406"/>
      <c r="FO138" s="406"/>
      <c r="FP138" s="406"/>
      <c r="FQ138" s="406"/>
      <c r="FR138" s="406"/>
      <c r="FS138" s="406"/>
      <c r="FT138" s="406"/>
      <c r="FU138" s="406"/>
      <c r="FV138" s="406"/>
      <c r="FW138" s="406"/>
      <c r="FX138" s="406"/>
      <c r="FY138" s="406"/>
      <c r="FZ138" s="406"/>
      <c r="GA138" s="406"/>
      <c r="GB138" s="406"/>
      <c r="GC138" s="406"/>
      <c r="GD138" s="406"/>
      <c r="GE138" s="406"/>
      <c r="GF138" s="406"/>
      <c r="GG138" s="406"/>
      <c r="GH138" s="406"/>
      <c r="GI138" s="406"/>
      <c r="GJ138" s="406"/>
      <c r="GK138" s="406"/>
      <c r="GL138" s="406"/>
      <c r="GM138" s="406"/>
      <c r="GN138" s="406"/>
      <c r="GO138" s="406"/>
      <c r="GP138" s="406"/>
      <c r="GQ138" s="406"/>
      <c r="GR138" s="406"/>
      <c r="GS138" s="406"/>
      <c r="GT138" s="406"/>
      <c r="GU138" s="406"/>
      <c r="GV138" s="406"/>
      <c r="GW138" s="406"/>
      <c r="GX138" s="406"/>
      <c r="GY138" s="406"/>
      <c r="GZ138" s="406"/>
      <c r="HA138" s="406"/>
      <c r="HB138" s="406"/>
      <c r="HC138" s="406"/>
      <c r="HD138" s="406"/>
      <c r="HE138" s="406"/>
      <c r="HF138" s="406"/>
      <c r="HG138" s="406"/>
      <c r="HH138" s="406"/>
      <c r="HI138" s="406"/>
      <c r="HJ138" s="406"/>
      <c r="HK138" s="406"/>
      <c r="HL138" s="406"/>
      <c r="HM138" s="406"/>
      <c r="HN138" s="406"/>
      <c r="HO138" s="406"/>
      <c r="HP138" s="406"/>
      <c r="HQ138" s="406"/>
      <c r="HR138" s="406"/>
      <c r="HS138" s="406"/>
      <c r="HT138" s="406"/>
      <c r="HU138" s="406"/>
      <c r="HV138" s="406"/>
      <c r="HW138" s="406"/>
      <c r="HX138" s="406"/>
      <c r="HY138" s="406"/>
      <c r="HZ138" s="406"/>
      <c r="IA138" s="406"/>
      <c r="IB138" s="406"/>
      <c r="IC138" s="406"/>
      <c r="ID138" s="406"/>
      <c r="IE138" s="406"/>
      <c r="IF138" s="406"/>
      <c r="IG138" s="406"/>
      <c r="IH138" s="406"/>
      <c r="II138" s="406"/>
      <c r="IJ138" s="406"/>
      <c r="IK138" s="406"/>
      <c r="IL138" s="406"/>
      <c r="IM138" s="406"/>
      <c r="IN138" s="406"/>
      <c r="IO138" s="406"/>
      <c r="IP138" s="406"/>
      <c r="IQ138" s="406"/>
      <c r="IR138" s="406"/>
      <c r="IS138" s="406"/>
    </row>
    <row r="139" spans="1:253" s="406" customFormat="1" ht="17.25">
      <c r="A139" s="499"/>
      <c r="B139" s="55"/>
      <c r="C139" s="917"/>
      <c r="D139" s="5"/>
      <c r="E139" s="1294" t="s">
        <v>317</v>
      </c>
      <c r="F139" s="928">
        <f t="shared" ref="F139:W141" si="19">F143*$C$142+F147*$C$146+$C$150*F151+$C$154*F155</f>
        <v>-8.3392229049363886E-2</v>
      </c>
      <c r="G139" s="877">
        <f t="shared" si="19"/>
        <v>0.31539326917920113</v>
      </c>
      <c r="H139" s="878">
        <f t="shared" si="19"/>
        <v>0.64851804413319158</v>
      </c>
      <c r="I139" s="877">
        <f t="shared" si="19"/>
        <v>1.5292583519061239E-2</v>
      </c>
      <c r="J139" s="877">
        <f t="shared" si="19"/>
        <v>0.03</v>
      </c>
      <c r="K139" s="877">
        <f t="shared" si="19"/>
        <v>0</v>
      </c>
      <c r="L139" s="877">
        <f t="shared" si="19"/>
        <v>0</v>
      </c>
      <c r="M139" s="877"/>
      <c r="N139" s="877">
        <f t="shared" si="19"/>
        <v>9.5552979086892476E-2</v>
      </c>
      <c r="O139" s="877">
        <f t="shared" si="19"/>
        <v>0.21218993562261129</v>
      </c>
      <c r="P139" s="877">
        <f t="shared" si="19"/>
        <v>4.5749999999999999E-2</v>
      </c>
      <c r="Q139" s="877">
        <f t="shared" si="19"/>
        <v>0</v>
      </c>
      <c r="R139" s="877">
        <f t="shared" si="19"/>
        <v>-8.3392229049363886E-2</v>
      </c>
      <c r="S139" s="877">
        <f t="shared" si="19"/>
        <v>0</v>
      </c>
      <c r="T139" s="877">
        <f t="shared" si="19"/>
        <v>0</v>
      </c>
      <c r="U139" s="877">
        <f t="shared" si="19"/>
        <v>0.31539326917920113</v>
      </c>
      <c r="V139" s="877">
        <f t="shared" si="19"/>
        <v>0.15000000000000002</v>
      </c>
      <c r="W139" s="886">
        <f t="shared" si="19"/>
        <v>7.8000000000000014E-2</v>
      </c>
      <c r="X139" s="877"/>
      <c r="Y139" s="879"/>
      <c r="Z139" s="877"/>
      <c r="AA139" s="877"/>
      <c r="AB139" s="877"/>
      <c r="AC139" s="877"/>
      <c r="AD139" s="886"/>
      <c r="AE139" s="877"/>
      <c r="AF139" s="879"/>
      <c r="AG139" s="877"/>
      <c r="AH139" s="877"/>
      <c r="AI139" s="877"/>
      <c r="AJ139" s="877"/>
      <c r="AK139" s="886"/>
      <c r="AL139" s="877"/>
      <c r="AM139" s="879"/>
      <c r="AN139" s="877"/>
      <c r="AO139" s="877"/>
      <c r="AP139" s="877"/>
      <c r="AQ139" s="877"/>
      <c r="AR139" s="886"/>
      <c r="AS139" s="877"/>
      <c r="AT139" s="879"/>
      <c r="AU139" s="877"/>
      <c r="AV139" s="877"/>
      <c r="AW139" s="877"/>
      <c r="AX139" s="877"/>
      <c r="AY139" s="886"/>
      <c r="AZ139" s="877"/>
      <c r="BA139" s="879"/>
      <c r="BB139" s="877"/>
      <c r="BC139" s="877"/>
      <c r="BD139" s="877"/>
      <c r="BE139" s="877"/>
      <c r="BF139" s="886"/>
      <c r="BG139" s="877"/>
      <c r="BH139" s="879"/>
      <c r="BI139" s="877"/>
      <c r="BJ139" s="877"/>
      <c r="BK139" s="877"/>
      <c r="BL139" s="877"/>
      <c r="BM139" s="886"/>
      <c r="BN139" s="877"/>
      <c r="BO139" s="879"/>
      <c r="BP139" s="877"/>
      <c r="BQ139" s="877"/>
      <c r="BR139" s="877"/>
      <c r="BS139" s="877"/>
      <c r="BT139" s="886"/>
      <c r="BU139" s="877"/>
      <c r="BV139" s="879"/>
      <c r="BW139" s="886"/>
    </row>
    <row r="140" spans="1:253" s="406" customFormat="1" ht="17.25">
      <c r="A140" s="499"/>
      <c r="B140" s="55"/>
      <c r="C140" s="595"/>
      <c r="D140" s="50"/>
      <c r="E140" s="1294" t="s">
        <v>367</v>
      </c>
      <c r="F140" s="928">
        <f t="shared" si="19"/>
        <v>0</v>
      </c>
      <c r="G140" s="877">
        <f t="shared" si="19"/>
        <v>1.0221668188216315E-3</v>
      </c>
      <c r="H140" s="878">
        <f t="shared" si="19"/>
        <v>1.219915048122248E-3</v>
      </c>
      <c r="I140" s="877">
        <f t="shared" si="19"/>
        <v>2.1839037811800127E-5</v>
      </c>
      <c r="J140" s="877">
        <f t="shared" si="19"/>
        <v>0</v>
      </c>
      <c r="K140" s="877">
        <f t="shared" si="19"/>
        <v>0</v>
      </c>
      <c r="L140" s="877">
        <f t="shared" si="19"/>
        <v>0</v>
      </c>
      <c r="M140" s="877"/>
      <c r="N140" s="877">
        <f t="shared" si="19"/>
        <v>4.2326747717231217E-5</v>
      </c>
      <c r="O140" s="877">
        <f t="shared" si="19"/>
        <v>9.5800103329260022E-4</v>
      </c>
      <c r="P140" s="877">
        <f t="shared" si="19"/>
        <v>0</v>
      </c>
      <c r="Q140" s="877">
        <f t="shared" si="19"/>
        <v>0</v>
      </c>
      <c r="R140" s="877">
        <f t="shared" si="19"/>
        <v>0</v>
      </c>
      <c r="S140" s="877">
        <f t="shared" si="19"/>
        <v>0</v>
      </c>
      <c r="T140" s="877">
        <f t="shared" si="19"/>
        <v>0</v>
      </c>
      <c r="U140" s="877">
        <f t="shared" si="19"/>
        <v>1.0221668188216315E-3</v>
      </c>
      <c r="V140" s="877">
        <f t="shared" si="19"/>
        <v>0</v>
      </c>
      <c r="W140" s="886">
        <f t="shared" si="19"/>
        <v>0</v>
      </c>
      <c r="X140" s="877"/>
      <c r="Y140" s="879"/>
      <c r="Z140" s="877"/>
      <c r="AA140" s="877"/>
      <c r="AB140" s="877"/>
      <c r="AC140" s="877"/>
      <c r="AD140" s="886"/>
      <c r="AE140" s="877"/>
      <c r="AF140" s="879"/>
      <c r="AG140" s="877"/>
      <c r="AH140" s="877"/>
      <c r="AI140" s="877"/>
      <c r="AJ140" s="877"/>
      <c r="AK140" s="886"/>
      <c r="AL140" s="877"/>
      <c r="AM140" s="879"/>
      <c r="AN140" s="877"/>
      <c r="AO140" s="877"/>
      <c r="AP140" s="877"/>
      <c r="AQ140" s="877"/>
      <c r="AR140" s="886"/>
      <c r="AS140" s="877"/>
      <c r="AT140" s="879"/>
      <c r="AU140" s="877"/>
      <c r="AV140" s="877"/>
      <c r="AW140" s="877"/>
      <c r="AX140" s="877"/>
      <c r="AY140" s="886"/>
      <c r="AZ140" s="877"/>
      <c r="BA140" s="879"/>
      <c r="BB140" s="877"/>
      <c r="BC140" s="877"/>
      <c r="BD140" s="877"/>
      <c r="BE140" s="877"/>
      <c r="BF140" s="886"/>
      <c r="BG140" s="877"/>
      <c r="BH140" s="879"/>
      <c r="BI140" s="877"/>
      <c r="BJ140" s="877"/>
      <c r="BK140" s="877"/>
      <c r="BL140" s="877"/>
      <c r="BM140" s="886"/>
      <c r="BN140" s="877"/>
      <c r="BO140" s="879"/>
      <c r="BP140" s="877"/>
      <c r="BQ140" s="877"/>
      <c r="BR140" s="877"/>
      <c r="BS140" s="877"/>
      <c r="BT140" s="886"/>
      <c r="BU140" s="877"/>
      <c r="BV140" s="879"/>
      <c r="BW140" s="886"/>
    </row>
    <row r="141" spans="1:253" s="406" customFormat="1" ht="17.25">
      <c r="A141" s="18"/>
      <c r="B141" s="360"/>
      <c r="C141" s="83"/>
      <c r="D141" s="54"/>
      <c r="E141" s="1295" t="s">
        <v>320</v>
      </c>
      <c r="F141" s="928">
        <f t="shared" si="19"/>
        <v>1.2019155944235702E-4</v>
      </c>
      <c r="G141" s="877">
        <f t="shared" si="19"/>
        <v>1.6279085614748155E-4</v>
      </c>
      <c r="H141" s="878">
        <f t="shared" si="19"/>
        <v>1.9428434914367054E-4</v>
      </c>
      <c r="I141" s="877">
        <f t="shared" si="19"/>
        <v>3.2582712234664083E-5</v>
      </c>
      <c r="J141" s="877">
        <f t="shared" si="19"/>
        <v>0</v>
      </c>
      <c r="K141" s="877">
        <f t="shared" si="19"/>
        <v>1.0984791308540031E-4</v>
      </c>
      <c r="L141" s="877">
        <f t="shared" si="19"/>
        <v>1.0343646356956738E-5</v>
      </c>
      <c r="M141" s="877"/>
      <c r="N141" s="877">
        <f t="shared" si="19"/>
        <v>2.5675458026509574E-6</v>
      </c>
      <c r="O141" s="877">
        <f t="shared" si="19"/>
        <v>7.4490386678094568E-6</v>
      </c>
      <c r="P141" s="877">
        <f t="shared" si="19"/>
        <v>0</v>
      </c>
      <c r="Q141" s="877">
        <f t="shared" si="19"/>
        <v>0</v>
      </c>
      <c r="R141" s="877">
        <f t="shared" si="19"/>
        <v>0</v>
      </c>
      <c r="S141" s="877">
        <f t="shared" si="19"/>
        <v>0</v>
      </c>
      <c r="T141" s="877">
        <f t="shared" si="19"/>
        <v>0</v>
      </c>
      <c r="U141" s="877">
        <f t="shared" si="19"/>
        <v>1.6279085614748155E-4</v>
      </c>
      <c r="V141" s="877">
        <f t="shared" si="19"/>
        <v>0</v>
      </c>
      <c r="W141" s="886">
        <f t="shared" si="19"/>
        <v>0</v>
      </c>
      <c r="X141" s="877"/>
      <c r="Y141" s="879"/>
      <c r="Z141" s="877"/>
      <c r="AA141" s="877"/>
      <c r="AB141" s="877"/>
      <c r="AC141" s="877"/>
      <c r="AD141" s="886"/>
      <c r="AE141" s="877"/>
      <c r="AF141" s="879"/>
      <c r="AG141" s="877"/>
      <c r="AH141" s="877"/>
      <c r="AI141" s="877"/>
      <c r="AJ141" s="877"/>
      <c r="AK141" s="886"/>
      <c r="AL141" s="877"/>
      <c r="AM141" s="879"/>
      <c r="AN141" s="877"/>
      <c r="AO141" s="877"/>
      <c r="AP141" s="877"/>
      <c r="AQ141" s="877"/>
      <c r="AR141" s="886"/>
      <c r="AS141" s="877"/>
      <c r="AT141" s="879"/>
      <c r="AU141" s="877"/>
      <c r="AV141" s="877"/>
      <c r="AW141" s="877"/>
      <c r="AX141" s="877"/>
      <c r="AY141" s="886"/>
      <c r="AZ141" s="877"/>
      <c r="BA141" s="879"/>
      <c r="BB141" s="877"/>
      <c r="BC141" s="877"/>
      <c r="BD141" s="877"/>
      <c r="BE141" s="877"/>
      <c r="BF141" s="886"/>
      <c r="BG141" s="877"/>
      <c r="BH141" s="879"/>
      <c r="BI141" s="877"/>
      <c r="BJ141" s="877"/>
      <c r="BK141" s="877"/>
      <c r="BL141" s="877"/>
      <c r="BM141" s="886"/>
      <c r="BN141" s="877"/>
      <c r="BO141" s="879"/>
      <c r="BP141" s="877"/>
      <c r="BQ141" s="877"/>
      <c r="BR141" s="877"/>
      <c r="BS141" s="877"/>
      <c r="BT141" s="886"/>
      <c r="BU141" s="877"/>
      <c r="BV141" s="879"/>
      <c r="BW141" s="886"/>
    </row>
    <row r="142" spans="1:253" s="502" customFormat="1" ht="17.25">
      <c r="A142" s="20" t="s">
        <v>122</v>
      </c>
      <c r="B142" s="93" t="s">
        <v>121</v>
      </c>
      <c r="C142" s="87">
        <f>'Input data plant-based products'!D108</f>
        <v>0.69</v>
      </c>
      <c r="D142" s="54"/>
      <c r="E142" s="1293" t="s">
        <v>316</v>
      </c>
      <c r="F142" s="930">
        <f>SUMPRODUCT($CI$4:$CI$6,F143:F145)</f>
        <v>-5.35322481413813E-2</v>
      </c>
      <c r="G142" s="872">
        <f>SUMPRODUCT($CI$4:$CI$6,G143:G145)</f>
        <v>0.17496090670010922</v>
      </c>
      <c r="H142" s="873">
        <f>SUMPRODUCT($CI$4:$CI$6,H143:H145)</f>
        <v>0.42363158694367969</v>
      </c>
      <c r="I142" s="884"/>
      <c r="J142" s="884"/>
      <c r="K142" s="884"/>
      <c r="L142" s="884"/>
      <c r="M142" s="884"/>
      <c r="N142" s="884"/>
      <c r="O142" s="884"/>
      <c r="P142" s="884"/>
      <c r="Q142" s="884"/>
      <c r="R142" s="884"/>
      <c r="S142" s="884"/>
      <c r="T142" s="884"/>
      <c r="U142" s="884"/>
      <c r="V142" s="884"/>
      <c r="W142" s="885"/>
      <c r="X142" s="877"/>
      <c r="Y142" s="879">
        <f>1/'Input data plant-based products'!E108*10^4</f>
        <v>1.5096618357487921</v>
      </c>
      <c r="Z142" s="877">
        <f>$Y142*'Input data plant-based products'!Z108</f>
        <v>1.5096618357487921</v>
      </c>
      <c r="AA142" s="877">
        <f>$Y142*'Input data plant-based products'!AA108</f>
        <v>1.5096618357487921</v>
      </c>
      <c r="AB142" s="877">
        <f>$Y142*'Input data plant-based products'!AB108</f>
        <v>1.5096618357487921</v>
      </c>
      <c r="AC142" s="877">
        <f>$Y142*'Input data plant-based products'!AC108</f>
        <v>1.8017207730621698</v>
      </c>
      <c r="AD142" s="886">
        <f>$Y142*'Input data plant-based products'!AD108</f>
        <v>2.2243466334100859</v>
      </c>
      <c r="AE142" s="877"/>
      <c r="AF142" s="879">
        <f>SUM('Input data plant-based products'!F108,'Input data plant-based products'!Q108)/'Input data plant-based products'!E108</f>
        <v>4.9807692307692296E-3</v>
      </c>
      <c r="AG142" s="877">
        <f>$AF142*'Input data plant-based products'!Z108</f>
        <v>4.9807692307692296E-3</v>
      </c>
      <c r="AH142" s="877">
        <f>$AF142*'Input data plant-based products'!AA108</f>
        <v>4.9807692307692296E-3</v>
      </c>
      <c r="AI142" s="877">
        <f>$AF142*'Input data plant-based products'!AB108</f>
        <v>4.9807692307692296E-3</v>
      </c>
      <c r="AJ142" s="877">
        <f>$AF142*'Input data plant-based products'!AC108</f>
        <v>5.9443480496112061E-3</v>
      </c>
      <c r="AK142" s="886">
        <f>$AF142*'Input data plant-based products'!AD108</f>
        <v>7.3387012958163024E-3</v>
      </c>
      <c r="AL142" s="877"/>
      <c r="AM142" s="879">
        <f>'Input data plant-based products'!R108/'Input data plant-based products'!E108</f>
        <v>2.0818505338078292E-3</v>
      </c>
      <c r="AN142" s="877">
        <f>$AM142*'Input data plant-based products'!Z108</f>
        <v>2.0818505338078292E-3</v>
      </c>
      <c r="AO142" s="877">
        <f>$AM142*'Input data plant-based products'!AA108</f>
        <v>2.0818505338078292E-3</v>
      </c>
      <c r="AP142" s="877">
        <f>$AM142*'Input data plant-based products'!AB108</f>
        <v>2.0818505338078292E-3</v>
      </c>
      <c r="AQ142" s="877">
        <f>$AM142*'Input data plant-based products'!AC108</f>
        <v>2.4846050051412212E-3</v>
      </c>
      <c r="AR142" s="886">
        <f>$AM142*'Input data plant-based products'!AD108</f>
        <v>3.0674135865940999E-3</v>
      </c>
      <c r="AS142" s="877"/>
      <c r="AT142" s="879">
        <f>'Input data plant-based products'!S108</f>
        <v>9.9000000000000005E-2</v>
      </c>
      <c r="AU142" s="877">
        <f>$AT142*'Input data plant-based products'!Z108</f>
        <v>9.9000000000000005E-2</v>
      </c>
      <c r="AV142" s="877">
        <f>$AT142*'Input data plant-based products'!AA108</f>
        <v>9.9000000000000005E-2</v>
      </c>
      <c r="AW142" s="877">
        <f>$AT142*'Input data plant-based products'!AB108</f>
        <v>9.9000000000000005E-2</v>
      </c>
      <c r="AX142" s="877">
        <f>$AT142*'Input data plant-based products'!AC108</f>
        <v>0.11815252416756176</v>
      </c>
      <c r="AY142" s="886">
        <f>$AT142*'Input data plant-based products'!AD108</f>
        <v>0.14586731378711326</v>
      </c>
      <c r="AZ142" s="877"/>
      <c r="BA142" s="879">
        <f>((SUM('Input data plant-based products'!U108:Y108)*Y142)/('Common input data'!$B$192/10^6))/$BB$3</f>
        <v>1.0679189414959281E-11</v>
      </c>
      <c r="BB142" s="877">
        <f>$BA142*'Input data plant-based products'!Z108</f>
        <v>1.0679189414959281E-11</v>
      </c>
      <c r="BC142" s="877">
        <f>$BA142*'Input data plant-based products'!AA108</f>
        <v>1.0679189414959281E-11</v>
      </c>
      <c r="BD142" s="877">
        <f>$BA142*'Input data plant-based products'!AB108</f>
        <v>1.0679189414959281E-11</v>
      </c>
      <c r="BE142" s="877">
        <f>$BA142*'Input data plant-based products'!AC108</f>
        <v>1.2745183691322689E-11</v>
      </c>
      <c r="BF142" s="886">
        <f>$BA142*'Input data plant-based products'!AD108</f>
        <v>1.5734794680645294E-11</v>
      </c>
      <c r="BG142" s="877"/>
      <c r="BH142" s="879">
        <f>'Input data plant-based products'!T108/'Input data plant-based products'!E108</f>
        <v>6.2952898550724641E-4</v>
      </c>
      <c r="BI142" s="877">
        <f>$BH142*'Input data plant-based products'!Z108</f>
        <v>6.2952898550724641E-4</v>
      </c>
      <c r="BJ142" s="877">
        <f>$BH142*'Input data plant-based products'!AA108</f>
        <v>6.2952898550724641E-4</v>
      </c>
      <c r="BK142" s="877">
        <f>$BH142*'Input data plant-based products'!AB108</f>
        <v>6.2952898550724641E-4</v>
      </c>
      <c r="BL142" s="877">
        <f>$BH142*'Input data plant-based products'!AC108</f>
        <v>7.5131756236692488E-4</v>
      </c>
      <c r="BM142" s="886">
        <f>$BH142*'Input data plant-based products'!AD108</f>
        <v>9.2755254613200594E-4</v>
      </c>
      <c r="BN142" s="877"/>
      <c r="BO142" s="879">
        <f>('Input data plant-based products'!F108/'Input data plant-based products'!E108*'Common input data'!$B$195+'Input data plant-based products'!G108/'Input data plant-based products'!E108*'Common input data'!$B$196)/'Common input data'!$B$198</f>
        <v>1.271776323376773E-4</v>
      </c>
      <c r="BP142" s="877">
        <f>$BO142*'Input data plant-based products'!Z108</f>
        <v>1.271776323376773E-4</v>
      </c>
      <c r="BQ142" s="877">
        <f>$BO142*'Input data plant-based products'!AA108</f>
        <v>1.271776323376773E-4</v>
      </c>
      <c r="BR142" s="877">
        <f>$BO142*'Input data plant-based products'!AB108</f>
        <v>1.271776323376773E-4</v>
      </c>
      <c r="BS142" s="877">
        <f>$BO142*'Input data plant-based products'!AC108</f>
        <v>1.5178139675101719E-4</v>
      </c>
      <c r="BT142" s="886">
        <f>$BO142*'Input data plant-based products'!AD108</f>
        <v>1.8738444043335452E-4</v>
      </c>
      <c r="BU142" s="877"/>
      <c r="BV142" s="879">
        <f>'Common input data'!$C$202*'Input data plant-based products'!AC108</f>
        <v>0.17090344909893782</v>
      </c>
      <c r="BW142" s="886">
        <f>'Common input data'!$C$202*'Input data plant-based products'!AD108</f>
        <v>0.21099191246782442</v>
      </c>
      <c r="BX142" s="406"/>
      <c r="BY142" s="406"/>
      <c r="BZ142" s="406"/>
      <c r="CA142" s="406"/>
      <c r="CB142" s="406"/>
      <c r="CC142" s="406"/>
      <c r="CD142" s="406"/>
      <c r="CE142" s="406"/>
      <c r="CF142" s="406"/>
      <c r="CG142" s="406"/>
      <c r="CH142" s="406"/>
      <c r="CI142" s="406"/>
      <c r="CJ142" s="406"/>
      <c r="CK142" s="406"/>
      <c r="CL142" s="406"/>
      <c r="CM142" s="406"/>
      <c r="CN142" s="406"/>
      <c r="CO142" s="406"/>
      <c r="CP142" s="406"/>
      <c r="CQ142" s="406"/>
      <c r="CR142" s="406"/>
      <c r="CS142" s="406"/>
      <c r="CT142" s="406"/>
      <c r="CU142" s="406"/>
      <c r="CV142" s="406"/>
      <c r="CW142" s="406"/>
      <c r="CX142" s="406"/>
      <c r="CY142" s="406"/>
      <c r="CZ142" s="406"/>
      <c r="DA142" s="406"/>
      <c r="DB142" s="406"/>
      <c r="DC142" s="406"/>
      <c r="DD142" s="406"/>
      <c r="DE142" s="406"/>
      <c r="DF142" s="406"/>
      <c r="DG142" s="406"/>
      <c r="DH142" s="406"/>
      <c r="DI142" s="406"/>
      <c r="DJ142" s="406"/>
      <c r="DK142" s="406"/>
      <c r="DL142" s="406"/>
      <c r="DM142" s="406"/>
      <c r="DN142" s="406"/>
      <c r="DO142" s="406"/>
      <c r="DP142" s="406"/>
      <c r="DQ142" s="406"/>
      <c r="DR142" s="406"/>
      <c r="DS142" s="406"/>
      <c r="DT142" s="406"/>
      <c r="DU142" s="406"/>
      <c r="DV142" s="406"/>
      <c r="DW142" s="406"/>
      <c r="DX142" s="406"/>
      <c r="DY142" s="406"/>
      <c r="DZ142" s="406"/>
      <c r="EA142" s="406"/>
      <c r="EB142" s="406"/>
      <c r="EC142" s="406"/>
      <c r="ED142" s="406"/>
      <c r="EE142" s="406"/>
      <c r="EF142" s="406"/>
      <c r="EG142" s="406"/>
      <c r="EH142" s="406"/>
      <c r="EI142" s="406"/>
      <c r="EJ142" s="406"/>
      <c r="EK142" s="406"/>
      <c r="EL142" s="406"/>
      <c r="EM142" s="406"/>
      <c r="EN142" s="406"/>
      <c r="EO142" s="406"/>
      <c r="EP142" s="406"/>
      <c r="EQ142" s="406"/>
      <c r="ER142" s="406"/>
      <c r="ES142" s="406"/>
      <c r="ET142" s="406"/>
      <c r="EU142" s="406"/>
      <c r="EV142" s="406"/>
      <c r="EW142" s="406"/>
      <c r="EX142" s="406"/>
      <c r="EY142" s="406"/>
      <c r="EZ142" s="406"/>
      <c r="FA142" s="406"/>
      <c r="FB142" s="406"/>
      <c r="FC142" s="406"/>
      <c r="FD142" s="406"/>
      <c r="FE142" s="406"/>
      <c r="FF142" s="406"/>
      <c r="FG142" s="406"/>
      <c r="FH142" s="406"/>
      <c r="FI142" s="406"/>
      <c r="FJ142" s="406"/>
      <c r="FK142" s="406"/>
      <c r="FL142" s="406"/>
      <c r="FM142" s="406"/>
      <c r="FN142" s="406"/>
      <c r="FO142" s="406"/>
      <c r="FP142" s="406"/>
      <c r="FQ142" s="406"/>
      <c r="FR142" s="406"/>
      <c r="FS142" s="406"/>
      <c r="FT142" s="406"/>
      <c r="FU142" s="406"/>
      <c r="FV142" s="406"/>
      <c r="FW142" s="406"/>
      <c r="FX142" s="406"/>
      <c r="FY142" s="406"/>
      <c r="FZ142" s="406"/>
      <c r="GA142" s="406"/>
      <c r="GB142" s="406"/>
      <c r="GC142" s="406"/>
      <c r="GD142" s="406"/>
      <c r="GE142" s="406"/>
      <c r="GF142" s="406"/>
      <c r="GG142" s="406"/>
      <c r="GH142" s="406"/>
      <c r="GI142" s="406"/>
      <c r="GJ142" s="406"/>
      <c r="GK142" s="406"/>
      <c r="GL142" s="406"/>
      <c r="GM142" s="406"/>
      <c r="GN142" s="406"/>
      <c r="GO142" s="406"/>
      <c r="GP142" s="406"/>
      <c r="GQ142" s="406"/>
      <c r="GR142" s="406"/>
      <c r="GS142" s="406"/>
      <c r="GT142" s="406"/>
      <c r="GU142" s="406"/>
      <c r="GV142" s="406"/>
      <c r="GW142" s="406"/>
      <c r="GX142" s="406"/>
      <c r="GY142" s="406"/>
      <c r="GZ142" s="406"/>
      <c r="HA142" s="406"/>
      <c r="HB142" s="406"/>
      <c r="HC142" s="406"/>
      <c r="HD142" s="406"/>
      <c r="HE142" s="406"/>
      <c r="HF142" s="406"/>
      <c r="HG142" s="406"/>
      <c r="HH142" s="406"/>
      <c r="HI142" s="406"/>
      <c r="HJ142" s="406"/>
      <c r="HK142" s="406"/>
      <c r="HL142" s="406"/>
      <c r="HM142" s="406"/>
      <c r="HN142" s="406"/>
      <c r="HO142" s="406"/>
      <c r="HP142" s="406"/>
      <c r="HQ142" s="406"/>
      <c r="HR142" s="406"/>
      <c r="HS142" s="406"/>
      <c r="HT142" s="406"/>
      <c r="HU142" s="406"/>
      <c r="HV142" s="406"/>
      <c r="HW142" s="406"/>
      <c r="HX142" s="406"/>
      <c r="HY142" s="406"/>
      <c r="HZ142" s="406"/>
      <c r="IA142" s="406"/>
      <c r="IB142" s="406"/>
      <c r="IC142" s="406"/>
      <c r="ID142" s="406"/>
      <c r="IE142" s="406"/>
      <c r="IF142" s="406"/>
      <c r="IG142" s="406"/>
      <c r="IH142" s="406"/>
      <c r="II142" s="406"/>
      <c r="IJ142" s="406"/>
      <c r="IK142" s="406"/>
      <c r="IL142" s="406"/>
      <c r="IM142" s="406"/>
      <c r="IN142" s="406"/>
      <c r="IO142" s="406"/>
      <c r="IP142" s="406"/>
      <c r="IQ142" s="406"/>
      <c r="IR142" s="406"/>
      <c r="IS142" s="406"/>
    </row>
    <row r="143" spans="1:253" s="406" customFormat="1" ht="17.25">
      <c r="A143" s="499"/>
      <c r="B143" s="55"/>
      <c r="C143" s="917"/>
      <c r="D143" s="5"/>
      <c r="E143" s="1294" t="s">
        <v>317</v>
      </c>
      <c r="F143" s="928">
        <f>IF(AND($G$2="No",$G$3="No"),SUM(K143:L143),IF(AND($G$2="Yes", $G$3="No"), SUM(K143:L143)+S143, IF(AND($G$2="No", $G$3="Yes"),SUM(K143:L143)+R143, SUM(K143:L143)+S143+R143)))</f>
        <v>-9.1139048141381296E-2</v>
      </c>
      <c r="G143" s="877">
        <f>IF(AND($G$2="No",$G$3="No"),SUM(I143:Q143),IF(AND($G$2="Yes", $G$3="No"), SUM(I143:Q143)+S143, IF(AND($G$2="No", $G$3="Yes"),SUM(I143:Q143)+R143, SUM(I143:Q143)+S143+R143)))</f>
        <v>0.1255181492391339</v>
      </c>
      <c r="H143" s="878">
        <f>SUM(U143:W143)/(1-'Common input data'!$B$140)</f>
        <v>0.36462364153136878</v>
      </c>
      <c r="I143" s="877">
        <f>('Input data plant-based products'!$F$108*('Common input data'!$B$93*'Common input data'!B86+'Common input data'!$B$94*'Common input data'!C86))/'Input data plant-based products'!$E$108</f>
        <v>1.5625313322544198E-2</v>
      </c>
      <c r="J143" s="877">
        <f>'Common input data'!$B$98</f>
        <v>0.03</v>
      </c>
      <c r="K143" s="877">
        <v>0</v>
      </c>
      <c r="L143" s="877">
        <v>0</v>
      </c>
      <c r="M143" s="877"/>
      <c r="N143" s="877">
        <f>('Input data plant-based products'!$P$108*'Common input data'!$C$76*'Common input data'!H66)/'Input data plant-based products'!$E$108</f>
        <v>0.12103188405797101</v>
      </c>
      <c r="O143" s="877">
        <v>0</v>
      </c>
      <c r="P143" s="877">
        <f>'Input data plant-based products'!F$309</f>
        <v>0.05</v>
      </c>
      <c r="Q143" s="877">
        <v>0</v>
      </c>
      <c r="R143" s="877">
        <f>'Common input data'!$F$19</f>
        <v>-9.1139048141381296E-2</v>
      </c>
      <c r="S143" s="877">
        <v>0</v>
      </c>
      <c r="T143" s="877">
        <v>0</v>
      </c>
      <c r="U143" s="877">
        <f>G143+T143</f>
        <v>0.1255181492391339</v>
      </c>
      <c r="V143" s="877">
        <f>'Common input data'!B$103</f>
        <v>0.15</v>
      </c>
      <c r="W143" s="886">
        <f>'Common input data'!C115</f>
        <v>0.03</v>
      </c>
      <c r="X143" s="877"/>
      <c r="Y143" s="879"/>
      <c r="Z143" s="877"/>
      <c r="AA143" s="877"/>
      <c r="AB143" s="877"/>
      <c r="AC143" s="877"/>
      <c r="AD143" s="886"/>
      <c r="AE143" s="877"/>
      <c r="AF143" s="879"/>
      <c r="AG143" s="877"/>
      <c r="AH143" s="877"/>
      <c r="AI143" s="877"/>
      <c r="AJ143" s="877"/>
      <c r="AK143" s="886"/>
      <c r="AL143" s="877"/>
      <c r="AM143" s="879"/>
      <c r="AN143" s="877"/>
      <c r="AO143" s="877"/>
      <c r="AP143" s="877"/>
      <c r="AQ143" s="877"/>
      <c r="AR143" s="886"/>
      <c r="AS143" s="877"/>
      <c r="AT143" s="879"/>
      <c r="AU143" s="877"/>
      <c r="AV143" s="877"/>
      <c r="AW143" s="877"/>
      <c r="AX143" s="877"/>
      <c r="AY143" s="886"/>
      <c r="AZ143" s="877"/>
      <c r="BA143" s="879"/>
      <c r="BB143" s="877"/>
      <c r="BC143" s="877"/>
      <c r="BD143" s="877"/>
      <c r="BE143" s="877"/>
      <c r="BF143" s="886"/>
      <c r="BG143" s="877"/>
      <c r="BH143" s="879"/>
      <c r="BI143" s="877"/>
      <c r="BJ143" s="877"/>
      <c r="BK143" s="877"/>
      <c r="BL143" s="877"/>
      <c r="BM143" s="886"/>
      <c r="BN143" s="877"/>
      <c r="BO143" s="879"/>
      <c r="BP143" s="877"/>
      <c r="BQ143" s="877"/>
      <c r="BR143" s="877"/>
      <c r="BS143" s="877"/>
      <c r="BT143" s="886"/>
      <c r="BU143" s="877"/>
      <c r="BV143" s="879"/>
      <c r="BW143" s="886"/>
    </row>
    <row r="144" spans="1:253" s="406" customFormat="1" ht="17.25">
      <c r="A144" s="18"/>
      <c r="B144" s="55"/>
      <c r="C144" s="595"/>
      <c r="D144" s="50"/>
      <c r="E144" s="1294" t="s">
        <v>367</v>
      </c>
      <c r="F144" s="928">
        <f>SUM(K144:L144)</f>
        <v>0</v>
      </c>
      <c r="G144" s="877">
        <f>SUM(I144:Q144)</f>
        <v>7.3270459426848692E-5</v>
      </c>
      <c r="H144" s="878">
        <f>SUM(U144:W144)/(1-'Common input data'!$B$140)</f>
        <v>8.7445350789889839E-5</v>
      </c>
      <c r="I144" s="877">
        <f>('Input data plant-based products'!$F$108*('Common input data'!$B$93*'Common input data'!B87+'Common input data'!$B$94*'Common input data'!C87))/'Input data plant-based products'!$E$108</f>
        <v>1.9657415948587824E-5</v>
      </c>
      <c r="J144" s="877">
        <v>0</v>
      </c>
      <c r="K144" s="877">
        <v>0</v>
      </c>
      <c r="L144" s="877">
        <v>0</v>
      </c>
      <c r="M144" s="877"/>
      <c r="N144" s="877">
        <f>('Input data plant-based products'!$P$108*'Common input data'!$C$76*'Common input data'!H67)/'Input data plant-based products'!$E$108</f>
        <v>5.3613043478260871E-5</v>
      </c>
      <c r="O144" s="877">
        <v>0</v>
      </c>
      <c r="P144" s="877">
        <v>0</v>
      </c>
      <c r="Q144" s="877">
        <v>0</v>
      </c>
      <c r="R144" s="877">
        <v>0</v>
      </c>
      <c r="S144" s="877">
        <v>0</v>
      </c>
      <c r="T144" s="877">
        <v>0</v>
      </c>
      <c r="U144" s="877">
        <f>G144+T144</f>
        <v>7.3270459426848692E-5</v>
      </c>
      <c r="V144" s="877">
        <v>0</v>
      </c>
      <c r="W144" s="886">
        <v>0</v>
      </c>
      <c r="X144" s="877"/>
      <c r="Y144" s="879"/>
      <c r="Z144" s="877"/>
      <c r="AA144" s="877"/>
      <c r="AB144" s="877"/>
      <c r="AC144" s="877"/>
      <c r="AD144" s="886"/>
      <c r="AE144" s="877"/>
      <c r="AF144" s="879"/>
      <c r="AG144" s="877"/>
      <c r="AH144" s="877"/>
      <c r="AI144" s="877"/>
      <c r="AJ144" s="877"/>
      <c r="AK144" s="886"/>
      <c r="AL144" s="877"/>
      <c r="AM144" s="879"/>
      <c r="AN144" s="877"/>
      <c r="AO144" s="877"/>
      <c r="AP144" s="877"/>
      <c r="AQ144" s="877"/>
      <c r="AR144" s="886"/>
      <c r="AS144" s="877"/>
      <c r="AT144" s="879"/>
      <c r="AU144" s="877"/>
      <c r="AV144" s="877"/>
      <c r="AW144" s="877"/>
      <c r="AX144" s="877"/>
      <c r="AY144" s="886"/>
      <c r="AZ144" s="877"/>
      <c r="BA144" s="879"/>
      <c r="BB144" s="877"/>
      <c r="BC144" s="877"/>
      <c r="BD144" s="877"/>
      <c r="BE144" s="877"/>
      <c r="BF144" s="886"/>
      <c r="BG144" s="877"/>
      <c r="BH144" s="879"/>
      <c r="BI144" s="877"/>
      <c r="BJ144" s="877"/>
      <c r="BK144" s="877"/>
      <c r="BL144" s="877"/>
      <c r="BM144" s="886"/>
      <c r="BN144" s="877"/>
      <c r="BO144" s="879"/>
      <c r="BP144" s="877"/>
      <c r="BQ144" s="877"/>
      <c r="BR144" s="877"/>
      <c r="BS144" s="877"/>
      <c r="BT144" s="886"/>
      <c r="BU144" s="877"/>
      <c r="BV144" s="879"/>
      <c r="BW144" s="886"/>
    </row>
    <row r="145" spans="1:253" s="406" customFormat="1" ht="17.25">
      <c r="A145" s="359"/>
      <c r="B145" s="360"/>
      <c r="C145" s="83"/>
      <c r="D145" s="54"/>
      <c r="E145" s="1295" t="s">
        <v>320</v>
      </c>
      <c r="F145" s="928">
        <f>SUM(K145:L145)</f>
        <v>1.3775384615384613E-4</v>
      </c>
      <c r="G145" s="877">
        <f>SUM(I145:Q145)</f>
        <v>1.7386247273425059E-4</v>
      </c>
      <c r="H145" s="878">
        <f>SUM(U145:W145)/(1-'Common input data'!$B$140)</f>
        <v>2.0749787890470293E-4</v>
      </c>
      <c r="I145" s="877">
        <f>('Input data plant-based products'!$F$108*('Common input data'!$B$93*'Common input data'!B88+'Common input data'!$B$94*'Common input data'!C88))/'Input data plant-based products'!$E$108</f>
        <v>3.2856452667360971E-5</v>
      </c>
      <c r="J145" s="877">
        <v>0</v>
      </c>
      <c r="K145" s="877">
        <f>(SUM(('Input data plant-based products'!$F$108*'Input data plant-based products'!$B$258),(('Input data plant-based products'!$G$108+'Input data plant-based products'!$H$108)*'Input data plant-based products'!$B$259))*44/28)/'Input data plant-based products'!$E$108</f>
        <v>1.2523076923076922E-4</v>
      </c>
      <c r="L145" s="877">
        <f>K145*'Input data plant-based products'!$B$261</f>
        <v>1.2523076923076922E-5</v>
      </c>
      <c r="M145" s="877"/>
      <c r="N145" s="877">
        <f>('Input data plant-based products'!$P$108*'Common input data'!$C$76*'Common input data'!H68)/'Input data plant-based products'!$E$108</f>
        <v>3.2521739130434783E-6</v>
      </c>
      <c r="O145" s="877">
        <v>0</v>
      </c>
      <c r="P145" s="877">
        <v>0</v>
      </c>
      <c r="Q145" s="877">
        <v>0</v>
      </c>
      <c r="R145" s="877">
        <v>0</v>
      </c>
      <c r="S145" s="877">
        <v>0</v>
      </c>
      <c r="T145" s="877">
        <v>0</v>
      </c>
      <c r="U145" s="877">
        <f>G145+T145</f>
        <v>1.7386247273425059E-4</v>
      </c>
      <c r="V145" s="877">
        <v>0</v>
      </c>
      <c r="W145" s="886">
        <v>0</v>
      </c>
      <c r="X145" s="877"/>
      <c r="Y145" s="879"/>
      <c r="Z145" s="877"/>
      <c r="AA145" s="877"/>
      <c r="AB145" s="877"/>
      <c r="AC145" s="877"/>
      <c r="AD145" s="886"/>
      <c r="AE145" s="877"/>
      <c r="AF145" s="879"/>
      <c r="AG145" s="877"/>
      <c r="AH145" s="877"/>
      <c r="AI145" s="877"/>
      <c r="AJ145" s="877"/>
      <c r="AK145" s="886"/>
      <c r="AL145" s="877"/>
      <c r="AM145" s="879"/>
      <c r="AN145" s="877"/>
      <c r="AO145" s="877"/>
      <c r="AP145" s="877"/>
      <c r="AQ145" s="877"/>
      <c r="AR145" s="886"/>
      <c r="AS145" s="877"/>
      <c r="AT145" s="879"/>
      <c r="AU145" s="877"/>
      <c r="AV145" s="877"/>
      <c r="AW145" s="877"/>
      <c r="AX145" s="877"/>
      <c r="AY145" s="886"/>
      <c r="AZ145" s="877"/>
      <c r="BA145" s="879"/>
      <c r="BB145" s="877"/>
      <c r="BC145" s="877"/>
      <c r="BD145" s="877"/>
      <c r="BE145" s="877"/>
      <c r="BF145" s="886"/>
      <c r="BG145" s="877"/>
      <c r="BH145" s="879"/>
      <c r="BI145" s="877"/>
      <c r="BJ145" s="877"/>
      <c r="BK145" s="877"/>
      <c r="BL145" s="877"/>
      <c r="BM145" s="886"/>
      <c r="BN145" s="877"/>
      <c r="BO145" s="879"/>
      <c r="BP145" s="877"/>
      <c r="BQ145" s="877"/>
      <c r="BR145" s="877"/>
      <c r="BS145" s="877"/>
      <c r="BT145" s="886"/>
      <c r="BU145" s="877"/>
      <c r="BV145" s="879"/>
      <c r="BW145" s="886"/>
    </row>
    <row r="146" spans="1:253" s="502" customFormat="1" ht="17.25">
      <c r="A146" s="20" t="s">
        <v>126</v>
      </c>
      <c r="B146" s="93" t="s">
        <v>121</v>
      </c>
      <c r="C146" s="87">
        <f>'Input data plant-based products'!D109</f>
        <v>0.14000000000000001</v>
      </c>
      <c r="D146" s="54"/>
      <c r="E146" s="1293" t="s">
        <v>316</v>
      </c>
      <c r="F146" s="930">
        <f>SUMPRODUCT($CI$4:$CI$6,F147:F149)</f>
        <v>-6.4769041829578225E-2</v>
      </c>
      <c r="G146" s="872">
        <f>SUMPRODUCT($CI$4:$CI$6,G147:G149)</f>
        <v>7.1304962627129251E-2</v>
      </c>
      <c r="H146" s="873">
        <f>SUMPRODUCT($CI$4:$CI$6,H147:H149)</f>
        <v>0.41926836451501281</v>
      </c>
      <c r="I146" s="884"/>
      <c r="J146" s="884"/>
      <c r="K146" s="884"/>
      <c r="L146" s="884"/>
      <c r="M146" s="884"/>
      <c r="N146" s="884"/>
      <c r="O146" s="884"/>
      <c r="P146" s="884"/>
      <c r="Q146" s="884"/>
      <c r="R146" s="884"/>
      <c r="S146" s="884"/>
      <c r="T146" s="884"/>
      <c r="U146" s="884"/>
      <c r="V146" s="884"/>
      <c r="W146" s="885"/>
      <c r="X146" s="877"/>
      <c r="Y146" s="879">
        <f>1/'Input data plant-based products'!E109*10^4</f>
        <v>0.42078687144961074</v>
      </c>
      <c r="Z146" s="877">
        <f>$Y146*'Input data plant-based products'!Z109</f>
        <v>0.42078687144961074</v>
      </c>
      <c r="AA146" s="877">
        <f>$Y146*'Input data plant-based products'!AA109</f>
        <v>0.42078687144961074</v>
      </c>
      <c r="AB146" s="877">
        <f>$Y146*'Input data plant-based products'!AB109</f>
        <v>0.42078687144961074</v>
      </c>
      <c r="AC146" s="877">
        <f>$Y146*'Input data plant-based products'!AC109</f>
        <v>0.50219223230649335</v>
      </c>
      <c r="AD146" s="886">
        <f>$Y146*'Input data plant-based products'!AD109</f>
        <v>0.61999041025492996</v>
      </c>
      <c r="AE146" s="877"/>
      <c r="AF146" s="879">
        <f>SUM('Input data plant-based products'!F109,'Input data plant-based products'!Q109)/'Input data plant-based products'!E109</f>
        <v>3.4925310330317693E-3</v>
      </c>
      <c r="AG146" s="877">
        <f>$AF146*'Input data plant-based products'!Z109</f>
        <v>3.4925310330317693E-3</v>
      </c>
      <c r="AH146" s="877">
        <f>$AF146*'Input data plant-based products'!AA109</f>
        <v>3.4925310330317693E-3</v>
      </c>
      <c r="AI146" s="877">
        <f>$AF146*'Input data plant-based products'!AB109</f>
        <v>3.4925310330317693E-3</v>
      </c>
      <c r="AJ146" s="877">
        <f>$AF146*'Input data plant-based products'!AC109</f>
        <v>4.1681955281438945E-3</v>
      </c>
      <c r="AK146" s="886">
        <f>$AF146*'Input data plant-based products'!AD109</f>
        <v>5.1459204051159183E-3</v>
      </c>
      <c r="AL146" s="877"/>
      <c r="AM146" s="879">
        <f>'Input data plant-based products'!R109/'Input data plant-based products'!E109</f>
        <v>2.0818505338078292E-3</v>
      </c>
      <c r="AN146" s="877">
        <f>$AM146*'Input data plant-based products'!Z109</f>
        <v>2.0818505338078292E-3</v>
      </c>
      <c r="AO146" s="877">
        <f>$AM146*'Input data plant-based products'!AA109</f>
        <v>2.0818505338078292E-3</v>
      </c>
      <c r="AP146" s="877">
        <f>$AM146*'Input data plant-based products'!AB109</f>
        <v>2.0818505338078292E-3</v>
      </c>
      <c r="AQ146" s="877">
        <f>$AM146*'Input data plant-based products'!AC109</f>
        <v>2.4846050051412212E-3</v>
      </c>
      <c r="AR146" s="886">
        <f>$AM146*'Input data plant-based products'!AD109</f>
        <v>3.0674135865940999E-3</v>
      </c>
      <c r="AS146" s="877"/>
      <c r="AT146" s="879">
        <f>'Input data plant-based products'!S109</f>
        <v>1.2E-2</v>
      </c>
      <c r="AU146" s="877">
        <f>$AT146*'Input data plant-based products'!Z109</f>
        <v>1.2E-2</v>
      </c>
      <c r="AV146" s="877">
        <f>$AT146*'Input data plant-based products'!AA109</f>
        <v>1.2E-2</v>
      </c>
      <c r="AW146" s="877">
        <f>$AT146*'Input data plant-based products'!AB109</f>
        <v>1.2E-2</v>
      </c>
      <c r="AX146" s="877">
        <f>$AT146*'Input data plant-based products'!AC109</f>
        <v>1.4321518080916577E-2</v>
      </c>
      <c r="AY146" s="886">
        <f>$AT146*'Input data plant-based products'!AD109</f>
        <v>1.7680886519650094E-2</v>
      </c>
      <c r="AZ146" s="877"/>
      <c r="BA146" s="879">
        <f>((SUM('Input data plant-based products'!U109:Y109)*Y146)/('Common input data'!$B$192/10^6))/$BB$3</f>
        <v>9.4507211901903357E-12</v>
      </c>
      <c r="BB146" s="877">
        <f>$BA146*'Input data plant-based products'!Z109</f>
        <v>9.4507211901903357E-12</v>
      </c>
      <c r="BC146" s="877">
        <f>$BA146*'Input data plant-based products'!AA109</f>
        <v>9.4507211901903357E-12</v>
      </c>
      <c r="BD146" s="877">
        <f>$BA146*'Input data plant-based products'!AB109</f>
        <v>9.4507211901903357E-12</v>
      </c>
      <c r="BE146" s="877">
        <f>$BA146*'Input data plant-based products'!AC109</f>
        <v>1.1279056200251027E-11</v>
      </c>
      <c r="BF146" s="886">
        <f>$BA146*'Input data plant-based products'!AD109</f>
        <v>1.392476074105065E-11</v>
      </c>
      <c r="BG146" s="877"/>
      <c r="BH146" s="879">
        <f>'Input data plant-based products'!T109/'Input data plant-based products'!E109</f>
        <v>8.3315800547022938E-4</v>
      </c>
      <c r="BI146" s="877">
        <f>$BH146*'Input data plant-based products'!Z109</f>
        <v>8.3315800547022938E-4</v>
      </c>
      <c r="BJ146" s="877">
        <f>$BH146*'Input data plant-based products'!AA109</f>
        <v>8.3315800547022938E-4</v>
      </c>
      <c r="BK146" s="877">
        <f>$BH146*'Input data plant-based products'!AB109</f>
        <v>8.3315800547022938E-4</v>
      </c>
      <c r="BL146" s="877">
        <f>$BH146*'Input data plant-based products'!AC109</f>
        <v>9.9434061996685696E-4</v>
      </c>
      <c r="BM146" s="886">
        <f>$BH146*'Input data plant-based products'!AD109</f>
        <v>1.2275810123047613E-3</v>
      </c>
      <c r="BN146" s="877"/>
      <c r="BO146" s="879">
        <f>('Input data plant-based products'!F109/'Input data plant-based products'!E109*'Common input data'!$B$195+'Input data plant-based products'!G109/'Input data plant-based products'!E109*'Common input data'!$B$196)/'Common input data'!$B$198</f>
        <v>8.9177355357667259E-5</v>
      </c>
      <c r="BP146" s="877">
        <f>$BO146*'Input data plant-based products'!Z109</f>
        <v>8.9177355357667259E-5</v>
      </c>
      <c r="BQ146" s="877">
        <f>$BO146*'Input data plant-based products'!AA109</f>
        <v>8.9177355357667259E-5</v>
      </c>
      <c r="BR146" s="877">
        <f>$BO146*'Input data plant-based products'!AB109</f>
        <v>8.9177355357667259E-5</v>
      </c>
      <c r="BS146" s="877">
        <f>$BO146*'Input data plant-based products'!AC109</f>
        <v>1.0642959226359621E-4</v>
      </c>
      <c r="BT146" s="886">
        <f>$BO146*'Input data plant-based products'!AD109</f>
        <v>1.3139455835011875E-4</v>
      </c>
      <c r="BU146" s="877"/>
      <c r="BV146" s="879">
        <f>('Common input data'!$C$202+'Common input data'!$B$208)*'Input data plant-based products'!AC109</f>
        <v>0.85451724549468899</v>
      </c>
      <c r="BW146" s="886">
        <f>('Common input data'!$C$202+'Common input data'!$B$208)*'Input data plant-based products'!AD109</f>
        <v>1.0549595623391221</v>
      </c>
      <c r="BX146" s="406"/>
      <c r="BY146" s="406"/>
      <c r="BZ146" s="406"/>
      <c r="CA146" s="406"/>
      <c r="CB146" s="406"/>
      <c r="CC146" s="406"/>
      <c r="CD146" s="406"/>
      <c r="CE146" s="406"/>
      <c r="CF146" s="406"/>
      <c r="CG146" s="406"/>
      <c r="CH146" s="406"/>
      <c r="CI146" s="406"/>
      <c r="CJ146" s="406"/>
      <c r="CK146" s="406"/>
      <c r="CL146" s="406"/>
      <c r="CM146" s="406"/>
      <c r="CN146" s="406"/>
      <c r="CO146" s="406"/>
      <c r="CP146" s="406"/>
      <c r="CQ146" s="406"/>
      <c r="CR146" s="406"/>
      <c r="CS146" s="406"/>
      <c r="CT146" s="406"/>
      <c r="CU146" s="406"/>
      <c r="CV146" s="406"/>
      <c r="CW146" s="406"/>
      <c r="CX146" s="406"/>
      <c r="CY146" s="406"/>
      <c r="CZ146" s="406"/>
      <c r="DA146" s="406"/>
      <c r="DB146" s="406"/>
      <c r="DC146" s="406"/>
      <c r="DD146" s="406"/>
      <c r="DE146" s="406"/>
      <c r="DF146" s="406"/>
      <c r="DG146" s="406"/>
      <c r="DH146" s="406"/>
      <c r="DI146" s="406"/>
      <c r="DJ146" s="406"/>
      <c r="DK146" s="406"/>
      <c r="DL146" s="406"/>
      <c r="DM146" s="406"/>
      <c r="DN146" s="406"/>
      <c r="DO146" s="406"/>
      <c r="DP146" s="406"/>
      <c r="DQ146" s="406"/>
      <c r="DR146" s="406"/>
      <c r="DS146" s="406"/>
      <c r="DT146" s="406"/>
      <c r="DU146" s="406"/>
      <c r="DV146" s="406"/>
      <c r="DW146" s="406"/>
      <c r="DX146" s="406"/>
      <c r="DY146" s="406"/>
      <c r="DZ146" s="406"/>
      <c r="EA146" s="406"/>
      <c r="EB146" s="406"/>
      <c r="EC146" s="406"/>
      <c r="ED146" s="406"/>
      <c r="EE146" s="406"/>
      <c r="EF146" s="406"/>
      <c r="EG146" s="406"/>
      <c r="EH146" s="406"/>
      <c r="EI146" s="406"/>
      <c r="EJ146" s="406"/>
      <c r="EK146" s="406"/>
      <c r="EL146" s="406"/>
      <c r="EM146" s="406"/>
      <c r="EN146" s="406"/>
      <c r="EO146" s="406"/>
      <c r="EP146" s="406"/>
      <c r="EQ146" s="406"/>
      <c r="ER146" s="406"/>
      <c r="ES146" s="406"/>
      <c r="ET146" s="406"/>
      <c r="EU146" s="406"/>
      <c r="EV146" s="406"/>
      <c r="EW146" s="406"/>
      <c r="EX146" s="406"/>
      <c r="EY146" s="406"/>
      <c r="EZ146" s="406"/>
      <c r="FA146" s="406"/>
      <c r="FB146" s="406"/>
      <c r="FC146" s="406"/>
      <c r="FD146" s="406"/>
      <c r="FE146" s="406"/>
      <c r="FF146" s="406"/>
      <c r="FG146" s="406"/>
      <c r="FH146" s="406"/>
      <c r="FI146" s="406"/>
      <c r="FJ146" s="406"/>
      <c r="FK146" s="406"/>
      <c r="FL146" s="406"/>
      <c r="FM146" s="406"/>
      <c r="FN146" s="406"/>
      <c r="FO146" s="406"/>
      <c r="FP146" s="406"/>
      <c r="FQ146" s="406"/>
      <c r="FR146" s="406"/>
      <c r="FS146" s="406"/>
      <c r="FT146" s="406"/>
      <c r="FU146" s="406"/>
      <c r="FV146" s="406"/>
      <c r="FW146" s="406"/>
      <c r="FX146" s="406"/>
      <c r="FY146" s="406"/>
      <c r="FZ146" s="406"/>
      <c r="GA146" s="406"/>
      <c r="GB146" s="406"/>
      <c r="GC146" s="406"/>
      <c r="GD146" s="406"/>
      <c r="GE146" s="406"/>
      <c r="GF146" s="406"/>
      <c r="GG146" s="406"/>
      <c r="GH146" s="406"/>
      <c r="GI146" s="406"/>
      <c r="GJ146" s="406"/>
      <c r="GK146" s="406"/>
      <c r="GL146" s="406"/>
      <c r="GM146" s="406"/>
      <c r="GN146" s="406"/>
      <c r="GO146" s="406"/>
      <c r="GP146" s="406"/>
      <c r="GQ146" s="406"/>
      <c r="GR146" s="406"/>
      <c r="GS146" s="406"/>
      <c r="GT146" s="406"/>
      <c r="GU146" s="406"/>
      <c r="GV146" s="406"/>
      <c r="GW146" s="406"/>
      <c r="GX146" s="406"/>
      <c r="GY146" s="406"/>
      <c r="GZ146" s="406"/>
      <c r="HA146" s="406"/>
      <c r="HB146" s="406"/>
      <c r="HC146" s="406"/>
      <c r="HD146" s="406"/>
      <c r="HE146" s="406"/>
      <c r="HF146" s="406"/>
      <c r="HG146" s="406"/>
      <c r="HH146" s="406"/>
      <c r="HI146" s="406"/>
      <c r="HJ146" s="406"/>
      <c r="HK146" s="406"/>
      <c r="HL146" s="406"/>
      <c r="HM146" s="406"/>
      <c r="HN146" s="406"/>
      <c r="HO146" s="406"/>
      <c r="HP146" s="406"/>
      <c r="HQ146" s="406"/>
      <c r="HR146" s="406"/>
      <c r="HS146" s="406"/>
      <c r="HT146" s="406"/>
      <c r="HU146" s="406"/>
      <c r="HV146" s="406"/>
      <c r="HW146" s="406"/>
      <c r="HX146" s="406"/>
      <c r="HY146" s="406"/>
      <c r="HZ146" s="406"/>
      <c r="IA146" s="406"/>
      <c r="IB146" s="406"/>
      <c r="IC146" s="406"/>
      <c r="ID146" s="406"/>
      <c r="IE146" s="406"/>
      <c r="IF146" s="406"/>
      <c r="IG146" s="406"/>
      <c r="IH146" s="406"/>
      <c r="II146" s="406"/>
      <c r="IJ146" s="406"/>
      <c r="IK146" s="406"/>
      <c r="IL146" s="406"/>
      <c r="IM146" s="406"/>
      <c r="IN146" s="406"/>
      <c r="IO146" s="406"/>
      <c r="IP146" s="406"/>
      <c r="IQ146" s="406"/>
      <c r="IR146" s="406"/>
      <c r="IS146" s="406"/>
    </row>
    <row r="147" spans="1:253" s="406" customFormat="1" ht="17.25">
      <c r="A147" s="68"/>
      <c r="B147" s="55"/>
      <c r="C147" s="917"/>
      <c r="D147" s="5"/>
      <c r="E147" s="1294" t="s">
        <v>317</v>
      </c>
      <c r="F147" s="928">
        <f>IF(AND($G$2="No",$G$3="No"),SUM(K147:L147),IF(AND($G$2="Yes", $G$3="No"), SUM(K147:L147)+S147, IF(AND($G$2="No", $G$3="Yes"),SUM(K147:L147)+R147, SUM(K147:L147)+S147+R147)))</f>
        <v>-9.1139048141381296E-2</v>
      </c>
      <c r="G147" s="877">
        <f>IF(AND($G$2="No",$G$3="No"),SUM(I147:Q147),IF(AND($G$2="Yes", $G$3="No"), SUM(I147:Q147)+S147, IF(AND($G$2="No", $G$3="Yes"),SUM(I147:Q147)+R147, SUM(I147:Q147)+S147+R147)))</f>
        <v>3.5745366794306788E-2</v>
      </c>
      <c r="H147" s="878">
        <f>SUM(U147:W147)/(1-'Common input data'!$B$140)</f>
        <v>0.37682941495919176</v>
      </c>
      <c r="I147" s="877">
        <f>('Input data plant-based products'!$F$109*('Common input data'!$C$93*'Common input data'!B86+'Common input data'!$C$94*'Common input data'!C86))/'Input data plant-based products'!$E$109</f>
        <v>1.3149291855528164E-2</v>
      </c>
      <c r="J147" s="877">
        <f>'Common input data'!$B$98</f>
        <v>0.03</v>
      </c>
      <c r="K147" s="877">
        <v>0</v>
      </c>
      <c r="L147" s="877">
        <v>0</v>
      </c>
      <c r="M147" s="877"/>
      <c r="N147" s="877">
        <f>('Input data plant-based products'!$P$109*'Common input data'!$C$76*'Common input data'!H66)/'Input data plant-based products'!$E$109</f>
        <v>3.3735123080159898E-2</v>
      </c>
      <c r="O147" s="877">
        <v>0</v>
      </c>
      <c r="P147" s="877">
        <f>'Input data plant-based products'!F$309</f>
        <v>0.05</v>
      </c>
      <c r="Q147" s="877">
        <v>0</v>
      </c>
      <c r="R147" s="877">
        <f>'Common input data'!$F$19</f>
        <v>-9.1139048141381296E-2</v>
      </c>
      <c r="S147" s="877">
        <v>0</v>
      </c>
      <c r="T147" s="877">
        <v>0</v>
      </c>
      <c r="U147" s="877">
        <f>G147+T147</f>
        <v>3.5745366794306788E-2</v>
      </c>
      <c r="V147" s="877">
        <f>'Common input data'!B$103</f>
        <v>0.15</v>
      </c>
      <c r="W147" s="886">
        <f>'Common input data'!B116+'Common input data'!C116</f>
        <v>0.13</v>
      </c>
      <c r="X147" s="877"/>
      <c r="Y147" s="879"/>
      <c r="Z147" s="877"/>
      <c r="AA147" s="877"/>
      <c r="AB147" s="877"/>
      <c r="AC147" s="877"/>
      <c r="AD147" s="886"/>
      <c r="AE147" s="877"/>
      <c r="AF147" s="879"/>
      <c r="AG147" s="877"/>
      <c r="AH147" s="877"/>
      <c r="AI147" s="877"/>
      <c r="AJ147" s="877"/>
      <c r="AK147" s="886"/>
      <c r="AL147" s="877"/>
      <c r="AM147" s="879"/>
      <c r="AN147" s="877"/>
      <c r="AO147" s="877"/>
      <c r="AP147" s="877"/>
      <c r="AQ147" s="877"/>
      <c r="AR147" s="886"/>
      <c r="AS147" s="877"/>
      <c r="AT147" s="879"/>
      <c r="AU147" s="877"/>
      <c r="AV147" s="877"/>
      <c r="AW147" s="877"/>
      <c r="AX147" s="877"/>
      <c r="AY147" s="886"/>
      <c r="AZ147" s="877"/>
      <c r="BA147" s="879"/>
      <c r="BB147" s="877"/>
      <c r="BC147" s="877"/>
      <c r="BD147" s="877"/>
      <c r="BE147" s="877"/>
      <c r="BF147" s="886"/>
      <c r="BG147" s="877"/>
      <c r="BH147" s="879"/>
      <c r="BI147" s="877"/>
      <c r="BJ147" s="877"/>
      <c r="BK147" s="877"/>
      <c r="BL147" s="877"/>
      <c r="BM147" s="886"/>
      <c r="BN147" s="877"/>
      <c r="BO147" s="879"/>
      <c r="BP147" s="877"/>
      <c r="BQ147" s="877"/>
      <c r="BR147" s="877"/>
      <c r="BS147" s="877"/>
      <c r="BT147" s="886"/>
      <c r="BU147" s="877"/>
      <c r="BV147" s="879"/>
      <c r="BW147" s="886"/>
    </row>
    <row r="148" spans="1:253" s="406" customFormat="1" ht="17.25">
      <c r="A148" s="18"/>
      <c r="B148" s="55"/>
      <c r="C148" s="595"/>
      <c r="D148" s="50"/>
      <c r="E148" s="1294" t="s">
        <v>367</v>
      </c>
      <c r="F148" s="928">
        <f>SUM(K148:L148)</f>
        <v>0</v>
      </c>
      <c r="G148" s="877">
        <f>SUM(I148:Q148)</f>
        <v>3.9065245174912307E-5</v>
      </c>
      <c r="H148" s="878">
        <f>SUM(U148:W148)/(1-'Common input data'!$B$140)</f>
        <v>4.6622801258995475E-5</v>
      </c>
      <c r="I148" s="877">
        <f>('Input data plant-based products'!$F$109*('Common input data'!$C$93*'Common input data'!B87+'Common input data'!$C$94*'Common input data'!C87))/'Input data plant-based products'!$E$109</f>
        <v>2.4121723188798277E-5</v>
      </c>
      <c r="J148" s="877">
        <v>0</v>
      </c>
      <c r="K148" s="877">
        <v>0</v>
      </c>
      <c r="L148" s="877">
        <v>0</v>
      </c>
      <c r="M148" s="877"/>
      <c r="N148" s="877">
        <f>('Input data plant-based products'!$P$109*'Common input data'!$C$76*'Common input data'!H67)/'Input data plant-based products'!$E$109</f>
        <v>1.4943521986114034E-5</v>
      </c>
      <c r="O148" s="877">
        <v>0</v>
      </c>
      <c r="P148" s="877">
        <v>0</v>
      </c>
      <c r="Q148" s="877">
        <v>0</v>
      </c>
      <c r="R148" s="877">
        <v>0</v>
      </c>
      <c r="S148" s="877">
        <v>0</v>
      </c>
      <c r="T148" s="877">
        <v>0</v>
      </c>
      <c r="U148" s="877">
        <f>G148+T148</f>
        <v>3.9065245174912307E-5</v>
      </c>
      <c r="V148" s="877">
        <v>0</v>
      </c>
      <c r="W148" s="886">
        <v>0</v>
      </c>
      <c r="X148" s="877"/>
      <c r="Y148" s="879"/>
      <c r="Z148" s="877"/>
      <c r="AA148" s="877"/>
      <c r="AB148" s="877"/>
      <c r="AC148" s="877"/>
      <c r="AD148" s="886"/>
      <c r="AE148" s="877"/>
      <c r="AF148" s="879"/>
      <c r="AG148" s="877"/>
      <c r="AH148" s="877"/>
      <c r="AI148" s="877"/>
      <c r="AJ148" s="877"/>
      <c r="AK148" s="886"/>
      <c r="AL148" s="877"/>
      <c r="AM148" s="879"/>
      <c r="AN148" s="877"/>
      <c r="AO148" s="877"/>
      <c r="AP148" s="877"/>
      <c r="AQ148" s="877"/>
      <c r="AR148" s="886"/>
      <c r="AS148" s="877"/>
      <c r="AT148" s="879"/>
      <c r="AU148" s="877"/>
      <c r="AV148" s="877"/>
      <c r="AW148" s="877"/>
      <c r="AX148" s="877"/>
      <c r="AY148" s="886"/>
      <c r="AZ148" s="877"/>
      <c r="BA148" s="879"/>
      <c r="BB148" s="877"/>
      <c r="BC148" s="877"/>
      <c r="BD148" s="877"/>
      <c r="BE148" s="877"/>
      <c r="BF148" s="886"/>
      <c r="BG148" s="877"/>
      <c r="BH148" s="879"/>
      <c r="BI148" s="877"/>
      <c r="BJ148" s="877"/>
      <c r="BK148" s="877"/>
      <c r="BL148" s="877"/>
      <c r="BM148" s="886"/>
      <c r="BN148" s="877"/>
      <c r="BO148" s="879"/>
      <c r="BP148" s="877"/>
      <c r="BQ148" s="877"/>
      <c r="BR148" s="877"/>
      <c r="BS148" s="877"/>
      <c r="BT148" s="886"/>
      <c r="BU148" s="877"/>
      <c r="BV148" s="879"/>
      <c r="BW148" s="886"/>
    </row>
    <row r="149" spans="1:253" s="406" customFormat="1" ht="17.25">
      <c r="A149" s="359"/>
      <c r="B149" s="360"/>
      <c r="C149" s="83"/>
      <c r="D149" s="54"/>
      <c r="E149" s="1295" t="s">
        <v>320</v>
      </c>
      <c r="F149" s="928">
        <f>SUM(K149:L149)</f>
        <v>9.6593429713564362E-5</v>
      </c>
      <c r="G149" s="877">
        <f>SUM(I149:Q149)</f>
        <v>1.2639133411391877E-4</v>
      </c>
      <c r="H149" s="878">
        <f>SUM(U149:W149)/(1-'Common input data'!$B$140)</f>
        <v>1.5084298139863799E-4</v>
      </c>
      <c r="I149" s="877">
        <f>('Input data plant-based products'!$F$109*('Common input data'!$C$93*'Common input data'!B88+'Common input data'!$C$94*'Common input data'!C88))/'Input data plant-based products'!$E$109</f>
        <v>2.8891428490402799E-5</v>
      </c>
      <c r="J149" s="877">
        <v>0</v>
      </c>
      <c r="K149" s="877">
        <f>(SUM(('Input data plant-based products'!$F$109*'Input data plant-based products'!$B$258),(('Input data plant-based products'!$G$109+'Input data plant-based products'!$H$109)*'Input data plant-based products'!$B$259))*44/28)/'Input data plant-based products'!$E$109</f>
        <v>8.7812208830513055E-5</v>
      </c>
      <c r="L149" s="877">
        <f>K149*'Input data plant-based products'!$B$261</f>
        <v>8.7812208830513051E-6</v>
      </c>
      <c r="M149" s="877"/>
      <c r="N149" s="877">
        <f>('Input data plant-based products'!$P$109*'Common input data'!$C$76*'Common input data'!H68)/'Input data plant-based products'!$E$109</f>
        <v>9.0647590995160953E-7</v>
      </c>
      <c r="O149" s="877">
        <v>0</v>
      </c>
      <c r="P149" s="877">
        <v>0</v>
      </c>
      <c r="Q149" s="877">
        <v>0</v>
      </c>
      <c r="R149" s="877">
        <v>0</v>
      </c>
      <c r="S149" s="877">
        <v>0</v>
      </c>
      <c r="T149" s="877">
        <v>0</v>
      </c>
      <c r="U149" s="877">
        <f>G149+T149</f>
        <v>1.2639133411391877E-4</v>
      </c>
      <c r="V149" s="877">
        <v>0</v>
      </c>
      <c r="W149" s="886">
        <v>0</v>
      </c>
      <c r="X149" s="877"/>
      <c r="Y149" s="879"/>
      <c r="Z149" s="877"/>
      <c r="AA149" s="877"/>
      <c r="AB149" s="877"/>
      <c r="AC149" s="877"/>
      <c r="AD149" s="886"/>
      <c r="AE149" s="877"/>
      <c r="AF149" s="879"/>
      <c r="AG149" s="877"/>
      <c r="AH149" s="877"/>
      <c r="AI149" s="877"/>
      <c r="AJ149" s="877"/>
      <c r="AK149" s="886"/>
      <c r="AL149" s="877"/>
      <c r="AM149" s="879"/>
      <c r="AN149" s="877"/>
      <c r="AO149" s="877"/>
      <c r="AP149" s="877"/>
      <c r="AQ149" s="877"/>
      <c r="AR149" s="886"/>
      <c r="AS149" s="877"/>
      <c r="AT149" s="879"/>
      <c r="AU149" s="877"/>
      <c r="AV149" s="877"/>
      <c r="AW149" s="877"/>
      <c r="AX149" s="877"/>
      <c r="AY149" s="886"/>
      <c r="AZ149" s="877"/>
      <c r="BA149" s="879"/>
      <c r="BB149" s="877"/>
      <c r="BC149" s="877"/>
      <c r="BD149" s="877"/>
      <c r="BE149" s="877"/>
      <c r="BF149" s="886"/>
      <c r="BG149" s="877"/>
      <c r="BH149" s="879"/>
      <c r="BI149" s="877"/>
      <c r="BJ149" s="877"/>
      <c r="BK149" s="877"/>
      <c r="BL149" s="877"/>
      <c r="BM149" s="886"/>
      <c r="BN149" s="877"/>
      <c r="BO149" s="879"/>
      <c r="BP149" s="877"/>
      <c r="BQ149" s="877"/>
      <c r="BR149" s="877"/>
      <c r="BS149" s="877"/>
      <c r="BT149" s="886"/>
      <c r="BU149" s="877"/>
      <c r="BV149" s="879"/>
      <c r="BW149" s="886"/>
    </row>
    <row r="150" spans="1:253" s="502" customFormat="1" ht="17.25">
      <c r="A150" s="20" t="s">
        <v>125</v>
      </c>
      <c r="B150" s="93" t="s">
        <v>129</v>
      </c>
      <c r="C150" s="87">
        <f>'Input data plant-based products'!D110</f>
        <v>8.5000000000000006E-2</v>
      </c>
      <c r="D150" s="54"/>
      <c r="E150" s="1293" t="s">
        <v>316</v>
      </c>
      <c r="F150" s="930">
        <f>SUMPRODUCT($CI$4:$CI$6,F151:F153)</f>
        <v>2.0592067268498663E-2</v>
      </c>
      <c r="G150" s="872">
        <f>SUMPRODUCT($CI$4:$CI$6,G151:G153)</f>
        <v>2.904982184816701</v>
      </c>
      <c r="H150" s="873">
        <f>SUMPRODUCT($CI$4:$CI$6,H151:H153)</f>
        <v>3.9204943129451015</v>
      </c>
      <c r="I150" s="884"/>
      <c r="J150" s="884"/>
      <c r="K150" s="884"/>
      <c r="L150" s="884"/>
      <c r="M150" s="884"/>
      <c r="N150" s="884"/>
      <c r="O150" s="884"/>
      <c r="P150" s="884"/>
      <c r="Q150" s="884"/>
      <c r="R150" s="884"/>
      <c r="S150" s="884"/>
      <c r="T150" s="884"/>
      <c r="U150" s="884"/>
      <c r="V150" s="884"/>
      <c r="W150" s="885"/>
      <c r="X150" s="877"/>
      <c r="Y150" s="879">
        <f>1/'Input data plant-based products'!E110*10^4</f>
        <v>0.1138476116818349</v>
      </c>
      <c r="Z150" s="877">
        <f>$Y150*'Input data plant-based products'!Z110</f>
        <v>0.1138476116818349</v>
      </c>
      <c r="AA150" s="877">
        <f>$Y150*'Input data plant-based products'!AA110</f>
        <v>0.1138476116818349</v>
      </c>
      <c r="AB150" s="877">
        <f>$Y150*'Input data plant-based products'!AB110</f>
        <v>0.1138476116818349</v>
      </c>
      <c r="AC150" s="877">
        <f>$Y150*'Input data plant-based products'!AC110</f>
        <v>0.13587255243088064</v>
      </c>
      <c r="AD150" s="886">
        <f>$Y150*'Input data plant-based products'!AD110</f>
        <v>0.1677438918899761</v>
      </c>
      <c r="AE150" s="877"/>
      <c r="AF150" s="879">
        <f>SUM('Input data plant-based products'!F110,'Input data plant-based products'!Q110)/'Input data plant-based products'!E110</f>
        <v>4.800015680302719E-3</v>
      </c>
      <c r="AG150" s="877">
        <f>$AF150*'Input data plant-based products'!Z110</f>
        <v>4.800015680302719E-3</v>
      </c>
      <c r="AH150" s="877">
        <f>$AF150*'Input data plant-based products'!AA110</f>
        <v>4.800015680302719E-3</v>
      </c>
      <c r="AI150" s="877">
        <f>$AF150*'Input data plant-based products'!AB110</f>
        <v>4.800015680302719E-3</v>
      </c>
      <c r="AJ150" s="877">
        <f>$AF150*'Input data plant-based products'!AC110</f>
        <v>5.7286259461782063E-3</v>
      </c>
      <c r="AK150" s="886">
        <f>$AF150*'Input data plant-based products'!AD110</f>
        <v>7.0723777113311176E-3</v>
      </c>
      <c r="AL150" s="877"/>
      <c r="AM150" s="879">
        <f>'Input data plant-based products'!R110/'Input data plant-based products'!E110</f>
        <v>1.8E-3</v>
      </c>
      <c r="AN150" s="877">
        <f>$AM150*'Input data plant-based products'!Z110</f>
        <v>1.8E-3</v>
      </c>
      <c r="AO150" s="877">
        <f>$AM150*'Input data plant-based products'!AA110</f>
        <v>1.8E-3</v>
      </c>
      <c r="AP150" s="877">
        <f>$AM150*'Input data plant-based products'!AB110</f>
        <v>1.8E-3</v>
      </c>
      <c r="AQ150" s="877">
        <f>$AM150*'Input data plant-based products'!AC110</f>
        <v>2.1482277121374865E-3</v>
      </c>
      <c r="AR150" s="886">
        <f>$AM150*'Input data plant-based products'!AD110</f>
        <v>2.652132977947514E-3</v>
      </c>
      <c r="AS150" s="877"/>
      <c r="AT150" s="879">
        <f>'Input data plant-based products'!S110</f>
        <v>5.5500000000000001E-2</v>
      </c>
      <c r="AU150" s="877">
        <f>$AT150*'Input data plant-based products'!Z110</f>
        <v>5.5500000000000001E-2</v>
      </c>
      <c r="AV150" s="877">
        <f>$AT150*'Input data plant-based products'!AA110</f>
        <v>5.5500000000000001E-2</v>
      </c>
      <c r="AW150" s="877">
        <f>$AT150*'Input data plant-based products'!AB110</f>
        <v>5.5500000000000001E-2</v>
      </c>
      <c r="AX150" s="877">
        <f>$AT150*'Input data plant-based products'!AC110</f>
        <v>6.6237021124239168E-2</v>
      </c>
      <c r="AY150" s="886">
        <f>$AT150*'Input data plant-based products'!AD110</f>
        <v>8.1774100153381685E-2</v>
      </c>
      <c r="AZ150" s="877"/>
      <c r="BA150" s="879">
        <f>((SUM('Input data plant-based products'!U110:Y110)*Y150)/('Common input data'!$B$192/10^6))/$BB$3</f>
        <v>1.6811611539004027E-12</v>
      </c>
      <c r="BB150" s="877">
        <f>$BA150*'Input data plant-based products'!Z110</f>
        <v>1.6811611539004027E-12</v>
      </c>
      <c r="BC150" s="877">
        <f>$BA150*'Input data plant-based products'!AA110</f>
        <v>1.6811611539004027E-12</v>
      </c>
      <c r="BD150" s="877">
        <f>$BA150*'Input data plant-based products'!AB110</f>
        <v>1.6811611539004027E-12</v>
      </c>
      <c r="BE150" s="877">
        <f>$BA150*'Input data plant-based products'!AC110</f>
        <v>2.0063983218765994E-12</v>
      </c>
      <c r="BF150" s="886">
        <f>$BA150*'Input data plant-based products'!AD110</f>
        <v>2.4770349652797522E-12</v>
      </c>
      <c r="BG150" s="877"/>
      <c r="BH150" s="879">
        <f>'Input data plant-based products'!T110/'Input data plant-based products'!E110</f>
        <v>8.2881061304375796E-5</v>
      </c>
      <c r="BI150" s="877">
        <f>$BH150*'Input data plant-based products'!Z110</f>
        <v>8.2881061304375796E-5</v>
      </c>
      <c r="BJ150" s="877">
        <f>$BH150*'Input data plant-based products'!AA110</f>
        <v>8.2881061304375796E-5</v>
      </c>
      <c r="BK150" s="877">
        <f>$BH150*'Input data plant-based products'!AB110</f>
        <v>8.2881061304375796E-5</v>
      </c>
      <c r="BL150" s="877">
        <f>$BH150*'Input data plant-based products'!AC110</f>
        <v>9.8915218169681103E-5</v>
      </c>
      <c r="BM150" s="886">
        <f>$BH150*'Input data plant-based products'!AD110</f>
        <v>1.2211755329590257E-4</v>
      </c>
      <c r="BN150" s="877"/>
      <c r="BO150" s="879">
        <f>('Input data plant-based products'!F110/'Input data plant-based products'!E110*'Common input data'!$B$195+'Input data plant-based products'!G110/'Input data plant-based products'!E110*'Common input data'!$B$196)/'Common input data'!$B$198</f>
        <v>1.2256231941714483E-4</v>
      </c>
      <c r="BP150" s="877">
        <f>$BO150*'Input data plant-based products'!Z110</f>
        <v>1.2256231941714483E-4</v>
      </c>
      <c r="BQ150" s="877">
        <f>$BO150*'Input data plant-based products'!AA110</f>
        <v>1.2256231941714483E-4</v>
      </c>
      <c r="BR150" s="877">
        <f>$BO150*'Input data plant-based products'!AB110</f>
        <v>1.2256231941714483E-4</v>
      </c>
      <c r="BS150" s="877">
        <f>$BO150*'Input data plant-based products'!AC110</f>
        <v>1.4627320613097604E-4</v>
      </c>
      <c r="BT150" s="886">
        <f>$BO150*'Input data plant-based products'!AD110</f>
        <v>1.8058420509997039E-4</v>
      </c>
      <c r="BU150" s="877"/>
      <c r="BV150" s="879">
        <f>('Common input data'!$C$202+'Common input data'!$B$214)*'Input data plant-based products'!AC110</f>
        <v>1.1339857580459085</v>
      </c>
      <c r="BW150" s="886">
        <f>('Common input data'!$C$202+'Common input data'!$B$214)*'Input data plant-based products'!AD110</f>
        <v>1.3999824173406277</v>
      </c>
      <c r="BX150" s="406"/>
      <c r="BY150" s="406"/>
      <c r="BZ150" s="406"/>
      <c r="CA150" s="406"/>
      <c r="CB150" s="406"/>
      <c r="CC150" s="406"/>
      <c r="CD150" s="406"/>
      <c r="CE150" s="406"/>
      <c r="CF150" s="406"/>
      <c r="CG150" s="406"/>
      <c r="CH150" s="406"/>
      <c r="CI150" s="406"/>
      <c r="CJ150" s="406"/>
      <c r="CK150" s="406"/>
      <c r="CL150" s="406"/>
      <c r="CM150" s="406"/>
      <c r="CN150" s="406"/>
      <c r="CO150" s="406"/>
      <c r="CP150" s="406"/>
      <c r="CQ150" s="406"/>
      <c r="CR150" s="406"/>
      <c r="CS150" s="406"/>
      <c r="CT150" s="406"/>
      <c r="CU150" s="406"/>
      <c r="CV150" s="406"/>
      <c r="CW150" s="406"/>
      <c r="CX150" s="406"/>
      <c r="CY150" s="406"/>
      <c r="CZ150" s="406"/>
      <c r="DA150" s="406"/>
      <c r="DB150" s="406"/>
      <c r="DC150" s="406"/>
      <c r="DD150" s="406"/>
      <c r="DE150" s="406"/>
      <c r="DF150" s="406"/>
      <c r="DG150" s="406"/>
      <c r="DH150" s="406"/>
      <c r="DI150" s="406"/>
      <c r="DJ150" s="406"/>
      <c r="DK150" s="406"/>
      <c r="DL150" s="406"/>
      <c r="DM150" s="406"/>
      <c r="DN150" s="406"/>
      <c r="DO150" s="406"/>
      <c r="DP150" s="406"/>
      <c r="DQ150" s="406"/>
      <c r="DR150" s="406"/>
      <c r="DS150" s="406"/>
      <c r="DT150" s="406"/>
      <c r="DU150" s="406"/>
      <c r="DV150" s="406"/>
      <c r="DW150" s="406"/>
      <c r="DX150" s="406"/>
      <c r="DY150" s="406"/>
      <c r="DZ150" s="406"/>
      <c r="EA150" s="406"/>
      <c r="EB150" s="406"/>
      <c r="EC150" s="406"/>
      <c r="ED150" s="406"/>
      <c r="EE150" s="406"/>
      <c r="EF150" s="406"/>
      <c r="EG150" s="406"/>
      <c r="EH150" s="406"/>
      <c r="EI150" s="406"/>
      <c r="EJ150" s="406"/>
      <c r="EK150" s="406"/>
      <c r="EL150" s="406"/>
      <c r="EM150" s="406"/>
      <c r="EN150" s="406"/>
      <c r="EO150" s="406"/>
      <c r="EP150" s="406"/>
      <c r="EQ150" s="406"/>
      <c r="ER150" s="406"/>
      <c r="ES150" s="406"/>
      <c r="ET150" s="406"/>
      <c r="EU150" s="406"/>
      <c r="EV150" s="406"/>
      <c r="EW150" s="406"/>
      <c r="EX150" s="406"/>
      <c r="EY150" s="406"/>
      <c r="EZ150" s="406"/>
      <c r="FA150" s="406"/>
      <c r="FB150" s="406"/>
      <c r="FC150" s="406"/>
      <c r="FD150" s="406"/>
      <c r="FE150" s="406"/>
      <c r="FF150" s="406"/>
      <c r="FG150" s="406"/>
      <c r="FH150" s="406"/>
      <c r="FI150" s="406"/>
      <c r="FJ150" s="406"/>
      <c r="FK150" s="406"/>
      <c r="FL150" s="406"/>
      <c r="FM150" s="406"/>
      <c r="FN150" s="406"/>
      <c r="FO150" s="406"/>
      <c r="FP150" s="406"/>
      <c r="FQ150" s="406"/>
      <c r="FR150" s="406"/>
      <c r="FS150" s="406"/>
      <c r="FT150" s="406"/>
      <c r="FU150" s="406"/>
      <c r="FV150" s="406"/>
      <c r="FW150" s="406"/>
      <c r="FX150" s="406"/>
      <c r="FY150" s="406"/>
      <c r="FZ150" s="406"/>
      <c r="GA150" s="406"/>
      <c r="GB150" s="406"/>
      <c r="GC150" s="406"/>
      <c r="GD150" s="406"/>
      <c r="GE150" s="406"/>
      <c r="GF150" s="406"/>
      <c r="GG150" s="406"/>
      <c r="GH150" s="406"/>
      <c r="GI150" s="406"/>
      <c r="GJ150" s="406"/>
      <c r="GK150" s="406"/>
      <c r="GL150" s="406"/>
      <c r="GM150" s="406"/>
      <c r="GN150" s="406"/>
      <c r="GO150" s="406"/>
      <c r="GP150" s="406"/>
      <c r="GQ150" s="406"/>
      <c r="GR150" s="406"/>
      <c r="GS150" s="406"/>
      <c r="GT150" s="406"/>
      <c r="GU150" s="406"/>
      <c r="GV150" s="406"/>
      <c r="GW150" s="406"/>
      <c r="GX150" s="406"/>
      <c r="GY150" s="406"/>
      <c r="GZ150" s="406"/>
      <c r="HA150" s="406"/>
      <c r="HB150" s="406"/>
      <c r="HC150" s="406"/>
      <c r="HD150" s="406"/>
      <c r="HE150" s="406"/>
      <c r="HF150" s="406"/>
      <c r="HG150" s="406"/>
      <c r="HH150" s="406"/>
      <c r="HI150" s="406"/>
      <c r="HJ150" s="406"/>
      <c r="HK150" s="406"/>
      <c r="HL150" s="406"/>
      <c r="HM150" s="406"/>
      <c r="HN150" s="406"/>
      <c r="HO150" s="406"/>
      <c r="HP150" s="406"/>
      <c r="HQ150" s="406"/>
      <c r="HR150" s="406"/>
      <c r="HS150" s="406"/>
      <c r="HT150" s="406"/>
      <c r="HU150" s="406"/>
      <c r="HV150" s="406"/>
      <c r="HW150" s="406"/>
      <c r="HX150" s="406"/>
      <c r="HY150" s="406"/>
      <c r="HZ150" s="406"/>
      <c r="IA150" s="406"/>
      <c r="IB150" s="406"/>
      <c r="IC150" s="406"/>
      <c r="ID150" s="406"/>
      <c r="IE150" s="406"/>
      <c r="IF150" s="406"/>
      <c r="IG150" s="406"/>
      <c r="IH150" s="406"/>
      <c r="II150" s="406"/>
      <c r="IJ150" s="406"/>
      <c r="IK150" s="406"/>
      <c r="IL150" s="406"/>
      <c r="IM150" s="406"/>
      <c r="IN150" s="406"/>
      <c r="IO150" s="406"/>
      <c r="IP150" s="406"/>
      <c r="IQ150" s="406"/>
      <c r="IR150" s="406"/>
      <c r="IS150" s="406"/>
    </row>
    <row r="151" spans="1:253" s="406" customFormat="1" ht="17.25">
      <c r="A151" s="68"/>
      <c r="B151" s="55"/>
      <c r="C151" s="917"/>
      <c r="D151" s="5"/>
      <c r="E151" s="1294" t="s">
        <v>317</v>
      </c>
      <c r="F151" s="928">
        <f>IF(AND($G$2="No",$G$3="No"),SUM(K151:L151),IF(AND($G$2="Yes", $G$3="No"), SUM(K151:L151)+S151, IF(AND($G$2="No", $G$3="Yes"),SUM(K151:L151)+R151, SUM(K151:L151)+S151+R151)))</f>
        <v>0</v>
      </c>
      <c r="G151" s="877">
        <f>IF(AND($G$2="No",$G$3="No"),SUM(I151:Q151),IF(AND($G$2="Yes", $G$3="No"), SUM(I151:Q151)+S151, IF(AND($G$2="No", $G$3="Yes"),SUM(I151:Q151)+R151, SUM(I151:Q151)+S151+R151)))</f>
        <v>2.5444241225969617</v>
      </c>
      <c r="H151" s="878">
        <f>SUM(U151:W151)/(1-'Common input data'!$B$140)</f>
        <v>3.490182745670082</v>
      </c>
      <c r="I151" s="877">
        <f>('Input data plant-based products'!$F$110*('Common input data'!$C$93*'Common input data'!B86+'Common input data'!$C$94*'Common input data'!C86))/'Input data plant-based products'!$E$110</f>
        <v>1.8071938801535025E-2</v>
      </c>
      <c r="J151" s="877">
        <f>'Common input data'!$B$98</f>
        <v>0.03</v>
      </c>
      <c r="K151" s="877">
        <v>0</v>
      </c>
      <c r="L151" s="877">
        <v>0</v>
      </c>
      <c r="M151" s="877"/>
      <c r="N151" s="877">
        <v>0</v>
      </c>
      <c r="O151" s="877">
        <f>'Input data plant-based products'!N301/'Input data plant-based products'!E$110*'Common input data'!D$51</f>
        <v>2.4963521837954268</v>
      </c>
      <c r="P151" s="877">
        <v>0</v>
      </c>
      <c r="Q151" s="877">
        <v>0</v>
      </c>
      <c r="R151" s="877">
        <v>0</v>
      </c>
      <c r="S151" s="877">
        <v>0</v>
      </c>
      <c r="T151" s="877">
        <v>0</v>
      </c>
      <c r="U151" s="877">
        <f>G151+T151</f>
        <v>2.5444241225969617</v>
      </c>
      <c r="V151" s="877">
        <f>'Common input data'!B$103</f>
        <v>0.15</v>
      </c>
      <c r="W151" s="886">
        <f>'Common input data'!B119+'Common input data'!C119</f>
        <v>0.23000000000000004</v>
      </c>
      <c r="X151" s="877"/>
      <c r="Y151" s="879"/>
      <c r="Z151" s="877"/>
      <c r="AA151" s="877"/>
      <c r="AB151" s="877"/>
      <c r="AC151" s="877"/>
      <c r="AD151" s="886"/>
      <c r="AE151" s="877"/>
      <c r="AF151" s="879"/>
      <c r="AG151" s="877"/>
      <c r="AH151" s="877"/>
      <c r="AI151" s="877"/>
      <c r="AJ151" s="877"/>
      <c r="AK151" s="886"/>
      <c r="AL151" s="877"/>
      <c r="AM151" s="879"/>
      <c r="AN151" s="877"/>
      <c r="AO151" s="877"/>
      <c r="AP151" s="877"/>
      <c r="AQ151" s="877"/>
      <c r="AR151" s="886"/>
      <c r="AS151" s="877"/>
      <c r="AT151" s="879"/>
      <c r="AU151" s="877"/>
      <c r="AV151" s="877"/>
      <c r="AW151" s="877"/>
      <c r="AX151" s="877"/>
      <c r="AY151" s="886"/>
      <c r="AZ151" s="877"/>
      <c r="BA151" s="879"/>
      <c r="BB151" s="877"/>
      <c r="BC151" s="877"/>
      <c r="BD151" s="877"/>
      <c r="BE151" s="877"/>
      <c r="BF151" s="886"/>
      <c r="BG151" s="877"/>
      <c r="BH151" s="879"/>
      <c r="BI151" s="877"/>
      <c r="BJ151" s="877"/>
      <c r="BK151" s="877"/>
      <c r="BL151" s="877"/>
      <c r="BM151" s="886"/>
      <c r="BN151" s="877"/>
      <c r="BO151" s="879"/>
      <c r="BP151" s="877"/>
      <c r="BQ151" s="877"/>
      <c r="BR151" s="877"/>
      <c r="BS151" s="877"/>
      <c r="BT151" s="886"/>
      <c r="BU151" s="877"/>
      <c r="BV151" s="879"/>
      <c r="BW151" s="886"/>
    </row>
    <row r="152" spans="1:253" s="406" customFormat="1" ht="17.25">
      <c r="A152" s="18"/>
      <c r="B152" s="55"/>
      <c r="C152" s="595"/>
      <c r="D152" s="50"/>
      <c r="E152" s="1294" t="s">
        <v>367</v>
      </c>
      <c r="F152" s="928">
        <f>SUM(K152:L152)</f>
        <v>0</v>
      </c>
      <c r="G152" s="877">
        <f>SUM(I152:Q152)</f>
        <v>1.13037524663327E-2</v>
      </c>
      <c r="H152" s="878">
        <f>SUM(U152:W152)/(1-'Common input data'!$B$140)</f>
        <v>1.3490574610732426E-2</v>
      </c>
      <c r="I152" s="877">
        <f>('Input data plant-based products'!$F$110*('Common input data'!$C$93*'Common input data'!B87+'Common input data'!$C$94*'Common input data'!C87))/'Input data plant-based products'!$E$110</f>
        <v>3.315207465505152E-5</v>
      </c>
      <c r="J152" s="877">
        <v>0</v>
      </c>
      <c r="K152" s="877">
        <v>0</v>
      </c>
      <c r="L152" s="877">
        <v>0</v>
      </c>
      <c r="M152" s="877"/>
      <c r="N152" s="877">
        <v>0</v>
      </c>
      <c r="O152" s="877">
        <f>'Input data plant-based products'!O301/'Input data plant-based products'!E$110*'Common input data'!D$51</f>
        <v>1.1270600391677649E-2</v>
      </c>
      <c r="P152" s="877">
        <v>0</v>
      </c>
      <c r="Q152" s="877">
        <v>0</v>
      </c>
      <c r="R152" s="877">
        <v>0</v>
      </c>
      <c r="S152" s="877">
        <v>0</v>
      </c>
      <c r="T152" s="877">
        <v>0</v>
      </c>
      <c r="U152" s="877">
        <f>G152+T152</f>
        <v>1.13037524663327E-2</v>
      </c>
      <c r="V152" s="877">
        <v>0</v>
      </c>
      <c r="W152" s="886">
        <v>0</v>
      </c>
      <c r="X152" s="877"/>
      <c r="Y152" s="879"/>
      <c r="Z152" s="877"/>
      <c r="AA152" s="877"/>
      <c r="AB152" s="877"/>
      <c r="AC152" s="877"/>
      <c r="AD152" s="886"/>
      <c r="AE152" s="877"/>
      <c r="AF152" s="879"/>
      <c r="AG152" s="877"/>
      <c r="AH152" s="877"/>
      <c r="AI152" s="877"/>
      <c r="AJ152" s="877"/>
      <c r="AK152" s="886"/>
      <c r="AL152" s="877"/>
      <c r="AM152" s="879"/>
      <c r="AN152" s="877"/>
      <c r="AO152" s="877"/>
      <c r="AP152" s="877"/>
      <c r="AQ152" s="877"/>
      <c r="AR152" s="886"/>
      <c r="AS152" s="877"/>
      <c r="AT152" s="879"/>
      <c r="AU152" s="877"/>
      <c r="AV152" s="877"/>
      <c r="AW152" s="877"/>
      <c r="AX152" s="877"/>
      <c r="AY152" s="886"/>
      <c r="AZ152" s="877"/>
      <c r="BA152" s="879"/>
      <c r="BB152" s="877"/>
      <c r="BC152" s="877"/>
      <c r="BD152" s="877"/>
      <c r="BE152" s="877"/>
      <c r="BF152" s="886"/>
      <c r="BG152" s="877"/>
      <c r="BH152" s="879"/>
      <c r="BI152" s="877"/>
      <c r="BJ152" s="877"/>
      <c r="BK152" s="877"/>
      <c r="BL152" s="877"/>
      <c r="BM152" s="886"/>
      <c r="BN152" s="877"/>
      <c r="BO152" s="879"/>
      <c r="BP152" s="877"/>
      <c r="BQ152" s="877"/>
      <c r="BR152" s="877"/>
      <c r="BS152" s="877"/>
      <c r="BT152" s="886"/>
      <c r="BU152" s="877"/>
      <c r="BV152" s="879"/>
      <c r="BW152" s="886"/>
    </row>
    <row r="153" spans="1:253" s="406" customFormat="1" ht="17.25">
      <c r="A153" s="359"/>
      <c r="B153" s="360"/>
      <c r="C153" s="83"/>
      <c r="D153" s="54"/>
      <c r="E153" s="1295" t="s">
        <v>320</v>
      </c>
      <c r="F153" s="928">
        <f>SUM(K153:L153)</f>
        <v>7.542881783332844E-5</v>
      </c>
      <c r="G153" s="877">
        <f>SUM(I153:Q153)</f>
        <v>2.0277196201009545E-4</v>
      </c>
      <c r="H153" s="878">
        <f>SUM(U153:W153)/(1-'Common input data'!$B$140)</f>
        <v>2.4200019335254261E-4</v>
      </c>
      <c r="I153" s="877">
        <f>('Input data plant-based products'!$F$110*('Common input data'!$C$93*'Common input data'!B88+'Common input data'!$C$94*'Common input data'!C88))/'Input data plant-based products'!$E$110</f>
        <v>3.9707395143714581E-5</v>
      </c>
      <c r="J153" s="877">
        <v>0</v>
      </c>
      <c r="K153" s="877">
        <f>(SUM('Input data plant-based products'!F110:H110)*'Input data plant-based products'!$B$257*44/28)/'Input data plant-based products'!E110</f>
        <v>7.542881783332844E-5</v>
      </c>
      <c r="L153" s="877">
        <f>K153*'Input data plant-based products'!$B$261*(1-'Input data plant-based products'!$M$301)</f>
        <v>0</v>
      </c>
      <c r="M153" s="877"/>
      <c r="N153" s="877">
        <v>0</v>
      </c>
      <c r="O153" s="877">
        <f>'Input data plant-based products'!P301/'Input data plant-based products'!E$110*'Common input data'!D$51</f>
        <v>8.7635749033052431E-5</v>
      </c>
      <c r="P153" s="877">
        <v>0</v>
      </c>
      <c r="Q153" s="877">
        <v>0</v>
      </c>
      <c r="R153" s="877">
        <v>0</v>
      </c>
      <c r="S153" s="877">
        <v>0</v>
      </c>
      <c r="T153" s="877">
        <v>0</v>
      </c>
      <c r="U153" s="877">
        <f>G153+T153</f>
        <v>2.0277196201009545E-4</v>
      </c>
      <c r="V153" s="877">
        <v>0</v>
      </c>
      <c r="W153" s="886">
        <v>0</v>
      </c>
      <c r="X153" s="877"/>
      <c r="Y153" s="879"/>
      <c r="Z153" s="877"/>
      <c r="AA153" s="877"/>
      <c r="AB153" s="877"/>
      <c r="AC153" s="877"/>
      <c r="AD153" s="886"/>
      <c r="AE153" s="877"/>
      <c r="AF153" s="879"/>
      <c r="AG153" s="877"/>
      <c r="AH153" s="877"/>
      <c r="AI153" s="877"/>
      <c r="AJ153" s="877"/>
      <c r="AK153" s="886"/>
      <c r="AL153" s="877"/>
      <c r="AM153" s="879"/>
      <c r="AN153" s="877"/>
      <c r="AO153" s="877"/>
      <c r="AP153" s="877"/>
      <c r="AQ153" s="877"/>
      <c r="AR153" s="886"/>
      <c r="AS153" s="877"/>
      <c r="AT153" s="879"/>
      <c r="AU153" s="877"/>
      <c r="AV153" s="877"/>
      <c r="AW153" s="877"/>
      <c r="AX153" s="877"/>
      <c r="AY153" s="886"/>
      <c r="AZ153" s="877"/>
      <c r="BA153" s="879"/>
      <c r="BB153" s="877"/>
      <c r="BC153" s="877"/>
      <c r="BD153" s="877"/>
      <c r="BE153" s="877"/>
      <c r="BF153" s="886"/>
      <c r="BG153" s="877"/>
      <c r="BH153" s="879"/>
      <c r="BI153" s="877"/>
      <c r="BJ153" s="877"/>
      <c r="BK153" s="877"/>
      <c r="BL153" s="877"/>
      <c r="BM153" s="886"/>
      <c r="BN153" s="877"/>
      <c r="BO153" s="879"/>
      <c r="BP153" s="877"/>
      <c r="BQ153" s="877"/>
      <c r="BR153" s="877"/>
      <c r="BS153" s="877"/>
      <c r="BT153" s="886"/>
      <c r="BU153" s="877"/>
      <c r="BV153" s="879"/>
      <c r="BW153" s="886"/>
    </row>
    <row r="154" spans="1:253" s="502" customFormat="1" ht="17.25">
      <c r="A154" s="20" t="s">
        <v>125</v>
      </c>
      <c r="B154" s="93" t="s">
        <v>121</v>
      </c>
      <c r="C154" s="87">
        <f>'Input data plant-based products'!D111</f>
        <v>8.5000000000000006E-2</v>
      </c>
      <c r="D154" s="54"/>
      <c r="E154" s="1293" t="s">
        <v>316</v>
      </c>
      <c r="F154" s="930">
        <f>SUMPRODUCT($CI$4:$CI$6,F155:F157)</f>
        <v>-7.4415787832102939E-2</v>
      </c>
      <c r="G154" s="872">
        <f>SUMPRODUCT($CI$4:$CI$6,G155:G157)</f>
        <v>0.11534671665123059</v>
      </c>
      <c r="H154" s="873">
        <f>SUMPRODUCT($CI$4:$CI$6,H155:H157)</f>
        <v>0.59117641323693826</v>
      </c>
      <c r="I154" s="884"/>
      <c r="J154" s="884"/>
      <c r="K154" s="884"/>
      <c r="L154" s="884"/>
      <c r="M154" s="884"/>
      <c r="N154" s="884"/>
      <c r="O154" s="884"/>
      <c r="P154" s="884"/>
      <c r="Q154" s="884"/>
      <c r="R154" s="884"/>
      <c r="S154" s="884"/>
      <c r="T154" s="884"/>
      <c r="U154" s="884"/>
      <c r="V154" s="884"/>
      <c r="W154" s="885"/>
      <c r="X154" s="877"/>
      <c r="Y154" s="879">
        <f>1/'Input data plant-based products'!E111*10^4</f>
        <v>1.0738831615120275</v>
      </c>
      <c r="Z154" s="877">
        <f>$Y154*'Input data plant-based products'!Z111</f>
        <v>1.0738831615120275</v>
      </c>
      <c r="AA154" s="877">
        <f>$Y154*'Input data plant-based products'!AA111</f>
        <v>1.0738831615120275</v>
      </c>
      <c r="AB154" s="877">
        <f>$Y154*'Input data plant-based products'!AB111</f>
        <v>1.0738831615120275</v>
      </c>
      <c r="AC154" s="877">
        <f>$Y154*'Input data plant-based products'!AC111</f>
        <v>1.2816364261988631</v>
      </c>
      <c r="AD154" s="886">
        <f>$Y154*'Input data plant-based products'!AD111</f>
        <v>1.5822671928381025</v>
      </c>
      <c r="AE154" s="877"/>
      <c r="AF154" s="879">
        <f>SUM('Input data plant-based products'!F111,'Input data plant-based products'!Q111)/'Input data plant-based products'!E111</f>
        <v>3.5438144329896907E-3</v>
      </c>
      <c r="AG154" s="877">
        <f>$AF154*'Input data plant-based products'!Z111</f>
        <v>3.5438144329896907E-3</v>
      </c>
      <c r="AH154" s="877">
        <f>$AF154*'Input data plant-based products'!AA111</f>
        <v>3.5438144329896907E-3</v>
      </c>
      <c r="AI154" s="877">
        <f>$AF154*'Input data plant-based products'!AB111</f>
        <v>3.5438144329896907E-3</v>
      </c>
      <c r="AJ154" s="877">
        <f>$AF154*'Input data plant-based products'!AC111</f>
        <v>4.2294002064562483E-3</v>
      </c>
      <c r="AK154" s="886">
        <f>$AF154*'Input data plant-based products'!AD111</f>
        <v>5.2214817363657384E-3</v>
      </c>
      <c r="AL154" s="877"/>
      <c r="AM154" s="879">
        <f>'Input data plant-based products'!R111/'Input data plant-based products'!E111</f>
        <v>2.0818505338078292E-3</v>
      </c>
      <c r="AN154" s="877">
        <f>$AM154*'Input data plant-based products'!Z111</f>
        <v>2.0818505338078292E-3</v>
      </c>
      <c r="AO154" s="877">
        <f>$AM154*'Input data plant-based products'!AA111</f>
        <v>2.0818505338078292E-3</v>
      </c>
      <c r="AP154" s="877">
        <f>$AM154*'Input data plant-based products'!AB111</f>
        <v>2.0818505338078292E-3</v>
      </c>
      <c r="AQ154" s="877">
        <f>$AM154*'Input data plant-based products'!AC111</f>
        <v>2.4846050051412212E-3</v>
      </c>
      <c r="AR154" s="886">
        <f>$AM154*'Input data plant-based products'!AD111</f>
        <v>3.0674135865940999E-3</v>
      </c>
      <c r="AS154" s="877"/>
      <c r="AT154" s="879">
        <f>'Input data plant-based products'!S111</f>
        <v>5.5500000000000001E-2</v>
      </c>
      <c r="AU154" s="877">
        <f>$AT154*'Input data plant-based products'!Z111</f>
        <v>5.5500000000000001E-2</v>
      </c>
      <c r="AV154" s="877">
        <f>$AT154*'Input data plant-based products'!AA111</f>
        <v>5.5500000000000001E-2</v>
      </c>
      <c r="AW154" s="877">
        <f>$AT154*'Input data plant-based products'!AB111</f>
        <v>5.5500000000000001E-2</v>
      </c>
      <c r="AX154" s="877">
        <f>$AT154*'Input data plant-based products'!AC111</f>
        <v>6.6237021124239168E-2</v>
      </c>
      <c r="AY154" s="886">
        <f>$AT154*'Input data plant-based products'!AD111</f>
        <v>8.1774100153381685E-2</v>
      </c>
      <c r="AZ154" s="877"/>
      <c r="BA154" s="879">
        <f>((SUM('Input data plant-based products'!U111:Y111)*Y154)/('Common input data'!$B$192/10^6))/$BB$3</f>
        <v>1.5857782418898392E-11</v>
      </c>
      <c r="BB154" s="877">
        <f>$BA154*'Input data plant-based products'!Z111</f>
        <v>1.5857782418898392E-11</v>
      </c>
      <c r="BC154" s="877">
        <f>$BA154*'Input data plant-based products'!AA111</f>
        <v>1.5857782418898392E-11</v>
      </c>
      <c r="BD154" s="877">
        <f>$BA154*'Input data plant-based products'!AB111</f>
        <v>1.5857782418898392E-11</v>
      </c>
      <c r="BE154" s="877">
        <f>$BA154*'Input data plant-based products'!AC111</f>
        <v>1.8925626469624527E-11</v>
      </c>
      <c r="BF154" s="886">
        <f>$BA154*'Input data plant-based products'!AD111</f>
        <v>2.3364970950153735E-11</v>
      </c>
      <c r="BG154" s="877"/>
      <c r="BH154" s="879">
        <f>'Input data plant-based products'!T111/'Input data plant-based products'!E111</f>
        <v>7.8178694158075599E-4</v>
      </c>
      <c r="BI154" s="877">
        <f>$BH154*'Input data plant-based products'!Z111</f>
        <v>7.8178694158075599E-4</v>
      </c>
      <c r="BJ154" s="877">
        <f>$BH154*'Input data plant-based products'!AA111</f>
        <v>7.8178694158075599E-4</v>
      </c>
      <c r="BK154" s="877">
        <f>$BH154*'Input data plant-based products'!AB111</f>
        <v>7.8178694158075599E-4</v>
      </c>
      <c r="BL154" s="877">
        <f>$BH154*'Input data plant-based products'!AC111</f>
        <v>9.3303131827277236E-4</v>
      </c>
      <c r="BM154" s="886">
        <f>$BH154*'Input data plant-based products'!AD111</f>
        <v>1.1518905163861385E-3</v>
      </c>
      <c r="BN154" s="877"/>
      <c r="BO154" s="879">
        <f>('Input data plant-based products'!F111/'Input data plant-based products'!E111*'Common input data'!$B$195+'Input data plant-based products'!G111/'Input data plant-based products'!E111*'Common input data'!$B$196)/'Common input data'!$B$198</f>
        <v>9.0486812006367948E-5</v>
      </c>
      <c r="BP154" s="877">
        <f>$BO154*'Input data plant-based products'!Z111</f>
        <v>9.0486812006367948E-5</v>
      </c>
      <c r="BQ154" s="877">
        <f>$BO154*'Input data plant-based products'!AA111</f>
        <v>9.0486812006367948E-5</v>
      </c>
      <c r="BR154" s="877">
        <f>$BO154*'Input data plant-based products'!AB111</f>
        <v>9.0486812006367948E-5</v>
      </c>
      <c r="BS154" s="877">
        <f>$BO154*'Input data plant-based products'!AC111</f>
        <v>1.0799237618614147E-4</v>
      </c>
      <c r="BT154" s="886">
        <f>$BO154*'Input data plant-based products'!AD111</f>
        <v>1.333239212174586E-4</v>
      </c>
      <c r="BU154" s="877"/>
      <c r="BV154" s="879">
        <f>('Common input data'!$C$202+'Common input data'!$B$214)*'Input data plant-based products'!AC111</f>
        <v>1.1339857580459085</v>
      </c>
      <c r="BW154" s="886">
        <f>('Common input data'!$C$202+'Common input data'!$B$214)*'Input data plant-based products'!AD111</f>
        <v>1.3999824173406277</v>
      </c>
      <c r="BX154" s="406"/>
      <c r="BY154" s="406"/>
      <c r="BZ154" s="406"/>
      <c r="CA154" s="406"/>
      <c r="CB154" s="406"/>
      <c r="CC154" s="406"/>
      <c r="CD154" s="406"/>
      <c r="CE154" s="406"/>
      <c r="CF154" s="406"/>
      <c r="CG154" s="406"/>
      <c r="CH154" s="406"/>
      <c r="CI154" s="406"/>
      <c r="CJ154" s="406"/>
      <c r="CK154" s="406"/>
      <c r="CL154" s="406"/>
      <c r="CM154" s="406"/>
      <c r="CN154" s="406"/>
      <c r="CO154" s="406"/>
      <c r="CP154" s="406"/>
      <c r="CQ154" s="406"/>
      <c r="CR154" s="406"/>
      <c r="CS154" s="406"/>
      <c r="CT154" s="406"/>
      <c r="CU154" s="406"/>
      <c r="CV154" s="406"/>
      <c r="CW154" s="406"/>
      <c r="CX154" s="406"/>
      <c r="CY154" s="406"/>
      <c r="CZ154" s="406"/>
      <c r="DA154" s="406"/>
      <c r="DB154" s="406"/>
      <c r="DC154" s="406"/>
      <c r="DD154" s="406"/>
      <c r="DE154" s="406"/>
      <c r="DF154" s="406"/>
      <c r="DG154" s="406"/>
      <c r="DH154" s="406"/>
      <c r="DI154" s="406"/>
      <c r="DJ154" s="406"/>
      <c r="DK154" s="406"/>
      <c r="DL154" s="406"/>
      <c r="DM154" s="406"/>
      <c r="DN154" s="406"/>
      <c r="DO154" s="406"/>
      <c r="DP154" s="406"/>
      <c r="DQ154" s="406"/>
      <c r="DR154" s="406"/>
      <c r="DS154" s="406"/>
      <c r="DT154" s="406"/>
      <c r="DU154" s="406"/>
      <c r="DV154" s="406"/>
      <c r="DW154" s="406"/>
      <c r="DX154" s="406"/>
      <c r="DY154" s="406"/>
      <c r="DZ154" s="406"/>
      <c r="EA154" s="406"/>
      <c r="EB154" s="406"/>
      <c r="EC154" s="406"/>
      <c r="ED154" s="406"/>
      <c r="EE154" s="406"/>
      <c r="EF154" s="406"/>
      <c r="EG154" s="406"/>
      <c r="EH154" s="406"/>
      <c r="EI154" s="406"/>
      <c r="EJ154" s="406"/>
      <c r="EK154" s="406"/>
      <c r="EL154" s="406"/>
      <c r="EM154" s="406"/>
      <c r="EN154" s="406"/>
      <c r="EO154" s="406"/>
      <c r="EP154" s="406"/>
      <c r="EQ154" s="406"/>
      <c r="ER154" s="406"/>
      <c r="ES154" s="406"/>
      <c r="ET154" s="406"/>
      <c r="EU154" s="406"/>
      <c r="EV154" s="406"/>
      <c r="EW154" s="406"/>
      <c r="EX154" s="406"/>
      <c r="EY154" s="406"/>
      <c r="EZ154" s="406"/>
      <c r="FA154" s="406"/>
      <c r="FB154" s="406"/>
      <c r="FC154" s="406"/>
      <c r="FD154" s="406"/>
      <c r="FE154" s="406"/>
      <c r="FF154" s="406"/>
      <c r="FG154" s="406"/>
      <c r="FH154" s="406"/>
      <c r="FI154" s="406"/>
      <c r="FJ154" s="406"/>
      <c r="FK154" s="406"/>
      <c r="FL154" s="406"/>
      <c r="FM154" s="406"/>
      <c r="FN154" s="406"/>
      <c r="FO154" s="406"/>
      <c r="FP154" s="406"/>
      <c r="FQ154" s="406"/>
      <c r="FR154" s="406"/>
      <c r="FS154" s="406"/>
      <c r="FT154" s="406"/>
      <c r="FU154" s="406"/>
      <c r="FV154" s="406"/>
      <c r="FW154" s="406"/>
      <c r="FX154" s="406"/>
      <c r="FY154" s="406"/>
      <c r="FZ154" s="406"/>
      <c r="GA154" s="406"/>
      <c r="GB154" s="406"/>
      <c r="GC154" s="406"/>
      <c r="GD154" s="406"/>
      <c r="GE154" s="406"/>
      <c r="GF154" s="406"/>
      <c r="GG154" s="406"/>
      <c r="GH154" s="406"/>
      <c r="GI154" s="406"/>
      <c r="GJ154" s="406"/>
      <c r="GK154" s="406"/>
      <c r="GL154" s="406"/>
      <c r="GM154" s="406"/>
      <c r="GN154" s="406"/>
      <c r="GO154" s="406"/>
      <c r="GP154" s="406"/>
      <c r="GQ154" s="406"/>
      <c r="GR154" s="406"/>
      <c r="GS154" s="406"/>
      <c r="GT154" s="406"/>
      <c r="GU154" s="406"/>
      <c r="GV154" s="406"/>
      <c r="GW154" s="406"/>
      <c r="GX154" s="406"/>
      <c r="GY154" s="406"/>
      <c r="GZ154" s="406"/>
      <c r="HA154" s="406"/>
      <c r="HB154" s="406"/>
      <c r="HC154" s="406"/>
      <c r="HD154" s="406"/>
      <c r="HE154" s="406"/>
      <c r="HF154" s="406"/>
      <c r="HG154" s="406"/>
      <c r="HH154" s="406"/>
      <c r="HI154" s="406"/>
      <c r="HJ154" s="406"/>
      <c r="HK154" s="406"/>
      <c r="HL154" s="406"/>
      <c r="HM154" s="406"/>
      <c r="HN154" s="406"/>
      <c r="HO154" s="406"/>
      <c r="HP154" s="406"/>
      <c r="HQ154" s="406"/>
      <c r="HR154" s="406"/>
      <c r="HS154" s="406"/>
      <c r="HT154" s="406"/>
      <c r="HU154" s="406"/>
      <c r="HV154" s="406"/>
      <c r="HW154" s="406"/>
      <c r="HX154" s="406"/>
      <c r="HY154" s="406"/>
      <c r="HZ154" s="406"/>
      <c r="IA154" s="406"/>
      <c r="IB154" s="406"/>
      <c r="IC154" s="406"/>
      <c r="ID154" s="406"/>
      <c r="IE154" s="406"/>
      <c r="IF154" s="406"/>
      <c r="IG154" s="406"/>
      <c r="IH154" s="406"/>
      <c r="II154" s="406"/>
      <c r="IJ154" s="406"/>
      <c r="IK154" s="406"/>
      <c r="IL154" s="406"/>
      <c r="IM154" s="406"/>
      <c r="IN154" s="406"/>
      <c r="IO154" s="406"/>
      <c r="IP154" s="406"/>
      <c r="IQ154" s="406"/>
      <c r="IR154" s="406"/>
      <c r="IS154" s="406"/>
    </row>
    <row r="155" spans="1:253" s="406" customFormat="1" ht="17.25">
      <c r="A155" s="68"/>
      <c r="B155" s="55"/>
      <c r="C155" s="917"/>
      <c r="D155" s="5"/>
      <c r="E155" s="1294" t="s">
        <v>317</v>
      </c>
      <c r="F155" s="928">
        <f>IF(AND($G$2="No",$G$3="No"),SUM(K155:L155),IF(AND($G$2="Yes", $G$3="No"), SUM(K155:L155)+S155, IF(AND($G$2="No", $G$3="Yes"),SUM(K155:L155)+R155, SUM(K155:L155)+S155+R155)))</f>
        <v>-9.1139048141381296E-2</v>
      </c>
      <c r="G155" s="877">
        <f>IF(AND($G$2="No",$G$3="No"),SUM(I155:Q155),IF(AND($G$2="Yes", $G$3="No"), SUM(I155:Q155)+S155, IF(AND($G$2="No", $G$3="Yes"),SUM(I155:Q155)+R155, SUM(I155:Q155)+S155+R155)))</f>
        <v>8.8298169791223735E-2</v>
      </c>
      <c r="H155" s="878">
        <f>SUM(U155:W155)/(1-'Common input data'!$B$140)</f>
        <v>0.558895058827096</v>
      </c>
      <c r="I155" s="877">
        <f>('Input data plant-based products'!$F$111*('Common input data'!$C$93*'Common input data'!B86+'Common input data'!$C$94*'Common input data'!C86))/'Input data plant-based products'!$E$111</f>
        <v>1.3342372571780274E-2</v>
      </c>
      <c r="J155" s="877">
        <f>'Common input data'!$B$98</f>
        <v>0.03</v>
      </c>
      <c r="K155" s="877">
        <v>0</v>
      </c>
      <c r="L155" s="877">
        <v>0</v>
      </c>
      <c r="M155" s="877"/>
      <c r="N155" s="877">
        <f>('Input data plant-based products'!$P$111*'Common input data'!$C$76*'Common input data'!H66)/'Input data plant-based products'!$E$111</f>
        <v>8.6094845360824734E-2</v>
      </c>
      <c r="O155" s="877">
        <v>0</v>
      </c>
      <c r="P155" s="877">
        <f>'Input data plant-based products'!F$309</f>
        <v>0.05</v>
      </c>
      <c r="Q155" s="877">
        <v>0</v>
      </c>
      <c r="R155" s="877">
        <f>'Common input data'!$F$19</f>
        <v>-9.1139048141381296E-2</v>
      </c>
      <c r="S155" s="877">
        <v>0</v>
      </c>
      <c r="T155" s="877">
        <v>0</v>
      </c>
      <c r="U155" s="877">
        <f>G155+T155</f>
        <v>8.8298169791223735E-2</v>
      </c>
      <c r="V155" s="877">
        <f>'Common input data'!B$103</f>
        <v>0.15</v>
      </c>
      <c r="W155" s="886">
        <f>'Common input data'!B119+'Common input data'!C119</f>
        <v>0.23000000000000004</v>
      </c>
      <c r="X155" s="877"/>
      <c r="Y155" s="879"/>
      <c r="Z155" s="877"/>
      <c r="AA155" s="877"/>
      <c r="AB155" s="877"/>
      <c r="AC155" s="877"/>
      <c r="AD155" s="886"/>
      <c r="AE155" s="877"/>
      <c r="AF155" s="879"/>
      <c r="AG155" s="877"/>
      <c r="AH155" s="877"/>
      <c r="AI155" s="877"/>
      <c r="AJ155" s="877"/>
      <c r="AK155" s="886"/>
      <c r="AL155" s="877"/>
      <c r="AM155" s="879"/>
      <c r="AN155" s="877"/>
      <c r="AO155" s="877"/>
      <c r="AP155" s="877"/>
      <c r="AQ155" s="877"/>
      <c r="AR155" s="886"/>
      <c r="AS155" s="877"/>
      <c r="AT155" s="879"/>
      <c r="AU155" s="877"/>
      <c r="AV155" s="877"/>
      <c r="AW155" s="877"/>
      <c r="AX155" s="877"/>
      <c r="AY155" s="886"/>
      <c r="AZ155" s="877"/>
      <c r="BA155" s="879"/>
      <c r="BB155" s="877"/>
      <c r="BC155" s="877"/>
      <c r="BD155" s="877"/>
      <c r="BE155" s="877"/>
      <c r="BF155" s="886"/>
      <c r="BG155" s="877"/>
      <c r="BH155" s="879"/>
      <c r="BI155" s="877"/>
      <c r="BJ155" s="877"/>
      <c r="BK155" s="877"/>
      <c r="BL155" s="877"/>
      <c r="BM155" s="886"/>
      <c r="BN155" s="877"/>
      <c r="BO155" s="879"/>
      <c r="BP155" s="877"/>
      <c r="BQ155" s="877"/>
      <c r="BR155" s="877"/>
      <c r="BS155" s="877"/>
      <c r="BT155" s="886"/>
      <c r="BU155" s="877"/>
      <c r="BV155" s="879"/>
      <c r="BW155" s="886"/>
    </row>
    <row r="156" spans="1:253" s="406" customFormat="1" ht="17.25">
      <c r="A156" s="18"/>
      <c r="B156" s="55"/>
      <c r="C156" s="595"/>
      <c r="D156" s="50"/>
      <c r="E156" s="1294" t="s">
        <v>367</v>
      </c>
      <c r="F156" s="928">
        <f>SUM(K156:L156)</f>
        <v>0</v>
      </c>
      <c r="G156" s="877">
        <f>SUM(I156:Q156)</f>
        <v>6.2613033580454693E-5</v>
      </c>
      <c r="H156" s="878">
        <f>SUM(U156:W156)/(1-'Common input data'!$B$140)</f>
        <v>7.4726141043626555E-5</v>
      </c>
      <c r="I156" s="877">
        <f>('Input data plant-based products'!$F$111*('Common input data'!$C$93*'Common input data'!B87+'Common input data'!$C$94*'Common input data'!C87))/'Input data plant-based products'!$E$111</f>
        <v>2.4475920178392828E-5</v>
      </c>
      <c r="J156" s="877">
        <v>0</v>
      </c>
      <c r="K156" s="877">
        <v>0</v>
      </c>
      <c r="L156" s="877">
        <v>0</v>
      </c>
      <c r="M156" s="877"/>
      <c r="N156" s="877">
        <f>('Input data plant-based products'!$P$111*'Common input data'!$C$76*'Common input data'!H67)/'Input data plant-based products'!$E$111</f>
        <v>3.8137113402061861E-5</v>
      </c>
      <c r="O156" s="877">
        <v>0</v>
      </c>
      <c r="P156" s="877">
        <v>0</v>
      </c>
      <c r="Q156" s="877">
        <v>0</v>
      </c>
      <c r="R156" s="877">
        <v>0</v>
      </c>
      <c r="S156" s="877">
        <v>0</v>
      </c>
      <c r="T156" s="877">
        <v>0</v>
      </c>
      <c r="U156" s="877">
        <f>G156+T156</f>
        <v>6.2613033580454693E-5</v>
      </c>
      <c r="V156" s="877">
        <v>0</v>
      </c>
      <c r="W156" s="886">
        <v>0</v>
      </c>
      <c r="X156" s="877"/>
      <c r="Y156" s="879"/>
      <c r="Z156" s="877"/>
      <c r="AA156" s="877"/>
      <c r="AB156" s="877"/>
      <c r="AC156" s="877"/>
      <c r="AD156" s="886"/>
      <c r="AE156" s="877"/>
      <c r="AF156" s="879"/>
      <c r="AG156" s="877"/>
      <c r="AH156" s="877"/>
      <c r="AI156" s="877"/>
      <c r="AJ156" s="877"/>
      <c r="AK156" s="886"/>
      <c r="AL156" s="877"/>
      <c r="AM156" s="879"/>
      <c r="AN156" s="877"/>
      <c r="AO156" s="877"/>
      <c r="AP156" s="877"/>
      <c r="AQ156" s="877"/>
      <c r="AR156" s="886"/>
      <c r="AS156" s="877"/>
      <c r="AT156" s="879"/>
      <c r="AU156" s="877"/>
      <c r="AV156" s="877"/>
      <c r="AW156" s="877"/>
      <c r="AX156" s="877"/>
      <c r="AY156" s="886"/>
      <c r="AZ156" s="877"/>
      <c r="BA156" s="879"/>
      <c r="BB156" s="877"/>
      <c r="BC156" s="877"/>
      <c r="BD156" s="877"/>
      <c r="BE156" s="877"/>
      <c r="BF156" s="886"/>
      <c r="BG156" s="877"/>
      <c r="BH156" s="879"/>
      <c r="BI156" s="877"/>
      <c r="BJ156" s="877"/>
      <c r="BK156" s="877"/>
      <c r="BL156" s="877"/>
      <c r="BM156" s="886"/>
      <c r="BN156" s="877"/>
      <c r="BO156" s="879"/>
      <c r="BP156" s="877"/>
      <c r="BQ156" s="877"/>
      <c r="BR156" s="877"/>
      <c r="BS156" s="877"/>
      <c r="BT156" s="886"/>
      <c r="BU156" s="877"/>
      <c r="BV156" s="879"/>
      <c r="BW156" s="886"/>
    </row>
    <row r="157" spans="1:253" s="406" customFormat="1" ht="17.25">
      <c r="A157" s="359"/>
      <c r="B157" s="360"/>
      <c r="C157" s="83"/>
      <c r="D157" s="54"/>
      <c r="E157" s="1295" t="s">
        <v>320</v>
      </c>
      <c r="F157" s="932">
        <f>SUM(K157:L157)</f>
        <v>6.1257363770250372E-5</v>
      </c>
      <c r="G157" s="896">
        <f>SUM(I157:Q157)</f>
        <v>9.2886428400492914E-5</v>
      </c>
      <c r="H157" s="933">
        <f>SUM(U157:W157)/(1-'Common input data'!$B$140)</f>
        <v>1.1085622198411853E-4</v>
      </c>
      <c r="I157" s="877">
        <f>('Input data plant-based products'!$F$111*('Common input data'!$C$93*'Common input data'!B88+'Common input data'!$C$94*'Common input data'!C88))/'Input data plant-based products'!$E$111</f>
        <v>2.9315662568386877E-5</v>
      </c>
      <c r="J157" s="877">
        <v>0</v>
      </c>
      <c r="K157" s="877">
        <f>(SUM('Input data plant-based products'!F111:H111)*'Input data plant-based products'!$B$257*44/28)/'Input data plant-based products'!E111</f>
        <v>5.5688512518409426E-5</v>
      </c>
      <c r="L157" s="877">
        <f>K157*'Input data plant-based products'!$B$261</f>
        <v>5.5688512518409432E-6</v>
      </c>
      <c r="M157" s="877"/>
      <c r="N157" s="877">
        <f>('Input data plant-based products'!$P$111*'Common input data'!$C$76*'Common input data'!H68)/'Input data plant-based products'!$E$111</f>
        <v>2.3134020618556701E-6</v>
      </c>
      <c r="O157" s="877">
        <v>0</v>
      </c>
      <c r="P157" s="877">
        <v>0</v>
      </c>
      <c r="Q157" s="877">
        <v>0</v>
      </c>
      <c r="R157" s="877">
        <v>0</v>
      </c>
      <c r="S157" s="877">
        <v>0</v>
      </c>
      <c r="T157" s="877">
        <v>0</v>
      </c>
      <c r="U157" s="877">
        <f>G157+T157</f>
        <v>9.2886428400492914E-5</v>
      </c>
      <c r="V157" s="877">
        <v>0</v>
      </c>
      <c r="W157" s="886">
        <v>0</v>
      </c>
      <c r="X157" s="877"/>
      <c r="Y157" s="879"/>
      <c r="Z157" s="877"/>
      <c r="AA157" s="877"/>
      <c r="AB157" s="877"/>
      <c r="AC157" s="877"/>
      <c r="AD157" s="886"/>
      <c r="AE157" s="877"/>
      <c r="AF157" s="879"/>
      <c r="AG157" s="877"/>
      <c r="AH157" s="877"/>
      <c r="AI157" s="877"/>
      <c r="AJ157" s="877"/>
      <c r="AK157" s="886"/>
      <c r="AL157" s="877"/>
      <c r="AM157" s="879"/>
      <c r="AN157" s="877"/>
      <c r="AO157" s="877"/>
      <c r="AP157" s="877"/>
      <c r="AQ157" s="877"/>
      <c r="AR157" s="886"/>
      <c r="AS157" s="877"/>
      <c r="AT157" s="879"/>
      <c r="AU157" s="877"/>
      <c r="AV157" s="877"/>
      <c r="AW157" s="877"/>
      <c r="AX157" s="877"/>
      <c r="AY157" s="886"/>
      <c r="AZ157" s="877"/>
      <c r="BA157" s="879"/>
      <c r="BB157" s="877"/>
      <c r="BC157" s="877"/>
      <c r="BD157" s="877"/>
      <c r="BE157" s="877"/>
      <c r="BF157" s="886"/>
      <c r="BG157" s="877"/>
      <c r="BH157" s="879"/>
      <c r="BI157" s="877"/>
      <c r="BJ157" s="877"/>
      <c r="BK157" s="877"/>
      <c r="BL157" s="877"/>
      <c r="BM157" s="886"/>
      <c r="BN157" s="877"/>
      <c r="BO157" s="879"/>
      <c r="BP157" s="877"/>
      <c r="BQ157" s="877"/>
      <c r="BR157" s="877"/>
      <c r="BS157" s="877"/>
      <c r="BT157" s="886"/>
      <c r="BU157" s="877"/>
      <c r="BV157" s="879"/>
      <c r="BW157" s="886"/>
    </row>
    <row r="158" spans="1:253" s="503" customFormat="1" ht="17.25">
      <c r="A158" s="362" t="s">
        <v>520</v>
      </c>
      <c r="B158" s="363"/>
      <c r="C158" s="770"/>
      <c r="D158" s="54"/>
      <c r="E158" s="1296"/>
      <c r="F158" s="925" t="s">
        <v>521</v>
      </c>
      <c r="G158" s="1290" t="s">
        <v>521</v>
      </c>
      <c r="H158" s="870" t="s">
        <v>521</v>
      </c>
      <c r="I158" s="889"/>
      <c r="J158" s="889"/>
      <c r="K158" s="889"/>
      <c r="L158" s="889"/>
      <c r="M158" s="889"/>
      <c r="N158" s="889"/>
      <c r="O158" s="1305"/>
      <c r="P158" s="889"/>
      <c r="Q158" s="889"/>
      <c r="R158" s="889"/>
      <c r="S158" s="889"/>
      <c r="T158" s="889"/>
      <c r="U158" s="889"/>
      <c r="V158" s="889"/>
      <c r="W158" s="960"/>
      <c r="X158" s="877"/>
      <c r="Y158" s="879"/>
      <c r="Z158" s="877"/>
      <c r="AA158" s="877"/>
      <c r="AB158" s="877"/>
      <c r="AC158" s="877"/>
      <c r="AD158" s="886"/>
      <c r="AE158" s="877"/>
      <c r="AF158" s="879"/>
      <c r="AG158" s="877"/>
      <c r="AH158" s="877"/>
      <c r="AI158" s="877"/>
      <c r="AJ158" s="877"/>
      <c r="AK158" s="886"/>
      <c r="AL158" s="877"/>
      <c r="AM158" s="879"/>
      <c r="AN158" s="877"/>
      <c r="AO158" s="877"/>
      <c r="AP158" s="877"/>
      <c r="AQ158" s="877"/>
      <c r="AR158" s="886"/>
      <c r="AS158" s="877"/>
      <c r="AT158" s="879"/>
      <c r="AU158" s="877"/>
      <c r="AV158" s="877"/>
      <c r="AW158" s="877"/>
      <c r="AX158" s="877"/>
      <c r="AY158" s="886"/>
      <c r="AZ158" s="877"/>
      <c r="BA158" s="879"/>
      <c r="BB158" s="877"/>
      <c r="BC158" s="877"/>
      <c r="BD158" s="877"/>
      <c r="BE158" s="877"/>
      <c r="BF158" s="886"/>
      <c r="BG158" s="877"/>
      <c r="BH158" s="879"/>
      <c r="BI158" s="877"/>
      <c r="BJ158" s="877"/>
      <c r="BK158" s="877"/>
      <c r="BL158" s="877"/>
      <c r="BM158" s="886"/>
      <c r="BN158" s="877"/>
      <c r="BO158" s="879"/>
      <c r="BP158" s="877"/>
      <c r="BQ158" s="877"/>
      <c r="BR158" s="877"/>
      <c r="BS158" s="877"/>
      <c r="BT158" s="886"/>
      <c r="BU158" s="877"/>
      <c r="BV158" s="879"/>
      <c r="BW158" s="886"/>
      <c r="BX158" s="406"/>
      <c r="BY158" s="406"/>
      <c r="BZ158" s="406"/>
      <c r="CA158" s="406"/>
      <c r="CB158" s="406"/>
      <c r="CC158" s="406"/>
      <c r="CD158" s="406"/>
      <c r="CE158" s="406"/>
      <c r="CF158" s="406"/>
      <c r="CG158" s="406"/>
      <c r="CH158" s="406"/>
      <c r="CI158" s="406"/>
      <c r="CJ158" s="406"/>
      <c r="CK158" s="406"/>
      <c r="CL158" s="406"/>
      <c r="CM158" s="406"/>
      <c r="CN158" s="406"/>
      <c r="CO158" s="406"/>
      <c r="CP158" s="406"/>
      <c r="CQ158" s="406"/>
      <c r="CR158" s="406"/>
      <c r="CS158" s="406"/>
      <c r="CT158" s="406"/>
      <c r="CU158" s="406"/>
      <c r="CV158" s="406"/>
      <c r="CW158" s="406"/>
      <c r="CX158" s="406"/>
      <c r="CY158" s="406"/>
      <c r="CZ158" s="406"/>
      <c r="DA158" s="406"/>
      <c r="DB158" s="406"/>
      <c r="DC158" s="406"/>
      <c r="DD158" s="406"/>
      <c r="DE158" s="406"/>
      <c r="DF158" s="406"/>
      <c r="DG158" s="406"/>
      <c r="DH158" s="406"/>
      <c r="DI158" s="406"/>
      <c r="DJ158" s="406"/>
      <c r="DK158" s="406"/>
      <c r="DL158" s="406"/>
      <c r="DM158" s="406"/>
      <c r="DN158" s="406"/>
      <c r="DO158" s="406"/>
      <c r="DP158" s="406"/>
      <c r="DQ158" s="406"/>
      <c r="DR158" s="406"/>
      <c r="DS158" s="406"/>
      <c r="DT158" s="406"/>
      <c r="DU158" s="406"/>
      <c r="DV158" s="406"/>
      <c r="DW158" s="406"/>
      <c r="DX158" s="406"/>
      <c r="DY158" s="406"/>
      <c r="DZ158" s="406"/>
      <c r="EA158" s="406"/>
      <c r="EB158" s="406"/>
      <c r="EC158" s="406"/>
      <c r="ED158" s="406"/>
      <c r="EE158" s="406"/>
      <c r="EF158" s="406"/>
      <c r="EG158" s="406"/>
      <c r="EH158" s="406"/>
      <c r="EI158" s="406"/>
      <c r="EJ158" s="406"/>
      <c r="EK158" s="406"/>
      <c r="EL158" s="406"/>
      <c r="EM158" s="406"/>
      <c r="EN158" s="406"/>
      <c r="EO158" s="406"/>
      <c r="EP158" s="406"/>
      <c r="EQ158" s="406"/>
      <c r="ER158" s="406"/>
      <c r="ES158" s="406"/>
      <c r="ET158" s="406"/>
      <c r="EU158" s="406"/>
      <c r="EV158" s="406"/>
      <c r="EW158" s="406"/>
      <c r="EX158" s="406"/>
      <c r="EY158" s="406"/>
      <c r="EZ158" s="406"/>
      <c r="FA158" s="406"/>
      <c r="FB158" s="406"/>
      <c r="FC158" s="406"/>
      <c r="FD158" s="406"/>
      <c r="FE158" s="406"/>
      <c r="FF158" s="406"/>
      <c r="FG158" s="406"/>
      <c r="FH158" s="406"/>
      <c r="FI158" s="406"/>
      <c r="FJ158" s="406"/>
      <c r="FK158" s="406"/>
      <c r="FL158" s="406"/>
      <c r="FM158" s="406"/>
      <c r="FN158" s="406"/>
      <c r="FO158" s="406"/>
      <c r="FP158" s="406"/>
      <c r="FQ158" s="406"/>
      <c r="FR158" s="406"/>
      <c r="FS158" s="406"/>
      <c r="FT158" s="406"/>
      <c r="FU158" s="406"/>
      <c r="FV158" s="406"/>
      <c r="FW158" s="406"/>
      <c r="FX158" s="406"/>
      <c r="FY158" s="406"/>
      <c r="FZ158" s="406"/>
      <c r="GA158" s="406"/>
      <c r="GB158" s="406"/>
      <c r="GC158" s="406"/>
      <c r="GD158" s="406"/>
      <c r="GE158" s="406"/>
      <c r="GF158" s="406"/>
      <c r="GG158" s="406"/>
      <c r="GH158" s="406"/>
      <c r="GI158" s="406"/>
      <c r="GJ158" s="406"/>
      <c r="GK158" s="406"/>
      <c r="GL158" s="406"/>
      <c r="GM158" s="406"/>
      <c r="GN158" s="406"/>
      <c r="GO158" s="406"/>
      <c r="GP158" s="406"/>
      <c r="GQ158" s="406"/>
      <c r="GR158" s="406"/>
      <c r="GS158" s="406"/>
      <c r="GT158" s="406"/>
      <c r="GU158" s="406"/>
      <c r="GV158" s="406"/>
      <c r="GW158" s="406"/>
      <c r="GX158" s="406"/>
      <c r="GY158" s="406"/>
      <c r="GZ158" s="406"/>
      <c r="HA158" s="406"/>
      <c r="HB158" s="406"/>
      <c r="HC158" s="406"/>
      <c r="HD158" s="406"/>
      <c r="HE158" s="406"/>
      <c r="HF158" s="406"/>
      <c r="HG158" s="406"/>
      <c r="HH158" s="406"/>
      <c r="HI158" s="406"/>
      <c r="HJ158" s="406"/>
      <c r="HK158" s="406"/>
      <c r="HL158" s="406"/>
      <c r="HM158" s="406"/>
      <c r="HN158" s="406"/>
      <c r="HO158" s="406"/>
      <c r="HP158" s="406"/>
      <c r="HQ158" s="406"/>
      <c r="HR158" s="406"/>
      <c r="HS158" s="406"/>
      <c r="HT158" s="406"/>
      <c r="HU158" s="406"/>
      <c r="HV158" s="406"/>
      <c r="HW158" s="406"/>
      <c r="HX158" s="406"/>
      <c r="HY158" s="406"/>
      <c r="HZ158" s="406"/>
      <c r="IA158" s="406"/>
      <c r="IB158" s="406"/>
      <c r="IC158" s="406"/>
      <c r="ID158" s="406"/>
      <c r="IE158" s="406"/>
      <c r="IF158" s="406"/>
      <c r="IG158" s="406"/>
      <c r="IH158" s="406"/>
      <c r="II158" s="406"/>
      <c r="IJ158" s="406"/>
      <c r="IK158" s="406"/>
      <c r="IL158" s="406"/>
      <c r="IM158" s="406"/>
      <c r="IN158" s="406"/>
      <c r="IO158" s="406"/>
      <c r="IP158" s="406"/>
      <c r="IQ158" s="406"/>
      <c r="IR158" s="406"/>
      <c r="IS158" s="406"/>
    </row>
    <row r="159" spans="1:253" s="502" customFormat="1" ht="17.25">
      <c r="A159" s="20" t="s">
        <v>120</v>
      </c>
      <c r="B159" s="93"/>
      <c r="C159" s="771">
        <f>SUM(C163:C178)</f>
        <v>1</v>
      </c>
      <c r="D159" s="50"/>
      <c r="E159" s="1293" t="s">
        <v>316</v>
      </c>
      <c r="F159" s="926">
        <f>SUMPRODUCT($CI$4:$CI$6,F160:F162)</f>
        <v>5.4441096340200196E-2</v>
      </c>
      <c r="G159" s="874">
        <f>SUMPRODUCT($CI$4:$CI$6,G160:G162)</f>
        <v>0.39005099361491369</v>
      </c>
      <c r="H159" s="927">
        <f>SUMPRODUCT($CI$4:$CI$6,H160:H162)</f>
        <v>0.76626207616053676</v>
      </c>
      <c r="I159" s="872"/>
      <c r="J159" s="884"/>
      <c r="K159" s="884"/>
      <c r="L159" s="884"/>
      <c r="M159" s="884"/>
      <c r="N159" s="884"/>
      <c r="O159" s="884"/>
      <c r="P159" s="884"/>
      <c r="Q159" s="884"/>
      <c r="R159" s="884"/>
      <c r="S159" s="884"/>
      <c r="T159" s="884"/>
      <c r="U159" s="884"/>
      <c r="V159" s="884"/>
      <c r="W159" s="885"/>
      <c r="X159" s="877"/>
      <c r="Y159" s="883">
        <f>Y163*$C$163+Y167*$C$167+Y171*$C$171+Y175*$C$175</f>
        <v>2.0369453484614555</v>
      </c>
      <c r="Z159" s="884">
        <f t="shared" ref="Z159:BW159" si="20">Z163*$C$163+Z167*$C$167+Z171*$C$171+Z175*$C$175</f>
        <v>2.0369453484614555</v>
      </c>
      <c r="AA159" s="884">
        <f t="shared" si="20"/>
        <v>2.0369453484614555</v>
      </c>
      <c r="AB159" s="884">
        <f t="shared" si="20"/>
        <v>2.0369453484614555</v>
      </c>
      <c r="AC159" s="884">
        <f t="shared" si="20"/>
        <v>2.4310124698191378</v>
      </c>
      <c r="AD159" s="885">
        <f t="shared" si="20"/>
        <v>3.0012499627396765</v>
      </c>
      <c r="AE159" s="877"/>
      <c r="AF159" s="883">
        <f t="shared" si="20"/>
        <v>2.0369453484614553E-2</v>
      </c>
      <c r="AG159" s="884">
        <f t="shared" si="20"/>
        <v>2.0369453484614553E-2</v>
      </c>
      <c r="AH159" s="884">
        <f t="shared" si="20"/>
        <v>2.0369453484614553E-2</v>
      </c>
      <c r="AI159" s="884">
        <f t="shared" si="20"/>
        <v>2.0369453484614553E-2</v>
      </c>
      <c r="AJ159" s="884">
        <f t="shared" si="20"/>
        <v>2.4310124698191375E-2</v>
      </c>
      <c r="AK159" s="885">
        <f t="shared" si="20"/>
        <v>3.0012499627396758E-2</v>
      </c>
      <c r="AL159" s="877"/>
      <c r="AM159" s="883">
        <f t="shared" si="20"/>
        <v>2.5461816855768191E-3</v>
      </c>
      <c r="AN159" s="884">
        <f t="shared" si="20"/>
        <v>2.5461816855768191E-3</v>
      </c>
      <c r="AO159" s="884">
        <f t="shared" si="20"/>
        <v>2.5461816855768191E-3</v>
      </c>
      <c r="AP159" s="884">
        <f t="shared" si="20"/>
        <v>2.5461816855768191E-3</v>
      </c>
      <c r="AQ159" s="884">
        <f t="shared" si="20"/>
        <v>3.0387655872739219E-3</v>
      </c>
      <c r="AR159" s="885">
        <f t="shared" si="20"/>
        <v>3.7515624534245947E-3</v>
      </c>
      <c r="AS159" s="877"/>
      <c r="AT159" s="883">
        <f t="shared" si="20"/>
        <v>5.5666666666666659E-3</v>
      </c>
      <c r="AU159" s="884">
        <f t="shared" si="20"/>
        <v>5.5666666666666659E-3</v>
      </c>
      <c r="AV159" s="884">
        <f t="shared" si="20"/>
        <v>5.5666666666666659E-3</v>
      </c>
      <c r="AW159" s="884">
        <f t="shared" si="20"/>
        <v>5.5666666666666659E-3</v>
      </c>
      <c r="AX159" s="884">
        <f t="shared" si="20"/>
        <v>6.6435931097585223E-3</v>
      </c>
      <c r="AY159" s="885">
        <f t="shared" si="20"/>
        <v>8.2019668021710151E-3</v>
      </c>
      <c r="AZ159" s="877"/>
      <c r="BA159" s="883">
        <f t="shared" si="20"/>
        <v>2.387786579605487E-11</v>
      </c>
      <c r="BB159" s="884">
        <f t="shared" si="20"/>
        <v>2.387786579605487E-11</v>
      </c>
      <c r="BC159" s="884">
        <f t="shared" si="20"/>
        <v>2.387786579605487E-11</v>
      </c>
      <c r="BD159" s="884">
        <f t="shared" si="20"/>
        <v>2.387786579605487E-11</v>
      </c>
      <c r="BE159" s="884">
        <f t="shared" si="20"/>
        <v>2.8497273894324945E-11</v>
      </c>
      <c r="BF159" s="885">
        <f t="shared" si="20"/>
        <v>3.5181819622623382E-11</v>
      </c>
      <c r="BG159" s="877"/>
      <c r="BH159" s="883">
        <f t="shared" si="20"/>
        <v>1.4792087020982143E-3</v>
      </c>
      <c r="BI159" s="884">
        <f t="shared" si="20"/>
        <v>1.4792087020982143E-3</v>
      </c>
      <c r="BJ159" s="884">
        <f t="shared" si="20"/>
        <v>1.4792087020982143E-3</v>
      </c>
      <c r="BK159" s="884">
        <f t="shared" si="20"/>
        <v>1.4792087020982143E-3</v>
      </c>
      <c r="BL159" s="884">
        <f t="shared" si="20"/>
        <v>1.7653761810457265E-3</v>
      </c>
      <c r="BM159" s="885">
        <f t="shared" si="20"/>
        <v>2.1794767667231187E-3</v>
      </c>
      <c r="BN159" s="877"/>
      <c r="BO159" s="883">
        <f t="shared" si="20"/>
        <v>5.2010818935003069E-4</v>
      </c>
      <c r="BP159" s="884">
        <f t="shared" si="20"/>
        <v>5.2010818935003069E-4</v>
      </c>
      <c r="BQ159" s="884">
        <f t="shared" si="20"/>
        <v>5.2010818935003069E-4</v>
      </c>
      <c r="BR159" s="884">
        <f t="shared" si="20"/>
        <v>5.2010818935003069E-4</v>
      </c>
      <c r="BS159" s="884">
        <f t="shared" si="20"/>
        <v>6.2072823648410397E-4</v>
      </c>
      <c r="BT159" s="885">
        <f t="shared" si="20"/>
        <v>7.6633115615321458E-4</v>
      </c>
      <c r="BU159" s="877"/>
      <c r="BV159" s="883">
        <f t="shared" si="20"/>
        <v>0.58501571388789431</v>
      </c>
      <c r="BW159" s="885">
        <f t="shared" si="20"/>
        <v>0.72224162208382015</v>
      </c>
      <c r="BX159" s="406"/>
      <c r="BY159" s="406"/>
      <c r="BZ159" s="406"/>
      <c r="CA159" s="406"/>
      <c r="CB159" s="406"/>
      <c r="CC159" s="406"/>
      <c r="CD159" s="406"/>
      <c r="CE159" s="406"/>
      <c r="CF159" s="406"/>
      <c r="CG159" s="406"/>
      <c r="CH159" s="406"/>
      <c r="CI159" s="406"/>
      <c r="CJ159" s="406"/>
      <c r="CK159" s="406"/>
      <c r="CL159" s="406"/>
      <c r="CM159" s="406"/>
      <c r="CN159" s="406"/>
      <c r="CO159" s="406"/>
      <c r="CP159" s="406"/>
      <c r="CQ159" s="406"/>
      <c r="CR159" s="406"/>
      <c r="CS159" s="406"/>
      <c r="CT159" s="406"/>
      <c r="CU159" s="406"/>
      <c r="CV159" s="406"/>
      <c r="CW159" s="406"/>
      <c r="CX159" s="406"/>
      <c r="CY159" s="406"/>
      <c r="CZ159" s="406"/>
      <c r="DA159" s="406"/>
      <c r="DB159" s="406"/>
      <c r="DC159" s="406"/>
      <c r="DD159" s="406"/>
      <c r="DE159" s="406"/>
      <c r="DF159" s="406"/>
      <c r="DG159" s="406"/>
      <c r="DH159" s="406"/>
      <c r="DI159" s="406"/>
      <c r="DJ159" s="406"/>
      <c r="DK159" s="406"/>
      <c r="DL159" s="406"/>
      <c r="DM159" s="406"/>
      <c r="DN159" s="406"/>
      <c r="DO159" s="406"/>
      <c r="DP159" s="406"/>
      <c r="DQ159" s="406"/>
      <c r="DR159" s="406"/>
      <c r="DS159" s="406"/>
      <c r="DT159" s="406"/>
      <c r="DU159" s="406"/>
      <c r="DV159" s="406"/>
      <c r="DW159" s="406"/>
      <c r="DX159" s="406"/>
      <c r="DY159" s="406"/>
      <c r="DZ159" s="406"/>
      <c r="EA159" s="406"/>
      <c r="EB159" s="406"/>
      <c r="EC159" s="406"/>
      <c r="ED159" s="406"/>
      <c r="EE159" s="406"/>
      <c r="EF159" s="406"/>
      <c r="EG159" s="406"/>
      <c r="EH159" s="406"/>
      <c r="EI159" s="406"/>
      <c r="EJ159" s="406"/>
      <c r="EK159" s="406"/>
      <c r="EL159" s="406"/>
      <c r="EM159" s="406"/>
      <c r="EN159" s="406"/>
      <c r="EO159" s="406"/>
      <c r="EP159" s="406"/>
      <c r="EQ159" s="406"/>
      <c r="ER159" s="406"/>
      <c r="ES159" s="406"/>
      <c r="ET159" s="406"/>
      <c r="EU159" s="406"/>
      <c r="EV159" s="406"/>
      <c r="EW159" s="406"/>
      <c r="EX159" s="406"/>
      <c r="EY159" s="406"/>
      <c r="EZ159" s="406"/>
      <c r="FA159" s="406"/>
      <c r="FB159" s="406"/>
      <c r="FC159" s="406"/>
      <c r="FD159" s="406"/>
      <c r="FE159" s="406"/>
      <c r="FF159" s="406"/>
      <c r="FG159" s="406"/>
      <c r="FH159" s="406"/>
      <c r="FI159" s="406"/>
      <c r="FJ159" s="406"/>
      <c r="FK159" s="406"/>
      <c r="FL159" s="406"/>
      <c r="FM159" s="406"/>
      <c r="FN159" s="406"/>
      <c r="FO159" s="406"/>
      <c r="FP159" s="406"/>
      <c r="FQ159" s="406"/>
      <c r="FR159" s="406"/>
      <c r="FS159" s="406"/>
      <c r="FT159" s="406"/>
      <c r="FU159" s="406"/>
      <c r="FV159" s="406"/>
      <c r="FW159" s="406"/>
      <c r="FX159" s="406"/>
      <c r="FY159" s="406"/>
      <c r="FZ159" s="406"/>
      <c r="GA159" s="406"/>
      <c r="GB159" s="406"/>
      <c r="GC159" s="406"/>
      <c r="GD159" s="406"/>
      <c r="GE159" s="406"/>
      <c r="GF159" s="406"/>
      <c r="GG159" s="406"/>
      <c r="GH159" s="406"/>
      <c r="GI159" s="406"/>
      <c r="GJ159" s="406"/>
      <c r="GK159" s="406"/>
      <c r="GL159" s="406"/>
      <c r="GM159" s="406"/>
      <c r="GN159" s="406"/>
      <c r="GO159" s="406"/>
      <c r="GP159" s="406"/>
      <c r="GQ159" s="406"/>
      <c r="GR159" s="406"/>
      <c r="GS159" s="406"/>
      <c r="GT159" s="406"/>
      <c r="GU159" s="406"/>
      <c r="GV159" s="406"/>
      <c r="GW159" s="406"/>
      <c r="GX159" s="406"/>
      <c r="GY159" s="406"/>
      <c r="GZ159" s="406"/>
      <c r="HA159" s="406"/>
      <c r="HB159" s="406"/>
      <c r="HC159" s="406"/>
      <c r="HD159" s="406"/>
      <c r="HE159" s="406"/>
      <c r="HF159" s="406"/>
      <c r="HG159" s="406"/>
      <c r="HH159" s="406"/>
      <c r="HI159" s="406"/>
      <c r="HJ159" s="406"/>
      <c r="HK159" s="406"/>
      <c r="HL159" s="406"/>
      <c r="HM159" s="406"/>
      <c r="HN159" s="406"/>
      <c r="HO159" s="406"/>
      <c r="HP159" s="406"/>
      <c r="HQ159" s="406"/>
      <c r="HR159" s="406"/>
      <c r="HS159" s="406"/>
      <c r="HT159" s="406"/>
      <c r="HU159" s="406"/>
      <c r="HV159" s="406"/>
      <c r="HW159" s="406"/>
      <c r="HX159" s="406"/>
      <c r="HY159" s="406"/>
      <c r="HZ159" s="406"/>
      <c r="IA159" s="406"/>
      <c r="IB159" s="406"/>
      <c r="IC159" s="406"/>
      <c r="ID159" s="406"/>
      <c r="IE159" s="406"/>
      <c r="IF159" s="406"/>
      <c r="IG159" s="406"/>
      <c r="IH159" s="406"/>
      <c r="II159" s="406"/>
      <c r="IJ159" s="406"/>
      <c r="IK159" s="406"/>
      <c r="IL159" s="406"/>
      <c r="IM159" s="406"/>
      <c r="IN159" s="406"/>
      <c r="IO159" s="406"/>
      <c r="IP159" s="406"/>
      <c r="IQ159" s="406"/>
      <c r="IR159" s="406"/>
      <c r="IS159" s="406"/>
    </row>
    <row r="160" spans="1:253" s="406" customFormat="1" ht="17.25">
      <c r="A160" s="499"/>
      <c r="B160" s="55"/>
      <c r="C160" s="917"/>
      <c r="D160" s="5"/>
      <c r="E160" s="1294" t="s">
        <v>317</v>
      </c>
      <c r="F160" s="928">
        <f t="shared" ref="F160:W162" si="21">F164*$C$163+F168*$C$167+$C$171*F172+$C$175*F176</f>
        <v>-9.1139048141381296E-2</v>
      </c>
      <c r="G160" s="877">
        <f t="shared" si="21"/>
        <v>0.1985928306228496</v>
      </c>
      <c r="H160" s="878">
        <f t="shared" si="21"/>
        <v>0.5377644475747102</v>
      </c>
      <c r="I160" s="877">
        <f t="shared" si="21"/>
        <v>6.8426874021146333E-2</v>
      </c>
      <c r="J160" s="877">
        <f t="shared" si="21"/>
        <v>0.03</v>
      </c>
      <c r="K160" s="877">
        <f t="shared" si="21"/>
        <v>0</v>
      </c>
      <c r="L160" s="877">
        <f t="shared" si="21"/>
        <v>0</v>
      </c>
      <c r="M160" s="877"/>
      <c r="N160" s="877">
        <f t="shared" si="21"/>
        <v>0.16330500474308454</v>
      </c>
      <c r="O160" s="877">
        <f t="shared" si="21"/>
        <v>0</v>
      </c>
      <c r="P160" s="877">
        <f t="shared" si="21"/>
        <v>2.8000000000000001E-2</v>
      </c>
      <c r="Q160" s="877">
        <f t="shared" si="21"/>
        <v>0</v>
      </c>
      <c r="R160" s="877">
        <f t="shared" si="21"/>
        <v>-9.1139048141381296E-2</v>
      </c>
      <c r="S160" s="877">
        <f t="shared" si="21"/>
        <v>0</v>
      </c>
      <c r="T160" s="877">
        <f t="shared" si="21"/>
        <v>0</v>
      </c>
      <c r="U160" s="877">
        <f t="shared" si="21"/>
        <v>0.1985928306228496</v>
      </c>
      <c r="V160" s="877">
        <f t="shared" si="21"/>
        <v>0.15</v>
      </c>
      <c r="W160" s="886">
        <f t="shared" si="21"/>
        <v>0.10200000000000001</v>
      </c>
      <c r="X160" s="877"/>
      <c r="Y160" s="879"/>
      <c r="Z160" s="877"/>
      <c r="AA160" s="877"/>
      <c r="AB160" s="877"/>
      <c r="AC160" s="877"/>
      <c r="AD160" s="886"/>
      <c r="AE160" s="877"/>
      <c r="AF160" s="879"/>
      <c r="AG160" s="877"/>
      <c r="AH160" s="877"/>
      <c r="AI160" s="877"/>
      <c r="AJ160" s="877"/>
      <c r="AK160" s="886"/>
      <c r="AL160" s="877"/>
      <c r="AM160" s="879"/>
      <c r="AN160" s="877"/>
      <c r="AO160" s="877"/>
      <c r="AP160" s="877"/>
      <c r="AQ160" s="877"/>
      <c r="AR160" s="886"/>
      <c r="AS160" s="877"/>
      <c r="AT160" s="879"/>
      <c r="AU160" s="877"/>
      <c r="AV160" s="877"/>
      <c r="AW160" s="877"/>
      <c r="AX160" s="877"/>
      <c r="AY160" s="886"/>
      <c r="AZ160" s="877"/>
      <c r="BA160" s="879"/>
      <c r="BB160" s="877"/>
      <c r="BC160" s="877"/>
      <c r="BD160" s="877"/>
      <c r="BE160" s="877"/>
      <c r="BF160" s="886"/>
      <c r="BG160" s="877"/>
      <c r="BH160" s="879"/>
      <c r="BI160" s="877"/>
      <c r="BJ160" s="877"/>
      <c r="BK160" s="877"/>
      <c r="BL160" s="877"/>
      <c r="BM160" s="886"/>
      <c r="BN160" s="877"/>
      <c r="BO160" s="879"/>
      <c r="BP160" s="877"/>
      <c r="BQ160" s="877"/>
      <c r="BR160" s="877"/>
      <c r="BS160" s="877"/>
      <c r="BT160" s="886"/>
      <c r="BU160" s="877"/>
      <c r="BV160" s="879"/>
      <c r="BW160" s="886"/>
    </row>
    <row r="161" spans="1:253" s="406" customFormat="1" ht="17.25">
      <c r="A161" s="499"/>
      <c r="B161" s="55"/>
      <c r="C161" s="595"/>
      <c r="D161" s="50"/>
      <c r="E161" s="1294" t="s">
        <v>367</v>
      </c>
      <c r="F161" s="928">
        <f t="shared" si="21"/>
        <v>0</v>
      </c>
      <c r="G161" s="877">
        <f t="shared" si="21"/>
        <v>1.7406451382561889E-4</v>
      </c>
      <c r="H161" s="878">
        <f t="shared" si="21"/>
        <v>2.0773900683329621E-4</v>
      </c>
      <c r="I161" s="877">
        <f t="shared" si="21"/>
        <v>1.0172590332100965E-4</v>
      </c>
      <c r="J161" s="877">
        <f t="shared" si="21"/>
        <v>0</v>
      </c>
      <c r="K161" s="877">
        <f t="shared" si="21"/>
        <v>0</v>
      </c>
      <c r="L161" s="877">
        <f t="shared" si="21"/>
        <v>0</v>
      </c>
      <c r="M161" s="877"/>
      <c r="N161" s="877">
        <f t="shared" si="21"/>
        <v>7.2338610504609239E-5</v>
      </c>
      <c r="O161" s="877">
        <f t="shared" si="21"/>
        <v>0</v>
      </c>
      <c r="P161" s="877">
        <f t="shared" si="21"/>
        <v>0</v>
      </c>
      <c r="Q161" s="877">
        <f t="shared" si="21"/>
        <v>0</v>
      </c>
      <c r="R161" s="877">
        <f t="shared" si="21"/>
        <v>0</v>
      </c>
      <c r="S161" s="877">
        <f t="shared" si="21"/>
        <v>0</v>
      </c>
      <c r="T161" s="877">
        <f t="shared" si="21"/>
        <v>0</v>
      </c>
      <c r="U161" s="877">
        <f t="shared" si="21"/>
        <v>1.7406451382561889E-4</v>
      </c>
      <c r="V161" s="877">
        <f t="shared" si="21"/>
        <v>0</v>
      </c>
      <c r="W161" s="886">
        <f t="shared" si="21"/>
        <v>0</v>
      </c>
      <c r="X161" s="877"/>
      <c r="Y161" s="879"/>
      <c r="Z161" s="877"/>
      <c r="AA161" s="877"/>
      <c r="AB161" s="877"/>
      <c r="AC161" s="877"/>
      <c r="AD161" s="886"/>
      <c r="AE161" s="877"/>
      <c r="AF161" s="879"/>
      <c r="AG161" s="877"/>
      <c r="AH161" s="877"/>
      <c r="AI161" s="877"/>
      <c r="AJ161" s="877"/>
      <c r="AK161" s="886"/>
      <c r="AL161" s="877"/>
      <c r="AM161" s="879"/>
      <c r="AN161" s="877"/>
      <c r="AO161" s="877"/>
      <c r="AP161" s="877"/>
      <c r="AQ161" s="877"/>
      <c r="AR161" s="886"/>
      <c r="AS161" s="877"/>
      <c r="AT161" s="879"/>
      <c r="AU161" s="877"/>
      <c r="AV161" s="877"/>
      <c r="AW161" s="877"/>
      <c r="AX161" s="877"/>
      <c r="AY161" s="886"/>
      <c r="AZ161" s="877"/>
      <c r="BA161" s="879"/>
      <c r="BB161" s="877"/>
      <c r="BC161" s="877"/>
      <c r="BD161" s="877"/>
      <c r="BE161" s="877"/>
      <c r="BF161" s="886"/>
      <c r="BG161" s="877"/>
      <c r="BH161" s="879"/>
      <c r="BI161" s="877"/>
      <c r="BJ161" s="877"/>
      <c r="BK161" s="877"/>
      <c r="BL161" s="877"/>
      <c r="BM161" s="886"/>
      <c r="BN161" s="877"/>
      <c r="BO161" s="879"/>
      <c r="BP161" s="877"/>
      <c r="BQ161" s="877"/>
      <c r="BR161" s="877"/>
      <c r="BS161" s="877"/>
      <c r="BT161" s="886"/>
      <c r="BU161" s="877"/>
      <c r="BV161" s="879"/>
      <c r="BW161" s="886"/>
    </row>
    <row r="162" spans="1:253" s="406" customFormat="1" ht="17.25">
      <c r="A162" s="18"/>
      <c r="B162" s="360"/>
      <c r="C162" s="83"/>
      <c r="D162" s="54"/>
      <c r="E162" s="1295" t="s">
        <v>320</v>
      </c>
      <c r="F162" s="928">
        <f t="shared" si="21"/>
        <v>5.3326060249663551E-4</v>
      </c>
      <c r="G162" s="877">
        <f t="shared" si="21"/>
        <v>6.8409678065484397E-4</v>
      </c>
      <c r="H162" s="878">
        <f t="shared" si="21"/>
        <v>8.1644203443709761E-4</v>
      </c>
      <c r="I162" s="877">
        <f t="shared" si="21"/>
        <v>1.4644810901073889E-4</v>
      </c>
      <c r="J162" s="877">
        <f t="shared" si="21"/>
        <v>0</v>
      </c>
      <c r="K162" s="877">
        <f t="shared" si="21"/>
        <v>4.8478236590603226E-4</v>
      </c>
      <c r="L162" s="877">
        <f t="shared" si="21"/>
        <v>4.8478236590603234E-5</v>
      </c>
      <c r="M162" s="877"/>
      <c r="N162" s="877">
        <f t="shared" si="21"/>
        <v>4.3880691474696065E-6</v>
      </c>
      <c r="O162" s="877">
        <f t="shared" si="21"/>
        <v>0</v>
      </c>
      <c r="P162" s="877">
        <f t="shared" si="21"/>
        <v>0</v>
      </c>
      <c r="Q162" s="877">
        <f t="shared" si="21"/>
        <v>0</v>
      </c>
      <c r="R162" s="877">
        <f t="shared" si="21"/>
        <v>0</v>
      </c>
      <c r="S162" s="877">
        <f t="shared" si="21"/>
        <v>0</v>
      </c>
      <c r="T162" s="877">
        <f t="shared" si="21"/>
        <v>0</v>
      </c>
      <c r="U162" s="877">
        <f t="shared" si="21"/>
        <v>6.8409678065484397E-4</v>
      </c>
      <c r="V162" s="877">
        <f t="shared" si="21"/>
        <v>0</v>
      </c>
      <c r="W162" s="886">
        <f t="shared" si="21"/>
        <v>0</v>
      </c>
      <c r="X162" s="877"/>
      <c r="Y162" s="879"/>
      <c r="Z162" s="877"/>
      <c r="AA162" s="877"/>
      <c r="AB162" s="877"/>
      <c r="AC162" s="877"/>
      <c r="AD162" s="886"/>
      <c r="AE162" s="877"/>
      <c r="AF162" s="879"/>
      <c r="AG162" s="877"/>
      <c r="AH162" s="877"/>
      <c r="AI162" s="877"/>
      <c r="AJ162" s="877"/>
      <c r="AK162" s="886"/>
      <c r="AL162" s="877"/>
      <c r="AM162" s="879"/>
      <c r="AN162" s="877"/>
      <c r="AO162" s="877"/>
      <c r="AP162" s="877"/>
      <c r="AQ162" s="877"/>
      <c r="AR162" s="886"/>
      <c r="AS162" s="877"/>
      <c r="AT162" s="879"/>
      <c r="AU162" s="877"/>
      <c r="AV162" s="877"/>
      <c r="AW162" s="877"/>
      <c r="AX162" s="877"/>
      <c r="AY162" s="886"/>
      <c r="AZ162" s="877"/>
      <c r="BA162" s="879"/>
      <c r="BB162" s="877"/>
      <c r="BC162" s="877"/>
      <c r="BD162" s="877"/>
      <c r="BE162" s="877"/>
      <c r="BF162" s="886"/>
      <c r="BG162" s="877"/>
      <c r="BH162" s="879"/>
      <c r="BI162" s="877"/>
      <c r="BJ162" s="877"/>
      <c r="BK162" s="877"/>
      <c r="BL162" s="877"/>
      <c r="BM162" s="886"/>
      <c r="BN162" s="877"/>
      <c r="BO162" s="879"/>
      <c r="BP162" s="877"/>
      <c r="BQ162" s="877"/>
      <c r="BR162" s="877"/>
      <c r="BS162" s="877"/>
      <c r="BT162" s="886"/>
      <c r="BU162" s="877"/>
      <c r="BV162" s="879"/>
      <c r="BW162" s="886"/>
    </row>
    <row r="163" spans="1:253" s="502" customFormat="1" ht="17.25">
      <c r="A163" s="20" t="s">
        <v>122</v>
      </c>
      <c r="B163" s="93" t="s">
        <v>121</v>
      </c>
      <c r="C163" s="87">
        <f>'Input data plant-based products'!D113</f>
        <v>0.44</v>
      </c>
      <c r="D163" s="54"/>
      <c r="E163" s="1293" t="s">
        <v>316</v>
      </c>
      <c r="F163" s="930">
        <f>SUMPRODUCT($CI$4:$CI$6,F164:F166)</f>
        <v>0.13471796651611204</v>
      </c>
      <c r="G163" s="872">
        <f>SUMPRODUCT($CI$4:$CI$6,G164:G166)</f>
        <v>0.56006423796235105</v>
      </c>
      <c r="H163" s="873">
        <f>SUMPRODUCT($CI$4:$CI$6,H164:H166)</f>
        <v>0.88323694708479661</v>
      </c>
      <c r="I163" s="884"/>
      <c r="J163" s="884"/>
      <c r="K163" s="884"/>
      <c r="L163" s="884"/>
      <c r="M163" s="884"/>
      <c r="N163" s="884"/>
      <c r="O163" s="884"/>
      <c r="P163" s="884"/>
      <c r="Q163" s="884"/>
      <c r="R163" s="884"/>
      <c r="S163" s="884"/>
      <c r="T163" s="884"/>
      <c r="U163" s="884"/>
      <c r="V163" s="884"/>
      <c r="W163" s="885"/>
      <c r="X163" s="877"/>
      <c r="Y163" s="879">
        <f>1/'Input data plant-based products'!E113*10^4</f>
        <v>2.9913251570445709</v>
      </c>
      <c r="Z163" s="877">
        <f>$Y163*'Input data plant-based products'!Z113</f>
        <v>2.9913251570445709</v>
      </c>
      <c r="AA163" s="877">
        <f>$Y163*'Input data plant-based products'!AA113</f>
        <v>2.9913251570445709</v>
      </c>
      <c r="AB163" s="877">
        <f>$Y163*'Input data plant-based products'!AB113</f>
        <v>2.9913251570445709</v>
      </c>
      <c r="AC163" s="877">
        <f>$Y163*'Input data plant-based products'!AC113</f>
        <v>3.5700264435428699</v>
      </c>
      <c r="AD163" s="886">
        <f>$Y163*'Input data plant-based products'!AD113</f>
        <v>4.4074400537566296</v>
      </c>
      <c r="AE163" s="877"/>
      <c r="AF163" s="879">
        <f>SUM('Input data plant-based products'!F113,'Input data plant-based products'!Q113)/'Input data plant-based products'!E113</f>
        <v>2.9913251570445706E-2</v>
      </c>
      <c r="AG163" s="877">
        <f>$AF163*'Input data plant-based products'!Z113</f>
        <v>2.9913251570445706E-2</v>
      </c>
      <c r="AH163" s="877">
        <f>$AF163*'Input data plant-based products'!AA113</f>
        <v>2.9913251570445706E-2</v>
      </c>
      <c r="AI163" s="877">
        <f>$AF163*'Input data plant-based products'!AB113</f>
        <v>2.9913251570445706E-2</v>
      </c>
      <c r="AJ163" s="877">
        <f>$AF163*'Input data plant-based products'!AC113</f>
        <v>3.5700264435428695E-2</v>
      </c>
      <c r="AK163" s="886">
        <f>$AF163*'Input data plant-based products'!AD113</f>
        <v>4.407440053756629E-2</v>
      </c>
      <c r="AL163" s="877"/>
      <c r="AM163" s="879">
        <f>'Input data plant-based products'!R113/'Input data plant-based products'!E113</f>
        <v>3.7391564463057133E-3</v>
      </c>
      <c r="AN163" s="877">
        <f>$AM163*'Input data plant-based products'!Z113</f>
        <v>3.7391564463057133E-3</v>
      </c>
      <c r="AO163" s="877">
        <f>$AM163*'Input data plant-based products'!AA113</f>
        <v>3.7391564463057133E-3</v>
      </c>
      <c r="AP163" s="877">
        <f>$AM163*'Input data plant-based products'!AB113</f>
        <v>3.7391564463057133E-3</v>
      </c>
      <c r="AQ163" s="877">
        <f>$AM163*'Input data plant-based products'!AC113</f>
        <v>4.4625330544285869E-3</v>
      </c>
      <c r="AR163" s="886">
        <f>$AM163*'Input data plant-based products'!AD113</f>
        <v>5.5093000671957862E-3</v>
      </c>
      <c r="AS163" s="877"/>
      <c r="AT163" s="879">
        <f>'Input data plant-based products'!S113</f>
        <v>0</v>
      </c>
      <c r="AU163" s="877">
        <f>$AT163*'Input data plant-based products'!Z113</f>
        <v>0</v>
      </c>
      <c r="AV163" s="877">
        <f>$AT163*'Input data plant-based products'!AA113</f>
        <v>0</v>
      </c>
      <c r="AW163" s="877">
        <f>$AT163*'Input data plant-based products'!AB113</f>
        <v>0</v>
      </c>
      <c r="AX163" s="877">
        <f>$AT163*'Input data plant-based products'!AC113</f>
        <v>0</v>
      </c>
      <c r="AY163" s="886">
        <f>$AT163*'Input data plant-based products'!AD113</f>
        <v>0</v>
      </c>
      <c r="AZ163" s="877"/>
      <c r="BA163" s="879">
        <f>((SUM('Input data plant-based products'!U113:Y113)*Y163)/('Common input data'!$B$192/10^6))/$BB$3</f>
        <v>2.1160320276604933E-11</v>
      </c>
      <c r="BB163" s="877">
        <f>$BA163*'Input data plant-based products'!Z113</f>
        <v>2.1160320276604933E-11</v>
      </c>
      <c r="BC163" s="877">
        <f>$BA163*'Input data plant-based products'!AA113</f>
        <v>2.1160320276604933E-11</v>
      </c>
      <c r="BD163" s="877">
        <f>$BA163*'Input data plant-based products'!AB113</f>
        <v>2.1160320276604933E-11</v>
      </c>
      <c r="BE163" s="877">
        <f>$BA163*'Input data plant-based products'!AC113</f>
        <v>2.5253992453281935E-11</v>
      </c>
      <c r="BF163" s="886">
        <f>$BA163*'Input data plant-based products'!AD113</f>
        <v>3.1177768460841894E-11</v>
      </c>
      <c r="BG163" s="877"/>
      <c r="BH163" s="879">
        <f>'Input data plant-based products'!T113/'Input data plant-based products'!E113</f>
        <v>1.1516601854621598E-3</v>
      </c>
      <c r="BI163" s="877">
        <f>$BH163*'Input data plant-based products'!Z113</f>
        <v>1.1516601854621598E-3</v>
      </c>
      <c r="BJ163" s="877">
        <f>$BH163*'Input data plant-based products'!AA113</f>
        <v>1.1516601854621598E-3</v>
      </c>
      <c r="BK163" s="877">
        <f>$BH163*'Input data plant-based products'!AB113</f>
        <v>1.1516601854621598E-3</v>
      </c>
      <c r="BL163" s="877">
        <f>$BH163*'Input data plant-based products'!AC113</f>
        <v>1.374460180764005E-3</v>
      </c>
      <c r="BM163" s="886">
        <f>$BH163*'Input data plant-based products'!AD113</f>
        <v>1.6968644206963022E-3</v>
      </c>
      <c r="BN163" s="877"/>
      <c r="BO163" s="879">
        <f>('Input data plant-based products'!F113/'Input data plant-based products'!E113*'Common input data'!$B$195+'Input data plant-based products'!G113/'Input data plant-based products'!E113*'Common input data'!$B$196)/'Common input data'!$B$198</f>
        <v>7.6379698275301467E-4</v>
      </c>
      <c r="BP163" s="877">
        <f>$BO163*'Input data plant-based products'!Z113</f>
        <v>7.6379698275301467E-4</v>
      </c>
      <c r="BQ163" s="877">
        <f>$BO163*'Input data plant-based products'!AA113</f>
        <v>7.6379698275301467E-4</v>
      </c>
      <c r="BR163" s="877">
        <f>$BO163*'Input data plant-based products'!AB113</f>
        <v>7.6379698275301467E-4</v>
      </c>
      <c r="BS163" s="877">
        <f>$BO163*'Input data plant-based products'!AC113</f>
        <v>9.1156102488723558E-4</v>
      </c>
      <c r="BT163" s="886">
        <f>$BO163*'Input data plant-based products'!AD113</f>
        <v>1.1253839813422659E-3</v>
      </c>
      <c r="BU163" s="877"/>
      <c r="BV163" s="879">
        <f>'Common input data'!$C$202*'Input data plant-based products'!AC113</f>
        <v>0.17090344909893782</v>
      </c>
      <c r="BW163" s="886">
        <f>'Common input data'!$C$202*'Input data plant-based products'!AD113</f>
        <v>0.21099191246782442</v>
      </c>
      <c r="BX163" s="406"/>
      <c r="BY163" s="406"/>
      <c r="BZ163" s="406"/>
      <c r="CA163" s="406"/>
      <c r="CB163" s="406"/>
      <c r="CC163" s="406"/>
      <c r="CD163" s="406"/>
      <c r="CE163" s="406"/>
      <c r="CF163" s="406"/>
      <c r="CG163" s="406"/>
      <c r="CH163" s="406"/>
      <c r="CI163" s="406"/>
      <c r="CJ163" s="406"/>
      <c r="CK163" s="406"/>
      <c r="CL163" s="406"/>
      <c r="CM163" s="406"/>
      <c r="CN163" s="406"/>
      <c r="CO163" s="406"/>
      <c r="CP163" s="406"/>
      <c r="CQ163" s="406"/>
      <c r="CR163" s="406"/>
      <c r="CS163" s="406"/>
      <c r="CT163" s="406"/>
      <c r="CU163" s="406"/>
      <c r="CV163" s="406"/>
      <c r="CW163" s="406"/>
      <c r="CX163" s="406"/>
      <c r="CY163" s="406"/>
      <c r="CZ163" s="406"/>
      <c r="DA163" s="406"/>
      <c r="DB163" s="406"/>
      <c r="DC163" s="406"/>
      <c r="DD163" s="406"/>
      <c r="DE163" s="406"/>
      <c r="DF163" s="406"/>
      <c r="DG163" s="406"/>
      <c r="DH163" s="406"/>
      <c r="DI163" s="406"/>
      <c r="DJ163" s="406"/>
      <c r="DK163" s="406"/>
      <c r="DL163" s="406"/>
      <c r="DM163" s="406"/>
      <c r="DN163" s="406"/>
      <c r="DO163" s="406"/>
      <c r="DP163" s="406"/>
      <c r="DQ163" s="406"/>
      <c r="DR163" s="406"/>
      <c r="DS163" s="406"/>
      <c r="DT163" s="406"/>
      <c r="DU163" s="406"/>
      <c r="DV163" s="406"/>
      <c r="DW163" s="406"/>
      <c r="DX163" s="406"/>
      <c r="DY163" s="406"/>
      <c r="DZ163" s="406"/>
      <c r="EA163" s="406"/>
      <c r="EB163" s="406"/>
      <c r="EC163" s="406"/>
      <c r="ED163" s="406"/>
      <c r="EE163" s="406"/>
      <c r="EF163" s="406"/>
      <c r="EG163" s="406"/>
      <c r="EH163" s="406"/>
      <c r="EI163" s="406"/>
      <c r="EJ163" s="406"/>
      <c r="EK163" s="406"/>
      <c r="EL163" s="406"/>
      <c r="EM163" s="406"/>
      <c r="EN163" s="406"/>
      <c r="EO163" s="406"/>
      <c r="EP163" s="406"/>
      <c r="EQ163" s="406"/>
      <c r="ER163" s="406"/>
      <c r="ES163" s="406"/>
      <c r="ET163" s="406"/>
      <c r="EU163" s="406"/>
      <c r="EV163" s="406"/>
      <c r="EW163" s="406"/>
      <c r="EX163" s="406"/>
      <c r="EY163" s="406"/>
      <c r="EZ163" s="406"/>
      <c r="FA163" s="406"/>
      <c r="FB163" s="406"/>
      <c r="FC163" s="406"/>
      <c r="FD163" s="406"/>
      <c r="FE163" s="406"/>
      <c r="FF163" s="406"/>
      <c r="FG163" s="406"/>
      <c r="FH163" s="406"/>
      <c r="FI163" s="406"/>
      <c r="FJ163" s="406"/>
      <c r="FK163" s="406"/>
      <c r="FL163" s="406"/>
      <c r="FM163" s="406"/>
      <c r="FN163" s="406"/>
      <c r="FO163" s="406"/>
      <c r="FP163" s="406"/>
      <c r="FQ163" s="406"/>
      <c r="FR163" s="406"/>
      <c r="FS163" s="406"/>
      <c r="FT163" s="406"/>
      <c r="FU163" s="406"/>
      <c r="FV163" s="406"/>
      <c r="FW163" s="406"/>
      <c r="FX163" s="406"/>
      <c r="FY163" s="406"/>
      <c r="FZ163" s="406"/>
      <c r="GA163" s="406"/>
      <c r="GB163" s="406"/>
      <c r="GC163" s="406"/>
      <c r="GD163" s="406"/>
      <c r="GE163" s="406"/>
      <c r="GF163" s="406"/>
      <c r="GG163" s="406"/>
      <c r="GH163" s="406"/>
      <c r="GI163" s="406"/>
      <c r="GJ163" s="406"/>
      <c r="GK163" s="406"/>
      <c r="GL163" s="406"/>
      <c r="GM163" s="406"/>
      <c r="GN163" s="406"/>
      <c r="GO163" s="406"/>
      <c r="GP163" s="406"/>
      <c r="GQ163" s="406"/>
      <c r="GR163" s="406"/>
      <c r="GS163" s="406"/>
      <c r="GT163" s="406"/>
      <c r="GU163" s="406"/>
      <c r="GV163" s="406"/>
      <c r="GW163" s="406"/>
      <c r="GX163" s="406"/>
      <c r="GY163" s="406"/>
      <c r="GZ163" s="406"/>
      <c r="HA163" s="406"/>
      <c r="HB163" s="406"/>
      <c r="HC163" s="406"/>
      <c r="HD163" s="406"/>
      <c r="HE163" s="406"/>
      <c r="HF163" s="406"/>
      <c r="HG163" s="406"/>
      <c r="HH163" s="406"/>
      <c r="HI163" s="406"/>
      <c r="HJ163" s="406"/>
      <c r="HK163" s="406"/>
      <c r="HL163" s="406"/>
      <c r="HM163" s="406"/>
      <c r="HN163" s="406"/>
      <c r="HO163" s="406"/>
      <c r="HP163" s="406"/>
      <c r="HQ163" s="406"/>
      <c r="HR163" s="406"/>
      <c r="HS163" s="406"/>
      <c r="HT163" s="406"/>
      <c r="HU163" s="406"/>
      <c r="HV163" s="406"/>
      <c r="HW163" s="406"/>
      <c r="HX163" s="406"/>
      <c r="HY163" s="406"/>
      <c r="HZ163" s="406"/>
      <c r="IA163" s="406"/>
      <c r="IB163" s="406"/>
      <c r="IC163" s="406"/>
      <c r="ID163" s="406"/>
      <c r="IE163" s="406"/>
      <c r="IF163" s="406"/>
      <c r="IG163" s="406"/>
      <c r="IH163" s="406"/>
      <c r="II163" s="406"/>
      <c r="IJ163" s="406"/>
      <c r="IK163" s="406"/>
      <c r="IL163" s="406"/>
      <c r="IM163" s="406"/>
      <c r="IN163" s="406"/>
      <c r="IO163" s="406"/>
      <c r="IP163" s="406"/>
      <c r="IQ163" s="406"/>
      <c r="IR163" s="406"/>
      <c r="IS163" s="406"/>
    </row>
    <row r="164" spans="1:253" s="406" customFormat="1" ht="17.25">
      <c r="A164" s="499"/>
      <c r="B164" s="55"/>
      <c r="C164" s="917"/>
      <c r="D164" s="5"/>
      <c r="E164" s="1294" t="s">
        <v>317</v>
      </c>
      <c r="F164" s="928">
        <f>IF(AND($G$2="No",$G$3="No"),SUM(K164:L164),IF(AND($G$2="Yes", $G$3="No"), SUM(K164:L164)+S164, IF(AND($G$2="No", $G$3="Yes"),SUM(K164:L164)+R164, SUM(K164:L164)+S164+R164)))</f>
        <v>-9.1139048141381296E-2</v>
      </c>
      <c r="G164" s="877">
        <f>IF(AND($G$2="No",$G$3="No"),SUM(I164:Q164),IF(AND($G$2="Yes", $G$3="No"), SUM(I164:Q164)+S164, IF(AND($G$2="No", $G$3="Yes"),SUM(I164:Q164)+R164, SUM(I164:Q164)+S164+R164)))</f>
        <v>0.27252175184433181</v>
      </c>
      <c r="H164" s="878">
        <f>SUM(U164:W164)/(1-'Common input data'!$B$140)</f>
        <v>0.54006653758722023</v>
      </c>
      <c r="I164" s="877">
        <f>('Input data plant-based products'!$F$113*('Common input data'!$B$93*'Common input data'!B86+'Common input data'!$B$94*'Common input data'!C86))/'Input data plant-based products'!$E$113</f>
        <v>9.3841715331211134E-2</v>
      </c>
      <c r="J164" s="877">
        <f>'Common input data'!$B$98</f>
        <v>0.03</v>
      </c>
      <c r="K164" s="877">
        <v>0</v>
      </c>
      <c r="L164" s="877">
        <v>0</v>
      </c>
      <c r="M164" s="877"/>
      <c r="N164" s="877">
        <f>('Input data plant-based products'!$P$113*'Common input data'!$C$76*'Common input data'!H66)/'Input data plant-based products'!$E$113</f>
        <v>0.23981908465450194</v>
      </c>
      <c r="O164" s="877">
        <v>0</v>
      </c>
      <c r="P164" s="877">
        <v>0</v>
      </c>
      <c r="Q164" s="877">
        <v>0</v>
      </c>
      <c r="R164" s="877">
        <f>'Common input data'!$F$19</f>
        <v>-9.1139048141381296E-2</v>
      </c>
      <c r="S164" s="877">
        <v>0</v>
      </c>
      <c r="T164" s="877">
        <v>0</v>
      </c>
      <c r="U164" s="877">
        <f>G164+T164</f>
        <v>0.27252175184433181</v>
      </c>
      <c r="V164" s="877">
        <f>'Common input data'!B$103</f>
        <v>0.15</v>
      </c>
      <c r="W164" s="886">
        <f>'Common input data'!C115</f>
        <v>0.03</v>
      </c>
      <c r="X164" s="877"/>
      <c r="Y164" s="879"/>
      <c r="Z164" s="877"/>
      <c r="AA164" s="877"/>
      <c r="AB164" s="877"/>
      <c r="AC164" s="877"/>
      <c r="AD164" s="886"/>
      <c r="AE164" s="877"/>
      <c r="AF164" s="879"/>
      <c r="AG164" s="877"/>
      <c r="AH164" s="877"/>
      <c r="AI164" s="877"/>
      <c r="AJ164" s="877"/>
      <c r="AK164" s="886"/>
      <c r="AL164" s="877"/>
      <c r="AM164" s="879"/>
      <c r="AN164" s="877"/>
      <c r="AO164" s="877"/>
      <c r="AP164" s="877"/>
      <c r="AQ164" s="877"/>
      <c r="AR164" s="886"/>
      <c r="AS164" s="877"/>
      <c r="AT164" s="879"/>
      <c r="AU164" s="877"/>
      <c r="AV164" s="877"/>
      <c r="AW164" s="877"/>
      <c r="AX164" s="877"/>
      <c r="AY164" s="886"/>
      <c r="AZ164" s="877"/>
      <c r="BA164" s="879"/>
      <c r="BB164" s="877"/>
      <c r="BC164" s="877"/>
      <c r="BD164" s="877"/>
      <c r="BE164" s="877"/>
      <c r="BF164" s="886"/>
      <c r="BG164" s="877"/>
      <c r="BH164" s="879"/>
      <c r="BI164" s="877"/>
      <c r="BJ164" s="877"/>
      <c r="BK164" s="877"/>
      <c r="BL164" s="877"/>
      <c r="BM164" s="886"/>
      <c r="BN164" s="877"/>
      <c r="BO164" s="879"/>
      <c r="BP164" s="877"/>
      <c r="BQ164" s="877"/>
      <c r="BR164" s="877"/>
      <c r="BS164" s="877"/>
      <c r="BT164" s="886"/>
      <c r="BU164" s="877"/>
      <c r="BV164" s="879"/>
      <c r="BW164" s="886"/>
    </row>
    <row r="165" spans="1:253" s="406" customFormat="1" ht="17.25">
      <c r="A165" s="499"/>
      <c r="B165" s="55"/>
      <c r="C165" s="595"/>
      <c r="D165" s="50"/>
      <c r="E165" s="1294" t="s">
        <v>367</v>
      </c>
      <c r="F165" s="928">
        <f>SUM(K165:L165)</f>
        <v>0</v>
      </c>
      <c r="G165" s="877">
        <f>SUM(I165:Q165)</f>
        <v>2.2428928093007889E-4</v>
      </c>
      <c r="H165" s="878">
        <f>SUM(U165:W165)/(1-'Common input data'!$B$140)</f>
        <v>2.6768024934965855E-4</v>
      </c>
      <c r="I165" s="877">
        <f>('Input data plant-based products'!$F$113*('Common input data'!$B$93*'Common input data'!B87+'Common input data'!$B$94*'Common input data'!C87))/'Input data plant-based products'!$E$113</f>
        <v>1.1805751305691107E-4</v>
      </c>
      <c r="J165" s="877">
        <v>0</v>
      </c>
      <c r="K165" s="877">
        <v>0</v>
      </c>
      <c r="L165" s="877">
        <v>0</v>
      </c>
      <c r="M165" s="877"/>
      <c r="N165" s="877">
        <f>('Input data plant-based products'!$P$113*'Common input data'!$C$76*'Common input data'!H67)/'Input data plant-based products'!$E$113</f>
        <v>1.0623176787316782E-4</v>
      </c>
      <c r="O165" s="877">
        <v>0</v>
      </c>
      <c r="P165" s="877">
        <v>0</v>
      </c>
      <c r="Q165" s="877">
        <v>0</v>
      </c>
      <c r="R165" s="877">
        <v>0</v>
      </c>
      <c r="S165" s="877">
        <v>0</v>
      </c>
      <c r="T165" s="877">
        <v>0</v>
      </c>
      <c r="U165" s="877">
        <f>G165+T165</f>
        <v>2.2428928093007889E-4</v>
      </c>
      <c r="V165" s="877">
        <v>0</v>
      </c>
      <c r="W165" s="886">
        <v>0</v>
      </c>
      <c r="X165" s="877"/>
      <c r="Y165" s="879"/>
      <c r="Z165" s="877"/>
      <c r="AA165" s="877"/>
      <c r="AB165" s="877"/>
      <c r="AC165" s="877"/>
      <c r="AD165" s="886"/>
      <c r="AE165" s="877"/>
      <c r="AF165" s="879"/>
      <c r="AG165" s="877"/>
      <c r="AH165" s="877"/>
      <c r="AI165" s="877"/>
      <c r="AJ165" s="877"/>
      <c r="AK165" s="886"/>
      <c r="AL165" s="877"/>
      <c r="AM165" s="879"/>
      <c r="AN165" s="877"/>
      <c r="AO165" s="877"/>
      <c r="AP165" s="877"/>
      <c r="AQ165" s="877"/>
      <c r="AR165" s="886"/>
      <c r="AS165" s="877"/>
      <c r="AT165" s="879"/>
      <c r="AU165" s="877"/>
      <c r="AV165" s="877"/>
      <c r="AW165" s="877"/>
      <c r="AX165" s="877"/>
      <c r="AY165" s="886"/>
      <c r="AZ165" s="877"/>
      <c r="BA165" s="879"/>
      <c r="BB165" s="877"/>
      <c r="BC165" s="877"/>
      <c r="BD165" s="877"/>
      <c r="BE165" s="877"/>
      <c r="BF165" s="886"/>
      <c r="BG165" s="877"/>
      <c r="BH165" s="879"/>
      <c r="BI165" s="877"/>
      <c r="BJ165" s="877"/>
      <c r="BK165" s="877"/>
      <c r="BL165" s="877"/>
      <c r="BM165" s="886"/>
      <c r="BN165" s="877"/>
      <c r="BO165" s="879"/>
      <c r="BP165" s="877"/>
      <c r="BQ165" s="877"/>
      <c r="BR165" s="877"/>
      <c r="BS165" s="877"/>
      <c r="BT165" s="886"/>
      <c r="BU165" s="877"/>
      <c r="BV165" s="879"/>
      <c r="BW165" s="886"/>
    </row>
    <row r="166" spans="1:253" s="406" customFormat="1" ht="17.25">
      <c r="A166" s="18"/>
      <c r="B166" s="360"/>
      <c r="C166" s="83"/>
      <c r="D166" s="54"/>
      <c r="E166" s="1295" t="s">
        <v>320</v>
      </c>
      <c r="F166" s="928">
        <f>SUM(K166:L166)</f>
        <v>8.2731507200547007E-4</v>
      </c>
      <c r="G166" s="877">
        <f>SUM(I166:Q166)</f>
        <v>1.0310867235637624E-3</v>
      </c>
      <c r="H166" s="878">
        <f>SUM(U166:W166)/(1-'Common input data'!$B$140)</f>
        <v>1.230560596209288E-3</v>
      </c>
      <c r="I166" s="877">
        <f>('Input data plant-based products'!$F$113*('Common input data'!$B$93*'Common input data'!B88+'Common input data'!$B$94*'Common input data'!C88))/'Input data plant-based products'!$E$113</f>
        <v>1.9732761925198055E-4</v>
      </c>
      <c r="J166" s="877">
        <v>0</v>
      </c>
      <c r="K166" s="877">
        <f>(SUM(('Input data plant-based products'!$F$113*'Input data plant-based products'!$B$258),(('Input data plant-based products'!$G$113+'Input data plant-based products'!$H$113)*'Input data plant-based products'!$B$259))*44/28)/'Input data plant-based products'!$E$113</f>
        <v>7.5210461091406366E-4</v>
      </c>
      <c r="L166" s="877">
        <f>K166*'Input data plant-based products'!$B$261</f>
        <v>7.5210461091406369E-5</v>
      </c>
      <c r="M166" s="877"/>
      <c r="N166" s="877">
        <f>('Input data plant-based products'!$P$113*'Common input data'!$C$76*'Common input data'!H68)/'Input data plant-based products'!$E$113</f>
        <v>6.444032306311696E-6</v>
      </c>
      <c r="O166" s="877">
        <v>0</v>
      </c>
      <c r="P166" s="877">
        <v>0</v>
      </c>
      <c r="Q166" s="877">
        <v>0</v>
      </c>
      <c r="R166" s="877">
        <v>0</v>
      </c>
      <c r="S166" s="877">
        <v>0</v>
      </c>
      <c r="T166" s="877">
        <v>0</v>
      </c>
      <c r="U166" s="877">
        <f>G166+T166</f>
        <v>1.0310867235637624E-3</v>
      </c>
      <c r="V166" s="877">
        <v>0</v>
      </c>
      <c r="W166" s="886">
        <v>0</v>
      </c>
      <c r="X166" s="877"/>
      <c r="Y166" s="879"/>
      <c r="Z166" s="877"/>
      <c r="AA166" s="877"/>
      <c r="AB166" s="877"/>
      <c r="AC166" s="877"/>
      <c r="AD166" s="886"/>
      <c r="AE166" s="877"/>
      <c r="AF166" s="879"/>
      <c r="AG166" s="877"/>
      <c r="AH166" s="877"/>
      <c r="AI166" s="877"/>
      <c r="AJ166" s="877"/>
      <c r="AK166" s="886"/>
      <c r="AL166" s="877"/>
      <c r="AM166" s="879"/>
      <c r="AN166" s="877"/>
      <c r="AO166" s="877"/>
      <c r="AP166" s="877"/>
      <c r="AQ166" s="877"/>
      <c r="AR166" s="886"/>
      <c r="AS166" s="877"/>
      <c r="AT166" s="879"/>
      <c r="AU166" s="877"/>
      <c r="AV166" s="877"/>
      <c r="AW166" s="877"/>
      <c r="AX166" s="877"/>
      <c r="AY166" s="886"/>
      <c r="AZ166" s="877"/>
      <c r="BA166" s="879"/>
      <c r="BB166" s="877"/>
      <c r="BC166" s="877"/>
      <c r="BD166" s="877"/>
      <c r="BE166" s="877"/>
      <c r="BF166" s="886"/>
      <c r="BG166" s="877"/>
      <c r="BH166" s="879"/>
      <c r="BI166" s="877"/>
      <c r="BJ166" s="877"/>
      <c r="BK166" s="877"/>
      <c r="BL166" s="877"/>
      <c r="BM166" s="886"/>
      <c r="BN166" s="877"/>
      <c r="BO166" s="879"/>
      <c r="BP166" s="877"/>
      <c r="BQ166" s="877"/>
      <c r="BR166" s="877"/>
      <c r="BS166" s="877"/>
      <c r="BT166" s="886"/>
      <c r="BU166" s="877"/>
      <c r="BV166" s="879"/>
      <c r="BW166" s="886"/>
    </row>
    <row r="167" spans="1:253" s="502" customFormat="1" ht="17.25">
      <c r="A167" s="20" t="s">
        <v>126</v>
      </c>
      <c r="B167" s="93" t="s">
        <v>121</v>
      </c>
      <c r="C167" s="87">
        <f>'Input data plant-based products'!D114</f>
        <v>0.15</v>
      </c>
      <c r="D167" s="54"/>
      <c r="E167" s="1293" t="s">
        <v>316</v>
      </c>
      <c r="F167" s="930">
        <f>SUMPRODUCT($CI$4:$CI$6,F168:F170)</f>
        <v>-2.6550510930089574E-2</v>
      </c>
      <c r="G167" s="872">
        <f>SUMPRODUCT($CI$4:$CI$6,G168:G170)</f>
        <v>0.17647475931197215</v>
      </c>
      <c r="H167" s="873">
        <f>SUMPRODUCT($CI$4:$CI$6,H168:H170)</f>
        <v>0.54478429324737099</v>
      </c>
      <c r="I167" s="884"/>
      <c r="J167" s="884"/>
      <c r="K167" s="884"/>
      <c r="L167" s="884"/>
      <c r="M167" s="884"/>
      <c r="N167" s="884"/>
      <c r="O167" s="884"/>
      <c r="P167" s="884"/>
      <c r="Q167" s="884"/>
      <c r="R167" s="884"/>
      <c r="S167" s="884"/>
      <c r="T167" s="884"/>
      <c r="U167" s="884"/>
      <c r="V167" s="884"/>
      <c r="W167" s="885"/>
      <c r="X167" s="877"/>
      <c r="Y167" s="879">
        <f>1/'Input data plant-based products'!E114*10^4</f>
        <v>0.85543199315654417</v>
      </c>
      <c r="Z167" s="877">
        <f>$Y167*'Input data plant-based products'!Z114</f>
        <v>0.85543199315654417</v>
      </c>
      <c r="AA167" s="877">
        <f>$Y167*'Input data plant-based products'!AA114</f>
        <v>0.85543199315654417</v>
      </c>
      <c r="AB167" s="877">
        <f>$Y167*'Input data plant-based products'!AB114</f>
        <v>0.85543199315654417</v>
      </c>
      <c r="AC167" s="877">
        <f>$Y167*'Input data plant-based products'!AC114</f>
        <v>1.0209237297488294</v>
      </c>
      <c r="AD167" s="886">
        <f>$Y167*'Input data plant-based products'!AD114</f>
        <v>1.2603996663565793</v>
      </c>
      <c r="AE167" s="877"/>
      <c r="AF167" s="879">
        <f>SUM('Input data plant-based products'!F114,'Input data plant-based products'!Q114)/'Input data plant-based products'!E114</f>
        <v>8.5543199315654406E-3</v>
      </c>
      <c r="AG167" s="877">
        <f>$AF167*'Input data plant-based products'!Z114</f>
        <v>8.5543199315654406E-3</v>
      </c>
      <c r="AH167" s="877">
        <f>$AF167*'Input data plant-based products'!AA114</f>
        <v>8.5543199315654406E-3</v>
      </c>
      <c r="AI167" s="877">
        <f>$AF167*'Input data plant-based products'!AB114</f>
        <v>8.5543199315654406E-3</v>
      </c>
      <c r="AJ167" s="877">
        <f>$AF167*'Input data plant-based products'!AC114</f>
        <v>1.0209237297488292E-2</v>
      </c>
      <c r="AK167" s="886">
        <f>$AF167*'Input data plant-based products'!AD114</f>
        <v>1.2603996663565792E-2</v>
      </c>
      <c r="AL167" s="877"/>
      <c r="AM167" s="879">
        <f>'Input data plant-based products'!R114/'Input data plant-based products'!E114</f>
        <v>1.0692899914456801E-3</v>
      </c>
      <c r="AN167" s="877">
        <f>$AM167*'Input data plant-based products'!Z114</f>
        <v>1.0692899914456801E-3</v>
      </c>
      <c r="AO167" s="877">
        <f>$AM167*'Input data plant-based products'!AA114</f>
        <v>1.0692899914456801E-3</v>
      </c>
      <c r="AP167" s="877">
        <f>$AM167*'Input data plant-based products'!AB114</f>
        <v>1.0692899914456801E-3</v>
      </c>
      <c r="AQ167" s="877">
        <f>$AM167*'Input data plant-based products'!AC114</f>
        <v>1.2761546621860365E-3</v>
      </c>
      <c r="AR167" s="886">
        <f>$AM167*'Input data plant-based products'!AD114</f>
        <v>1.575499582945724E-3</v>
      </c>
      <c r="AS167" s="877"/>
      <c r="AT167" s="879">
        <f>'Input data plant-based products'!S114</f>
        <v>5.0000000000000001E-3</v>
      </c>
      <c r="AU167" s="877">
        <f>$AT167*'Input data plant-based products'!Z114</f>
        <v>5.0000000000000001E-3</v>
      </c>
      <c r="AV167" s="877">
        <f>$AT167*'Input data plant-based products'!AA114</f>
        <v>5.0000000000000001E-3</v>
      </c>
      <c r="AW167" s="877">
        <f>$AT167*'Input data plant-based products'!AB114</f>
        <v>5.0000000000000001E-3</v>
      </c>
      <c r="AX167" s="877">
        <f>$AT167*'Input data plant-based products'!AC114</f>
        <v>5.9672992003819069E-3</v>
      </c>
      <c r="AY167" s="886">
        <f>$AT167*'Input data plant-based products'!AD114</f>
        <v>7.3670360498542054E-3</v>
      </c>
      <c r="AZ167" s="877"/>
      <c r="BA167" s="879">
        <f>((SUM('Input data plant-based products'!U114:Y114)*Y167)/('Common input data'!$B$192/10^6))/$BB$3</f>
        <v>1.9212693677063592E-11</v>
      </c>
      <c r="BB167" s="877">
        <f>$BA167*'Input data plant-based products'!Z114</f>
        <v>1.9212693677063592E-11</v>
      </c>
      <c r="BC167" s="877">
        <f>$BA167*'Input data plant-based products'!AA114</f>
        <v>1.9212693677063592E-11</v>
      </c>
      <c r="BD167" s="877">
        <f>$BA167*'Input data plant-based products'!AB114</f>
        <v>1.9212693677063592E-11</v>
      </c>
      <c r="BE167" s="877">
        <f>$BA167*'Input data plant-based products'!AC114</f>
        <v>2.2929578323264817E-11</v>
      </c>
      <c r="BF167" s="886">
        <f>$BA167*'Input data plant-based products'!AD114</f>
        <v>2.8308121386746688E-11</v>
      </c>
      <c r="BG167" s="877"/>
      <c r="BH167" s="879">
        <f>'Input data plant-based products'!T114/'Input data plant-based products'!E114</f>
        <v>1.6937553464499574E-3</v>
      </c>
      <c r="BI167" s="877">
        <f>$BH167*'Input data plant-based products'!Z114</f>
        <v>1.6937553464499574E-3</v>
      </c>
      <c r="BJ167" s="877">
        <f>$BH167*'Input data plant-based products'!AA114</f>
        <v>1.6937553464499574E-3</v>
      </c>
      <c r="BK167" s="877">
        <f>$BH167*'Input data plant-based products'!AB114</f>
        <v>1.6937553464499574E-3</v>
      </c>
      <c r="BL167" s="877">
        <f>$BH167*'Input data plant-based products'!AC114</f>
        <v>2.021428984902682E-3</v>
      </c>
      <c r="BM167" s="886">
        <f>$BH167*'Input data plant-based products'!AD114</f>
        <v>2.4955913393860272E-3</v>
      </c>
      <c r="BN167" s="877"/>
      <c r="BO167" s="879">
        <f>('Input data plant-based products'!F114/'Input data plant-based products'!E114*'Common input data'!$B$195+'Input data plant-based products'!G114/'Input data plant-based products'!E114*'Common input data'!$B$196)/'Common input data'!$B$198</f>
        <v>2.1842372227060124E-4</v>
      </c>
      <c r="BP167" s="877">
        <f>$BO167*'Input data plant-based products'!Z114</f>
        <v>2.1842372227060124E-4</v>
      </c>
      <c r="BQ167" s="877">
        <f>$BO167*'Input data plant-based products'!AA114</f>
        <v>2.1842372227060124E-4</v>
      </c>
      <c r="BR167" s="877">
        <f>$BO167*'Input data plant-based products'!AB114</f>
        <v>2.1842372227060124E-4</v>
      </c>
      <c r="BS167" s="877">
        <f>$BO167*'Input data plant-based products'!AC114</f>
        <v>2.6067994064995971E-4</v>
      </c>
      <c r="BT167" s="886">
        <f>$BO167*'Input data plant-based products'!AD114</f>
        <v>3.2182708722217242E-4</v>
      </c>
      <c r="BU167" s="877"/>
      <c r="BV167" s="879">
        <f>('Common input data'!$C$202+'Common input data'!$B$208)*'Input data plant-based products'!AC114</f>
        <v>0.85451724549468899</v>
      </c>
      <c r="BW167" s="886">
        <f>('Common input data'!$C$202+'Common input data'!$B$208)*'Input data plant-based products'!AD114</f>
        <v>1.0549595623391221</v>
      </c>
      <c r="BX167" s="406"/>
      <c r="BY167" s="406"/>
      <c r="BZ167" s="406"/>
      <c r="CA167" s="406"/>
      <c r="CB167" s="406"/>
      <c r="CC167" s="406"/>
      <c r="CD167" s="406"/>
      <c r="CE167" s="406"/>
      <c r="CF167" s="406"/>
      <c r="CG167" s="406"/>
      <c r="CH167" s="406"/>
      <c r="CI167" s="406"/>
      <c r="CJ167" s="406"/>
      <c r="CK167" s="406"/>
      <c r="CL167" s="406"/>
      <c r="CM167" s="406"/>
      <c r="CN167" s="406"/>
      <c r="CO167" s="406"/>
      <c r="CP167" s="406"/>
      <c r="CQ167" s="406"/>
      <c r="CR167" s="406"/>
      <c r="CS167" s="406"/>
      <c r="CT167" s="406"/>
      <c r="CU167" s="406"/>
      <c r="CV167" s="406"/>
      <c r="CW167" s="406"/>
      <c r="CX167" s="406"/>
      <c r="CY167" s="406"/>
      <c r="CZ167" s="406"/>
      <c r="DA167" s="406"/>
      <c r="DB167" s="406"/>
      <c r="DC167" s="406"/>
      <c r="DD167" s="406"/>
      <c r="DE167" s="406"/>
      <c r="DF167" s="406"/>
      <c r="DG167" s="406"/>
      <c r="DH167" s="406"/>
      <c r="DI167" s="406"/>
      <c r="DJ167" s="406"/>
      <c r="DK167" s="406"/>
      <c r="DL167" s="406"/>
      <c r="DM167" s="406"/>
      <c r="DN167" s="406"/>
      <c r="DO167" s="406"/>
      <c r="DP167" s="406"/>
      <c r="DQ167" s="406"/>
      <c r="DR167" s="406"/>
      <c r="DS167" s="406"/>
      <c r="DT167" s="406"/>
      <c r="DU167" s="406"/>
      <c r="DV167" s="406"/>
      <c r="DW167" s="406"/>
      <c r="DX167" s="406"/>
      <c r="DY167" s="406"/>
      <c r="DZ167" s="406"/>
      <c r="EA167" s="406"/>
      <c r="EB167" s="406"/>
      <c r="EC167" s="406"/>
      <c r="ED167" s="406"/>
      <c r="EE167" s="406"/>
      <c r="EF167" s="406"/>
      <c r="EG167" s="406"/>
      <c r="EH167" s="406"/>
      <c r="EI167" s="406"/>
      <c r="EJ167" s="406"/>
      <c r="EK167" s="406"/>
      <c r="EL167" s="406"/>
      <c r="EM167" s="406"/>
      <c r="EN167" s="406"/>
      <c r="EO167" s="406"/>
      <c r="EP167" s="406"/>
      <c r="EQ167" s="406"/>
      <c r="ER167" s="406"/>
      <c r="ES167" s="406"/>
      <c r="ET167" s="406"/>
      <c r="EU167" s="406"/>
      <c r="EV167" s="406"/>
      <c r="EW167" s="406"/>
      <c r="EX167" s="406"/>
      <c r="EY167" s="406"/>
      <c r="EZ167" s="406"/>
      <c r="FA167" s="406"/>
      <c r="FB167" s="406"/>
      <c r="FC167" s="406"/>
      <c r="FD167" s="406"/>
      <c r="FE167" s="406"/>
      <c r="FF167" s="406"/>
      <c r="FG167" s="406"/>
      <c r="FH167" s="406"/>
      <c r="FI167" s="406"/>
      <c r="FJ167" s="406"/>
      <c r="FK167" s="406"/>
      <c r="FL167" s="406"/>
      <c r="FM167" s="406"/>
      <c r="FN167" s="406"/>
      <c r="FO167" s="406"/>
      <c r="FP167" s="406"/>
      <c r="FQ167" s="406"/>
      <c r="FR167" s="406"/>
      <c r="FS167" s="406"/>
      <c r="FT167" s="406"/>
      <c r="FU167" s="406"/>
      <c r="FV167" s="406"/>
      <c r="FW167" s="406"/>
      <c r="FX167" s="406"/>
      <c r="FY167" s="406"/>
      <c r="FZ167" s="406"/>
      <c r="GA167" s="406"/>
      <c r="GB167" s="406"/>
      <c r="GC167" s="406"/>
      <c r="GD167" s="406"/>
      <c r="GE167" s="406"/>
      <c r="GF167" s="406"/>
      <c r="GG167" s="406"/>
      <c r="GH167" s="406"/>
      <c r="GI167" s="406"/>
      <c r="GJ167" s="406"/>
      <c r="GK167" s="406"/>
      <c r="GL167" s="406"/>
      <c r="GM167" s="406"/>
      <c r="GN167" s="406"/>
      <c r="GO167" s="406"/>
      <c r="GP167" s="406"/>
      <c r="GQ167" s="406"/>
      <c r="GR167" s="406"/>
      <c r="GS167" s="406"/>
      <c r="GT167" s="406"/>
      <c r="GU167" s="406"/>
      <c r="GV167" s="406"/>
      <c r="GW167" s="406"/>
      <c r="GX167" s="406"/>
      <c r="GY167" s="406"/>
      <c r="GZ167" s="406"/>
      <c r="HA167" s="406"/>
      <c r="HB167" s="406"/>
      <c r="HC167" s="406"/>
      <c r="HD167" s="406"/>
      <c r="HE167" s="406"/>
      <c r="HF167" s="406"/>
      <c r="HG167" s="406"/>
      <c r="HH167" s="406"/>
      <c r="HI167" s="406"/>
      <c r="HJ167" s="406"/>
      <c r="HK167" s="406"/>
      <c r="HL167" s="406"/>
      <c r="HM167" s="406"/>
      <c r="HN167" s="406"/>
      <c r="HO167" s="406"/>
      <c r="HP167" s="406"/>
      <c r="HQ167" s="406"/>
      <c r="HR167" s="406"/>
      <c r="HS167" s="406"/>
      <c r="HT167" s="406"/>
      <c r="HU167" s="406"/>
      <c r="HV167" s="406"/>
      <c r="HW167" s="406"/>
      <c r="HX167" s="406"/>
      <c r="HY167" s="406"/>
      <c r="HZ167" s="406"/>
      <c r="IA167" s="406"/>
      <c r="IB167" s="406"/>
      <c r="IC167" s="406"/>
      <c r="ID167" s="406"/>
      <c r="IE167" s="406"/>
      <c r="IF167" s="406"/>
      <c r="IG167" s="406"/>
      <c r="IH167" s="406"/>
      <c r="II167" s="406"/>
      <c r="IJ167" s="406"/>
      <c r="IK167" s="406"/>
      <c r="IL167" s="406"/>
      <c r="IM167" s="406"/>
      <c r="IN167" s="406"/>
      <c r="IO167" s="406"/>
      <c r="IP167" s="406"/>
      <c r="IQ167" s="406"/>
      <c r="IR167" s="406"/>
      <c r="IS167" s="406"/>
    </row>
    <row r="168" spans="1:253" s="406" customFormat="1" ht="17.25">
      <c r="A168" s="499"/>
      <c r="B168" s="55"/>
      <c r="C168" s="917"/>
      <c r="D168" s="5"/>
      <c r="E168" s="1294" t="s">
        <v>317</v>
      </c>
      <c r="F168" s="928">
        <f>IF(AND($G$2="No",$G$3="No"),SUM(K168:L168),IF(AND($G$2="Yes", $G$3="No"), SUM(K168:L168)+S168, IF(AND($G$2="No", $G$3="Yes"),SUM(K168:L168)+R168, SUM(K168:L168)+S168+R168)))</f>
        <v>-9.1139048141381296E-2</v>
      </c>
      <c r="G168" s="877">
        <f>IF(AND($G$2="No",$G$3="No"),SUM(I168:Q168),IF(AND($G$2="Yes", $G$3="No"), SUM(I168:Q168)+S168, IF(AND($G$2="No", $G$3="Yes"),SUM(I168:Q168)+R168, SUM(I168:Q168)+S168+R168)))</f>
        <v>8.9649035273196787E-2</v>
      </c>
      <c r="H168" s="878">
        <f>SUM(U168:W168)/(1-'Common input data'!$B$140)</f>
        <v>0.44116127852153814</v>
      </c>
      <c r="I168" s="877">
        <f>('Input data plant-based products'!$F$114*('Common input data'!$C$93*'Common input data'!B86+'Common input data'!$C$94*'Common input data'!C86))/'Input data plant-based products'!$E$114</f>
        <v>3.2206800266588356E-2</v>
      </c>
      <c r="J168" s="877">
        <f>'Common input data'!$B$98</f>
        <v>0.03</v>
      </c>
      <c r="K168" s="877">
        <v>0</v>
      </c>
      <c r="L168" s="877">
        <v>0</v>
      </c>
      <c r="M168" s="877"/>
      <c r="N168" s="877">
        <f>('Input data plant-based products'!$P$114*'Common input data'!$C$76*'Common input data'!H66)/'Input data plant-based products'!$E$114</f>
        <v>6.8581283147989738E-2</v>
      </c>
      <c r="O168" s="877">
        <v>0</v>
      </c>
      <c r="P168" s="877">
        <f>'Input data plant-based products'!F$309</f>
        <v>0.05</v>
      </c>
      <c r="Q168" s="877">
        <v>0</v>
      </c>
      <c r="R168" s="877">
        <f>'Common input data'!$F$19</f>
        <v>-9.1139048141381296E-2</v>
      </c>
      <c r="S168" s="877">
        <v>0</v>
      </c>
      <c r="T168" s="877">
        <v>0</v>
      </c>
      <c r="U168" s="877">
        <f>G168+T168</f>
        <v>8.9649035273196787E-2</v>
      </c>
      <c r="V168" s="877">
        <f>'Common input data'!B$103</f>
        <v>0.15</v>
      </c>
      <c r="W168" s="886">
        <f>'Common input data'!B116+'Common input data'!C116</f>
        <v>0.13</v>
      </c>
      <c r="X168" s="877"/>
      <c r="Y168" s="879"/>
      <c r="Z168" s="877"/>
      <c r="AA168" s="877"/>
      <c r="AB168" s="877"/>
      <c r="AC168" s="877"/>
      <c r="AD168" s="886"/>
      <c r="AE168" s="877"/>
      <c r="AF168" s="879"/>
      <c r="AG168" s="877"/>
      <c r="AH168" s="877"/>
      <c r="AI168" s="877"/>
      <c r="AJ168" s="877"/>
      <c r="AK168" s="886"/>
      <c r="AL168" s="877"/>
      <c r="AM168" s="879"/>
      <c r="AN168" s="877"/>
      <c r="AO168" s="877"/>
      <c r="AP168" s="877"/>
      <c r="AQ168" s="877"/>
      <c r="AR168" s="886"/>
      <c r="AS168" s="877"/>
      <c r="AT168" s="879"/>
      <c r="AU168" s="877"/>
      <c r="AV168" s="877"/>
      <c r="AW168" s="877"/>
      <c r="AX168" s="877"/>
      <c r="AY168" s="886"/>
      <c r="AZ168" s="877"/>
      <c r="BA168" s="879"/>
      <c r="BB168" s="877"/>
      <c r="BC168" s="877"/>
      <c r="BD168" s="877"/>
      <c r="BE168" s="877"/>
      <c r="BF168" s="886"/>
      <c r="BG168" s="877"/>
      <c r="BH168" s="879"/>
      <c r="BI168" s="877"/>
      <c r="BJ168" s="877"/>
      <c r="BK168" s="877"/>
      <c r="BL168" s="877"/>
      <c r="BM168" s="886"/>
      <c r="BN168" s="877"/>
      <c r="BO168" s="879"/>
      <c r="BP168" s="877"/>
      <c r="BQ168" s="877"/>
      <c r="BR168" s="877"/>
      <c r="BS168" s="877"/>
      <c r="BT168" s="886"/>
      <c r="BU168" s="877"/>
      <c r="BV168" s="879"/>
      <c r="BW168" s="886"/>
    </row>
    <row r="169" spans="1:253" s="406" customFormat="1" ht="17.25">
      <c r="A169" s="499"/>
      <c r="B169" s="55"/>
      <c r="C169" s="595"/>
      <c r="D169" s="50"/>
      <c r="E169" s="1294" t="s">
        <v>367</v>
      </c>
      <c r="F169" s="928">
        <f>SUM(K169:L169)</f>
        <v>0</v>
      </c>
      <c r="G169" s="877">
        <f>SUM(I169:Q169)</f>
        <v>8.9460972263575192E-5</v>
      </c>
      <c r="H169" s="878">
        <f>SUM(U169:W169)/(1-'Common input data'!$B$140)</f>
        <v>1.0676807765076405E-4</v>
      </c>
      <c r="I169" s="877">
        <f>('Input data plant-based products'!$F$114*('Common input data'!$C$93*'Common input data'!B87+'Common input data'!$C$94*'Common input data'!C87))/'Input data plant-based products'!$E$114</f>
        <v>5.9081776369648758E-5</v>
      </c>
      <c r="J169" s="877">
        <v>0</v>
      </c>
      <c r="K169" s="877">
        <v>0</v>
      </c>
      <c r="L169" s="877">
        <v>0</v>
      </c>
      <c r="M169" s="877"/>
      <c r="N169" s="877">
        <f>('Input data plant-based products'!$P$114*'Common input data'!$C$76*'Common input data'!H67)/'Input data plant-based products'!$E$114</f>
        <v>3.0379195893926435E-5</v>
      </c>
      <c r="O169" s="877">
        <v>0</v>
      </c>
      <c r="P169" s="877">
        <v>0</v>
      </c>
      <c r="Q169" s="877">
        <v>0</v>
      </c>
      <c r="R169" s="877">
        <v>0</v>
      </c>
      <c r="S169" s="877">
        <v>0</v>
      </c>
      <c r="T169" s="877">
        <v>0</v>
      </c>
      <c r="U169" s="877">
        <f>G169+T169</f>
        <v>8.9460972263575192E-5</v>
      </c>
      <c r="V169" s="877">
        <v>0</v>
      </c>
      <c r="W169" s="886">
        <v>0</v>
      </c>
      <c r="X169" s="877"/>
      <c r="Y169" s="879"/>
      <c r="Z169" s="877"/>
      <c r="AA169" s="877"/>
      <c r="AB169" s="877"/>
      <c r="AC169" s="877"/>
      <c r="AD169" s="886"/>
      <c r="AE169" s="877"/>
      <c r="AF169" s="879"/>
      <c r="AG169" s="877"/>
      <c r="AH169" s="877"/>
      <c r="AI169" s="877"/>
      <c r="AJ169" s="877"/>
      <c r="AK169" s="886"/>
      <c r="AL169" s="877"/>
      <c r="AM169" s="879"/>
      <c r="AN169" s="877"/>
      <c r="AO169" s="877"/>
      <c r="AP169" s="877"/>
      <c r="AQ169" s="877"/>
      <c r="AR169" s="886"/>
      <c r="AS169" s="877"/>
      <c r="AT169" s="879"/>
      <c r="AU169" s="877"/>
      <c r="AV169" s="877"/>
      <c r="AW169" s="877"/>
      <c r="AX169" s="877"/>
      <c r="AY169" s="886"/>
      <c r="AZ169" s="877"/>
      <c r="BA169" s="879"/>
      <c r="BB169" s="877"/>
      <c r="BC169" s="877"/>
      <c r="BD169" s="877"/>
      <c r="BE169" s="877"/>
      <c r="BF169" s="886"/>
      <c r="BG169" s="877"/>
      <c r="BH169" s="879"/>
      <c r="BI169" s="877"/>
      <c r="BJ169" s="877"/>
      <c r="BK169" s="877"/>
      <c r="BL169" s="877"/>
      <c r="BM169" s="886"/>
      <c r="BN169" s="877"/>
      <c r="BO169" s="879"/>
      <c r="BP169" s="877"/>
      <c r="BQ169" s="877"/>
      <c r="BR169" s="877"/>
      <c r="BS169" s="877"/>
      <c r="BT169" s="886"/>
      <c r="BU169" s="877"/>
      <c r="BV169" s="879"/>
      <c r="BW169" s="886"/>
    </row>
    <row r="170" spans="1:253" s="406" customFormat="1" ht="17.25">
      <c r="A170" s="18"/>
      <c r="B170" s="360"/>
      <c r="C170" s="83"/>
      <c r="D170" s="54"/>
      <c r="E170" s="1295" t="s">
        <v>320</v>
      </c>
      <c r="F170" s="928">
        <f>SUM(K170:L170)</f>
        <v>2.3658804839300996E-4</v>
      </c>
      <c r="G170" s="877">
        <f>SUM(I170:Q170)</f>
        <v>3.0919515673135111E-4</v>
      </c>
      <c r="H170" s="878">
        <f>SUM(U170:W170)/(1-'Common input data'!$B$140)</f>
        <v>3.6901200230499002E-4</v>
      </c>
      <c r="I170" s="877">
        <f>('Input data plant-based products'!$F$114*('Common input data'!$C$93*'Common input data'!B88+'Common input data'!$C$94*'Common input data'!C88))/'Input data plant-based products'!$E$114</f>
        <v>7.0764302521403587E-5</v>
      </c>
      <c r="J170" s="877">
        <v>0</v>
      </c>
      <c r="K170" s="877">
        <f>(SUM(('Input data plant-based products'!$F$114*'Input data plant-based products'!$B$258),(('Input data plant-based products'!$G$114+'Input data plant-based products'!$H$114)*'Input data plant-based products'!$B$259))*44/28)/'Input data plant-based products'!$E$114</f>
        <v>2.150800439936454E-4</v>
      </c>
      <c r="L170" s="877">
        <f>K170*'Input data plant-based products'!$B$261</f>
        <v>2.1508004399364541E-5</v>
      </c>
      <c r="M170" s="877"/>
      <c r="N170" s="877">
        <f>('Input data plant-based products'!$P$114*'Common input data'!$C$76*'Common input data'!H68)/'Input data plant-based products'!$E$114</f>
        <v>1.8428058169375535E-6</v>
      </c>
      <c r="O170" s="877">
        <v>0</v>
      </c>
      <c r="P170" s="877">
        <v>0</v>
      </c>
      <c r="Q170" s="877">
        <v>0</v>
      </c>
      <c r="R170" s="877">
        <v>0</v>
      </c>
      <c r="S170" s="877">
        <v>0</v>
      </c>
      <c r="T170" s="877">
        <v>0</v>
      </c>
      <c r="U170" s="877">
        <f>G170+T170</f>
        <v>3.0919515673135111E-4</v>
      </c>
      <c r="V170" s="877">
        <v>0</v>
      </c>
      <c r="W170" s="886">
        <v>0</v>
      </c>
      <c r="X170" s="877"/>
      <c r="Y170" s="879"/>
      <c r="Z170" s="877"/>
      <c r="AA170" s="877"/>
      <c r="AB170" s="877"/>
      <c r="AC170" s="877"/>
      <c r="AD170" s="886"/>
      <c r="AE170" s="877"/>
      <c r="AF170" s="879"/>
      <c r="AG170" s="877"/>
      <c r="AH170" s="877"/>
      <c r="AI170" s="877"/>
      <c r="AJ170" s="877"/>
      <c r="AK170" s="886"/>
      <c r="AL170" s="877"/>
      <c r="AM170" s="879"/>
      <c r="AN170" s="877"/>
      <c r="AO170" s="877"/>
      <c r="AP170" s="877"/>
      <c r="AQ170" s="877"/>
      <c r="AR170" s="886"/>
      <c r="AS170" s="877"/>
      <c r="AT170" s="879"/>
      <c r="AU170" s="877"/>
      <c r="AV170" s="877"/>
      <c r="AW170" s="877"/>
      <c r="AX170" s="877"/>
      <c r="AY170" s="886"/>
      <c r="AZ170" s="877"/>
      <c r="BA170" s="879"/>
      <c r="BB170" s="877"/>
      <c r="BC170" s="877"/>
      <c r="BD170" s="877"/>
      <c r="BE170" s="877"/>
      <c r="BF170" s="886"/>
      <c r="BG170" s="877"/>
      <c r="BH170" s="879"/>
      <c r="BI170" s="877"/>
      <c r="BJ170" s="877"/>
      <c r="BK170" s="877"/>
      <c r="BL170" s="877"/>
      <c r="BM170" s="886"/>
      <c r="BN170" s="877"/>
      <c r="BO170" s="879"/>
      <c r="BP170" s="877"/>
      <c r="BQ170" s="877"/>
      <c r="BR170" s="877"/>
      <c r="BS170" s="877"/>
      <c r="BT170" s="886"/>
      <c r="BU170" s="877"/>
      <c r="BV170" s="879"/>
      <c r="BW170" s="886"/>
    </row>
    <row r="171" spans="1:253" s="502" customFormat="1" ht="17.25">
      <c r="A171" s="20" t="s">
        <v>148</v>
      </c>
      <c r="B171" s="93" t="s">
        <v>121</v>
      </c>
      <c r="C171" s="87">
        <f>'Input data plant-based products'!D115</f>
        <v>0.25</v>
      </c>
      <c r="D171" s="54"/>
      <c r="E171" s="1293" t="s">
        <v>316</v>
      </c>
      <c r="F171" s="930">
        <f>SUMPRODUCT($CI$4:$CI$6,F172:F174)</f>
        <v>1.3754760329955096E-4</v>
      </c>
      <c r="G171" s="872">
        <f>SUMPRODUCT($CI$4:$CI$6,G172:G174)</f>
        <v>0.25399700228532346</v>
      </c>
      <c r="H171" s="873">
        <f>SUMPRODUCT($CI$4:$CI$6,H172:H174)</f>
        <v>0.63730397694870933</v>
      </c>
      <c r="I171" s="884"/>
      <c r="J171" s="884"/>
      <c r="K171" s="884"/>
      <c r="L171" s="884"/>
      <c r="M171" s="884"/>
      <c r="N171" s="884"/>
      <c r="O171" s="884"/>
      <c r="P171" s="884"/>
      <c r="Q171" s="884"/>
      <c r="R171" s="884"/>
      <c r="S171" s="884"/>
      <c r="T171" s="884"/>
      <c r="U171" s="884"/>
      <c r="V171" s="884"/>
      <c r="W171" s="885"/>
      <c r="X171" s="877"/>
      <c r="Y171" s="879">
        <f>1/'Input data plant-based products'!E115*10^4</f>
        <v>1.2088974854932302</v>
      </c>
      <c r="Z171" s="877">
        <f>$Y171*'Input data plant-based products'!Z115</f>
        <v>1.2088974854932302</v>
      </c>
      <c r="AA171" s="877">
        <f>$Y171*'Input data plant-based products'!AA115</f>
        <v>1.2088974854932302</v>
      </c>
      <c r="AB171" s="877">
        <f>$Y171*'Input data plant-based products'!AB115</f>
        <v>1.2088974854932302</v>
      </c>
      <c r="AC171" s="877">
        <f>$Y171*'Input data plant-based products'!AC115</f>
        <v>1.44277059970549</v>
      </c>
      <c r="AD171" s="886">
        <f>$Y171*'Input data plant-based products'!AD115</f>
        <v>1.7811982712413457</v>
      </c>
      <c r="AE171" s="877"/>
      <c r="AF171" s="879">
        <f>SUM('Input data plant-based products'!F115,'Input data plant-based products'!Q115)/'Input data plant-based products'!E115</f>
        <v>1.2088974854932301E-2</v>
      </c>
      <c r="AG171" s="877">
        <f>$AF171*'Input data plant-based products'!Z115</f>
        <v>1.2088974854932301E-2</v>
      </c>
      <c r="AH171" s="877">
        <f>$AF171*'Input data plant-based products'!AA115</f>
        <v>1.2088974854932301E-2</v>
      </c>
      <c r="AI171" s="877">
        <f>$AF171*'Input data plant-based products'!AB115</f>
        <v>1.2088974854932301E-2</v>
      </c>
      <c r="AJ171" s="877">
        <f>$AF171*'Input data plant-based products'!AC115</f>
        <v>1.4427705997054899E-2</v>
      </c>
      <c r="AK171" s="886">
        <f>$AF171*'Input data plant-based products'!AD115</f>
        <v>1.7811982712413455E-2</v>
      </c>
      <c r="AL171" s="877"/>
      <c r="AM171" s="879">
        <f>'Input data plant-based products'!R115/'Input data plant-based products'!E115</f>
        <v>1.5111218568665376E-3</v>
      </c>
      <c r="AN171" s="877">
        <f>$AM171*'Input data plant-based products'!Z115</f>
        <v>1.5111218568665376E-3</v>
      </c>
      <c r="AO171" s="877">
        <f>$AM171*'Input data plant-based products'!AA115</f>
        <v>1.5111218568665376E-3</v>
      </c>
      <c r="AP171" s="877">
        <f>$AM171*'Input data plant-based products'!AB115</f>
        <v>1.5111218568665376E-3</v>
      </c>
      <c r="AQ171" s="877">
        <f>$AM171*'Input data plant-based products'!AC115</f>
        <v>1.8034632496318624E-3</v>
      </c>
      <c r="AR171" s="886">
        <f>$AM171*'Input data plant-based products'!AD115</f>
        <v>2.2264978390516819E-3</v>
      </c>
      <c r="AS171" s="877"/>
      <c r="AT171" s="879">
        <f>'Input data plant-based products'!S115</f>
        <v>1.4999999999999999E-2</v>
      </c>
      <c r="AU171" s="877">
        <f>$AT171*'Input data plant-based products'!Z115</f>
        <v>1.4999999999999999E-2</v>
      </c>
      <c r="AV171" s="877">
        <f>$AT171*'Input data plant-based products'!AA115</f>
        <v>1.4999999999999999E-2</v>
      </c>
      <c r="AW171" s="877">
        <f>$AT171*'Input data plant-based products'!AB115</f>
        <v>1.4999999999999999E-2</v>
      </c>
      <c r="AX171" s="877">
        <f>$AT171*'Input data plant-based products'!AC115</f>
        <v>1.790189760114572E-2</v>
      </c>
      <c r="AY171" s="886">
        <f>$AT171*'Input data plant-based products'!AD115</f>
        <v>2.2101108149562614E-2</v>
      </c>
      <c r="AZ171" s="877"/>
      <c r="BA171" s="879">
        <f>((SUM('Input data plant-based products'!U115:Y115)*Y171)/('Common input data'!$B$192/10^6))/$BB$3</f>
        <v>2.6750512639532257E-11</v>
      </c>
      <c r="BB171" s="877">
        <f>$BA171*'Input data plant-based products'!Z115</f>
        <v>2.6750512639532257E-11</v>
      </c>
      <c r="BC171" s="877">
        <f>$BA171*'Input data plant-based products'!AA115</f>
        <v>2.6750512639532257E-11</v>
      </c>
      <c r="BD171" s="877">
        <f>$BA171*'Input data plant-based products'!AB115</f>
        <v>2.6750512639532257E-11</v>
      </c>
      <c r="BE171" s="877">
        <f>$BA171*'Input data plant-based products'!AC115</f>
        <v>3.1925662536737385E-11</v>
      </c>
      <c r="BF171" s="886">
        <f>$BA171*'Input data plant-based products'!AD115</f>
        <v>3.9414398193502944E-11</v>
      </c>
      <c r="BG171" s="877"/>
      <c r="BH171" s="879">
        <f>'Input data plant-based products'!T115/'Input data plant-based products'!E115</f>
        <v>2.0285299806576404E-3</v>
      </c>
      <c r="BI171" s="877">
        <f>$BH171*'Input data plant-based products'!Z115</f>
        <v>2.0285299806576404E-3</v>
      </c>
      <c r="BJ171" s="877">
        <f>$BH171*'Input data plant-based products'!AA115</f>
        <v>2.0285299806576404E-3</v>
      </c>
      <c r="BK171" s="877">
        <f>$BH171*'Input data plant-based products'!AB115</f>
        <v>2.0285299806576404E-3</v>
      </c>
      <c r="BL171" s="877">
        <f>$BH171*'Input data plant-based products'!AC115</f>
        <v>2.4209690663058126E-3</v>
      </c>
      <c r="BM171" s="886">
        <f>$BH171*'Input data plant-based products'!AD115</f>
        <v>2.9888506991429782E-3</v>
      </c>
      <c r="BN171" s="877"/>
      <c r="BO171" s="879">
        <f>('Input data plant-based products'!F115/'Input data plant-based products'!E115*'Common input data'!$B$195+'Input data plant-based products'!G115/'Input data plant-based products'!E115*'Common input data'!$B$196)/'Common input data'!$B$198</f>
        <v>3.0867665780262674E-4</v>
      </c>
      <c r="BP171" s="877">
        <f>$BO171*'Input data plant-based products'!Z115</f>
        <v>3.0867665780262674E-4</v>
      </c>
      <c r="BQ171" s="877">
        <f>$BO171*'Input data plant-based products'!AA115</f>
        <v>3.0867665780262674E-4</v>
      </c>
      <c r="BR171" s="877">
        <f>$BO171*'Input data plant-based products'!AB115</f>
        <v>3.0867665780262674E-4</v>
      </c>
      <c r="BS171" s="877">
        <f>$BO171*'Input data plant-based products'!AC115</f>
        <v>3.6839319465643481E-4</v>
      </c>
      <c r="BT171" s="886">
        <f>$BO171*'Input data plant-based products'!AD115</f>
        <v>4.5480641315609233E-4</v>
      </c>
      <c r="BU171" s="877"/>
      <c r="BV171" s="879">
        <f>('Common input data'!$C$202+'Common input data'!$B$209)*'Input data plant-based products'!AC115</f>
        <v>0.80081155269125193</v>
      </c>
      <c r="BW171" s="886">
        <f>('Common input data'!$C$202+'Common input data'!$B$209)*'Input data plant-based products'!AD115</f>
        <v>0.98865623789043444</v>
      </c>
      <c r="BX171" s="406"/>
      <c r="BY171" s="406"/>
      <c r="BZ171" s="406"/>
      <c r="CA171" s="406"/>
      <c r="CB171" s="406"/>
      <c r="CC171" s="406"/>
      <c r="CD171" s="406"/>
      <c r="CE171" s="406"/>
      <c r="CF171" s="406"/>
      <c r="CG171" s="406"/>
      <c r="CH171" s="406"/>
      <c r="CI171" s="406"/>
      <c r="CJ171" s="406"/>
      <c r="CK171" s="406"/>
      <c r="CL171" s="406"/>
      <c r="CM171" s="406"/>
      <c r="CN171" s="406"/>
      <c r="CO171" s="406"/>
      <c r="CP171" s="406"/>
      <c r="CQ171" s="406"/>
      <c r="CR171" s="406"/>
      <c r="CS171" s="406"/>
      <c r="CT171" s="406"/>
      <c r="CU171" s="406"/>
      <c r="CV171" s="406"/>
      <c r="CW171" s="406"/>
      <c r="CX171" s="406"/>
      <c r="CY171" s="406"/>
      <c r="CZ171" s="406"/>
      <c r="DA171" s="406"/>
      <c r="DB171" s="406"/>
      <c r="DC171" s="406"/>
      <c r="DD171" s="406"/>
      <c r="DE171" s="406"/>
      <c r="DF171" s="406"/>
      <c r="DG171" s="406"/>
      <c r="DH171" s="406"/>
      <c r="DI171" s="406"/>
      <c r="DJ171" s="406"/>
      <c r="DK171" s="406"/>
      <c r="DL171" s="406"/>
      <c r="DM171" s="406"/>
      <c r="DN171" s="406"/>
      <c r="DO171" s="406"/>
      <c r="DP171" s="406"/>
      <c r="DQ171" s="406"/>
      <c r="DR171" s="406"/>
      <c r="DS171" s="406"/>
      <c r="DT171" s="406"/>
      <c r="DU171" s="406"/>
      <c r="DV171" s="406"/>
      <c r="DW171" s="406"/>
      <c r="DX171" s="406"/>
      <c r="DY171" s="406"/>
      <c r="DZ171" s="406"/>
      <c r="EA171" s="406"/>
      <c r="EB171" s="406"/>
      <c r="EC171" s="406"/>
      <c r="ED171" s="406"/>
      <c r="EE171" s="406"/>
      <c r="EF171" s="406"/>
      <c r="EG171" s="406"/>
      <c r="EH171" s="406"/>
      <c r="EI171" s="406"/>
      <c r="EJ171" s="406"/>
      <c r="EK171" s="406"/>
      <c r="EL171" s="406"/>
      <c r="EM171" s="406"/>
      <c r="EN171" s="406"/>
      <c r="EO171" s="406"/>
      <c r="EP171" s="406"/>
      <c r="EQ171" s="406"/>
      <c r="ER171" s="406"/>
      <c r="ES171" s="406"/>
      <c r="ET171" s="406"/>
      <c r="EU171" s="406"/>
      <c r="EV171" s="406"/>
      <c r="EW171" s="406"/>
      <c r="EX171" s="406"/>
      <c r="EY171" s="406"/>
      <c r="EZ171" s="406"/>
      <c r="FA171" s="406"/>
      <c r="FB171" s="406"/>
      <c r="FC171" s="406"/>
      <c r="FD171" s="406"/>
      <c r="FE171" s="406"/>
      <c r="FF171" s="406"/>
      <c r="FG171" s="406"/>
      <c r="FH171" s="406"/>
      <c r="FI171" s="406"/>
      <c r="FJ171" s="406"/>
      <c r="FK171" s="406"/>
      <c r="FL171" s="406"/>
      <c r="FM171" s="406"/>
      <c r="FN171" s="406"/>
      <c r="FO171" s="406"/>
      <c r="FP171" s="406"/>
      <c r="FQ171" s="406"/>
      <c r="FR171" s="406"/>
      <c r="FS171" s="406"/>
      <c r="FT171" s="406"/>
      <c r="FU171" s="406"/>
      <c r="FV171" s="406"/>
      <c r="FW171" s="406"/>
      <c r="FX171" s="406"/>
      <c r="FY171" s="406"/>
      <c r="FZ171" s="406"/>
      <c r="GA171" s="406"/>
      <c r="GB171" s="406"/>
      <c r="GC171" s="406"/>
      <c r="GD171" s="406"/>
      <c r="GE171" s="406"/>
      <c r="GF171" s="406"/>
      <c r="GG171" s="406"/>
      <c r="GH171" s="406"/>
      <c r="GI171" s="406"/>
      <c r="GJ171" s="406"/>
      <c r="GK171" s="406"/>
      <c r="GL171" s="406"/>
      <c r="GM171" s="406"/>
      <c r="GN171" s="406"/>
      <c r="GO171" s="406"/>
      <c r="GP171" s="406"/>
      <c r="GQ171" s="406"/>
      <c r="GR171" s="406"/>
      <c r="GS171" s="406"/>
      <c r="GT171" s="406"/>
      <c r="GU171" s="406"/>
      <c r="GV171" s="406"/>
      <c r="GW171" s="406"/>
      <c r="GX171" s="406"/>
      <c r="GY171" s="406"/>
      <c r="GZ171" s="406"/>
      <c r="HA171" s="406"/>
      <c r="HB171" s="406"/>
      <c r="HC171" s="406"/>
      <c r="HD171" s="406"/>
      <c r="HE171" s="406"/>
      <c r="HF171" s="406"/>
      <c r="HG171" s="406"/>
      <c r="HH171" s="406"/>
      <c r="HI171" s="406"/>
      <c r="HJ171" s="406"/>
      <c r="HK171" s="406"/>
      <c r="HL171" s="406"/>
      <c r="HM171" s="406"/>
      <c r="HN171" s="406"/>
      <c r="HO171" s="406"/>
      <c r="HP171" s="406"/>
      <c r="HQ171" s="406"/>
      <c r="HR171" s="406"/>
      <c r="HS171" s="406"/>
      <c r="HT171" s="406"/>
      <c r="HU171" s="406"/>
      <c r="HV171" s="406"/>
      <c r="HW171" s="406"/>
      <c r="HX171" s="406"/>
      <c r="HY171" s="406"/>
      <c r="HZ171" s="406"/>
      <c r="IA171" s="406"/>
      <c r="IB171" s="406"/>
      <c r="IC171" s="406"/>
      <c r="ID171" s="406"/>
      <c r="IE171" s="406"/>
      <c r="IF171" s="406"/>
      <c r="IG171" s="406"/>
      <c r="IH171" s="406"/>
      <c r="II171" s="406"/>
      <c r="IJ171" s="406"/>
      <c r="IK171" s="406"/>
      <c r="IL171" s="406"/>
      <c r="IM171" s="406"/>
      <c r="IN171" s="406"/>
      <c r="IO171" s="406"/>
      <c r="IP171" s="406"/>
      <c r="IQ171" s="406"/>
      <c r="IR171" s="406"/>
      <c r="IS171" s="406"/>
    </row>
    <row r="172" spans="1:253" s="406" customFormat="1" ht="17.25">
      <c r="A172" s="18"/>
      <c r="B172" s="55"/>
      <c r="C172" s="917"/>
      <c r="D172" s="5"/>
      <c r="E172" s="1294" t="s">
        <v>317</v>
      </c>
      <c r="F172" s="928">
        <f>IF(AND($G$2="No",$G$3="No"),SUM(K172:L172),IF(AND($G$2="Yes", $G$3="No"), SUM(K172:L172)+S172, IF(AND($G$2="No", $G$3="Yes"),SUM(K172:L172)+R172, SUM(K172:L172)+S172+R172)))</f>
        <v>-9.1139048141381296E-2</v>
      </c>
      <c r="G172" s="877">
        <f>IF(AND($G$2="No",$G$3="No"),SUM(I172:Q172),IF(AND($G$2="Yes", $G$3="No"), SUM(I172:Q172)+S172, IF(AND($G$2="No", $G$3="Yes"),SUM(I172:Q172)+R172, SUM(I172:Q172)+S172+R172)))</f>
        <v>0.13129478830886265</v>
      </c>
      <c r="H172" s="878">
        <f>SUM(U172:W172)/(1-'Common input data'!$B$140)</f>
        <v>0.49086381227934445</v>
      </c>
      <c r="I172" s="877">
        <f>('Input data plant-based products'!$F$115*('Common input data'!$C$93*'Common input data'!B86+'Common input data'!$C$94*'Common input data'!C86))/'Input data plant-based products'!$E$115</f>
        <v>4.5514687514073733E-2</v>
      </c>
      <c r="J172" s="877">
        <f>'Common input data'!$B$98</f>
        <v>0.03</v>
      </c>
      <c r="K172" s="877">
        <v>0</v>
      </c>
      <c r="L172" s="877">
        <v>0</v>
      </c>
      <c r="M172" s="877"/>
      <c r="N172" s="877">
        <f>('Input data plant-based products'!$P$115*'Common input data'!$C$76*'Common input data'!H66)/'Input data plant-based products'!$E$115</f>
        <v>9.6919148936170207E-2</v>
      </c>
      <c r="O172" s="877">
        <v>0</v>
      </c>
      <c r="P172" s="877">
        <f>'Input data plant-based products'!F$309</f>
        <v>0.05</v>
      </c>
      <c r="Q172" s="877">
        <v>0</v>
      </c>
      <c r="R172" s="877">
        <f>'Common input data'!$F$19</f>
        <v>-9.1139048141381296E-2</v>
      </c>
      <c r="S172" s="877">
        <v>0</v>
      </c>
      <c r="T172" s="877">
        <v>0</v>
      </c>
      <c r="U172" s="877">
        <f>G172+T172</f>
        <v>0.13129478830886265</v>
      </c>
      <c r="V172" s="877">
        <f>'Common input data'!B$103</f>
        <v>0.15</v>
      </c>
      <c r="W172" s="886">
        <f>'Common input data'!B116+'Common input data'!C116</f>
        <v>0.13</v>
      </c>
      <c r="X172" s="877"/>
      <c r="Y172" s="879"/>
      <c r="Z172" s="877"/>
      <c r="AA172" s="877"/>
      <c r="AB172" s="877"/>
      <c r="AC172" s="877"/>
      <c r="AD172" s="886"/>
      <c r="AE172" s="877"/>
      <c r="AF172" s="879"/>
      <c r="AG172" s="877"/>
      <c r="AH172" s="877"/>
      <c r="AI172" s="877"/>
      <c r="AJ172" s="877"/>
      <c r="AK172" s="886"/>
      <c r="AL172" s="877"/>
      <c r="AM172" s="879"/>
      <c r="AN172" s="877"/>
      <c r="AO172" s="877"/>
      <c r="AP172" s="877"/>
      <c r="AQ172" s="877"/>
      <c r="AR172" s="886"/>
      <c r="AS172" s="877"/>
      <c r="AT172" s="879"/>
      <c r="AU172" s="877"/>
      <c r="AV172" s="877"/>
      <c r="AW172" s="877"/>
      <c r="AX172" s="877"/>
      <c r="AY172" s="886"/>
      <c r="AZ172" s="877"/>
      <c r="BA172" s="879"/>
      <c r="BB172" s="877"/>
      <c r="BC172" s="877"/>
      <c r="BD172" s="877"/>
      <c r="BE172" s="877"/>
      <c r="BF172" s="886"/>
      <c r="BG172" s="877"/>
      <c r="BH172" s="879"/>
      <c r="BI172" s="877"/>
      <c r="BJ172" s="877"/>
      <c r="BK172" s="877"/>
      <c r="BL172" s="877"/>
      <c r="BM172" s="886"/>
      <c r="BN172" s="877"/>
      <c r="BO172" s="879"/>
      <c r="BP172" s="877"/>
      <c r="BQ172" s="877"/>
      <c r="BR172" s="877"/>
      <c r="BS172" s="877"/>
      <c r="BT172" s="886"/>
      <c r="BU172" s="877"/>
      <c r="BV172" s="879"/>
      <c r="BW172" s="886"/>
    </row>
    <row r="173" spans="1:253" s="406" customFormat="1" ht="17.25">
      <c r="A173" s="18"/>
      <c r="B173" s="55"/>
      <c r="C173" s="595"/>
      <c r="D173" s="50"/>
      <c r="E173" s="1294" t="s">
        <v>367</v>
      </c>
      <c r="F173" s="928">
        <f>SUM(K173:L173)</f>
        <v>0</v>
      </c>
      <c r="G173" s="877">
        <f>SUM(I173:Q173)</f>
        <v>1.264263498260631E-4</v>
      </c>
      <c r="H173" s="878">
        <f>SUM(U173:W173)/(1-'Common input data'!$B$140)</f>
        <v>1.5088477124485392E-4</v>
      </c>
      <c r="I173" s="877">
        <f>('Input data plant-based products'!$F$115*('Common input data'!$C$93*'Common input data'!B87+'Common input data'!$C$94*'Common input data'!C87))/'Input data plant-based products'!$E$115</f>
        <v>8.349443493244608E-5</v>
      </c>
      <c r="J173" s="877">
        <v>0</v>
      </c>
      <c r="K173" s="877">
        <v>0</v>
      </c>
      <c r="L173" s="877">
        <v>0</v>
      </c>
      <c r="M173" s="877"/>
      <c r="N173" s="877">
        <f>('Input data plant-based products'!$P$115*'Common input data'!$C$76*'Common input data'!H67)/'Input data plant-based products'!$E$115</f>
        <v>4.2931914893617021E-5</v>
      </c>
      <c r="O173" s="877">
        <v>0</v>
      </c>
      <c r="P173" s="877">
        <v>0</v>
      </c>
      <c r="Q173" s="877">
        <v>0</v>
      </c>
      <c r="R173" s="877">
        <v>0</v>
      </c>
      <c r="S173" s="877">
        <v>0</v>
      </c>
      <c r="T173" s="877">
        <v>0</v>
      </c>
      <c r="U173" s="877">
        <f>G173+T173</f>
        <v>1.264263498260631E-4</v>
      </c>
      <c r="V173" s="877">
        <v>0</v>
      </c>
      <c r="W173" s="886">
        <v>0</v>
      </c>
      <c r="X173" s="877"/>
      <c r="Y173" s="879"/>
      <c r="Z173" s="877"/>
      <c r="AA173" s="877"/>
      <c r="AB173" s="877"/>
      <c r="AC173" s="877"/>
      <c r="AD173" s="886"/>
      <c r="AE173" s="877"/>
      <c r="AF173" s="879"/>
      <c r="AG173" s="877"/>
      <c r="AH173" s="877"/>
      <c r="AI173" s="877"/>
      <c r="AJ173" s="877"/>
      <c r="AK173" s="886"/>
      <c r="AL173" s="877"/>
      <c r="AM173" s="879"/>
      <c r="AN173" s="877"/>
      <c r="AO173" s="877"/>
      <c r="AP173" s="877"/>
      <c r="AQ173" s="877"/>
      <c r="AR173" s="886"/>
      <c r="AS173" s="877"/>
      <c r="AT173" s="879"/>
      <c r="AU173" s="877"/>
      <c r="AV173" s="877"/>
      <c r="AW173" s="877"/>
      <c r="AX173" s="877"/>
      <c r="AY173" s="886"/>
      <c r="AZ173" s="877"/>
      <c r="BA173" s="879"/>
      <c r="BB173" s="877"/>
      <c r="BC173" s="877"/>
      <c r="BD173" s="877"/>
      <c r="BE173" s="877"/>
      <c r="BF173" s="886"/>
      <c r="BG173" s="877"/>
      <c r="BH173" s="879"/>
      <c r="BI173" s="877"/>
      <c r="BJ173" s="877"/>
      <c r="BK173" s="877"/>
      <c r="BL173" s="877"/>
      <c r="BM173" s="886"/>
      <c r="BN173" s="877"/>
      <c r="BO173" s="879"/>
      <c r="BP173" s="877"/>
      <c r="BQ173" s="877"/>
      <c r="BR173" s="877"/>
      <c r="BS173" s="877"/>
      <c r="BT173" s="886"/>
      <c r="BU173" s="877"/>
      <c r="BV173" s="879"/>
      <c r="BW173" s="886"/>
    </row>
    <row r="174" spans="1:253" s="406" customFormat="1" ht="17.25">
      <c r="A174" s="18"/>
      <c r="B174" s="360"/>
      <c r="C174" s="83"/>
      <c r="D174" s="54"/>
      <c r="E174" s="1295" t="s">
        <v>320</v>
      </c>
      <c r="F174" s="928">
        <f>SUM(K174:L174)</f>
        <v>3.3434650455927052E-4</v>
      </c>
      <c r="G174" s="877">
        <f>SUM(I174:Q174)</f>
        <v>4.3695495432658285E-4</v>
      </c>
      <c r="H174" s="878">
        <f>SUM(U174:W174)/(1-'Common input data'!$B$140)</f>
        <v>5.2148818991118613E-4</v>
      </c>
      <c r="I174" s="877">
        <f>('Input data plant-based products'!$F$115*('Common input data'!$C$93*'Common input data'!B88+'Common input data'!$C$94*'Common input data'!C88))/'Input data plant-based products'!$E$115</f>
        <v>1.0000419444816342E-4</v>
      </c>
      <c r="J174" s="877">
        <v>0</v>
      </c>
      <c r="K174" s="877">
        <f>(SUM(('Input data plant-based products'!$F$115*'Input data plant-based products'!$B$258),(('Input data plant-based products'!$G$115+'Input data plant-based products'!$H$115)*'Input data plant-based products'!$B$259))*44/28)/'Input data plant-based products'!$E$115</f>
        <v>3.0395136778115504E-4</v>
      </c>
      <c r="L174" s="877">
        <f>K174*'Input data plant-based products'!$B$261</f>
        <v>3.0395136778115506E-5</v>
      </c>
      <c r="M174" s="877"/>
      <c r="N174" s="877">
        <f>('Input data plant-based products'!$P$115*'Common input data'!$C$76*'Common input data'!H68)/'Input data plant-based products'!$E$115</f>
        <v>2.6042553191489359E-6</v>
      </c>
      <c r="O174" s="877">
        <v>0</v>
      </c>
      <c r="P174" s="877">
        <v>0</v>
      </c>
      <c r="Q174" s="877">
        <v>0</v>
      </c>
      <c r="R174" s="877">
        <v>0</v>
      </c>
      <c r="S174" s="877">
        <v>0</v>
      </c>
      <c r="T174" s="877">
        <v>0</v>
      </c>
      <c r="U174" s="877">
        <f>G174+T174</f>
        <v>4.3695495432658285E-4</v>
      </c>
      <c r="V174" s="877">
        <v>0</v>
      </c>
      <c r="W174" s="886">
        <v>0</v>
      </c>
      <c r="X174" s="877"/>
      <c r="Y174" s="879"/>
      <c r="Z174" s="877"/>
      <c r="AA174" s="877"/>
      <c r="AB174" s="877"/>
      <c r="AC174" s="877"/>
      <c r="AD174" s="886"/>
      <c r="AE174" s="877"/>
      <c r="AF174" s="879"/>
      <c r="AG174" s="877"/>
      <c r="AH174" s="877"/>
      <c r="AI174" s="877"/>
      <c r="AJ174" s="877"/>
      <c r="AK174" s="886"/>
      <c r="AL174" s="877"/>
      <c r="AM174" s="879"/>
      <c r="AN174" s="877"/>
      <c r="AO174" s="877"/>
      <c r="AP174" s="877"/>
      <c r="AQ174" s="877"/>
      <c r="AR174" s="886"/>
      <c r="AS174" s="877"/>
      <c r="AT174" s="879"/>
      <c r="AU174" s="877"/>
      <c r="AV174" s="877"/>
      <c r="AW174" s="877"/>
      <c r="AX174" s="877"/>
      <c r="AY174" s="886"/>
      <c r="AZ174" s="877"/>
      <c r="BA174" s="879"/>
      <c r="BB174" s="877"/>
      <c r="BC174" s="877"/>
      <c r="BD174" s="877"/>
      <c r="BE174" s="877"/>
      <c r="BF174" s="886"/>
      <c r="BG174" s="877"/>
      <c r="BH174" s="879"/>
      <c r="BI174" s="877"/>
      <c r="BJ174" s="877"/>
      <c r="BK174" s="877"/>
      <c r="BL174" s="877"/>
      <c r="BM174" s="886"/>
      <c r="BN174" s="877"/>
      <c r="BO174" s="879"/>
      <c r="BP174" s="877"/>
      <c r="BQ174" s="877"/>
      <c r="BR174" s="877"/>
      <c r="BS174" s="877"/>
      <c r="BT174" s="886"/>
      <c r="BU174" s="877"/>
      <c r="BV174" s="879"/>
      <c r="BW174" s="886"/>
    </row>
    <row r="175" spans="1:253" s="502" customFormat="1" ht="17.25">
      <c r="A175" s="20" t="s">
        <v>125</v>
      </c>
      <c r="B175" s="93" t="s">
        <v>121</v>
      </c>
      <c r="C175" s="87">
        <f>'Input data plant-based products'!D116</f>
        <v>0.16</v>
      </c>
      <c r="D175" s="54"/>
      <c r="E175" s="1293" t="s">
        <v>316</v>
      </c>
      <c r="F175" s="930">
        <f>SUMPRODUCT($CI$4:$CI$6,F176:F178)</f>
        <v>-5.5413699262534116E-3</v>
      </c>
      <c r="G175" s="872">
        <f>SUMPRODUCT($CI$4:$CI$6,G176:G178)</f>
        <v>0.33532665277095353</v>
      </c>
      <c r="H175" s="873">
        <f>SUMPRODUCT($CI$4:$CI$6,H176:H178)</f>
        <v>0.85371363261839539</v>
      </c>
      <c r="I175" s="884"/>
      <c r="J175" s="884"/>
      <c r="K175" s="884"/>
      <c r="L175" s="884"/>
      <c r="M175" s="884"/>
      <c r="N175" s="884"/>
      <c r="O175" s="884"/>
      <c r="P175" s="884"/>
      <c r="Q175" s="884"/>
      <c r="R175" s="884"/>
      <c r="S175" s="884"/>
      <c r="T175" s="884"/>
      <c r="U175" s="884"/>
      <c r="V175" s="884"/>
      <c r="W175" s="885"/>
      <c r="X175" s="877"/>
      <c r="Y175" s="879">
        <f>1/'Input data plant-based products'!E116*10^4</f>
        <v>1.8138944313440957</v>
      </c>
      <c r="Z175" s="877">
        <f>$Y175*'Input data plant-based products'!Z116</f>
        <v>1.8138944313440957</v>
      </c>
      <c r="AA175" s="877">
        <f>$Y175*'Input data plant-based products'!AA116</f>
        <v>1.8138944313440957</v>
      </c>
      <c r="AB175" s="877">
        <f>$Y175*'Input data plant-based products'!AB116</f>
        <v>1.8138944313440957</v>
      </c>
      <c r="AC175" s="877">
        <f>$Y175*'Input data plant-based products'!AC116</f>
        <v>2.1648101579473633</v>
      </c>
      <c r="AD175" s="886">
        <f>$Y175*'Input data plant-based products'!AD116</f>
        <v>2.6726051332683491</v>
      </c>
      <c r="AE175" s="877"/>
      <c r="AF175" s="879">
        <f>SUM('Input data plant-based products'!F116,'Input data plant-based products'!Q116)/'Input data plant-based products'!E116</f>
        <v>1.8138944313440958E-2</v>
      </c>
      <c r="AG175" s="877">
        <f>$AF175*'Input data plant-based products'!Z116</f>
        <v>1.8138944313440958E-2</v>
      </c>
      <c r="AH175" s="877">
        <f>$AF175*'Input data plant-based products'!AA116</f>
        <v>1.8138944313440958E-2</v>
      </c>
      <c r="AI175" s="877">
        <f>$AF175*'Input data plant-based products'!AB116</f>
        <v>1.8138944313440958E-2</v>
      </c>
      <c r="AJ175" s="877">
        <f>$AF175*'Input data plant-based products'!AC116</f>
        <v>2.1648101579473632E-2</v>
      </c>
      <c r="AK175" s="886">
        <f>$AF175*'Input data plant-based products'!AD116</f>
        <v>2.6726051332683496E-2</v>
      </c>
      <c r="AL175" s="877"/>
      <c r="AM175" s="879">
        <f>'Input data plant-based products'!R116/'Input data plant-based products'!E116</f>
        <v>2.2673680391801197E-3</v>
      </c>
      <c r="AN175" s="877">
        <f>$AM175*'Input data plant-based products'!Z116</f>
        <v>2.2673680391801197E-3</v>
      </c>
      <c r="AO175" s="877">
        <f>$AM175*'Input data plant-based products'!AA116</f>
        <v>2.2673680391801197E-3</v>
      </c>
      <c r="AP175" s="877">
        <f>$AM175*'Input data plant-based products'!AB116</f>
        <v>2.2673680391801197E-3</v>
      </c>
      <c r="AQ175" s="877">
        <f>$AM175*'Input data plant-based products'!AC116</f>
        <v>2.706012697434204E-3</v>
      </c>
      <c r="AR175" s="886">
        <f>$AM175*'Input data plant-based products'!AD116</f>
        <v>3.340756416585437E-3</v>
      </c>
      <c r="AS175" s="877"/>
      <c r="AT175" s="879">
        <f>'Input data plant-based products'!S116</f>
        <v>6.6666666666666671E-3</v>
      </c>
      <c r="AU175" s="877">
        <f>$AT175*'Input data plant-based products'!Z116</f>
        <v>6.6666666666666671E-3</v>
      </c>
      <c r="AV175" s="877">
        <f>$AT175*'Input data plant-based products'!AA116</f>
        <v>6.6666666666666671E-3</v>
      </c>
      <c r="AW175" s="877">
        <f>$AT175*'Input data plant-based products'!AB116</f>
        <v>6.6666666666666671E-3</v>
      </c>
      <c r="AX175" s="877">
        <f>$AT175*'Input data plant-based products'!AC116</f>
        <v>7.9563989338425432E-3</v>
      </c>
      <c r="AY175" s="886">
        <f>$AT175*'Input data plant-based products'!AD116</f>
        <v>9.8227147331389417E-3</v>
      </c>
      <c r="AZ175" s="877"/>
      <c r="BA175" s="879">
        <f>((SUM('Input data plant-based products'!U116:Y116)*Y175)/('Common input data'!$B$192/10^6))/$BB$3</f>
        <v>3.1236204143163095E-11</v>
      </c>
      <c r="BB175" s="877">
        <f>$BA175*'Input data plant-based products'!Z116</f>
        <v>3.1236204143163095E-11</v>
      </c>
      <c r="BC175" s="877">
        <f>$BA175*'Input data plant-based products'!AA116</f>
        <v>3.1236204143163095E-11</v>
      </c>
      <c r="BD175" s="877">
        <f>$BA175*'Input data plant-based products'!AB116</f>
        <v>3.1236204143163095E-11</v>
      </c>
      <c r="BE175" s="877">
        <f>$BA175*'Input data plant-based products'!AC116</f>
        <v>3.7279155201292628E-11</v>
      </c>
      <c r="BF175" s="886">
        <f>$BA175*'Input data plant-based products'!AD116</f>
        <v>4.6023648396657563E-11</v>
      </c>
      <c r="BG175" s="877"/>
      <c r="BH175" s="879">
        <f>'Input data plant-based products'!T116/'Input data plant-based products'!E116</f>
        <v>1.3205151460185015E-3</v>
      </c>
      <c r="BI175" s="877">
        <f>$BH175*'Input data plant-based products'!Z116</f>
        <v>1.3205151460185015E-3</v>
      </c>
      <c r="BJ175" s="877">
        <f>$BH175*'Input data plant-based products'!AA116</f>
        <v>1.3205151460185015E-3</v>
      </c>
      <c r="BK175" s="877">
        <f>$BH175*'Input data plant-based products'!AB116</f>
        <v>1.3205151460185015E-3</v>
      </c>
      <c r="BL175" s="877">
        <f>$BH175*'Input data plant-based products'!AC116</f>
        <v>1.5759817949856803E-3</v>
      </c>
      <c r="BM175" s="886">
        <f>$BH175*'Input data plant-based products'!AD116</f>
        <v>1.9456565370193581E-3</v>
      </c>
      <c r="BN175" s="877"/>
      <c r="BO175" s="879">
        <f>('Input data plant-based products'!F116/'Input data plant-based products'!E116*'Common input data'!$B$195+'Input data plant-based products'!G116/'Input data plant-based products'!E116*'Common input data'!$B$196)/'Common input data'!$B$198</f>
        <v>4.6315496342160862E-4</v>
      </c>
      <c r="BP175" s="877">
        <f>$BO175*'Input data plant-based products'!Z116</f>
        <v>4.6315496342160862E-4</v>
      </c>
      <c r="BQ175" s="877">
        <f>$BO175*'Input data plant-based products'!AA116</f>
        <v>4.6315496342160862E-4</v>
      </c>
      <c r="BR175" s="877">
        <f>$BO175*'Input data plant-based products'!AB116</f>
        <v>4.6315496342160862E-4</v>
      </c>
      <c r="BS175" s="877">
        <f>$BO175*'Input data plant-based products'!AC116</f>
        <v>5.5275684857573535E-4</v>
      </c>
      <c r="BT175" s="886">
        <f>$BO175*'Input data plant-based products'!AD116</f>
        <v>6.8241586243917934E-4</v>
      </c>
      <c r="BU175" s="877"/>
      <c r="BV175" s="879">
        <f>('Common input data'!$C$202+'Common input data'!$B$214)*'Input data plant-based products'!AC116</f>
        <v>1.1339857580459085</v>
      </c>
      <c r="BW175" s="886">
        <f>('Common input data'!$C$202+'Common input data'!$B$214)*'Input data plant-based products'!AD116</f>
        <v>1.3999824173406277</v>
      </c>
      <c r="BX175" s="406"/>
      <c r="BY175" s="406"/>
      <c r="BZ175" s="406"/>
      <c r="CA175" s="406"/>
      <c r="CB175" s="406"/>
      <c r="CC175" s="406"/>
      <c r="CD175" s="406"/>
      <c r="CE175" s="406"/>
      <c r="CF175" s="406"/>
      <c r="CG175" s="406"/>
      <c r="CH175" s="406"/>
      <c r="CI175" s="406"/>
      <c r="CJ175" s="406"/>
      <c r="CK175" s="406"/>
      <c r="CL175" s="406"/>
      <c r="CM175" s="406"/>
      <c r="CN175" s="406"/>
      <c r="CO175" s="406"/>
      <c r="CP175" s="406"/>
      <c r="CQ175" s="406"/>
      <c r="CR175" s="406"/>
      <c r="CS175" s="406"/>
      <c r="CT175" s="406"/>
      <c r="CU175" s="406"/>
      <c r="CV175" s="406"/>
      <c r="CW175" s="406"/>
      <c r="CX175" s="406"/>
      <c r="CY175" s="406"/>
      <c r="CZ175" s="406"/>
      <c r="DA175" s="406"/>
      <c r="DB175" s="406"/>
      <c r="DC175" s="406"/>
      <c r="DD175" s="406"/>
      <c r="DE175" s="406"/>
      <c r="DF175" s="406"/>
      <c r="DG175" s="406"/>
      <c r="DH175" s="406"/>
      <c r="DI175" s="406"/>
      <c r="DJ175" s="406"/>
      <c r="DK175" s="406"/>
      <c r="DL175" s="406"/>
      <c r="DM175" s="406"/>
      <c r="DN175" s="406"/>
      <c r="DO175" s="406"/>
      <c r="DP175" s="406"/>
      <c r="DQ175" s="406"/>
      <c r="DR175" s="406"/>
      <c r="DS175" s="406"/>
      <c r="DT175" s="406"/>
      <c r="DU175" s="406"/>
      <c r="DV175" s="406"/>
      <c r="DW175" s="406"/>
      <c r="DX175" s="406"/>
      <c r="DY175" s="406"/>
      <c r="DZ175" s="406"/>
      <c r="EA175" s="406"/>
      <c r="EB175" s="406"/>
      <c r="EC175" s="406"/>
      <c r="ED175" s="406"/>
      <c r="EE175" s="406"/>
      <c r="EF175" s="406"/>
      <c r="EG175" s="406"/>
      <c r="EH175" s="406"/>
      <c r="EI175" s="406"/>
      <c r="EJ175" s="406"/>
      <c r="EK175" s="406"/>
      <c r="EL175" s="406"/>
      <c r="EM175" s="406"/>
      <c r="EN175" s="406"/>
      <c r="EO175" s="406"/>
      <c r="EP175" s="406"/>
      <c r="EQ175" s="406"/>
      <c r="ER175" s="406"/>
      <c r="ES175" s="406"/>
      <c r="ET175" s="406"/>
      <c r="EU175" s="406"/>
      <c r="EV175" s="406"/>
      <c r="EW175" s="406"/>
      <c r="EX175" s="406"/>
      <c r="EY175" s="406"/>
      <c r="EZ175" s="406"/>
      <c r="FA175" s="406"/>
      <c r="FB175" s="406"/>
      <c r="FC175" s="406"/>
      <c r="FD175" s="406"/>
      <c r="FE175" s="406"/>
      <c r="FF175" s="406"/>
      <c r="FG175" s="406"/>
      <c r="FH175" s="406"/>
      <c r="FI175" s="406"/>
      <c r="FJ175" s="406"/>
      <c r="FK175" s="406"/>
      <c r="FL175" s="406"/>
      <c r="FM175" s="406"/>
      <c r="FN175" s="406"/>
      <c r="FO175" s="406"/>
      <c r="FP175" s="406"/>
      <c r="FQ175" s="406"/>
      <c r="FR175" s="406"/>
      <c r="FS175" s="406"/>
      <c r="FT175" s="406"/>
      <c r="FU175" s="406"/>
      <c r="FV175" s="406"/>
      <c r="FW175" s="406"/>
      <c r="FX175" s="406"/>
      <c r="FY175" s="406"/>
      <c r="FZ175" s="406"/>
      <c r="GA175" s="406"/>
      <c r="GB175" s="406"/>
      <c r="GC175" s="406"/>
      <c r="GD175" s="406"/>
      <c r="GE175" s="406"/>
      <c r="GF175" s="406"/>
      <c r="GG175" s="406"/>
      <c r="GH175" s="406"/>
      <c r="GI175" s="406"/>
      <c r="GJ175" s="406"/>
      <c r="GK175" s="406"/>
      <c r="GL175" s="406"/>
      <c r="GM175" s="406"/>
      <c r="GN175" s="406"/>
      <c r="GO175" s="406"/>
      <c r="GP175" s="406"/>
      <c r="GQ175" s="406"/>
      <c r="GR175" s="406"/>
      <c r="GS175" s="406"/>
      <c r="GT175" s="406"/>
      <c r="GU175" s="406"/>
      <c r="GV175" s="406"/>
      <c r="GW175" s="406"/>
      <c r="GX175" s="406"/>
      <c r="GY175" s="406"/>
      <c r="GZ175" s="406"/>
      <c r="HA175" s="406"/>
      <c r="HB175" s="406"/>
      <c r="HC175" s="406"/>
      <c r="HD175" s="406"/>
      <c r="HE175" s="406"/>
      <c r="HF175" s="406"/>
      <c r="HG175" s="406"/>
      <c r="HH175" s="406"/>
      <c r="HI175" s="406"/>
      <c r="HJ175" s="406"/>
      <c r="HK175" s="406"/>
      <c r="HL175" s="406"/>
      <c r="HM175" s="406"/>
      <c r="HN175" s="406"/>
      <c r="HO175" s="406"/>
      <c r="HP175" s="406"/>
      <c r="HQ175" s="406"/>
      <c r="HR175" s="406"/>
      <c r="HS175" s="406"/>
      <c r="HT175" s="406"/>
      <c r="HU175" s="406"/>
      <c r="HV175" s="406"/>
      <c r="HW175" s="406"/>
      <c r="HX175" s="406"/>
      <c r="HY175" s="406"/>
      <c r="HZ175" s="406"/>
      <c r="IA175" s="406"/>
      <c r="IB175" s="406"/>
      <c r="IC175" s="406"/>
      <c r="ID175" s="406"/>
      <c r="IE175" s="406"/>
      <c r="IF175" s="406"/>
      <c r="IG175" s="406"/>
      <c r="IH175" s="406"/>
      <c r="II175" s="406"/>
      <c r="IJ175" s="406"/>
      <c r="IK175" s="406"/>
      <c r="IL175" s="406"/>
      <c r="IM175" s="406"/>
      <c r="IN175" s="406"/>
      <c r="IO175" s="406"/>
      <c r="IP175" s="406"/>
      <c r="IQ175" s="406"/>
      <c r="IR175" s="406"/>
      <c r="IS175" s="406"/>
    </row>
    <row r="176" spans="1:253" s="406" customFormat="1" ht="17.25">
      <c r="A176" s="68"/>
      <c r="B176" s="55"/>
      <c r="C176" s="917"/>
      <c r="D176" s="5"/>
      <c r="E176" s="1294" t="s">
        <v>317</v>
      </c>
      <c r="F176" s="928">
        <f>IF(AND($G$2="No",$G$3="No"),SUM(K176:L176),IF(AND($G$2="Yes", $G$3="No"), SUM(K176:L176)+S176, IF(AND($G$2="No", $G$3="Yes"),SUM(K176:L176)+R176, SUM(K176:L176)+S176+R176)))</f>
        <v>-9.1139048141381296E-2</v>
      </c>
      <c r="G176" s="877">
        <f>IF(AND($G$2="No",$G$3="No"),SUM(I176:Q176),IF(AND($G$2="Yes", $G$3="No"), SUM(I176:Q176)+S176, IF(AND($G$2="No", $G$3="Yes"),SUM(I176:Q176)+R176, SUM(I176:Q176)+S176+R176)))</f>
        <v>0.20257629651967762</v>
      </c>
      <c r="H176" s="878">
        <f>SUM(U176:W176)/(1-'Common input data'!$B$140)</f>
        <v>0.69528141367666507</v>
      </c>
      <c r="I176" s="877">
        <f>('Input data plant-based products'!$F$116*('Common input data'!$C$93*'Common input data'!B86+'Common input data'!$C$94*'Common input data'!C86))/'Input data plant-based products'!$E$116</f>
        <v>6.8292670980667131E-2</v>
      </c>
      <c r="J176" s="877">
        <f>'Common input data'!$B$98</f>
        <v>0.03</v>
      </c>
      <c r="K176" s="877">
        <v>0</v>
      </c>
      <c r="L176" s="877">
        <v>0</v>
      </c>
      <c r="M176" s="877"/>
      <c r="N176" s="877">
        <f>('Input data plant-based products'!$P$116*'Common input data'!$C$76*'Common input data'!H66)/'Input data plant-based products'!$E$116</f>
        <v>0.1454226736803918</v>
      </c>
      <c r="O176" s="877">
        <v>0</v>
      </c>
      <c r="P176" s="877">
        <f>'Input data plant-based products'!F$309</f>
        <v>0.05</v>
      </c>
      <c r="Q176" s="877">
        <v>0</v>
      </c>
      <c r="R176" s="877">
        <f>'Common input data'!$F$19</f>
        <v>-9.1139048141381296E-2</v>
      </c>
      <c r="S176" s="877">
        <v>0</v>
      </c>
      <c r="T176" s="877">
        <v>0</v>
      </c>
      <c r="U176" s="877">
        <f>G176+T176</f>
        <v>0.20257629651967762</v>
      </c>
      <c r="V176" s="877">
        <f>'Common input data'!B$103</f>
        <v>0.15</v>
      </c>
      <c r="W176" s="886">
        <f>'Common input data'!B119+'Common input data'!C119</f>
        <v>0.23000000000000004</v>
      </c>
      <c r="X176" s="877"/>
      <c r="Y176" s="879"/>
      <c r="Z176" s="877"/>
      <c r="AA176" s="877"/>
      <c r="AB176" s="877"/>
      <c r="AC176" s="877"/>
      <c r="AD176" s="886"/>
      <c r="AE176" s="877"/>
      <c r="AF176" s="879"/>
      <c r="AG176" s="877"/>
      <c r="AH176" s="877"/>
      <c r="AI176" s="877"/>
      <c r="AJ176" s="877"/>
      <c r="AK176" s="886"/>
      <c r="AL176" s="877"/>
      <c r="AM176" s="879"/>
      <c r="AN176" s="877"/>
      <c r="AO176" s="877"/>
      <c r="AP176" s="877"/>
      <c r="AQ176" s="877"/>
      <c r="AR176" s="886"/>
      <c r="AS176" s="877"/>
      <c r="AT176" s="879"/>
      <c r="AU176" s="877"/>
      <c r="AV176" s="877"/>
      <c r="AW176" s="877"/>
      <c r="AX176" s="877"/>
      <c r="AY176" s="886"/>
      <c r="AZ176" s="877"/>
      <c r="BA176" s="879"/>
      <c r="BB176" s="877"/>
      <c r="BC176" s="877"/>
      <c r="BD176" s="877"/>
      <c r="BE176" s="877"/>
      <c r="BF176" s="886"/>
      <c r="BG176" s="877"/>
      <c r="BH176" s="879"/>
      <c r="BI176" s="877"/>
      <c r="BJ176" s="877"/>
      <c r="BK176" s="877"/>
      <c r="BL176" s="877"/>
      <c r="BM176" s="886"/>
      <c r="BN176" s="877"/>
      <c r="BO176" s="879"/>
      <c r="BP176" s="877"/>
      <c r="BQ176" s="877"/>
      <c r="BR176" s="877"/>
      <c r="BS176" s="877"/>
      <c r="BT176" s="886"/>
      <c r="BU176" s="877"/>
      <c r="BV176" s="879"/>
      <c r="BW176" s="886"/>
    </row>
    <row r="177" spans="1:253" s="406" customFormat="1" ht="17.25">
      <c r="A177" s="18"/>
      <c r="B177" s="55"/>
      <c r="C177" s="595"/>
      <c r="D177" s="50"/>
      <c r="E177" s="1294" t="s">
        <v>367</v>
      </c>
      <c r="F177" s="928">
        <f>SUM(K177:L177)</f>
        <v>0</v>
      </c>
      <c r="G177" s="877">
        <f>SUM(I177:Q177)</f>
        <v>1.896968557520758E-4</v>
      </c>
      <c r="H177" s="878">
        <f>SUM(U177:W177)/(1-'Common input data'!$B$140)</f>
        <v>2.2639557912886479E-4</v>
      </c>
      <c r="I177" s="877">
        <f>('Input data plant-based products'!$F$116*('Common input data'!$C$93*'Common input data'!B87+'Common input data'!$C$94*'Common input data'!C87))/'Input data plant-based products'!$E$116</f>
        <v>1.2527951492131216E-4</v>
      </c>
      <c r="J177" s="877">
        <v>0</v>
      </c>
      <c r="K177" s="877">
        <v>0</v>
      </c>
      <c r="L177" s="877">
        <v>0</v>
      </c>
      <c r="M177" s="877"/>
      <c r="N177" s="877">
        <f>('Input data plant-based products'!$P$116*'Common input data'!$C$76*'Common input data'!H67)/'Input data plant-based products'!$E$116</f>
        <v>6.4417340830763654E-5</v>
      </c>
      <c r="O177" s="877">
        <v>0</v>
      </c>
      <c r="P177" s="877">
        <v>0</v>
      </c>
      <c r="Q177" s="877">
        <v>0</v>
      </c>
      <c r="R177" s="877">
        <v>0</v>
      </c>
      <c r="S177" s="877">
        <v>0</v>
      </c>
      <c r="T177" s="877">
        <v>0</v>
      </c>
      <c r="U177" s="877">
        <f>G177+T177</f>
        <v>1.896968557520758E-4</v>
      </c>
      <c r="V177" s="877">
        <v>0</v>
      </c>
      <c r="W177" s="886">
        <v>0</v>
      </c>
      <c r="X177" s="877"/>
      <c r="Y177" s="879"/>
      <c r="Z177" s="877"/>
      <c r="AA177" s="877"/>
      <c r="AB177" s="877"/>
      <c r="AC177" s="877"/>
      <c r="AD177" s="886"/>
      <c r="AE177" s="877"/>
      <c r="AF177" s="879"/>
      <c r="AG177" s="877"/>
      <c r="AH177" s="877"/>
      <c r="AI177" s="877"/>
      <c r="AJ177" s="877"/>
      <c r="AK177" s="886"/>
      <c r="AL177" s="877"/>
      <c r="AM177" s="879"/>
      <c r="AN177" s="877"/>
      <c r="AO177" s="877"/>
      <c r="AP177" s="877"/>
      <c r="AQ177" s="877"/>
      <c r="AR177" s="886"/>
      <c r="AS177" s="877"/>
      <c r="AT177" s="879"/>
      <c r="AU177" s="877"/>
      <c r="AV177" s="877"/>
      <c r="AW177" s="877"/>
      <c r="AX177" s="877"/>
      <c r="AY177" s="886"/>
      <c r="AZ177" s="877"/>
      <c r="BA177" s="879"/>
      <c r="BB177" s="877"/>
      <c r="BC177" s="877"/>
      <c r="BD177" s="877"/>
      <c r="BE177" s="877"/>
      <c r="BF177" s="886"/>
      <c r="BG177" s="877"/>
      <c r="BH177" s="879"/>
      <c r="BI177" s="877"/>
      <c r="BJ177" s="877"/>
      <c r="BK177" s="877"/>
      <c r="BL177" s="877"/>
      <c r="BM177" s="886"/>
      <c r="BN177" s="877"/>
      <c r="BO177" s="879"/>
      <c r="BP177" s="877"/>
      <c r="BQ177" s="877"/>
      <c r="BR177" s="877"/>
      <c r="BS177" s="877"/>
      <c r="BT177" s="886"/>
      <c r="BU177" s="877"/>
      <c r="BV177" s="879"/>
      <c r="BW177" s="886"/>
    </row>
    <row r="178" spans="1:253" s="406" customFormat="1" ht="17.25">
      <c r="A178" s="359"/>
      <c r="B178" s="360"/>
      <c r="C178" s="83"/>
      <c r="D178" s="54"/>
      <c r="E178" s="1295" t="s">
        <v>320</v>
      </c>
      <c r="F178" s="932">
        <f>SUM(K178:L178)</f>
        <v>3.1354460884662228E-4</v>
      </c>
      <c r="G178" s="896">
        <f>SUM(I178:Q178)</f>
        <v>4.6750381372150123E-4</v>
      </c>
      <c r="H178" s="933">
        <f>SUM(U178:W178)/(1-'Common input data'!$B$140)</f>
        <v>5.5794702675916134E-4</v>
      </c>
      <c r="I178" s="877">
        <f>('Input data plant-based products'!$F$116*('Common input data'!$C$93*'Common input data'!B88+'Common input data'!$C$94*'Common input data'!C88))/'Input data plant-based products'!$E$116</f>
        <v>1.5005164093510027E-4</v>
      </c>
      <c r="J178" s="877">
        <v>0</v>
      </c>
      <c r="K178" s="877">
        <f>(SUM('Input data plant-based products'!F116:H116)*'Input data plant-based products'!$B$257*44/28)/'Input data plant-based products'!E116</f>
        <v>2.8504055349692936E-4</v>
      </c>
      <c r="L178" s="877">
        <f>K178*'Input data plant-based products'!$B$261</f>
        <v>2.8504055349692938E-5</v>
      </c>
      <c r="M178" s="877"/>
      <c r="N178" s="877">
        <f>('Input data plant-based products'!$P$116*'Common input data'!$C$76*'Common input data'!H68)/'Input data plant-based products'!$E$116</f>
        <v>3.9075639397787047E-6</v>
      </c>
      <c r="O178" s="877">
        <v>0</v>
      </c>
      <c r="P178" s="877">
        <v>0</v>
      </c>
      <c r="Q178" s="877">
        <v>0</v>
      </c>
      <c r="R178" s="877">
        <v>0</v>
      </c>
      <c r="S178" s="877">
        <v>0</v>
      </c>
      <c r="T178" s="877">
        <v>0</v>
      </c>
      <c r="U178" s="877">
        <f>G178+T178</f>
        <v>4.6750381372150123E-4</v>
      </c>
      <c r="V178" s="877">
        <v>0</v>
      </c>
      <c r="W178" s="886">
        <v>0</v>
      </c>
      <c r="X178" s="877"/>
      <c r="Y178" s="879"/>
      <c r="Z178" s="877"/>
      <c r="AA178" s="877"/>
      <c r="AB178" s="877"/>
      <c r="AC178" s="877"/>
      <c r="AD178" s="886"/>
      <c r="AE178" s="877"/>
      <c r="AF178" s="879"/>
      <c r="AG178" s="877"/>
      <c r="AH178" s="877"/>
      <c r="AI178" s="877"/>
      <c r="AJ178" s="877"/>
      <c r="AK178" s="886"/>
      <c r="AL178" s="877"/>
      <c r="AM178" s="879"/>
      <c r="AN178" s="877"/>
      <c r="AO178" s="877"/>
      <c r="AP178" s="877"/>
      <c r="AQ178" s="877"/>
      <c r="AR178" s="886"/>
      <c r="AS178" s="877"/>
      <c r="AT178" s="879"/>
      <c r="AU178" s="877"/>
      <c r="AV178" s="877"/>
      <c r="AW178" s="877"/>
      <c r="AX178" s="877"/>
      <c r="AY178" s="886"/>
      <c r="AZ178" s="877"/>
      <c r="BA178" s="879"/>
      <c r="BB178" s="877"/>
      <c r="BC178" s="877"/>
      <c r="BD178" s="877"/>
      <c r="BE178" s="877"/>
      <c r="BF178" s="886"/>
      <c r="BG178" s="877"/>
      <c r="BH178" s="879"/>
      <c r="BI178" s="877"/>
      <c r="BJ178" s="877"/>
      <c r="BK178" s="877"/>
      <c r="BL178" s="877"/>
      <c r="BM178" s="886"/>
      <c r="BN178" s="877"/>
      <c r="BO178" s="879"/>
      <c r="BP178" s="877"/>
      <c r="BQ178" s="877"/>
      <c r="BR178" s="877"/>
      <c r="BS178" s="877"/>
      <c r="BT178" s="886"/>
      <c r="BU178" s="877"/>
      <c r="BV178" s="879"/>
      <c r="BW178" s="886"/>
    </row>
    <row r="179" spans="1:253" s="503" customFormat="1" ht="17.25">
      <c r="A179" s="362" t="s">
        <v>522</v>
      </c>
      <c r="B179" s="363"/>
      <c r="C179" s="770"/>
      <c r="D179" s="54"/>
      <c r="E179" s="1296"/>
      <c r="F179" s="925" t="s">
        <v>523</v>
      </c>
      <c r="G179" s="1290" t="s">
        <v>523</v>
      </c>
      <c r="H179" s="870" t="s">
        <v>523</v>
      </c>
      <c r="I179" s="880"/>
      <c r="J179" s="880"/>
      <c r="K179" s="880"/>
      <c r="L179" s="880"/>
      <c r="M179" s="880"/>
      <c r="N179" s="880"/>
      <c r="O179" s="1306"/>
      <c r="P179" s="880"/>
      <c r="Q179" s="880"/>
      <c r="R179" s="880"/>
      <c r="S179" s="880"/>
      <c r="T179" s="880"/>
      <c r="U179" s="880"/>
      <c r="V179" s="880"/>
      <c r="W179" s="938"/>
      <c r="X179" s="877"/>
      <c r="Y179" s="879"/>
      <c r="Z179" s="877"/>
      <c r="AA179" s="877"/>
      <c r="AB179" s="877"/>
      <c r="AC179" s="877"/>
      <c r="AD179" s="886"/>
      <c r="AE179" s="877"/>
      <c r="AF179" s="879"/>
      <c r="AG179" s="877"/>
      <c r="AH179" s="877"/>
      <c r="AI179" s="877"/>
      <c r="AJ179" s="877"/>
      <c r="AK179" s="886"/>
      <c r="AL179" s="877"/>
      <c r="AM179" s="879"/>
      <c r="AN179" s="877"/>
      <c r="AO179" s="877"/>
      <c r="AP179" s="877"/>
      <c r="AQ179" s="877"/>
      <c r="AR179" s="886"/>
      <c r="AS179" s="877"/>
      <c r="AT179" s="879"/>
      <c r="AU179" s="877"/>
      <c r="AV179" s="877"/>
      <c r="AW179" s="877"/>
      <c r="AX179" s="877"/>
      <c r="AY179" s="886"/>
      <c r="AZ179" s="877"/>
      <c r="BA179" s="879"/>
      <c r="BB179" s="877"/>
      <c r="BC179" s="877"/>
      <c r="BD179" s="877"/>
      <c r="BE179" s="877"/>
      <c r="BF179" s="886"/>
      <c r="BG179" s="877"/>
      <c r="BH179" s="879"/>
      <c r="BI179" s="877"/>
      <c r="BJ179" s="877"/>
      <c r="BK179" s="877"/>
      <c r="BL179" s="877"/>
      <c r="BM179" s="886"/>
      <c r="BN179" s="877"/>
      <c r="BO179" s="879"/>
      <c r="BP179" s="877"/>
      <c r="BQ179" s="877"/>
      <c r="BR179" s="877"/>
      <c r="BS179" s="877"/>
      <c r="BT179" s="886"/>
      <c r="BU179" s="877"/>
      <c r="BV179" s="879"/>
      <c r="BW179" s="886"/>
      <c r="BX179" s="406"/>
      <c r="BY179" s="406"/>
      <c r="BZ179" s="406"/>
      <c r="CA179" s="406"/>
      <c r="CB179" s="406"/>
      <c r="CC179" s="406"/>
      <c r="CD179" s="406"/>
      <c r="CE179" s="406"/>
      <c r="CF179" s="406"/>
      <c r="CG179" s="406"/>
      <c r="CH179" s="406"/>
      <c r="CI179" s="406"/>
      <c r="CJ179" s="406"/>
      <c r="CK179" s="406"/>
      <c r="CL179" s="406"/>
      <c r="CM179" s="406"/>
      <c r="CN179" s="406"/>
      <c r="CO179" s="406"/>
      <c r="CP179" s="406"/>
      <c r="CQ179" s="406"/>
      <c r="CR179" s="406"/>
      <c r="CS179" s="406"/>
      <c r="CT179" s="406"/>
      <c r="CU179" s="406"/>
      <c r="CV179" s="406"/>
      <c r="CW179" s="406"/>
      <c r="CX179" s="406"/>
      <c r="CY179" s="406"/>
      <c r="CZ179" s="406"/>
      <c r="DA179" s="406"/>
      <c r="DB179" s="406"/>
      <c r="DC179" s="406"/>
      <c r="DD179" s="406"/>
      <c r="DE179" s="406"/>
      <c r="DF179" s="406"/>
      <c r="DG179" s="406"/>
      <c r="DH179" s="406"/>
      <c r="DI179" s="406"/>
      <c r="DJ179" s="406"/>
      <c r="DK179" s="406"/>
      <c r="DL179" s="406"/>
      <c r="DM179" s="406"/>
      <c r="DN179" s="406"/>
      <c r="DO179" s="406"/>
      <c r="DP179" s="406"/>
      <c r="DQ179" s="406"/>
      <c r="DR179" s="406"/>
      <c r="DS179" s="406"/>
      <c r="DT179" s="406"/>
      <c r="DU179" s="406"/>
      <c r="DV179" s="406"/>
      <c r="DW179" s="406"/>
      <c r="DX179" s="406"/>
      <c r="DY179" s="406"/>
      <c r="DZ179" s="406"/>
      <c r="EA179" s="406"/>
      <c r="EB179" s="406"/>
      <c r="EC179" s="406"/>
      <c r="ED179" s="406"/>
      <c r="EE179" s="406"/>
      <c r="EF179" s="406"/>
      <c r="EG179" s="406"/>
      <c r="EH179" s="406"/>
      <c r="EI179" s="406"/>
      <c r="EJ179" s="406"/>
      <c r="EK179" s="406"/>
      <c r="EL179" s="406"/>
      <c r="EM179" s="406"/>
      <c r="EN179" s="406"/>
      <c r="EO179" s="406"/>
      <c r="EP179" s="406"/>
      <c r="EQ179" s="406"/>
      <c r="ER179" s="406"/>
      <c r="ES179" s="406"/>
      <c r="ET179" s="406"/>
      <c r="EU179" s="406"/>
      <c r="EV179" s="406"/>
      <c r="EW179" s="406"/>
      <c r="EX179" s="406"/>
      <c r="EY179" s="406"/>
      <c r="EZ179" s="406"/>
      <c r="FA179" s="406"/>
      <c r="FB179" s="406"/>
      <c r="FC179" s="406"/>
      <c r="FD179" s="406"/>
      <c r="FE179" s="406"/>
      <c r="FF179" s="406"/>
      <c r="FG179" s="406"/>
      <c r="FH179" s="406"/>
      <c r="FI179" s="406"/>
      <c r="FJ179" s="406"/>
      <c r="FK179" s="406"/>
      <c r="FL179" s="406"/>
      <c r="FM179" s="406"/>
      <c r="FN179" s="406"/>
      <c r="FO179" s="406"/>
      <c r="FP179" s="406"/>
      <c r="FQ179" s="406"/>
      <c r="FR179" s="406"/>
      <c r="FS179" s="406"/>
      <c r="FT179" s="406"/>
      <c r="FU179" s="406"/>
      <c r="FV179" s="406"/>
      <c r="FW179" s="406"/>
      <c r="FX179" s="406"/>
      <c r="FY179" s="406"/>
      <c r="FZ179" s="406"/>
      <c r="GA179" s="406"/>
      <c r="GB179" s="406"/>
      <c r="GC179" s="406"/>
      <c r="GD179" s="406"/>
      <c r="GE179" s="406"/>
      <c r="GF179" s="406"/>
      <c r="GG179" s="406"/>
      <c r="GH179" s="406"/>
      <c r="GI179" s="406"/>
      <c r="GJ179" s="406"/>
      <c r="GK179" s="406"/>
      <c r="GL179" s="406"/>
      <c r="GM179" s="406"/>
      <c r="GN179" s="406"/>
      <c r="GO179" s="406"/>
      <c r="GP179" s="406"/>
      <c r="GQ179" s="406"/>
      <c r="GR179" s="406"/>
      <c r="GS179" s="406"/>
      <c r="GT179" s="406"/>
      <c r="GU179" s="406"/>
      <c r="GV179" s="406"/>
      <c r="GW179" s="406"/>
      <c r="GX179" s="406"/>
      <c r="GY179" s="406"/>
      <c r="GZ179" s="406"/>
      <c r="HA179" s="406"/>
      <c r="HB179" s="406"/>
      <c r="HC179" s="406"/>
      <c r="HD179" s="406"/>
      <c r="HE179" s="406"/>
      <c r="HF179" s="406"/>
      <c r="HG179" s="406"/>
      <c r="HH179" s="406"/>
      <c r="HI179" s="406"/>
      <c r="HJ179" s="406"/>
      <c r="HK179" s="406"/>
      <c r="HL179" s="406"/>
      <c r="HM179" s="406"/>
      <c r="HN179" s="406"/>
      <c r="HO179" s="406"/>
      <c r="HP179" s="406"/>
      <c r="HQ179" s="406"/>
      <c r="HR179" s="406"/>
      <c r="HS179" s="406"/>
      <c r="HT179" s="406"/>
      <c r="HU179" s="406"/>
      <c r="HV179" s="406"/>
      <c r="HW179" s="406"/>
      <c r="HX179" s="406"/>
      <c r="HY179" s="406"/>
      <c r="HZ179" s="406"/>
      <c r="IA179" s="406"/>
      <c r="IB179" s="406"/>
      <c r="IC179" s="406"/>
      <c r="ID179" s="406"/>
      <c r="IE179" s="406"/>
      <c r="IF179" s="406"/>
      <c r="IG179" s="406"/>
      <c r="IH179" s="406"/>
      <c r="II179" s="406"/>
      <c r="IJ179" s="406"/>
      <c r="IK179" s="406"/>
      <c r="IL179" s="406"/>
      <c r="IM179" s="406"/>
      <c r="IN179" s="406"/>
      <c r="IO179" s="406"/>
      <c r="IP179" s="406"/>
      <c r="IQ179" s="406"/>
      <c r="IR179" s="406"/>
      <c r="IS179" s="406"/>
    </row>
    <row r="180" spans="1:253" s="502" customFormat="1" ht="17.25">
      <c r="A180" s="20" t="s">
        <v>120</v>
      </c>
      <c r="B180" s="93"/>
      <c r="C180" s="771">
        <f>SUM(C184:C199)</f>
        <v>1</v>
      </c>
      <c r="D180" s="50"/>
      <c r="E180" s="1293" t="s">
        <v>316</v>
      </c>
      <c r="F180" s="926">
        <f>SUMPRODUCT($CI$4:$CI$6,F181:F183)</f>
        <v>3.1807883263021419E-4</v>
      </c>
      <c r="G180" s="874">
        <f>SUMPRODUCT($CI$4:$CI$6,G181:G183)</f>
        <v>1.1767497640817646</v>
      </c>
      <c r="H180" s="927">
        <f>SUMPRODUCT($CI$4:$CI$6,H181:H183)</f>
        <v>2.7712862971026166</v>
      </c>
      <c r="I180" s="874"/>
      <c r="J180" s="875"/>
      <c r="K180" s="875"/>
      <c r="L180" s="875"/>
      <c r="M180" s="875"/>
      <c r="N180" s="875"/>
      <c r="O180" s="875"/>
      <c r="P180" s="875"/>
      <c r="Q180" s="875"/>
      <c r="R180" s="875"/>
      <c r="S180" s="875"/>
      <c r="T180" s="875"/>
      <c r="U180" s="875"/>
      <c r="V180" s="875"/>
      <c r="W180" s="981"/>
      <c r="X180" s="877"/>
      <c r="Y180" s="883">
        <f>Y184*$C$184+Y188*$C$188+Y192*$C$192+Y196*$C$196</f>
        <v>21.109827693692804</v>
      </c>
      <c r="Z180" s="884">
        <f t="shared" ref="Z180:BW180" si="22">Z184*$C$184+Z188*$C$188+Z192*$C$192+Z196*$C$196</f>
        <v>48.81647654166462</v>
      </c>
      <c r="AA180" s="884">
        <f t="shared" si="22"/>
        <v>48.81647654166462</v>
      </c>
      <c r="AB180" s="884">
        <f t="shared" si="22"/>
        <v>48.81647654166462</v>
      </c>
      <c r="AC180" s="884">
        <f t="shared" si="22"/>
        <v>75.213928376167175</v>
      </c>
      <c r="AD180" s="885">
        <f t="shared" si="22"/>
        <v>92.856701698971818</v>
      </c>
      <c r="AE180" s="877"/>
      <c r="AF180" s="883">
        <f t="shared" si="22"/>
        <v>6.8520532112207488E-2</v>
      </c>
      <c r="AG180" s="884">
        <f t="shared" si="22"/>
        <v>0.15845373050947981</v>
      </c>
      <c r="AH180" s="884">
        <f t="shared" si="22"/>
        <v>0.15845373050947981</v>
      </c>
      <c r="AI180" s="884">
        <f t="shared" si="22"/>
        <v>0.15845373050947981</v>
      </c>
      <c r="AJ180" s="884">
        <f t="shared" si="22"/>
        <v>0.24659494396835563</v>
      </c>
      <c r="AK180" s="885">
        <f t="shared" si="22"/>
        <v>0.30443820243006869</v>
      </c>
      <c r="AL180" s="877"/>
      <c r="AM180" s="883">
        <f t="shared" si="22"/>
        <v>6.7901098941705956E-2</v>
      </c>
      <c r="AN180" s="884">
        <f t="shared" si="22"/>
        <v>0.15702129130269502</v>
      </c>
      <c r="AO180" s="884">
        <f t="shared" si="22"/>
        <v>0.15702129130269502</v>
      </c>
      <c r="AP180" s="884">
        <f t="shared" si="22"/>
        <v>0.15702129130269502</v>
      </c>
      <c r="AQ180" s="884">
        <f t="shared" si="22"/>
        <v>0.23995582582872677</v>
      </c>
      <c r="AR180" s="885">
        <f t="shared" si="22"/>
        <v>0.29624176028237881</v>
      </c>
      <c r="AS180" s="877"/>
      <c r="AT180" s="883">
        <f t="shared" si="22"/>
        <v>1.2723050662164013E-3</v>
      </c>
      <c r="AU180" s="884">
        <f t="shared" si="22"/>
        <v>2.9422054656254282E-3</v>
      </c>
      <c r="AV180" s="884">
        <f t="shared" si="22"/>
        <v>2.9422054656254282E-3</v>
      </c>
      <c r="AW180" s="884">
        <f t="shared" si="22"/>
        <v>2.9422054656254282E-3</v>
      </c>
      <c r="AX180" s="884">
        <f t="shared" si="22"/>
        <v>4.037276285231664E-3</v>
      </c>
      <c r="AY180" s="885">
        <f t="shared" si="22"/>
        <v>4.9842917101625486E-3</v>
      </c>
      <c r="AZ180" s="877"/>
      <c r="BA180" s="883">
        <f t="shared" si="22"/>
        <v>1.2608757782676379E-8</v>
      </c>
      <c r="BB180" s="884">
        <f t="shared" si="22"/>
        <v>2.9157752372439125E-8</v>
      </c>
      <c r="BC180" s="884">
        <f t="shared" si="22"/>
        <v>2.9157752372439125E-8</v>
      </c>
      <c r="BD180" s="884">
        <f t="shared" si="22"/>
        <v>2.9157752372439125E-8</v>
      </c>
      <c r="BE180" s="884">
        <f t="shared" si="22"/>
        <v>4.4546442263779449E-8</v>
      </c>
      <c r="BF180" s="885">
        <f t="shared" si="22"/>
        <v>5.499560773306104E-8</v>
      </c>
      <c r="BG180" s="877"/>
      <c r="BH180" s="883">
        <f t="shared" si="22"/>
        <v>1.5781668205112481E-2</v>
      </c>
      <c r="BI180" s="884">
        <f t="shared" si="22"/>
        <v>3.6495107724322601E-2</v>
      </c>
      <c r="BJ180" s="884">
        <f t="shared" si="22"/>
        <v>3.6495107724322601E-2</v>
      </c>
      <c r="BK180" s="884">
        <f t="shared" si="22"/>
        <v>3.6495107724322601E-2</v>
      </c>
      <c r="BL180" s="884">
        <f t="shared" si="22"/>
        <v>5.6448535930738272E-2</v>
      </c>
      <c r="BM180" s="885">
        <f t="shared" si="22"/>
        <v>6.968955053177564E-2</v>
      </c>
      <c r="BN180" s="877"/>
      <c r="BO180" s="883">
        <f t="shared" si="22"/>
        <v>1.7495849811139516E-3</v>
      </c>
      <c r="BP180" s="884">
        <f t="shared" si="22"/>
        <v>4.0459152688260133E-3</v>
      </c>
      <c r="BQ180" s="884">
        <f t="shared" si="22"/>
        <v>4.0459152688260133E-3</v>
      </c>
      <c r="BR180" s="884">
        <f t="shared" si="22"/>
        <v>4.0459152688260133E-3</v>
      </c>
      <c r="BS180" s="884">
        <f t="shared" si="22"/>
        <v>6.2964894913419261E-3</v>
      </c>
      <c r="BT180" s="885">
        <f t="shared" si="22"/>
        <v>7.7734438164715133E-3</v>
      </c>
      <c r="BU180" s="877"/>
      <c r="BV180" s="883">
        <f t="shared" si="22"/>
        <v>16.255086206522307</v>
      </c>
      <c r="BW180" s="885">
        <f t="shared" si="22"/>
        <v>20.068007662373216</v>
      </c>
      <c r="BX180" s="406"/>
      <c r="BY180" s="406"/>
      <c r="BZ180" s="406"/>
      <c r="CA180" s="406"/>
      <c r="CB180" s="406"/>
      <c r="CC180" s="406"/>
      <c r="CD180" s="406"/>
      <c r="CE180" s="406"/>
      <c r="CF180" s="406"/>
      <c r="CG180" s="406"/>
      <c r="CH180" s="406"/>
      <c r="CI180" s="406"/>
      <c r="CJ180" s="406"/>
      <c r="CK180" s="406"/>
      <c r="CL180" s="406"/>
      <c r="CM180" s="406"/>
      <c r="CN180" s="406"/>
      <c r="CO180" s="406"/>
      <c r="CP180" s="406"/>
      <c r="CQ180" s="406"/>
      <c r="CR180" s="406"/>
      <c r="CS180" s="406"/>
      <c r="CT180" s="406"/>
      <c r="CU180" s="406"/>
      <c r="CV180" s="406"/>
      <c r="CW180" s="406"/>
      <c r="CX180" s="406"/>
      <c r="CY180" s="406"/>
      <c r="CZ180" s="406"/>
      <c r="DA180" s="406"/>
      <c r="DB180" s="406"/>
      <c r="DC180" s="406"/>
      <c r="DD180" s="406"/>
      <c r="DE180" s="406"/>
      <c r="DF180" s="406"/>
      <c r="DG180" s="406"/>
      <c r="DH180" s="406"/>
      <c r="DI180" s="406"/>
      <c r="DJ180" s="406"/>
      <c r="DK180" s="406"/>
      <c r="DL180" s="406"/>
      <c r="DM180" s="406"/>
      <c r="DN180" s="406"/>
      <c r="DO180" s="406"/>
      <c r="DP180" s="406"/>
      <c r="DQ180" s="406"/>
      <c r="DR180" s="406"/>
      <c r="DS180" s="406"/>
      <c r="DT180" s="406"/>
      <c r="DU180" s="406"/>
      <c r="DV180" s="406"/>
      <c r="DW180" s="406"/>
      <c r="DX180" s="406"/>
      <c r="DY180" s="406"/>
      <c r="DZ180" s="406"/>
      <c r="EA180" s="406"/>
      <c r="EB180" s="406"/>
      <c r="EC180" s="406"/>
      <c r="ED180" s="406"/>
      <c r="EE180" s="406"/>
      <c r="EF180" s="406"/>
      <c r="EG180" s="406"/>
      <c r="EH180" s="406"/>
      <c r="EI180" s="406"/>
      <c r="EJ180" s="406"/>
      <c r="EK180" s="406"/>
      <c r="EL180" s="406"/>
      <c r="EM180" s="406"/>
      <c r="EN180" s="406"/>
      <c r="EO180" s="406"/>
      <c r="EP180" s="406"/>
      <c r="EQ180" s="406"/>
      <c r="ER180" s="406"/>
      <c r="ES180" s="406"/>
      <c r="ET180" s="406"/>
      <c r="EU180" s="406"/>
      <c r="EV180" s="406"/>
      <c r="EW180" s="406"/>
      <c r="EX180" s="406"/>
      <c r="EY180" s="406"/>
      <c r="EZ180" s="406"/>
      <c r="FA180" s="406"/>
      <c r="FB180" s="406"/>
      <c r="FC180" s="406"/>
      <c r="FD180" s="406"/>
      <c r="FE180" s="406"/>
      <c r="FF180" s="406"/>
      <c r="FG180" s="406"/>
      <c r="FH180" s="406"/>
      <c r="FI180" s="406"/>
      <c r="FJ180" s="406"/>
      <c r="FK180" s="406"/>
      <c r="FL180" s="406"/>
      <c r="FM180" s="406"/>
      <c r="FN180" s="406"/>
      <c r="FO180" s="406"/>
      <c r="FP180" s="406"/>
      <c r="FQ180" s="406"/>
      <c r="FR180" s="406"/>
      <c r="FS180" s="406"/>
      <c r="FT180" s="406"/>
      <c r="FU180" s="406"/>
      <c r="FV180" s="406"/>
      <c r="FW180" s="406"/>
      <c r="FX180" s="406"/>
      <c r="FY180" s="406"/>
      <c r="FZ180" s="406"/>
      <c r="GA180" s="406"/>
      <c r="GB180" s="406"/>
      <c r="GC180" s="406"/>
      <c r="GD180" s="406"/>
      <c r="GE180" s="406"/>
      <c r="GF180" s="406"/>
      <c r="GG180" s="406"/>
      <c r="GH180" s="406"/>
      <c r="GI180" s="406"/>
      <c r="GJ180" s="406"/>
      <c r="GK180" s="406"/>
      <c r="GL180" s="406"/>
      <c r="GM180" s="406"/>
      <c r="GN180" s="406"/>
      <c r="GO180" s="406"/>
      <c r="GP180" s="406"/>
      <c r="GQ180" s="406"/>
      <c r="GR180" s="406"/>
      <c r="GS180" s="406"/>
      <c r="GT180" s="406"/>
      <c r="GU180" s="406"/>
      <c r="GV180" s="406"/>
      <c r="GW180" s="406"/>
      <c r="GX180" s="406"/>
      <c r="GY180" s="406"/>
      <c r="GZ180" s="406"/>
      <c r="HA180" s="406"/>
      <c r="HB180" s="406"/>
      <c r="HC180" s="406"/>
      <c r="HD180" s="406"/>
      <c r="HE180" s="406"/>
      <c r="HF180" s="406"/>
      <c r="HG180" s="406"/>
      <c r="HH180" s="406"/>
      <c r="HI180" s="406"/>
      <c r="HJ180" s="406"/>
      <c r="HK180" s="406"/>
      <c r="HL180" s="406"/>
      <c r="HM180" s="406"/>
      <c r="HN180" s="406"/>
      <c r="HO180" s="406"/>
      <c r="HP180" s="406"/>
      <c r="HQ180" s="406"/>
      <c r="HR180" s="406"/>
      <c r="HS180" s="406"/>
      <c r="HT180" s="406"/>
      <c r="HU180" s="406"/>
      <c r="HV180" s="406"/>
      <c r="HW180" s="406"/>
      <c r="HX180" s="406"/>
      <c r="HY180" s="406"/>
      <c r="HZ180" s="406"/>
      <c r="IA180" s="406"/>
      <c r="IB180" s="406"/>
      <c r="IC180" s="406"/>
      <c r="ID180" s="406"/>
      <c r="IE180" s="406"/>
      <c r="IF180" s="406"/>
      <c r="IG180" s="406"/>
      <c r="IH180" s="406"/>
      <c r="II180" s="406"/>
      <c r="IJ180" s="406"/>
      <c r="IK180" s="406"/>
      <c r="IL180" s="406"/>
      <c r="IM180" s="406"/>
      <c r="IN180" s="406"/>
      <c r="IO180" s="406"/>
      <c r="IP180" s="406"/>
      <c r="IQ180" s="406"/>
      <c r="IR180" s="406"/>
      <c r="IS180" s="406"/>
    </row>
    <row r="181" spans="1:253" s="406" customFormat="1" ht="17.25">
      <c r="A181" s="499"/>
      <c r="B181" s="55"/>
      <c r="C181" s="917"/>
      <c r="D181" s="5"/>
      <c r="E181" s="1294" t="s">
        <v>317</v>
      </c>
      <c r="F181" s="928">
        <f>F185*$C$184+F189*$C$188+$C$192*F193+$C$196*F197</f>
        <v>-0.21075904882694427</v>
      </c>
      <c r="G181" s="877">
        <f t="shared" ref="G181:T181" si="23">G185*$C$184+G189*$C$188+$C$192*G193+$C$196*G197</f>
        <v>0.52151334777831138</v>
      </c>
      <c r="H181" s="878">
        <f>H185*$C$184+H189*$C$188+$C$192*H193+$C$196*H197</f>
        <v>1.7537203249273987</v>
      </c>
      <c r="I181" s="877">
        <f t="shared" si="23"/>
        <v>0.28665833366713761</v>
      </c>
      <c r="J181" s="877">
        <f t="shared" si="23"/>
        <v>3.0000000000000002E-2</v>
      </c>
      <c r="K181" s="877">
        <f t="shared" si="23"/>
        <v>0</v>
      </c>
      <c r="L181" s="877">
        <f t="shared" si="23"/>
        <v>0</v>
      </c>
      <c r="M181" s="877"/>
      <c r="N181" s="877">
        <f t="shared" si="23"/>
        <v>0</v>
      </c>
      <c r="O181" s="877">
        <f t="shared" si="23"/>
        <v>0</v>
      </c>
      <c r="P181" s="877">
        <f t="shared" si="23"/>
        <v>0</v>
      </c>
      <c r="Q181" s="877">
        <f t="shared" si="23"/>
        <v>0</v>
      </c>
      <c r="R181" s="877">
        <f t="shared" si="23"/>
        <v>-9.1139048141381296E-2</v>
      </c>
      <c r="S181" s="877">
        <f t="shared" si="23"/>
        <v>0</v>
      </c>
      <c r="T181" s="877">
        <f t="shared" si="23"/>
        <v>0.20000000000000004</v>
      </c>
      <c r="U181" s="877">
        <f t="shared" ref="U181:W183" si="24">U185*$C$184+U189*$C$188+$C$192*U193+$C$196*U197</f>
        <v>0.72151334777831155</v>
      </c>
      <c r="V181" s="877">
        <f t="shared" si="24"/>
        <v>5.000000000000001E-2</v>
      </c>
      <c r="W181" s="886">
        <f t="shared" si="24"/>
        <v>0.36202980070000002</v>
      </c>
      <c r="X181" s="877"/>
      <c r="Y181" s="879"/>
      <c r="Z181" s="877"/>
      <c r="AA181" s="877"/>
      <c r="AB181" s="877"/>
      <c r="AC181" s="877"/>
      <c r="AD181" s="886"/>
      <c r="AE181" s="877"/>
      <c r="AF181" s="879"/>
      <c r="AG181" s="877"/>
      <c r="AH181" s="877"/>
      <c r="AI181" s="877"/>
      <c r="AJ181" s="877"/>
      <c r="AK181" s="886"/>
      <c r="AL181" s="877"/>
      <c r="AM181" s="879"/>
      <c r="AN181" s="877"/>
      <c r="AO181" s="877"/>
      <c r="AP181" s="877"/>
      <c r="AQ181" s="877"/>
      <c r="AR181" s="886"/>
      <c r="AS181" s="877"/>
      <c r="AT181" s="879"/>
      <c r="AU181" s="877"/>
      <c r="AV181" s="877"/>
      <c r="AW181" s="877"/>
      <c r="AX181" s="877"/>
      <c r="AY181" s="886"/>
      <c r="AZ181" s="877"/>
      <c r="BA181" s="879"/>
      <c r="BB181" s="877"/>
      <c r="BC181" s="877"/>
      <c r="BD181" s="877"/>
      <c r="BE181" s="877"/>
      <c r="BF181" s="886"/>
      <c r="BG181" s="877"/>
      <c r="BH181" s="879"/>
      <c r="BI181" s="877"/>
      <c r="BJ181" s="877"/>
      <c r="BK181" s="877"/>
      <c r="BL181" s="877"/>
      <c r="BM181" s="886"/>
      <c r="BN181" s="877"/>
      <c r="BO181" s="879"/>
      <c r="BP181" s="877"/>
      <c r="BQ181" s="877"/>
      <c r="BR181" s="877"/>
      <c r="BS181" s="877"/>
      <c r="BT181" s="886"/>
      <c r="BU181" s="877"/>
      <c r="BV181" s="879"/>
      <c r="BW181" s="886"/>
    </row>
    <row r="182" spans="1:253" s="406" customFormat="1" ht="17.25">
      <c r="A182" s="499"/>
      <c r="B182" s="55"/>
      <c r="C182" s="595"/>
      <c r="D182" s="50"/>
      <c r="E182" s="1294" t="s">
        <v>367</v>
      </c>
      <c r="F182" s="928">
        <f t="shared" ref="F182:T183" si="25">F186*$C$184+F190*$C$188+$C$192*F194+$C$196*F198</f>
        <v>0</v>
      </c>
      <c r="G182" s="877">
        <f t="shared" si="25"/>
        <v>1.4070676989959207E-3</v>
      </c>
      <c r="H182" s="878">
        <f t="shared" si="25"/>
        <v>2.1897608802136947E-3</v>
      </c>
      <c r="I182" s="877">
        <f t="shared" si="25"/>
        <v>6.0846170767391169E-4</v>
      </c>
      <c r="J182" s="877">
        <f t="shared" si="25"/>
        <v>0</v>
      </c>
      <c r="K182" s="877">
        <f t="shared" si="25"/>
        <v>0</v>
      </c>
      <c r="L182" s="877">
        <f t="shared" si="25"/>
        <v>0</v>
      </c>
      <c r="M182" s="877"/>
      <c r="N182" s="877">
        <f t="shared" si="25"/>
        <v>0</v>
      </c>
      <c r="O182" s="877">
        <f t="shared" si="25"/>
        <v>0</v>
      </c>
      <c r="P182" s="877">
        <f t="shared" si="25"/>
        <v>0</v>
      </c>
      <c r="Q182" s="877">
        <f t="shared" si="25"/>
        <v>0</v>
      </c>
      <c r="R182" s="877">
        <f t="shared" si="25"/>
        <v>0</v>
      </c>
      <c r="S182" s="877">
        <f t="shared" si="25"/>
        <v>0</v>
      </c>
      <c r="T182" s="877">
        <f t="shared" si="25"/>
        <v>0</v>
      </c>
      <c r="U182" s="877">
        <f t="shared" si="24"/>
        <v>1.4070676989959207E-3</v>
      </c>
      <c r="V182" s="877">
        <f t="shared" si="24"/>
        <v>0</v>
      </c>
      <c r="W182" s="886">
        <f t="shared" si="24"/>
        <v>0</v>
      </c>
      <c r="X182" s="877"/>
      <c r="Y182" s="879"/>
      <c r="Z182" s="877"/>
      <c r="AA182" s="877"/>
      <c r="AB182" s="877"/>
      <c r="AC182" s="877"/>
      <c r="AD182" s="886"/>
      <c r="AE182" s="877"/>
      <c r="AF182" s="879"/>
      <c r="AG182" s="877"/>
      <c r="AH182" s="877"/>
      <c r="AI182" s="877"/>
      <c r="AJ182" s="877"/>
      <c r="AK182" s="886"/>
      <c r="AL182" s="877"/>
      <c r="AM182" s="879"/>
      <c r="AN182" s="877"/>
      <c r="AO182" s="877"/>
      <c r="AP182" s="877"/>
      <c r="AQ182" s="877"/>
      <c r="AR182" s="886"/>
      <c r="AS182" s="877"/>
      <c r="AT182" s="879"/>
      <c r="AU182" s="877"/>
      <c r="AV182" s="877"/>
      <c r="AW182" s="877"/>
      <c r="AX182" s="877"/>
      <c r="AY182" s="886"/>
      <c r="AZ182" s="877"/>
      <c r="BA182" s="879"/>
      <c r="BB182" s="877"/>
      <c r="BC182" s="877"/>
      <c r="BD182" s="877"/>
      <c r="BE182" s="877"/>
      <c r="BF182" s="886"/>
      <c r="BG182" s="877"/>
      <c r="BH182" s="879"/>
      <c r="BI182" s="877"/>
      <c r="BJ182" s="877"/>
      <c r="BK182" s="877"/>
      <c r="BL182" s="877"/>
      <c r="BM182" s="886"/>
      <c r="BN182" s="877"/>
      <c r="BO182" s="879"/>
      <c r="BP182" s="877"/>
      <c r="BQ182" s="877"/>
      <c r="BR182" s="877"/>
      <c r="BS182" s="877"/>
      <c r="BT182" s="886"/>
      <c r="BU182" s="877"/>
      <c r="BV182" s="879"/>
      <c r="BW182" s="886"/>
    </row>
    <row r="183" spans="1:253" s="406" customFormat="1" ht="17.25">
      <c r="A183" s="18"/>
      <c r="B183" s="360"/>
      <c r="C183" s="83"/>
      <c r="D183" s="54"/>
      <c r="E183" s="1295" t="s">
        <v>320</v>
      </c>
      <c r="F183" s="928">
        <f t="shared" si="25"/>
        <v>7.7317629179331313E-4</v>
      </c>
      <c r="G183" s="877">
        <f t="shared" si="25"/>
        <v>2.2609728513940043E-3</v>
      </c>
      <c r="H183" s="878">
        <f t="shared" si="25"/>
        <v>3.5107781260419351E-3</v>
      </c>
      <c r="I183" s="877">
        <f t="shared" si="25"/>
        <v>6.4337148523273117E-4</v>
      </c>
      <c r="J183" s="877">
        <f t="shared" si="25"/>
        <v>0</v>
      </c>
      <c r="K183" s="877">
        <f t="shared" si="25"/>
        <v>3.0395136778115504E-4</v>
      </c>
      <c r="L183" s="877">
        <f t="shared" si="25"/>
        <v>3.0395136778115509E-5</v>
      </c>
      <c r="M183" s="877"/>
      <c r="N183" s="877">
        <f t="shared" si="25"/>
        <v>0</v>
      </c>
      <c r="O183" s="877">
        <f t="shared" si="25"/>
        <v>0</v>
      </c>
      <c r="P183" s="877">
        <f t="shared" si="25"/>
        <v>0</v>
      </c>
      <c r="Q183" s="877">
        <f t="shared" si="25"/>
        <v>0</v>
      </c>
      <c r="R183" s="877">
        <f t="shared" si="25"/>
        <v>0</v>
      </c>
      <c r="S183" s="877">
        <f t="shared" si="25"/>
        <v>0</v>
      </c>
      <c r="T183" s="877">
        <f t="shared" si="25"/>
        <v>0</v>
      </c>
      <c r="U183" s="877">
        <f t="shared" si="24"/>
        <v>2.2609728513940043E-3</v>
      </c>
      <c r="V183" s="877">
        <f t="shared" si="24"/>
        <v>0</v>
      </c>
      <c r="W183" s="886">
        <f t="shared" si="24"/>
        <v>0</v>
      </c>
      <c r="X183" s="877"/>
      <c r="Y183" s="879"/>
      <c r="Z183" s="877"/>
      <c r="AA183" s="877"/>
      <c r="AB183" s="877"/>
      <c r="AC183" s="877"/>
      <c r="AD183" s="886"/>
      <c r="AE183" s="877"/>
      <c r="AF183" s="879"/>
      <c r="AG183" s="877"/>
      <c r="AH183" s="877"/>
      <c r="AI183" s="877"/>
      <c r="AJ183" s="877"/>
      <c r="AK183" s="886"/>
      <c r="AL183" s="877"/>
      <c r="AM183" s="879"/>
      <c r="AN183" s="877"/>
      <c r="AO183" s="877"/>
      <c r="AP183" s="877"/>
      <c r="AQ183" s="877"/>
      <c r="AR183" s="886"/>
      <c r="AS183" s="877"/>
      <c r="AT183" s="879"/>
      <c r="AU183" s="877"/>
      <c r="AV183" s="877"/>
      <c r="AW183" s="877"/>
      <c r="AX183" s="877"/>
      <c r="AY183" s="886"/>
      <c r="AZ183" s="877"/>
      <c r="BA183" s="879"/>
      <c r="BB183" s="877"/>
      <c r="BC183" s="877"/>
      <c r="BD183" s="877"/>
      <c r="BE183" s="877"/>
      <c r="BF183" s="886"/>
      <c r="BG183" s="877"/>
      <c r="BH183" s="879"/>
      <c r="BI183" s="877"/>
      <c r="BJ183" s="877"/>
      <c r="BK183" s="877"/>
      <c r="BL183" s="877"/>
      <c r="BM183" s="886"/>
      <c r="BN183" s="877"/>
      <c r="BO183" s="879"/>
      <c r="BP183" s="877"/>
      <c r="BQ183" s="877"/>
      <c r="BR183" s="877"/>
      <c r="BS183" s="877"/>
      <c r="BT183" s="886"/>
      <c r="BU183" s="877"/>
      <c r="BV183" s="879"/>
      <c r="BW183" s="886"/>
    </row>
    <row r="184" spans="1:253" s="502" customFormat="1" ht="17.25">
      <c r="A184" s="20" t="s">
        <v>137</v>
      </c>
      <c r="B184" s="93" t="s">
        <v>121</v>
      </c>
      <c r="C184" s="903">
        <f>'Input data plant-based products'!D125</f>
        <v>0.38538325080000002</v>
      </c>
      <c r="D184" s="26"/>
      <c r="E184" s="1293" t="s">
        <v>316</v>
      </c>
      <c r="F184" s="930">
        <f>SUMPRODUCT($CI$4:$CI$6,F185:F187)</f>
        <v>3.1807883263021419E-4</v>
      </c>
      <c r="G184" s="872">
        <f>SUMPRODUCT($CI$4:$CI$6,G185:G187)</f>
        <v>0.86038975315238275</v>
      </c>
      <c r="H184" s="873">
        <f>SUMPRODUCT($CI$4:$CI$6,H185:H187)</f>
        <v>2.3449568630889424</v>
      </c>
      <c r="I184" s="872"/>
      <c r="J184" s="884"/>
      <c r="K184" s="884"/>
      <c r="L184" s="884"/>
      <c r="M184" s="884"/>
      <c r="N184" s="884"/>
      <c r="O184" s="884"/>
      <c r="P184" s="884"/>
      <c r="Q184" s="884"/>
      <c r="R184" s="884"/>
      <c r="S184" s="884"/>
      <c r="T184" s="884"/>
      <c r="U184" s="884"/>
      <c r="V184" s="884"/>
      <c r="W184" s="885"/>
      <c r="X184" s="877"/>
      <c r="Y184" s="879">
        <f>1/'Input data plant-based products'!E125*10^4</f>
        <v>19.235948139883813</v>
      </c>
      <c r="Z184" s="877">
        <f>$Y184*'Input data plant-based products'!Z125</f>
        <v>44.48313007348132</v>
      </c>
      <c r="AA184" s="877">
        <f>$Y184*'Input data plant-based products'!AA125</f>
        <v>44.48313007348132</v>
      </c>
      <c r="AB184" s="877">
        <f>$Y184*'Input data plant-based products'!AB125</f>
        <v>44.48313007348132</v>
      </c>
      <c r="AC184" s="877">
        <f>$Y184*'Input data plant-based products'!AC125</f>
        <v>72.418608178235772</v>
      </c>
      <c r="AD184" s="886">
        <f>$Y184*'Input data plant-based products'!AD125</f>
        <v>89.405689108933046</v>
      </c>
      <c r="AE184" s="877"/>
      <c r="AF184" s="879">
        <f>SUM('Input data plant-based products'!F125,'Input data plant-based products'!Q125)/'Input data plant-based products'!E125</f>
        <v>4.89396411092985E-2</v>
      </c>
      <c r="AG184" s="877">
        <f>$AF184*'Input data plant-based products'!Z125</f>
        <v>0.11317292006525279</v>
      </c>
      <c r="AH184" s="877">
        <f>$AF184*'Input data plant-based products'!AA125</f>
        <v>0.11317292006525279</v>
      </c>
      <c r="AI184" s="877">
        <f>$AF184*'Input data plant-based products'!AB125</f>
        <v>0.11317292006525279</v>
      </c>
      <c r="AJ184" s="877">
        <f>$AF184*'Input data plant-based products'!AC125</f>
        <v>0.18424569811192965</v>
      </c>
      <c r="AK184" s="886">
        <f>$AF184*'Input data plant-based products'!AD125</f>
        <v>0.22746382482954278</v>
      </c>
      <c r="AL184" s="877"/>
      <c r="AM184" s="879">
        <f>'Input data plant-based products'!R125/'Input data plant-based products'!E125</f>
        <v>9.7879282218597003E-3</v>
      </c>
      <c r="AN184" s="877">
        <f>$AM184*'Input data plant-based products'!Z125</f>
        <v>2.2634584013050556E-2</v>
      </c>
      <c r="AO184" s="877">
        <f>$AM184*'Input data plant-based products'!AA125</f>
        <v>2.2634584013050556E-2</v>
      </c>
      <c r="AP184" s="877">
        <f>$AM184*'Input data plant-based products'!AB125</f>
        <v>2.2634584013050556E-2</v>
      </c>
      <c r="AQ184" s="877">
        <f>$AM184*'Input data plant-based products'!AC125</f>
        <v>3.684913962238593E-2</v>
      </c>
      <c r="AR184" s="886">
        <f>$AM184*'Input data plant-based products'!AD125</f>
        <v>4.549276496590856E-2</v>
      </c>
      <c r="AS184" s="877"/>
      <c r="AT184" s="879">
        <f>'Input data plant-based products'!S125</f>
        <v>0</v>
      </c>
      <c r="AU184" s="877">
        <f>$AT184*'Input data plant-based products'!Z125</f>
        <v>0</v>
      </c>
      <c r="AV184" s="877">
        <f>$AT184*'Input data plant-based products'!AA125</f>
        <v>0</v>
      </c>
      <c r="AW184" s="877">
        <f>$AT184*'Input data plant-based products'!AB125</f>
        <v>0</v>
      </c>
      <c r="AX184" s="877">
        <f>$AT184*'Input data plant-based products'!AC125</f>
        <v>0</v>
      </c>
      <c r="AY184" s="886">
        <f>$AT184*'Input data plant-based products'!AD125</f>
        <v>0</v>
      </c>
      <c r="AZ184" s="877"/>
      <c r="BA184" s="879">
        <f>((SUM('Input data plant-based products'!U125:Y125)*Y184)/('Common input data'!$B$192/10^6))/$BB$3</f>
        <v>4.8278373539608068E-9</v>
      </c>
      <c r="BB184" s="877">
        <f>$BA184*'Input data plant-based products'!Z125</f>
        <v>1.1164373881034367E-8</v>
      </c>
      <c r="BC184" s="877">
        <f>$BA184*'Input data plant-based products'!AA125</f>
        <v>1.1164373881034367E-8</v>
      </c>
      <c r="BD184" s="877">
        <f>$BA184*'Input data plant-based products'!AB125</f>
        <v>1.1164373881034367E-8</v>
      </c>
      <c r="BE184" s="877">
        <f>$BA184*'Input data plant-based products'!AC125</f>
        <v>1.8175618853942801E-8</v>
      </c>
      <c r="BF184" s="886">
        <f>$BA184*'Input data plant-based products'!AD125</f>
        <v>2.243903562215161E-8</v>
      </c>
      <c r="BG184" s="877"/>
      <c r="BH184" s="879">
        <f>'Input data plant-based products'!T125/'Input data plant-based products'!E125</f>
        <v>1.6051705224439577E-2</v>
      </c>
      <c r="BI184" s="877">
        <f>$BH184*'Input data plant-based products'!Z125</f>
        <v>3.7119568331516521E-2</v>
      </c>
      <c r="BJ184" s="877">
        <f>$BH184*'Input data plant-based products'!AA125</f>
        <v>3.7119568331516521E-2</v>
      </c>
      <c r="BK184" s="877">
        <f>$BH184*'Input data plant-based products'!AB125</f>
        <v>3.7119568331516521E-2</v>
      </c>
      <c r="BL184" s="877">
        <f>$BH184*'Input data plant-based products'!AC125</f>
        <v>6.0430717674426579E-2</v>
      </c>
      <c r="BM184" s="886">
        <f>$BH184*'Input data plant-based products'!AD125</f>
        <v>7.4605824289415534E-2</v>
      </c>
      <c r="BN184" s="877"/>
      <c r="BO184" s="879">
        <f>('Input data plant-based products'!F125/'Input data plant-based products'!E125*'Common input data'!$B$195+'Input data plant-based products'!G125/'Input data plant-based products'!E125*'Common input data'!$B$196)/'Common input data'!$B$198</f>
        <v>1.2496117357308288E-3</v>
      </c>
      <c r="BP184" s="877">
        <f>$BO184*'Input data plant-based products'!Z125</f>
        <v>2.8897271388775413E-3</v>
      </c>
      <c r="BQ184" s="877">
        <f>$BO184*'Input data plant-based products'!AA125</f>
        <v>2.8897271388775413E-3</v>
      </c>
      <c r="BR184" s="877">
        <f>$BO184*'Input data plant-based products'!AB125</f>
        <v>2.8897271388775413E-3</v>
      </c>
      <c r="BS184" s="877">
        <f>$BO184*'Input data plant-based products'!AC125</f>
        <v>4.7044804865731243E-3</v>
      </c>
      <c r="BT184" s="886">
        <f>$BO184*'Input data plant-based products'!AD125</f>
        <v>5.8080006007075616E-3</v>
      </c>
      <c r="BU184" s="877"/>
      <c r="BV184" s="879">
        <f>('Common input data'!$C$202+'Common input data'!$B$226)*'Input data plant-based products'!AC125</f>
        <v>13.019045584045585</v>
      </c>
      <c r="BW184" s="886">
        <f>('Common input data'!$C$202+'Common input data'!$B$226)*'Input data plant-based products'!AD125</f>
        <v>16.072895782772328</v>
      </c>
      <c r="BX184" s="406"/>
      <c r="BY184" s="406"/>
      <c r="BZ184" s="406"/>
      <c r="CA184" s="406"/>
      <c r="CB184" s="406"/>
      <c r="CC184" s="406"/>
      <c r="CD184" s="406"/>
      <c r="CE184" s="406"/>
      <c r="CF184" s="406"/>
      <c r="CG184" s="406"/>
      <c r="CH184" s="406"/>
      <c r="CI184" s="406"/>
      <c r="CJ184" s="406"/>
      <c r="CK184" s="406"/>
      <c r="CL184" s="406"/>
      <c r="CM184" s="406"/>
      <c r="CN184" s="406"/>
      <c r="CO184" s="406"/>
      <c r="CP184" s="406"/>
      <c r="CQ184" s="406"/>
      <c r="CR184" s="406"/>
      <c r="CS184" s="406"/>
      <c r="CT184" s="406"/>
      <c r="CU184" s="406"/>
      <c r="CV184" s="406"/>
      <c r="CW184" s="406"/>
      <c r="CX184" s="406"/>
      <c r="CY184" s="406"/>
      <c r="CZ184" s="406"/>
      <c r="DA184" s="406"/>
      <c r="DB184" s="406"/>
      <c r="DC184" s="406"/>
      <c r="DD184" s="406"/>
      <c r="DE184" s="406"/>
      <c r="DF184" s="406"/>
      <c r="DG184" s="406"/>
      <c r="DH184" s="406"/>
      <c r="DI184" s="406"/>
      <c r="DJ184" s="406"/>
      <c r="DK184" s="406"/>
      <c r="DL184" s="406"/>
      <c r="DM184" s="406"/>
      <c r="DN184" s="406"/>
      <c r="DO184" s="406"/>
      <c r="DP184" s="406"/>
      <c r="DQ184" s="406"/>
      <c r="DR184" s="406"/>
      <c r="DS184" s="406"/>
      <c r="DT184" s="406"/>
      <c r="DU184" s="406"/>
      <c r="DV184" s="406"/>
      <c r="DW184" s="406"/>
      <c r="DX184" s="406"/>
      <c r="DY184" s="406"/>
      <c r="DZ184" s="406"/>
      <c r="EA184" s="406"/>
      <c r="EB184" s="406"/>
      <c r="EC184" s="406"/>
      <c r="ED184" s="406"/>
      <c r="EE184" s="406"/>
      <c r="EF184" s="406"/>
      <c r="EG184" s="406"/>
      <c r="EH184" s="406"/>
      <c r="EI184" s="406"/>
      <c r="EJ184" s="406"/>
      <c r="EK184" s="406"/>
      <c r="EL184" s="406"/>
      <c r="EM184" s="406"/>
      <c r="EN184" s="406"/>
      <c r="EO184" s="406"/>
      <c r="EP184" s="406"/>
      <c r="EQ184" s="406"/>
      <c r="ER184" s="406"/>
      <c r="ES184" s="406"/>
      <c r="ET184" s="406"/>
      <c r="EU184" s="406"/>
      <c r="EV184" s="406"/>
      <c r="EW184" s="406"/>
      <c r="EX184" s="406"/>
      <c r="EY184" s="406"/>
      <c r="EZ184" s="406"/>
      <c r="FA184" s="406"/>
      <c r="FB184" s="406"/>
      <c r="FC184" s="406"/>
      <c r="FD184" s="406"/>
      <c r="FE184" s="406"/>
      <c r="FF184" s="406"/>
      <c r="FG184" s="406"/>
      <c r="FH184" s="406"/>
      <c r="FI184" s="406"/>
      <c r="FJ184" s="406"/>
      <c r="FK184" s="406"/>
      <c r="FL184" s="406"/>
      <c r="FM184" s="406"/>
      <c r="FN184" s="406"/>
      <c r="FO184" s="406"/>
      <c r="FP184" s="406"/>
      <c r="FQ184" s="406"/>
      <c r="FR184" s="406"/>
      <c r="FS184" s="406"/>
      <c r="FT184" s="406"/>
      <c r="FU184" s="406"/>
      <c r="FV184" s="406"/>
      <c r="FW184" s="406"/>
      <c r="FX184" s="406"/>
      <c r="FY184" s="406"/>
      <c r="FZ184" s="406"/>
      <c r="GA184" s="406"/>
      <c r="GB184" s="406"/>
      <c r="GC184" s="406"/>
      <c r="GD184" s="406"/>
      <c r="GE184" s="406"/>
      <c r="GF184" s="406"/>
      <c r="GG184" s="406"/>
      <c r="GH184" s="406"/>
      <c r="GI184" s="406"/>
      <c r="GJ184" s="406"/>
      <c r="GK184" s="406"/>
      <c r="GL184" s="406"/>
      <c r="GM184" s="406"/>
      <c r="GN184" s="406"/>
      <c r="GO184" s="406"/>
      <c r="GP184" s="406"/>
      <c r="GQ184" s="406"/>
      <c r="GR184" s="406"/>
      <c r="GS184" s="406"/>
      <c r="GT184" s="406"/>
      <c r="GU184" s="406"/>
      <c r="GV184" s="406"/>
      <c r="GW184" s="406"/>
      <c r="GX184" s="406"/>
      <c r="GY184" s="406"/>
      <c r="GZ184" s="406"/>
      <c r="HA184" s="406"/>
      <c r="HB184" s="406"/>
      <c r="HC184" s="406"/>
      <c r="HD184" s="406"/>
      <c r="HE184" s="406"/>
      <c r="HF184" s="406"/>
      <c r="HG184" s="406"/>
      <c r="HH184" s="406"/>
      <c r="HI184" s="406"/>
      <c r="HJ184" s="406"/>
      <c r="HK184" s="406"/>
      <c r="HL184" s="406"/>
      <c r="HM184" s="406"/>
      <c r="HN184" s="406"/>
      <c r="HO184" s="406"/>
      <c r="HP184" s="406"/>
      <c r="HQ184" s="406"/>
      <c r="HR184" s="406"/>
      <c r="HS184" s="406"/>
      <c r="HT184" s="406"/>
      <c r="HU184" s="406"/>
      <c r="HV184" s="406"/>
      <c r="HW184" s="406"/>
      <c r="HX184" s="406"/>
      <c r="HY184" s="406"/>
      <c r="HZ184" s="406"/>
      <c r="IA184" s="406"/>
      <c r="IB184" s="406"/>
      <c r="IC184" s="406"/>
      <c r="ID184" s="406"/>
      <c r="IE184" s="406"/>
      <c r="IF184" s="406"/>
      <c r="IG184" s="406"/>
      <c r="IH184" s="406"/>
      <c r="II184" s="406"/>
      <c r="IJ184" s="406"/>
      <c r="IK184" s="406"/>
      <c r="IL184" s="406"/>
      <c r="IM184" s="406"/>
      <c r="IN184" s="406"/>
      <c r="IO184" s="406"/>
      <c r="IP184" s="406"/>
      <c r="IQ184" s="406"/>
      <c r="IR184" s="406"/>
      <c r="IS184" s="406"/>
    </row>
    <row r="185" spans="1:253" s="406" customFormat="1" ht="17.25">
      <c r="A185" s="68"/>
      <c r="B185" s="55"/>
      <c r="C185" s="917"/>
      <c r="D185" s="5"/>
      <c r="E185" s="1294" t="s">
        <v>317</v>
      </c>
      <c r="F185" s="928">
        <f>IF(AND($G$2="No",$G$3="No"),SUM(K185:L185)*'Input data plant-based products'!O$274,IF(AND($G$2="Yes", $G$3="No"), (SUM(K185:L185)+S185)*'Input data plant-based products'!O$274, IF(AND($G$2="No", $G$3="Yes"),(SUM(K185:L185)+R185)*'Input data plant-based products'!O$274, (SUM(K185:L185)+S185+R185)*'Input data plant-based products'!O$274)))</f>
        <v>-0.21075904882694424</v>
      </c>
      <c r="G185" s="877">
        <f>IF(AND($G$2="No",$G$3="No"),SUM(I185:Q185)*'Input data plant-based products'!O$274,IF(AND($G$2="Yes", $G$3="No"), (SUM(I185:Q185)+S185)*'Input data plant-based products'!O$274, IF(AND($G$2="No", $G$3="Yes"),(SUM(I185:Q185)+R185)*'Input data plant-based products'!O$274, (SUM(I185:Q185)+S185+R185)*'Input data plant-based products'!O$274)))</f>
        <v>0.33207930123903878</v>
      </c>
      <c r="H185" s="878">
        <f>SUM(U185:W185)/(1-'Common input data'!$G$140)</f>
        <v>1.4848665872837425</v>
      </c>
      <c r="I185" s="877">
        <f>('Input data plant-based products'!$F$125*('Common input data'!$D$93*'Common input data'!B86+'Common input data'!$D$94*'Common input data'!C86))/'Input data plant-based products'!$E$125</f>
        <v>0.20474090813664131</v>
      </c>
      <c r="J185" s="877">
        <f>'Common input data'!B98</f>
        <v>0.03</v>
      </c>
      <c r="K185" s="877">
        <v>0</v>
      </c>
      <c r="L185" s="877">
        <v>0</v>
      </c>
      <c r="M185" s="877"/>
      <c r="N185" s="877">
        <f>('Input data plant-based products'!$P$125*'Common input data'!$C$76*'Common input data'!H66)/'Input data plant-based products'!$E$125</f>
        <v>0</v>
      </c>
      <c r="O185" s="877">
        <v>0</v>
      </c>
      <c r="P185" s="877">
        <v>0</v>
      </c>
      <c r="Q185" s="877">
        <v>0</v>
      </c>
      <c r="R185" s="877">
        <f>'Common input data'!F19</f>
        <v>-9.1139048141381296E-2</v>
      </c>
      <c r="S185" s="877">
        <v>0</v>
      </c>
      <c r="T185" s="877">
        <f>'Input data plant-based products'!B290</f>
        <v>0.2</v>
      </c>
      <c r="U185" s="877">
        <f>G185+T185</f>
        <v>0.53207930123903879</v>
      </c>
      <c r="V185" s="877">
        <f>'Common input data'!B$105</f>
        <v>0.05</v>
      </c>
      <c r="W185" s="886">
        <f>'Common input data'!B121+'Common input data'!C121</f>
        <v>0.32999999999999996</v>
      </c>
      <c r="X185" s="877"/>
      <c r="Y185" s="879"/>
      <c r="Z185" s="877"/>
      <c r="AA185" s="877"/>
      <c r="AB185" s="877"/>
      <c r="AC185" s="877"/>
      <c r="AD185" s="886"/>
      <c r="AE185" s="877"/>
      <c r="AF185" s="879"/>
      <c r="AG185" s="877"/>
      <c r="AH185" s="877"/>
      <c r="AI185" s="877"/>
      <c r="AJ185" s="877"/>
      <c r="AK185" s="886"/>
      <c r="AL185" s="877"/>
      <c r="AM185" s="879"/>
      <c r="AN185" s="877"/>
      <c r="AO185" s="877"/>
      <c r="AP185" s="877"/>
      <c r="AQ185" s="877"/>
      <c r="AR185" s="886"/>
      <c r="AS185" s="877"/>
      <c r="AT185" s="879"/>
      <c r="AU185" s="877"/>
      <c r="AV185" s="877"/>
      <c r="AW185" s="877"/>
      <c r="AX185" s="877"/>
      <c r="AY185" s="886"/>
      <c r="AZ185" s="877"/>
      <c r="BA185" s="879"/>
      <c r="BB185" s="877"/>
      <c r="BC185" s="877"/>
      <c r="BD185" s="877"/>
      <c r="BE185" s="877"/>
      <c r="BF185" s="886"/>
      <c r="BG185" s="877"/>
      <c r="BH185" s="879"/>
      <c r="BI185" s="877"/>
      <c r="BJ185" s="877"/>
      <c r="BK185" s="877"/>
      <c r="BL185" s="877"/>
      <c r="BM185" s="886"/>
      <c r="BN185" s="877"/>
      <c r="BO185" s="879"/>
      <c r="BP185" s="877"/>
      <c r="BQ185" s="877"/>
      <c r="BR185" s="877"/>
      <c r="BS185" s="877"/>
      <c r="BT185" s="886"/>
      <c r="BU185" s="877"/>
      <c r="BV185" s="879"/>
      <c r="BW185" s="886"/>
    </row>
    <row r="186" spans="1:253" s="406" customFormat="1" ht="17.25">
      <c r="A186" s="68"/>
      <c r="B186" s="55"/>
      <c r="C186" s="595"/>
      <c r="D186" s="50"/>
      <c r="E186" s="1294" t="s">
        <v>367</v>
      </c>
      <c r="F186" s="928">
        <f>SUM(K186:L186)*'Input data plant-based products'!O$274</f>
        <v>0</v>
      </c>
      <c r="G186" s="877">
        <f>SUM(I186:Q186)*'Input data plant-based products'!O$274</f>
        <v>1.0049745103056285E-3</v>
      </c>
      <c r="H186" s="878">
        <f>SUM(U186:W186)/(1-'Common input data'!$G$140)</f>
        <v>1.6361001388777022E-3</v>
      </c>
      <c r="I186" s="877">
        <f>('Input data plant-based products'!$F$125*('Common input data'!$D$93*'Common input data'!B87+'Common input data'!$D$94*'Common input data'!C87))/'Input data plant-based products'!$E$125</f>
        <v>4.3458357202405561E-4</v>
      </c>
      <c r="J186" s="877">
        <v>0</v>
      </c>
      <c r="K186" s="877">
        <v>0</v>
      </c>
      <c r="L186" s="877">
        <v>0</v>
      </c>
      <c r="M186" s="877"/>
      <c r="N186" s="877">
        <f>('Input data plant-based products'!$P$125*'Common input data'!$C$76*'Common input data'!H67)/'Input data plant-based products'!$E$125</f>
        <v>0</v>
      </c>
      <c r="O186" s="877">
        <v>0</v>
      </c>
      <c r="P186" s="877">
        <v>0</v>
      </c>
      <c r="Q186" s="877">
        <v>0</v>
      </c>
      <c r="R186" s="877">
        <v>0</v>
      </c>
      <c r="S186" s="877">
        <v>0</v>
      </c>
      <c r="T186" s="877">
        <v>0</v>
      </c>
      <c r="U186" s="877">
        <f>G186+T186</f>
        <v>1.0049745103056285E-3</v>
      </c>
      <c r="V186" s="877">
        <v>0</v>
      </c>
      <c r="W186" s="886">
        <v>0</v>
      </c>
      <c r="X186" s="877"/>
      <c r="Y186" s="879"/>
      <c r="Z186" s="877"/>
      <c r="AA186" s="877"/>
      <c r="AB186" s="877"/>
      <c r="AC186" s="877"/>
      <c r="AD186" s="886"/>
      <c r="AE186" s="877"/>
      <c r="AF186" s="879"/>
      <c r="AG186" s="877"/>
      <c r="AH186" s="877"/>
      <c r="AI186" s="877"/>
      <c r="AJ186" s="877"/>
      <c r="AK186" s="886"/>
      <c r="AL186" s="877"/>
      <c r="AM186" s="879"/>
      <c r="AN186" s="877"/>
      <c r="AO186" s="877"/>
      <c r="AP186" s="877"/>
      <c r="AQ186" s="877"/>
      <c r="AR186" s="886"/>
      <c r="AS186" s="877"/>
      <c r="AT186" s="879"/>
      <c r="AU186" s="877"/>
      <c r="AV186" s="877"/>
      <c r="AW186" s="877"/>
      <c r="AX186" s="877"/>
      <c r="AY186" s="886"/>
      <c r="AZ186" s="877"/>
      <c r="BA186" s="879"/>
      <c r="BB186" s="877"/>
      <c r="BC186" s="877"/>
      <c r="BD186" s="877"/>
      <c r="BE186" s="877"/>
      <c r="BF186" s="886"/>
      <c r="BG186" s="877"/>
      <c r="BH186" s="879"/>
      <c r="BI186" s="877"/>
      <c r="BJ186" s="877"/>
      <c r="BK186" s="877"/>
      <c r="BL186" s="877"/>
      <c r="BM186" s="886"/>
      <c r="BN186" s="877"/>
      <c r="BO186" s="879"/>
      <c r="BP186" s="877"/>
      <c r="BQ186" s="877"/>
      <c r="BR186" s="877"/>
      <c r="BS186" s="877"/>
      <c r="BT186" s="886"/>
      <c r="BU186" s="877"/>
      <c r="BV186" s="879"/>
      <c r="BW186" s="886"/>
    </row>
    <row r="187" spans="1:253" s="406" customFormat="1" ht="17.25">
      <c r="A187" s="359"/>
      <c r="B187" s="360"/>
      <c r="C187" s="83"/>
      <c r="D187" s="54"/>
      <c r="E187" s="1295" t="s">
        <v>320</v>
      </c>
      <c r="F187" s="928">
        <f>SUM(K187:L187)*'Input data plant-based products'!O$274</f>
        <v>7.7317629179331302E-4</v>
      </c>
      <c r="G187" s="877">
        <f>SUM(I187:Q187)*'Input data plant-based products'!O$274</f>
        <v>1.8358100371248787E-3</v>
      </c>
      <c r="H187" s="878">
        <f>SUM(U187:W187)/(1-'Common input data'!$G$140)</f>
        <v>2.9887017291410317E-3</v>
      </c>
      <c r="I187" s="877">
        <f>('Input data plant-based products'!$F$125*('Common input data'!$D$93*'Common input data'!B88+'Common input data'!$D$94*'Common input data'!C88))/'Input data plant-based products'!$E$125</f>
        <v>4.595172952785148E-4</v>
      </c>
      <c r="J187" s="877">
        <v>0</v>
      </c>
      <c r="K187" s="877">
        <f>(SUM(('Input data plant-based products'!$F$115*'Input data plant-based products'!$B$258),(('Input data plant-based products'!$G$115+'Input data plant-based products'!$H$115)*'Input data plant-based products'!$B$259))*44/28)/'Input data plant-based products'!$E$115</f>
        <v>3.0395136778115504E-4</v>
      </c>
      <c r="L187" s="877">
        <f>K187*'Input data plant-based products'!$B$261</f>
        <v>3.0395136778115506E-5</v>
      </c>
      <c r="M187" s="877"/>
      <c r="N187" s="877">
        <f>('Input data plant-based products'!$P$125*'Common input data'!$C$76*'Common input data'!H68)/'Input data plant-based products'!$E$125</f>
        <v>0</v>
      </c>
      <c r="O187" s="877">
        <v>0</v>
      </c>
      <c r="P187" s="877">
        <v>0</v>
      </c>
      <c r="Q187" s="877">
        <v>0</v>
      </c>
      <c r="R187" s="877">
        <v>0</v>
      </c>
      <c r="S187" s="877">
        <v>0</v>
      </c>
      <c r="T187" s="877">
        <v>0</v>
      </c>
      <c r="U187" s="877">
        <f>G187+T187</f>
        <v>1.8358100371248787E-3</v>
      </c>
      <c r="V187" s="877">
        <v>0</v>
      </c>
      <c r="W187" s="886">
        <v>0</v>
      </c>
      <c r="X187" s="877"/>
      <c r="Y187" s="879"/>
      <c r="Z187" s="877"/>
      <c r="AA187" s="877"/>
      <c r="AB187" s="877"/>
      <c r="AC187" s="877"/>
      <c r="AD187" s="886"/>
      <c r="AE187" s="877"/>
      <c r="AF187" s="879"/>
      <c r="AG187" s="877"/>
      <c r="AH187" s="877"/>
      <c r="AI187" s="877"/>
      <c r="AJ187" s="877"/>
      <c r="AK187" s="886"/>
      <c r="AL187" s="877"/>
      <c r="AM187" s="879"/>
      <c r="AN187" s="877"/>
      <c r="AO187" s="877"/>
      <c r="AP187" s="877"/>
      <c r="AQ187" s="877"/>
      <c r="AR187" s="886"/>
      <c r="AS187" s="877"/>
      <c r="AT187" s="879"/>
      <c r="AU187" s="877"/>
      <c r="AV187" s="877"/>
      <c r="AW187" s="877"/>
      <c r="AX187" s="877"/>
      <c r="AY187" s="886"/>
      <c r="AZ187" s="877"/>
      <c r="BA187" s="879"/>
      <c r="BB187" s="877"/>
      <c r="BC187" s="877"/>
      <c r="BD187" s="877"/>
      <c r="BE187" s="877"/>
      <c r="BF187" s="886"/>
      <c r="BG187" s="877"/>
      <c r="BH187" s="879"/>
      <c r="BI187" s="877"/>
      <c r="BJ187" s="877"/>
      <c r="BK187" s="877"/>
      <c r="BL187" s="877"/>
      <c r="BM187" s="886"/>
      <c r="BN187" s="877"/>
      <c r="BO187" s="879"/>
      <c r="BP187" s="877"/>
      <c r="BQ187" s="877"/>
      <c r="BR187" s="877"/>
      <c r="BS187" s="877"/>
      <c r="BT187" s="886"/>
      <c r="BU187" s="877"/>
      <c r="BV187" s="879"/>
      <c r="BW187" s="886"/>
    </row>
    <row r="188" spans="1:253" s="502" customFormat="1" ht="17.25">
      <c r="A188" s="20" t="s">
        <v>138</v>
      </c>
      <c r="B188" s="93" t="s">
        <v>121</v>
      </c>
      <c r="C188" s="903">
        <f>'Input data plant-based products'!D126</f>
        <v>0.16931057129999999</v>
      </c>
      <c r="D188" s="26"/>
      <c r="E188" s="1293" t="s">
        <v>316</v>
      </c>
      <c r="F188" s="930">
        <f>SUMPRODUCT($CI$4:$CI$6,F189:F191)</f>
        <v>3.1807883263021419E-4</v>
      </c>
      <c r="G188" s="872">
        <f>SUMPRODUCT($CI$4:$CI$6,G189:G191)</f>
        <v>6.9693078832630206E-2</v>
      </c>
      <c r="H188" s="873">
        <f>SUMPRODUCT($CI$4:$CI$6,H189:H191)</f>
        <v>1.0577013900409122</v>
      </c>
      <c r="I188" s="872"/>
      <c r="J188" s="884"/>
      <c r="K188" s="884"/>
      <c r="L188" s="884"/>
      <c r="M188" s="884"/>
      <c r="N188" s="884"/>
      <c r="O188" s="884"/>
      <c r="P188" s="884"/>
      <c r="Q188" s="884"/>
      <c r="R188" s="884"/>
      <c r="S188" s="884"/>
      <c r="T188" s="884"/>
      <c r="U188" s="884"/>
      <c r="V188" s="884"/>
      <c r="W188" s="885"/>
      <c r="X188" s="877"/>
      <c r="Y188" s="879">
        <f>1/'Input data plant-based products'!E126*10^4</f>
        <v>19.442392191935294</v>
      </c>
      <c r="Z188" s="877">
        <f>$Y188*'Input data plant-based products'!Z126</f>
        <v>44.96053194385037</v>
      </c>
      <c r="AA188" s="877">
        <f>$Y188*'Input data plant-based products'!AA126</f>
        <v>44.96053194385037</v>
      </c>
      <c r="AB188" s="877">
        <f>$Y188*'Input data plant-based products'!AB126</f>
        <v>44.96053194385037</v>
      </c>
      <c r="AC188" s="877">
        <f>$Y188*'Input data plant-based products'!AC126</f>
        <v>73.195819200407598</v>
      </c>
      <c r="AD188" s="886">
        <f>$Y188*'Input data plant-based products'!AD126</f>
        <v>90.365208889392107</v>
      </c>
      <c r="AE188" s="877"/>
      <c r="AF188" s="879">
        <f>SUM('Input data plant-based products'!F126,'Input data plant-based products'!Q126)/'Input data plant-based products'!E126</f>
        <v>0</v>
      </c>
      <c r="AG188" s="877">
        <f>$AF188*'Input data plant-based products'!Z126</f>
        <v>0</v>
      </c>
      <c r="AH188" s="877">
        <f>$AF188*'Input data plant-based products'!AA126</f>
        <v>0</v>
      </c>
      <c r="AI188" s="877">
        <f>$AF188*'Input data plant-based products'!AB126</f>
        <v>0</v>
      </c>
      <c r="AJ188" s="877">
        <f>$AF188*'Input data plant-based products'!AC126</f>
        <v>0</v>
      </c>
      <c r="AK188" s="886">
        <f>$AF188*'Input data plant-based products'!AD126</f>
        <v>0</v>
      </c>
      <c r="AL188" s="877"/>
      <c r="AM188" s="879">
        <f>'Input data plant-based products'!R126/'Input data plant-based products'!E126</f>
        <v>0.11816192560175</v>
      </c>
      <c r="AN188" s="877">
        <f>$AM188*'Input data plant-based products'!Z126</f>
        <v>0.27324945295404685</v>
      </c>
      <c r="AO188" s="877">
        <f>$AM188*'Input data plant-based products'!AA126</f>
        <v>0.27324945295404685</v>
      </c>
      <c r="AP188" s="877">
        <f>$AM188*'Input data plant-based products'!AB126</f>
        <v>0.27324945295404685</v>
      </c>
      <c r="AQ188" s="877">
        <f>$AM188*'Input data plant-based products'!AC126</f>
        <v>0.44485055425974257</v>
      </c>
      <c r="AR188" s="886">
        <f>$AM188*'Input data plant-based products'!AD126</f>
        <v>0.54919821513548472</v>
      </c>
      <c r="AS188" s="877"/>
      <c r="AT188" s="879">
        <f>'Input data plant-based products'!S126</f>
        <v>0</v>
      </c>
      <c r="AU188" s="877">
        <f>$AT188*'Input data plant-based products'!Z126</f>
        <v>0</v>
      </c>
      <c r="AV188" s="877">
        <f>$AT188*'Input data plant-based products'!AA126</f>
        <v>0</v>
      </c>
      <c r="AW188" s="877">
        <f>$AT188*'Input data plant-based products'!AB126</f>
        <v>0</v>
      </c>
      <c r="AX188" s="877">
        <f>$AT188*'Input data plant-based products'!AC126</f>
        <v>0</v>
      </c>
      <c r="AY188" s="886">
        <f>$AT188*'Input data plant-based products'!AD126</f>
        <v>0</v>
      </c>
      <c r="AZ188" s="877"/>
      <c r="BA188" s="879">
        <f>((SUM('Input data plant-based products'!U126:Y126)*Y188)/('Common input data'!$B$192/10^6))/$BB$3</f>
        <v>3.6102486339674766E-9</v>
      </c>
      <c r="BB188" s="877">
        <f>$BA188*'Input data plant-based products'!Z126</f>
        <v>8.3486999660497891E-9</v>
      </c>
      <c r="BC188" s="877">
        <f>$BA188*'Input data plant-based products'!AA126</f>
        <v>8.3486999660497891E-9</v>
      </c>
      <c r="BD188" s="877">
        <f>$BA188*'Input data plant-based products'!AB126</f>
        <v>8.3486999660497891E-9</v>
      </c>
      <c r="BE188" s="877">
        <f>$BA188*'Input data plant-based products'!AC126</f>
        <v>1.3591697136426195E-8</v>
      </c>
      <c r="BF188" s="886">
        <f>$BA188*'Input data plant-based products'!AD126</f>
        <v>1.6779873007933573E-8</v>
      </c>
      <c r="BG188" s="877"/>
      <c r="BH188" s="879">
        <f>'Input data plant-based products'!T126/'Input data plant-based products'!E126</f>
        <v>1.527814660652827E-2</v>
      </c>
      <c r="BI188" s="877">
        <f>$BH188*'Input data plant-based products'!Z126</f>
        <v>3.5330714027596626E-2</v>
      </c>
      <c r="BJ188" s="877">
        <f>$BH188*'Input data plant-based products'!AA126</f>
        <v>3.5330714027596626E-2</v>
      </c>
      <c r="BK188" s="877">
        <f>$BH188*'Input data plant-based products'!AB126</f>
        <v>3.5330714027596626E-2</v>
      </c>
      <c r="BL188" s="877">
        <f>$BH188*'Input data plant-based products'!AC126</f>
        <v>5.7518459955387263E-2</v>
      </c>
      <c r="BM188" s="886">
        <f>$BH188*'Input data plant-based products'!AD126</f>
        <v>7.1010444389366989E-2</v>
      </c>
      <c r="BN188" s="877"/>
      <c r="BO188" s="879">
        <f>('Input data plant-based products'!F126/'Input data plant-based products'!E126*'Common input data'!$B$195+'Input data plant-based products'!G126/'Input data plant-based products'!E126*'Common input data'!$B$196)/'Common input data'!$B$198</f>
        <v>0</v>
      </c>
      <c r="BP188" s="877">
        <f>$BO188*'Input data plant-based products'!Z126</f>
        <v>0</v>
      </c>
      <c r="BQ188" s="877">
        <f>$BO188*'Input data plant-based products'!AA126</f>
        <v>0</v>
      </c>
      <c r="BR188" s="877">
        <f>$BO188*'Input data plant-based products'!AB126</f>
        <v>0</v>
      </c>
      <c r="BS188" s="877">
        <f>$BO188*'Input data plant-based products'!AC126</f>
        <v>0</v>
      </c>
      <c r="BT188" s="886">
        <f>$BO188*'Input data plant-based products'!AD126</f>
        <v>0</v>
      </c>
      <c r="BU188" s="877"/>
      <c r="BV188" s="879">
        <f>('Common input data'!$C$202+'Common input data'!$B$225)*'Input data plant-based products'!AC126</f>
        <v>13.379558404558408</v>
      </c>
      <c r="BW188" s="886">
        <f>('Common input data'!$C$202+'Common input data'!$B$225)*'Input data plant-based products'!AD126</f>
        <v>16.517973338960996</v>
      </c>
      <c r="BX188" s="406"/>
      <c r="BY188" s="406"/>
      <c r="BZ188" s="406"/>
      <c r="CA188" s="406"/>
      <c r="CB188" s="406"/>
      <c r="CC188" s="406"/>
      <c r="CD188" s="406"/>
      <c r="CE188" s="406"/>
      <c r="CF188" s="406"/>
      <c r="CG188" s="406"/>
      <c r="CH188" s="406"/>
      <c r="CI188" s="406"/>
      <c r="CJ188" s="406"/>
      <c r="CK188" s="406"/>
      <c r="CL188" s="406"/>
      <c r="CM188" s="406"/>
      <c r="CN188" s="406"/>
      <c r="CO188" s="406"/>
      <c r="CP188" s="406"/>
      <c r="CQ188" s="406"/>
      <c r="CR188" s="406"/>
      <c r="CS188" s="406"/>
      <c r="CT188" s="406"/>
      <c r="CU188" s="406"/>
      <c r="CV188" s="406"/>
      <c r="CW188" s="406"/>
      <c r="CX188" s="406"/>
      <c r="CY188" s="406"/>
      <c r="CZ188" s="406"/>
      <c r="DA188" s="406"/>
      <c r="DB188" s="406"/>
      <c r="DC188" s="406"/>
      <c r="DD188" s="406"/>
      <c r="DE188" s="406"/>
      <c r="DF188" s="406"/>
      <c r="DG188" s="406"/>
      <c r="DH188" s="406"/>
      <c r="DI188" s="406"/>
      <c r="DJ188" s="406"/>
      <c r="DK188" s="406"/>
      <c r="DL188" s="406"/>
      <c r="DM188" s="406"/>
      <c r="DN188" s="406"/>
      <c r="DO188" s="406"/>
      <c r="DP188" s="406"/>
      <c r="DQ188" s="406"/>
      <c r="DR188" s="406"/>
      <c r="DS188" s="406"/>
      <c r="DT188" s="406"/>
      <c r="DU188" s="406"/>
      <c r="DV188" s="406"/>
      <c r="DW188" s="406"/>
      <c r="DX188" s="406"/>
      <c r="DY188" s="406"/>
      <c r="DZ188" s="406"/>
      <c r="EA188" s="406"/>
      <c r="EB188" s="406"/>
      <c r="EC188" s="406"/>
      <c r="ED188" s="406"/>
      <c r="EE188" s="406"/>
      <c r="EF188" s="406"/>
      <c r="EG188" s="406"/>
      <c r="EH188" s="406"/>
      <c r="EI188" s="406"/>
      <c r="EJ188" s="406"/>
      <c r="EK188" s="406"/>
      <c r="EL188" s="406"/>
      <c r="EM188" s="406"/>
      <c r="EN188" s="406"/>
      <c r="EO188" s="406"/>
      <c r="EP188" s="406"/>
      <c r="EQ188" s="406"/>
      <c r="ER188" s="406"/>
      <c r="ES188" s="406"/>
      <c r="ET188" s="406"/>
      <c r="EU188" s="406"/>
      <c r="EV188" s="406"/>
      <c r="EW188" s="406"/>
      <c r="EX188" s="406"/>
      <c r="EY188" s="406"/>
      <c r="EZ188" s="406"/>
      <c r="FA188" s="406"/>
      <c r="FB188" s="406"/>
      <c r="FC188" s="406"/>
      <c r="FD188" s="406"/>
      <c r="FE188" s="406"/>
      <c r="FF188" s="406"/>
      <c r="FG188" s="406"/>
      <c r="FH188" s="406"/>
      <c r="FI188" s="406"/>
      <c r="FJ188" s="406"/>
      <c r="FK188" s="406"/>
      <c r="FL188" s="406"/>
      <c r="FM188" s="406"/>
      <c r="FN188" s="406"/>
      <c r="FO188" s="406"/>
      <c r="FP188" s="406"/>
      <c r="FQ188" s="406"/>
      <c r="FR188" s="406"/>
      <c r="FS188" s="406"/>
      <c r="FT188" s="406"/>
      <c r="FU188" s="406"/>
      <c r="FV188" s="406"/>
      <c r="FW188" s="406"/>
      <c r="FX188" s="406"/>
      <c r="FY188" s="406"/>
      <c r="FZ188" s="406"/>
      <c r="GA188" s="406"/>
      <c r="GB188" s="406"/>
      <c r="GC188" s="406"/>
      <c r="GD188" s="406"/>
      <c r="GE188" s="406"/>
      <c r="GF188" s="406"/>
      <c r="GG188" s="406"/>
      <c r="GH188" s="406"/>
      <c r="GI188" s="406"/>
      <c r="GJ188" s="406"/>
      <c r="GK188" s="406"/>
      <c r="GL188" s="406"/>
      <c r="GM188" s="406"/>
      <c r="GN188" s="406"/>
      <c r="GO188" s="406"/>
      <c r="GP188" s="406"/>
      <c r="GQ188" s="406"/>
      <c r="GR188" s="406"/>
      <c r="GS188" s="406"/>
      <c r="GT188" s="406"/>
      <c r="GU188" s="406"/>
      <c r="GV188" s="406"/>
      <c r="GW188" s="406"/>
      <c r="GX188" s="406"/>
      <c r="GY188" s="406"/>
      <c r="GZ188" s="406"/>
      <c r="HA188" s="406"/>
      <c r="HB188" s="406"/>
      <c r="HC188" s="406"/>
      <c r="HD188" s="406"/>
      <c r="HE188" s="406"/>
      <c r="HF188" s="406"/>
      <c r="HG188" s="406"/>
      <c r="HH188" s="406"/>
      <c r="HI188" s="406"/>
      <c r="HJ188" s="406"/>
      <c r="HK188" s="406"/>
      <c r="HL188" s="406"/>
      <c r="HM188" s="406"/>
      <c r="HN188" s="406"/>
      <c r="HO188" s="406"/>
      <c r="HP188" s="406"/>
      <c r="HQ188" s="406"/>
      <c r="HR188" s="406"/>
      <c r="HS188" s="406"/>
      <c r="HT188" s="406"/>
      <c r="HU188" s="406"/>
      <c r="HV188" s="406"/>
      <c r="HW188" s="406"/>
      <c r="HX188" s="406"/>
      <c r="HY188" s="406"/>
      <c r="HZ188" s="406"/>
      <c r="IA188" s="406"/>
      <c r="IB188" s="406"/>
      <c r="IC188" s="406"/>
      <c r="ID188" s="406"/>
      <c r="IE188" s="406"/>
      <c r="IF188" s="406"/>
      <c r="IG188" s="406"/>
      <c r="IH188" s="406"/>
      <c r="II188" s="406"/>
      <c r="IJ188" s="406"/>
      <c r="IK188" s="406"/>
      <c r="IL188" s="406"/>
      <c r="IM188" s="406"/>
      <c r="IN188" s="406"/>
      <c r="IO188" s="406"/>
      <c r="IP188" s="406"/>
      <c r="IQ188" s="406"/>
      <c r="IR188" s="406"/>
      <c r="IS188" s="406"/>
    </row>
    <row r="189" spans="1:253" s="406" customFormat="1" ht="17.25">
      <c r="A189" s="68"/>
      <c r="B189" s="55"/>
      <c r="C189" s="917"/>
      <c r="D189" s="5"/>
      <c r="E189" s="1294" t="s">
        <v>317</v>
      </c>
      <c r="F189" s="928">
        <f>IF(AND($G$2="No",$G$3="No"),SUM(K189:L189)*'Input data plant-based products'!O$274,IF(AND($G$2="Yes", $G$3="No"), (SUM(K189:L189)+S189)*'Input data plant-based products'!O$274, IF(AND($G$2="No", $G$3="Yes"),(SUM(K189:L189)+R189)*'Input data plant-based products'!O$274, (SUM(K189:L189)+S189+R189)*'Input data plant-based products'!O$274)))</f>
        <v>-0.21075904882694424</v>
      </c>
      <c r="G189" s="877">
        <f>IF(AND($G$2="No",$G$3="No"),SUM(I189:Q189)*'Input data plant-based products'!O$274,IF(AND($G$2="Yes", $G$3="No"), (SUM(I189:Q189)+S189)*'Input data plant-based products'!O$274, IF(AND($G$2="No", $G$3="Yes"),(SUM(I189:Q189)+R189)*'Input data plant-based products'!O$274, (SUM(I189:Q189)+S189+R189)*'Input data plant-based products'!O$274)))</f>
        <v>-0.14138404882694425</v>
      </c>
      <c r="H189" s="878">
        <f>SUM(U189:W189)/(1-'Common input data'!$G$140)</f>
        <v>0.71406748257721742</v>
      </c>
      <c r="I189" s="877">
        <f>('Input data plant-based products'!$F$126*('Common input data'!$D$93*'Common input data'!B86+'Common input data'!$D$94*'Common input data'!C86))/'Input data plant-based products'!$E$126</f>
        <v>0</v>
      </c>
      <c r="J189" s="877">
        <f>'Common input data'!B98</f>
        <v>0.03</v>
      </c>
      <c r="K189" s="877">
        <v>0</v>
      </c>
      <c r="L189" s="877">
        <v>0</v>
      </c>
      <c r="M189" s="877"/>
      <c r="N189" s="877">
        <f>('Input data plant-based products'!$P$126*'Common input data'!$C$76*'Common input data'!H66)/'Input data plant-based products'!$E$126</f>
        <v>0</v>
      </c>
      <c r="O189" s="877">
        <v>0</v>
      </c>
      <c r="P189" s="877">
        <v>0</v>
      </c>
      <c r="Q189" s="877">
        <v>0</v>
      </c>
      <c r="R189" s="877">
        <f>'Common input data'!F19</f>
        <v>-9.1139048141381296E-2</v>
      </c>
      <c r="S189" s="877">
        <v>0</v>
      </c>
      <c r="T189" s="877">
        <f>'Input data plant-based products'!B290</f>
        <v>0.2</v>
      </c>
      <c r="U189" s="877">
        <f>G189+T189</f>
        <v>5.8615951173055764E-2</v>
      </c>
      <c r="V189" s="877">
        <f>'Common input data'!B$105</f>
        <v>0.05</v>
      </c>
      <c r="W189" s="886">
        <f>'Common input data'!B121+'Common input data'!C121</f>
        <v>0.32999999999999996</v>
      </c>
      <c r="X189" s="877"/>
      <c r="Y189" s="879"/>
      <c r="Z189" s="877"/>
      <c r="AA189" s="877"/>
      <c r="AB189" s="877"/>
      <c r="AC189" s="877"/>
      <c r="AD189" s="886"/>
      <c r="AE189" s="877"/>
      <c r="AF189" s="879"/>
      <c r="AG189" s="877"/>
      <c r="AH189" s="877"/>
      <c r="AI189" s="877"/>
      <c r="AJ189" s="877"/>
      <c r="AK189" s="886"/>
      <c r="AL189" s="877"/>
      <c r="AM189" s="879"/>
      <c r="AN189" s="877"/>
      <c r="AO189" s="877"/>
      <c r="AP189" s="877"/>
      <c r="AQ189" s="877"/>
      <c r="AR189" s="886"/>
      <c r="AS189" s="877"/>
      <c r="AT189" s="879"/>
      <c r="AU189" s="877"/>
      <c r="AV189" s="877"/>
      <c r="AW189" s="877"/>
      <c r="AX189" s="877"/>
      <c r="AY189" s="886"/>
      <c r="AZ189" s="877"/>
      <c r="BA189" s="879"/>
      <c r="BB189" s="877"/>
      <c r="BC189" s="877"/>
      <c r="BD189" s="877"/>
      <c r="BE189" s="877"/>
      <c r="BF189" s="886"/>
      <c r="BG189" s="877"/>
      <c r="BH189" s="879"/>
      <c r="BI189" s="877"/>
      <c r="BJ189" s="877"/>
      <c r="BK189" s="877"/>
      <c r="BL189" s="877"/>
      <c r="BM189" s="886"/>
      <c r="BN189" s="877"/>
      <c r="BO189" s="879"/>
      <c r="BP189" s="877"/>
      <c r="BQ189" s="877"/>
      <c r="BR189" s="877"/>
      <c r="BS189" s="877"/>
      <c r="BT189" s="886"/>
      <c r="BU189" s="877"/>
      <c r="BV189" s="879"/>
      <c r="BW189" s="886"/>
    </row>
    <row r="190" spans="1:253" s="406" customFormat="1" ht="17.25">
      <c r="A190" s="68"/>
      <c r="B190" s="55"/>
      <c r="C190" s="595"/>
      <c r="D190" s="50"/>
      <c r="E190" s="1294" t="s">
        <v>367</v>
      </c>
      <c r="F190" s="928">
        <f>SUM(K190:L190)*'Input data plant-based products'!O$274</f>
        <v>0</v>
      </c>
      <c r="G190" s="877">
        <f>SUM(I190:Q190)*'Input data plant-based products'!O$274</f>
        <v>0</v>
      </c>
      <c r="H190" s="878">
        <f>SUM(U190:W190)/(1-'Common input data'!$G$140)</f>
        <v>0</v>
      </c>
      <c r="I190" s="877">
        <f>('Input data plant-based products'!$F$126*('Common input data'!$D$93*'Common input data'!B87+'Common input data'!$D$94*'Common input data'!C87))/'Input data plant-based products'!$E$126</f>
        <v>0</v>
      </c>
      <c r="J190" s="877">
        <v>0</v>
      </c>
      <c r="K190" s="877">
        <v>0</v>
      </c>
      <c r="L190" s="877">
        <v>0</v>
      </c>
      <c r="M190" s="877"/>
      <c r="N190" s="877">
        <f>('Input data plant-based products'!$P$126*'Common input data'!$C$76*'Common input data'!H67)/'Input data plant-based products'!$E$126</f>
        <v>0</v>
      </c>
      <c r="O190" s="877">
        <v>0</v>
      </c>
      <c r="P190" s="877">
        <v>0</v>
      </c>
      <c r="Q190" s="877">
        <v>0</v>
      </c>
      <c r="R190" s="877">
        <v>0</v>
      </c>
      <c r="S190" s="877">
        <v>0</v>
      </c>
      <c r="T190" s="877">
        <v>0</v>
      </c>
      <c r="U190" s="877">
        <f>G190+T190</f>
        <v>0</v>
      </c>
      <c r="V190" s="877">
        <v>0</v>
      </c>
      <c r="W190" s="886">
        <v>0</v>
      </c>
      <c r="X190" s="877"/>
      <c r="Y190" s="879"/>
      <c r="Z190" s="877"/>
      <c r="AA190" s="877"/>
      <c r="AB190" s="877"/>
      <c r="AC190" s="877"/>
      <c r="AD190" s="886"/>
      <c r="AE190" s="877"/>
      <c r="AF190" s="879"/>
      <c r="AG190" s="877"/>
      <c r="AH190" s="877"/>
      <c r="AI190" s="877"/>
      <c r="AJ190" s="877"/>
      <c r="AK190" s="886"/>
      <c r="AL190" s="877"/>
      <c r="AM190" s="879"/>
      <c r="AN190" s="877"/>
      <c r="AO190" s="877"/>
      <c r="AP190" s="877"/>
      <c r="AQ190" s="877"/>
      <c r="AR190" s="886"/>
      <c r="AS190" s="877"/>
      <c r="AT190" s="879"/>
      <c r="AU190" s="877"/>
      <c r="AV190" s="877"/>
      <c r="AW190" s="877"/>
      <c r="AX190" s="877"/>
      <c r="AY190" s="886"/>
      <c r="AZ190" s="877"/>
      <c r="BA190" s="879"/>
      <c r="BB190" s="877"/>
      <c r="BC190" s="877"/>
      <c r="BD190" s="877"/>
      <c r="BE190" s="877"/>
      <c r="BF190" s="886"/>
      <c r="BG190" s="877"/>
      <c r="BH190" s="879"/>
      <c r="BI190" s="877"/>
      <c r="BJ190" s="877"/>
      <c r="BK190" s="877"/>
      <c r="BL190" s="877"/>
      <c r="BM190" s="886"/>
      <c r="BN190" s="877"/>
      <c r="BO190" s="879"/>
      <c r="BP190" s="877"/>
      <c r="BQ190" s="877"/>
      <c r="BR190" s="877"/>
      <c r="BS190" s="877"/>
      <c r="BT190" s="886"/>
      <c r="BU190" s="877"/>
      <c r="BV190" s="879"/>
      <c r="BW190" s="886"/>
    </row>
    <row r="191" spans="1:253" s="406" customFormat="1" ht="17.25">
      <c r="A191" s="359"/>
      <c r="B191" s="360"/>
      <c r="C191" s="83"/>
      <c r="D191" s="54"/>
      <c r="E191" s="1295" t="s">
        <v>320</v>
      </c>
      <c r="F191" s="928">
        <f>SUM(K191:L191)*'Input data plant-based products'!O$274</f>
        <v>7.7317629179331302E-4</v>
      </c>
      <c r="G191" s="877">
        <f>SUM(I191:Q191)*'Input data plant-based products'!O$274</f>
        <v>7.7317629179331302E-4</v>
      </c>
      <c r="H191" s="878">
        <f>SUM(U191:W191)/(1-'Common input data'!$G$140)</f>
        <v>1.2587322617717755E-3</v>
      </c>
      <c r="I191" s="877">
        <f>('Input data plant-based products'!$F$126*('Common input data'!$D$93*'Common input data'!B88+'Common input data'!$D$94*'Common input data'!C88))/'Input data plant-based products'!$E$126</f>
        <v>0</v>
      </c>
      <c r="J191" s="877">
        <v>0</v>
      </c>
      <c r="K191" s="877">
        <f>(SUM(('Input data plant-based products'!$F$115*'Input data plant-based products'!$B$258),(('Input data plant-based products'!$G$115+'Input data plant-based products'!$H$115)*'Input data plant-based products'!$B$259))*44/28)/'Input data plant-based products'!$E$115</f>
        <v>3.0395136778115504E-4</v>
      </c>
      <c r="L191" s="877">
        <f>K191*'Input data plant-based products'!$B$261</f>
        <v>3.0395136778115506E-5</v>
      </c>
      <c r="M191" s="877"/>
      <c r="N191" s="877">
        <f>('Input data plant-based products'!$P$126*'Common input data'!$C$76*'Common input data'!H68)/'Input data plant-based products'!$E$126</f>
        <v>0</v>
      </c>
      <c r="O191" s="877">
        <v>0</v>
      </c>
      <c r="P191" s="877">
        <v>0</v>
      </c>
      <c r="Q191" s="877">
        <v>0</v>
      </c>
      <c r="R191" s="877">
        <v>0</v>
      </c>
      <c r="S191" s="877">
        <v>0</v>
      </c>
      <c r="T191" s="877">
        <v>0</v>
      </c>
      <c r="U191" s="877">
        <f>G191+T191</f>
        <v>7.7317629179331302E-4</v>
      </c>
      <c r="V191" s="877">
        <v>0</v>
      </c>
      <c r="W191" s="886">
        <v>0</v>
      </c>
      <c r="X191" s="877"/>
      <c r="Y191" s="879"/>
      <c r="Z191" s="877"/>
      <c r="AA191" s="877"/>
      <c r="AB191" s="877"/>
      <c r="AC191" s="877"/>
      <c r="AD191" s="886"/>
      <c r="AE191" s="877"/>
      <c r="AF191" s="879"/>
      <c r="AG191" s="877"/>
      <c r="AH191" s="877"/>
      <c r="AI191" s="877"/>
      <c r="AJ191" s="877"/>
      <c r="AK191" s="886"/>
      <c r="AL191" s="877"/>
      <c r="AM191" s="879"/>
      <c r="AN191" s="877"/>
      <c r="AO191" s="877"/>
      <c r="AP191" s="877"/>
      <c r="AQ191" s="877"/>
      <c r="AR191" s="886"/>
      <c r="AS191" s="877"/>
      <c r="AT191" s="879"/>
      <c r="AU191" s="877"/>
      <c r="AV191" s="877"/>
      <c r="AW191" s="877"/>
      <c r="AX191" s="877"/>
      <c r="AY191" s="886"/>
      <c r="AZ191" s="877"/>
      <c r="BA191" s="879"/>
      <c r="BB191" s="877"/>
      <c r="BC191" s="877"/>
      <c r="BD191" s="877"/>
      <c r="BE191" s="877"/>
      <c r="BF191" s="886"/>
      <c r="BG191" s="877"/>
      <c r="BH191" s="879"/>
      <c r="BI191" s="877"/>
      <c r="BJ191" s="877"/>
      <c r="BK191" s="877"/>
      <c r="BL191" s="877"/>
      <c r="BM191" s="886"/>
      <c r="BN191" s="877"/>
      <c r="BO191" s="879"/>
      <c r="BP191" s="877"/>
      <c r="BQ191" s="877"/>
      <c r="BR191" s="877"/>
      <c r="BS191" s="877"/>
      <c r="BT191" s="886"/>
      <c r="BU191" s="877"/>
      <c r="BV191" s="879"/>
      <c r="BW191" s="886"/>
    </row>
    <row r="192" spans="1:253" s="502" customFormat="1" ht="17.25">
      <c r="A192" s="20" t="s">
        <v>139</v>
      </c>
      <c r="B192" s="93" t="s">
        <v>121</v>
      </c>
      <c r="C192" s="903">
        <f>'Input data plant-based products'!D127</f>
        <v>0.12500817089999999</v>
      </c>
      <c r="D192" s="26"/>
      <c r="E192" s="1293" t="s">
        <v>316</v>
      </c>
      <c r="F192" s="930">
        <f>SUMPRODUCT($CI$4:$CI$6,F193:F195)</f>
        <v>3.1807883263021419E-4</v>
      </c>
      <c r="G192" s="872">
        <f>SUMPRODUCT($CI$4:$CI$6,G193:G195)</f>
        <v>4.0042586456967513</v>
      </c>
      <c r="H192" s="873">
        <f>SUMPRODUCT($CI$4:$CI$6,H193:H195)</f>
        <v>7.46318053837485</v>
      </c>
      <c r="I192" s="872"/>
      <c r="J192" s="884"/>
      <c r="K192" s="884"/>
      <c r="L192" s="884"/>
      <c r="M192" s="884"/>
      <c r="N192" s="884"/>
      <c r="O192" s="884"/>
      <c r="P192" s="884"/>
      <c r="Q192" s="884"/>
      <c r="R192" s="884"/>
      <c r="S192" s="884"/>
      <c r="T192" s="884"/>
      <c r="U192" s="884"/>
      <c r="V192" s="884"/>
      <c r="W192" s="885"/>
      <c r="X192" s="877"/>
      <c r="Y192" s="879">
        <f>1/'Input data plant-based products'!E127*10^4</f>
        <v>25.634452704434761</v>
      </c>
      <c r="Z192" s="877">
        <f>$Y192*'Input data plant-based products'!Z127</f>
        <v>59.279671879005384</v>
      </c>
      <c r="AA192" s="877">
        <f>$Y192*'Input data plant-based products'!AA127</f>
        <v>59.279671879005384</v>
      </c>
      <c r="AB192" s="877">
        <f>$Y192*'Input data plant-based products'!AB127</f>
        <v>59.279671879005384</v>
      </c>
      <c r="AC192" s="877">
        <f>$Y192*'Input data plant-based products'!AC127</f>
        <v>96.507402326423104</v>
      </c>
      <c r="AD192" s="886">
        <f>$Y192*'Input data plant-based products'!AD127</f>
        <v>119.14494114373223</v>
      </c>
      <c r="AE192" s="877"/>
      <c r="AF192" s="879">
        <f>SUM('Input data plant-based products'!F127,'Input data plant-based products'!Q127)/'Input data plant-based products'!E127</f>
        <v>0.24352730069213022</v>
      </c>
      <c r="AG192" s="877">
        <f>$AF192*'Input data plant-based products'!Z127</f>
        <v>0.5631568828505511</v>
      </c>
      <c r="AH192" s="877">
        <f>$AF192*'Input data plant-based products'!AA127</f>
        <v>0.5631568828505511</v>
      </c>
      <c r="AI192" s="877">
        <f>$AF192*'Input data plant-based products'!AB127</f>
        <v>0.5631568828505511</v>
      </c>
      <c r="AJ192" s="877">
        <f>$AF192*'Input data plant-based products'!AC127</f>
        <v>0.91682032210101938</v>
      </c>
      <c r="AK192" s="886">
        <f>$AF192*'Input data plant-based products'!AD127</f>
        <v>1.1318769408654561</v>
      </c>
      <c r="AL192" s="877"/>
      <c r="AM192" s="879">
        <f>'Input data plant-based products'!R127/'Input data plant-based products'!E127</f>
        <v>0.14098948987439117</v>
      </c>
      <c r="AN192" s="877">
        <f>$AM192*'Input data plant-based products'!Z127</f>
        <v>0.32603819533452955</v>
      </c>
      <c r="AO192" s="877">
        <f>$AM192*'Input data plant-based products'!AA127</f>
        <v>0.32603819533452955</v>
      </c>
      <c r="AP192" s="877">
        <f>$AM192*'Input data plant-based products'!AB127</f>
        <v>0.32603819533452955</v>
      </c>
      <c r="AQ192" s="877">
        <f>$AM192*'Input data plant-based products'!AC127</f>
        <v>0.53079071279532697</v>
      </c>
      <c r="AR192" s="886">
        <f>$AM192*'Input data plant-based products'!AD127</f>
        <v>0.65529717629052708</v>
      </c>
      <c r="AS192" s="877"/>
      <c r="AT192" s="879">
        <f>'Input data plant-based products'!S127</f>
        <v>0</v>
      </c>
      <c r="AU192" s="877">
        <f>$AT192*'Input data plant-based products'!Z127</f>
        <v>0</v>
      </c>
      <c r="AV192" s="877">
        <f>$AT192*'Input data plant-based products'!AA127</f>
        <v>0</v>
      </c>
      <c r="AW192" s="877">
        <f>$AT192*'Input data plant-based products'!AB127</f>
        <v>0</v>
      </c>
      <c r="AX192" s="877">
        <f>$AT192*'Input data plant-based products'!AC127</f>
        <v>0</v>
      </c>
      <c r="AY192" s="886">
        <f>$AT192*'Input data plant-based products'!AD127</f>
        <v>0</v>
      </c>
      <c r="AZ192" s="877"/>
      <c r="BA192" s="879">
        <f>((SUM('Input data plant-based products'!U127:Y127)*Y192)/('Common input data'!$B$192/10^6))/$BB$3</f>
        <v>4.1570855630343581E-8</v>
      </c>
      <c r="BB192" s="877">
        <f>$BA192*'Input data plant-based products'!Z127</f>
        <v>9.6132603645169531E-8</v>
      </c>
      <c r="BC192" s="877">
        <f>$BA192*'Input data plant-based products'!AA127</f>
        <v>9.6132603645169531E-8</v>
      </c>
      <c r="BD192" s="877">
        <f>$BA192*'Input data plant-based products'!AB127</f>
        <v>9.6132603645169531E-8</v>
      </c>
      <c r="BE192" s="877">
        <f>$BA192*'Input data plant-based products'!AC127</f>
        <v>1.5650403523837125E-7</v>
      </c>
      <c r="BF192" s="886">
        <f>$BA192*'Input data plant-based products'!AD127</f>
        <v>1.9321485831897685E-7</v>
      </c>
      <c r="BG192" s="877"/>
      <c r="BH192" s="879">
        <f>'Input data plant-based products'!T127/'Input data plant-based products'!E127</f>
        <v>1.596458597759039E-2</v>
      </c>
      <c r="BI192" s="877">
        <f>$BH192*'Input data plant-based products'!Z127</f>
        <v>3.6918105073177776E-2</v>
      </c>
      <c r="BJ192" s="877">
        <f>$BH192*'Input data plant-based products'!AA127</f>
        <v>3.6918105073177776E-2</v>
      </c>
      <c r="BK192" s="877">
        <f>$BH192*'Input data plant-based products'!AB127</f>
        <v>3.6918105073177776E-2</v>
      </c>
      <c r="BL192" s="877">
        <f>$BH192*'Input data plant-based products'!AC127</f>
        <v>6.0102735161868585E-2</v>
      </c>
      <c r="BM192" s="886">
        <f>$BH192*'Input data plant-based products'!AD127</f>
        <v>7.4200907607245167E-2</v>
      </c>
      <c r="BN192" s="877"/>
      <c r="BO192" s="879">
        <f>('Input data plant-based products'!F127/'Input data plant-based products'!E127*'Common input data'!$B$195+'Input data plant-based products'!G127/'Input data plant-based products'!E127*'Common input data'!$B$196)/'Common input data'!$B$198</f>
        <v>6.2181611065782157E-3</v>
      </c>
      <c r="BP192" s="877">
        <f>$BO192*'Input data plant-based products'!Z127</f>
        <v>1.4379497558962125E-2</v>
      </c>
      <c r="BQ192" s="877">
        <f>$BO192*'Input data plant-based products'!AA127</f>
        <v>1.4379497558962125E-2</v>
      </c>
      <c r="BR192" s="877">
        <f>$BO192*'Input data plant-based products'!AB127</f>
        <v>1.4379497558962125E-2</v>
      </c>
      <c r="BS192" s="877">
        <f>$BO192*'Input data plant-based products'!AC127</f>
        <v>2.3409845435835776E-2</v>
      </c>
      <c r="BT192" s="886">
        <f>$BO192*'Input data plant-based products'!AD127</f>
        <v>2.8901043747945401E-2</v>
      </c>
      <c r="BU192" s="877"/>
      <c r="BV192" s="879">
        <f>('Common input data'!$C$202+'Common input data'!$B$224)*'Input data plant-based products'!AC127</f>
        <v>25.818304843304844</v>
      </c>
      <c r="BW192" s="886">
        <f>('Common input data'!$C$202+'Common input data'!$B$224)*'Input data plant-based products'!AD127</f>
        <v>31.874450423833142</v>
      </c>
      <c r="BX192" s="406"/>
      <c r="BY192" s="406"/>
      <c r="BZ192" s="406"/>
      <c r="CA192" s="406"/>
      <c r="CB192" s="406"/>
      <c r="CC192" s="406"/>
      <c r="CD192" s="406"/>
      <c r="CE192" s="406"/>
      <c r="CF192" s="406"/>
      <c r="CG192" s="406"/>
      <c r="CH192" s="406"/>
      <c r="CI192" s="406"/>
      <c r="CJ192" s="406"/>
      <c r="CK192" s="406"/>
      <c r="CL192" s="406"/>
      <c r="CM192" s="406"/>
      <c r="CN192" s="406"/>
      <c r="CO192" s="406"/>
      <c r="CP192" s="406"/>
      <c r="CQ192" s="406"/>
      <c r="CR192" s="406"/>
      <c r="CS192" s="406"/>
      <c r="CT192" s="406"/>
      <c r="CU192" s="406"/>
      <c r="CV192" s="406"/>
      <c r="CW192" s="406"/>
      <c r="CX192" s="406"/>
      <c r="CY192" s="406"/>
      <c r="CZ192" s="406"/>
      <c r="DA192" s="406"/>
      <c r="DB192" s="406"/>
      <c r="DC192" s="406"/>
      <c r="DD192" s="406"/>
      <c r="DE192" s="406"/>
      <c r="DF192" s="406"/>
      <c r="DG192" s="406"/>
      <c r="DH192" s="406"/>
      <c r="DI192" s="406"/>
      <c r="DJ192" s="406"/>
      <c r="DK192" s="406"/>
      <c r="DL192" s="406"/>
      <c r="DM192" s="406"/>
      <c r="DN192" s="406"/>
      <c r="DO192" s="406"/>
      <c r="DP192" s="406"/>
      <c r="DQ192" s="406"/>
      <c r="DR192" s="406"/>
      <c r="DS192" s="406"/>
      <c r="DT192" s="406"/>
      <c r="DU192" s="406"/>
      <c r="DV192" s="406"/>
      <c r="DW192" s="406"/>
      <c r="DX192" s="406"/>
      <c r="DY192" s="406"/>
      <c r="DZ192" s="406"/>
      <c r="EA192" s="406"/>
      <c r="EB192" s="406"/>
      <c r="EC192" s="406"/>
      <c r="ED192" s="406"/>
      <c r="EE192" s="406"/>
      <c r="EF192" s="406"/>
      <c r="EG192" s="406"/>
      <c r="EH192" s="406"/>
      <c r="EI192" s="406"/>
      <c r="EJ192" s="406"/>
      <c r="EK192" s="406"/>
      <c r="EL192" s="406"/>
      <c r="EM192" s="406"/>
      <c r="EN192" s="406"/>
      <c r="EO192" s="406"/>
      <c r="EP192" s="406"/>
      <c r="EQ192" s="406"/>
      <c r="ER192" s="406"/>
      <c r="ES192" s="406"/>
      <c r="ET192" s="406"/>
      <c r="EU192" s="406"/>
      <c r="EV192" s="406"/>
      <c r="EW192" s="406"/>
      <c r="EX192" s="406"/>
      <c r="EY192" s="406"/>
      <c r="EZ192" s="406"/>
      <c r="FA192" s="406"/>
      <c r="FB192" s="406"/>
      <c r="FC192" s="406"/>
      <c r="FD192" s="406"/>
      <c r="FE192" s="406"/>
      <c r="FF192" s="406"/>
      <c r="FG192" s="406"/>
      <c r="FH192" s="406"/>
      <c r="FI192" s="406"/>
      <c r="FJ192" s="406"/>
      <c r="FK192" s="406"/>
      <c r="FL192" s="406"/>
      <c r="FM192" s="406"/>
      <c r="FN192" s="406"/>
      <c r="FO192" s="406"/>
      <c r="FP192" s="406"/>
      <c r="FQ192" s="406"/>
      <c r="FR192" s="406"/>
      <c r="FS192" s="406"/>
      <c r="FT192" s="406"/>
      <c r="FU192" s="406"/>
      <c r="FV192" s="406"/>
      <c r="FW192" s="406"/>
      <c r="FX192" s="406"/>
      <c r="FY192" s="406"/>
      <c r="FZ192" s="406"/>
      <c r="GA192" s="406"/>
      <c r="GB192" s="406"/>
      <c r="GC192" s="406"/>
      <c r="GD192" s="406"/>
      <c r="GE192" s="406"/>
      <c r="GF192" s="406"/>
      <c r="GG192" s="406"/>
      <c r="GH192" s="406"/>
      <c r="GI192" s="406"/>
      <c r="GJ192" s="406"/>
      <c r="GK192" s="406"/>
      <c r="GL192" s="406"/>
      <c r="GM192" s="406"/>
      <c r="GN192" s="406"/>
      <c r="GO192" s="406"/>
      <c r="GP192" s="406"/>
      <c r="GQ192" s="406"/>
      <c r="GR192" s="406"/>
      <c r="GS192" s="406"/>
      <c r="GT192" s="406"/>
      <c r="GU192" s="406"/>
      <c r="GV192" s="406"/>
      <c r="GW192" s="406"/>
      <c r="GX192" s="406"/>
      <c r="GY192" s="406"/>
      <c r="GZ192" s="406"/>
      <c r="HA192" s="406"/>
      <c r="HB192" s="406"/>
      <c r="HC192" s="406"/>
      <c r="HD192" s="406"/>
      <c r="HE192" s="406"/>
      <c r="HF192" s="406"/>
      <c r="HG192" s="406"/>
      <c r="HH192" s="406"/>
      <c r="HI192" s="406"/>
      <c r="HJ192" s="406"/>
      <c r="HK192" s="406"/>
      <c r="HL192" s="406"/>
      <c r="HM192" s="406"/>
      <c r="HN192" s="406"/>
      <c r="HO192" s="406"/>
      <c r="HP192" s="406"/>
      <c r="HQ192" s="406"/>
      <c r="HR192" s="406"/>
      <c r="HS192" s="406"/>
      <c r="HT192" s="406"/>
      <c r="HU192" s="406"/>
      <c r="HV192" s="406"/>
      <c r="HW192" s="406"/>
      <c r="HX192" s="406"/>
      <c r="HY192" s="406"/>
      <c r="HZ192" s="406"/>
      <c r="IA192" s="406"/>
      <c r="IB192" s="406"/>
      <c r="IC192" s="406"/>
      <c r="ID192" s="406"/>
      <c r="IE192" s="406"/>
      <c r="IF192" s="406"/>
      <c r="IG192" s="406"/>
      <c r="IH192" s="406"/>
      <c r="II192" s="406"/>
      <c r="IJ192" s="406"/>
      <c r="IK192" s="406"/>
      <c r="IL192" s="406"/>
      <c r="IM192" s="406"/>
      <c r="IN192" s="406"/>
      <c r="IO192" s="406"/>
      <c r="IP192" s="406"/>
      <c r="IQ192" s="406"/>
      <c r="IR192" s="406"/>
      <c r="IS192" s="406"/>
    </row>
    <row r="193" spans="1:253" s="406" customFormat="1" ht="17.25">
      <c r="A193" s="68"/>
      <c r="B193" s="55"/>
      <c r="C193" s="917"/>
      <c r="D193" s="5"/>
      <c r="E193" s="1294" t="s">
        <v>317</v>
      </c>
      <c r="F193" s="928">
        <f>IF(AND($G$2="No",$G$3="No"),SUM(K193:L193)*'Input data plant-based products'!O$274,IF(AND($G$2="Yes", $G$3="No"), (SUM(K193:L193)+S193)*'Input data plant-based products'!O$274, IF(AND($G$2="No", $G$3="Yes"),(SUM(K193:L193)+R193)*'Input data plant-based products'!O$274, (SUM(K193:L193)+S193+R193)*'Input data plant-based products'!O$274)))</f>
        <v>-0.21075904882694424</v>
      </c>
      <c r="G193" s="877">
        <f>IF(AND($G$2="No",$G$3="No"),SUM(I193:Q193)*'Input data plant-based products'!O$274,IF(AND($G$2="Yes", $G$3="No"), (SUM(I193:Q193)+S193)*'Input data plant-based products'!O$274, IF(AND($G$2="No", $G$3="Yes"),(SUM(I193:Q193)+R193)*'Input data plant-based products'!O$274, (SUM(I193:Q193)+S193+R193)*'Input data plant-based products'!O$274)))</f>
        <v>2.214604859238726</v>
      </c>
      <c r="H193" s="878">
        <f>SUM(U193:W193)/(1-'Common input data'!$D$140)</f>
        <v>4.5496212604619064</v>
      </c>
      <c r="I193" s="877">
        <f>('Input data plant-based products'!$F$127*('Common input data'!$D$93*'Common input data'!B86+'Common input data'!$D$94*'Common input data'!C86))/'Input data plant-based products'!$E$127</f>
        <v>1.0188060142986681</v>
      </c>
      <c r="J193" s="877">
        <f>'Common input data'!B98</f>
        <v>0.03</v>
      </c>
      <c r="K193" s="877">
        <v>0</v>
      </c>
      <c r="L193" s="877">
        <v>0</v>
      </c>
      <c r="M193" s="877"/>
      <c r="N193" s="877">
        <f>('Input data plant-based products'!$P$127*'Common input data'!$C$76*'Common input data'!H66)/'Input data plant-based products'!$E$127</f>
        <v>0</v>
      </c>
      <c r="O193" s="877">
        <v>0</v>
      </c>
      <c r="P193" s="877">
        <v>0</v>
      </c>
      <c r="Q193" s="877">
        <v>0</v>
      </c>
      <c r="R193" s="877">
        <f>'Common input data'!F19</f>
        <v>-9.1139048141381296E-2</v>
      </c>
      <c r="S193" s="877">
        <v>0</v>
      </c>
      <c r="T193" s="877">
        <f>'Input data plant-based products'!B290</f>
        <v>0.2</v>
      </c>
      <c r="U193" s="877">
        <f>G193+T193</f>
        <v>2.4146048592387261</v>
      </c>
      <c r="V193" s="877">
        <f>'Common input data'!B$105</f>
        <v>0.05</v>
      </c>
      <c r="W193" s="886">
        <f>'Common input data'!B121+'Common input data'!C121</f>
        <v>0.32999999999999996</v>
      </c>
      <c r="X193" s="877"/>
      <c r="Y193" s="879"/>
      <c r="Z193" s="877"/>
      <c r="AA193" s="877"/>
      <c r="AB193" s="877"/>
      <c r="AC193" s="877"/>
      <c r="AD193" s="886"/>
      <c r="AE193" s="877"/>
      <c r="AF193" s="879"/>
      <c r="AG193" s="877"/>
      <c r="AH193" s="877"/>
      <c r="AI193" s="877"/>
      <c r="AJ193" s="877"/>
      <c r="AK193" s="886"/>
      <c r="AL193" s="877"/>
      <c r="AM193" s="879"/>
      <c r="AN193" s="877"/>
      <c r="AO193" s="877"/>
      <c r="AP193" s="877"/>
      <c r="AQ193" s="877"/>
      <c r="AR193" s="886"/>
      <c r="AS193" s="877"/>
      <c r="AT193" s="879"/>
      <c r="AU193" s="877"/>
      <c r="AV193" s="877"/>
      <c r="AW193" s="877"/>
      <c r="AX193" s="877"/>
      <c r="AY193" s="886"/>
      <c r="AZ193" s="877"/>
      <c r="BA193" s="879"/>
      <c r="BB193" s="877"/>
      <c r="BC193" s="877"/>
      <c r="BD193" s="877"/>
      <c r="BE193" s="877"/>
      <c r="BF193" s="886"/>
      <c r="BG193" s="877"/>
      <c r="BH193" s="879"/>
      <c r="BI193" s="877"/>
      <c r="BJ193" s="877"/>
      <c r="BK193" s="877"/>
      <c r="BL193" s="877"/>
      <c r="BM193" s="886"/>
      <c r="BN193" s="877"/>
      <c r="BO193" s="879"/>
      <c r="BP193" s="877"/>
      <c r="BQ193" s="877"/>
      <c r="BR193" s="877"/>
      <c r="BS193" s="877"/>
      <c r="BT193" s="886"/>
      <c r="BU193" s="877"/>
      <c r="BV193" s="879"/>
      <c r="BW193" s="886"/>
    </row>
    <row r="194" spans="1:253" s="406" customFormat="1" ht="17.25">
      <c r="A194" s="68"/>
      <c r="B194" s="55"/>
      <c r="C194" s="595"/>
      <c r="D194" s="50"/>
      <c r="E194" s="1294" t="s">
        <v>367</v>
      </c>
      <c r="F194" s="928">
        <f>SUM(K194:L194)*'Input data plant-based products'!O$274</f>
        <v>0</v>
      </c>
      <c r="G194" s="877">
        <f>SUM(I194:Q194)*'Input data plant-based products'!O$274</f>
        <v>5.0008280447447926E-3</v>
      </c>
      <c r="H194" s="878">
        <f>SUM(U194:W194)/(1-'Common input data'!$D$140)</f>
        <v>8.1413561982007204E-3</v>
      </c>
      <c r="I194" s="877">
        <f>('Input data plant-based products'!$F$127*('Common input data'!$D$93*'Common input data'!B87+'Common input data'!$D$94*'Common input data'!C87))/'Input data plant-based products'!$E$127</f>
        <v>2.1625202355653158E-3</v>
      </c>
      <c r="J194" s="877">
        <v>0</v>
      </c>
      <c r="K194" s="877">
        <v>0</v>
      </c>
      <c r="L194" s="877">
        <v>0</v>
      </c>
      <c r="M194" s="877"/>
      <c r="N194" s="877">
        <f>('Input data plant-based products'!$P$127*'Common input data'!$C$76*'Common input data'!H67)/'Input data plant-based products'!$E$127</f>
        <v>0</v>
      </c>
      <c r="O194" s="877">
        <v>0</v>
      </c>
      <c r="P194" s="877">
        <v>0</v>
      </c>
      <c r="Q194" s="877">
        <v>0</v>
      </c>
      <c r="R194" s="877">
        <v>0</v>
      </c>
      <c r="S194" s="877">
        <v>0</v>
      </c>
      <c r="T194" s="877">
        <v>0</v>
      </c>
      <c r="U194" s="877">
        <f>G194+T194</f>
        <v>5.0008280447447926E-3</v>
      </c>
      <c r="V194" s="877">
        <v>0</v>
      </c>
      <c r="W194" s="886">
        <v>0</v>
      </c>
      <c r="X194" s="877"/>
      <c r="Y194" s="879"/>
      <c r="Z194" s="877"/>
      <c r="AA194" s="877"/>
      <c r="AB194" s="877"/>
      <c r="AC194" s="877"/>
      <c r="AD194" s="886"/>
      <c r="AE194" s="877"/>
      <c r="AF194" s="879"/>
      <c r="AG194" s="877"/>
      <c r="AH194" s="877"/>
      <c r="AI194" s="877"/>
      <c r="AJ194" s="877"/>
      <c r="AK194" s="886"/>
      <c r="AL194" s="877"/>
      <c r="AM194" s="879"/>
      <c r="AN194" s="877"/>
      <c r="AO194" s="877"/>
      <c r="AP194" s="877"/>
      <c r="AQ194" s="877"/>
      <c r="AR194" s="886"/>
      <c r="AS194" s="877"/>
      <c r="AT194" s="879"/>
      <c r="AU194" s="877"/>
      <c r="AV194" s="877"/>
      <c r="AW194" s="877"/>
      <c r="AX194" s="877"/>
      <c r="AY194" s="886"/>
      <c r="AZ194" s="877"/>
      <c r="BA194" s="879"/>
      <c r="BB194" s="877"/>
      <c r="BC194" s="877"/>
      <c r="BD194" s="877"/>
      <c r="BE194" s="877"/>
      <c r="BF194" s="886"/>
      <c r="BG194" s="877"/>
      <c r="BH194" s="879"/>
      <c r="BI194" s="877"/>
      <c r="BJ194" s="877"/>
      <c r="BK194" s="877"/>
      <c r="BL194" s="877"/>
      <c r="BM194" s="886"/>
      <c r="BN194" s="877"/>
      <c r="BO194" s="879"/>
      <c r="BP194" s="877"/>
      <c r="BQ194" s="877"/>
      <c r="BR194" s="877"/>
      <c r="BS194" s="877"/>
      <c r="BT194" s="886"/>
      <c r="BU194" s="877"/>
      <c r="BV194" s="879"/>
      <c r="BW194" s="886"/>
    </row>
    <row r="195" spans="1:253" s="406" customFormat="1" ht="17.25">
      <c r="A195" s="359"/>
      <c r="B195" s="360"/>
      <c r="C195" s="83"/>
      <c r="D195" s="54"/>
      <c r="E195" s="1295" t="s">
        <v>320</v>
      </c>
      <c r="F195" s="928">
        <f>SUM(K195:L195)*'Input data plant-based products'!O$274</f>
        <v>7.7317629179331302E-4</v>
      </c>
      <c r="G195" s="877">
        <f>SUM(I195:Q195)*'Input data plant-based products'!O$274</f>
        <v>6.0609209862634295E-3</v>
      </c>
      <c r="H195" s="878">
        <f>SUM(U195:W195)/(1-'Common input data'!$D$140)</f>
        <v>9.8671892328260971E-3</v>
      </c>
      <c r="I195" s="877">
        <f>('Input data plant-based products'!$F$127*('Common input data'!$D$93*'Common input data'!B88+'Common input data'!$D$94*'Common input data'!C88))/'Input data plant-based products'!$E$127</f>
        <v>2.2865923003114012E-3</v>
      </c>
      <c r="J195" s="877">
        <v>0</v>
      </c>
      <c r="K195" s="877">
        <f>(SUM(('Input data plant-based products'!$F$115*'Input data plant-based products'!$B$258),(('Input data plant-based products'!$G$115+'Input data plant-based products'!$H$115)*'Input data plant-based products'!$B$259))*44/28)/'Input data plant-based products'!$E$115</f>
        <v>3.0395136778115504E-4</v>
      </c>
      <c r="L195" s="877">
        <f>K195*'Input data plant-based products'!$B$261</f>
        <v>3.0395136778115506E-5</v>
      </c>
      <c r="M195" s="877"/>
      <c r="N195" s="877">
        <f>('Input data plant-based products'!$P$127*'Common input data'!$C$76*'Common input data'!H68)/'Input data plant-based products'!$E$127</f>
        <v>0</v>
      </c>
      <c r="O195" s="877">
        <v>0</v>
      </c>
      <c r="P195" s="877">
        <v>0</v>
      </c>
      <c r="Q195" s="877">
        <v>0</v>
      </c>
      <c r="R195" s="877">
        <v>0</v>
      </c>
      <c r="S195" s="877">
        <v>0</v>
      </c>
      <c r="T195" s="877">
        <v>0</v>
      </c>
      <c r="U195" s="877">
        <f>G195+T195</f>
        <v>6.0609209862634295E-3</v>
      </c>
      <c r="V195" s="877">
        <v>0</v>
      </c>
      <c r="W195" s="886">
        <v>0</v>
      </c>
      <c r="X195" s="877"/>
      <c r="Y195" s="879"/>
      <c r="Z195" s="877"/>
      <c r="AA195" s="877"/>
      <c r="AB195" s="877"/>
      <c r="AC195" s="877"/>
      <c r="AD195" s="886"/>
      <c r="AE195" s="877"/>
      <c r="AF195" s="879"/>
      <c r="AG195" s="877"/>
      <c r="AH195" s="877"/>
      <c r="AI195" s="877"/>
      <c r="AJ195" s="877"/>
      <c r="AK195" s="886"/>
      <c r="AL195" s="877"/>
      <c r="AM195" s="879"/>
      <c r="AN195" s="877"/>
      <c r="AO195" s="877"/>
      <c r="AP195" s="877"/>
      <c r="AQ195" s="877"/>
      <c r="AR195" s="886"/>
      <c r="AS195" s="877"/>
      <c r="AT195" s="879"/>
      <c r="AU195" s="877"/>
      <c r="AV195" s="877"/>
      <c r="AW195" s="877"/>
      <c r="AX195" s="877"/>
      <c r="AY195" s="886"/>
      <c r="AZ195" s="877"/>
      <c r="BA195" s="879"/>
      <c r="BB195" s="877"/>
      <c r="BC195" s="877"/>
      <c r="BD195" s="877"/>
      <c r="BE195" s="877"/>
      <c r="BF195" s="886"/>
      <c r="BG195" s="877"/>
      <c r="BH195" s="879"/>
      <c r="BI195" s="877"/>
      <c r="BJ195" s="877"/>
      <c r="BK195" s="877"/>
      <c r="BL195" s="877"/>
      <c r="BM195" s="886"/>
      <c r="BN195" s="877"/>
      <c r="BO195" s="879"/>
      <c r="BP195" s="877"/>
      <c r="BQ195" s="877"/>
      <c r="BR195" s="877"/>
      <c r="BS195" s="877"/>
      <c r="BT195" s="886"/>
      <c r="BU195" s="877"/>
      <c r="BV195" s="879"/>
      <c r="BW195" s="886"/>
    </row>
    <row r="196" spans="1:253" s="502" customFormat="1" ht="17.25">
      <c r="A196" s="20" t="s">
        <v>134</v>
      </c>
      <c r="B196" s="93" t="s">
        <v>121</v>
      </c>
      <c r="C196" s="903">
        <f>'Input data plant-based products'!D128</f>
        <v>0.32029800700000011</v>
      </c>
      <c r="D196" s="26"/>
      <c r="E196" s="1293" t="s">
        <v>316</v>
      </c>
      <c r="F196" s="930">
        <f>SUMPRODUCT($CI$4:$CI$6,F197:F199)</f>
        <v>3.1807883263021419E-4</v>
      </c>
      <c r="G196" s="872">
        <f>SUMPRODUCT($CI$4:$CI$6,G197:G199)</f>
        <v>1.0390484257837389</v>
      </c>
      <c r="H196" s="873">
        <f>SUMPRODUCT($CI$4:$CI$6,H197:H199)</f>
        <v>2.3588677010040873</v>
      </c>
      <c r="I196" s="872"/>
      <c r="J196" s="884"/>
      <c r="K196" s="884"/>
      <c r="L196" s="884"/>
      <c r="M196" s="884"/>
      <c r="N196" s="884"/>
      <c r="O196" s="884"/>
      <c r="P196" s="884"/>
      <c r="Q196" s="884"/>
      <c r="R196" s="884"/>
      <c r="S196" s="884"/>
      <c r="T196" s="884"/>
      <c r="U196" s="884"/>
      <c r="V196" s="884"/>
      <c r="W196" s="885"/>
      <c r="X196" s="877"/>
      <c r="Y196" s="879">
        <f>1/'Input data plant-based products'!E128*10^4</f>
        <v>22.479992806402304</v>
      </c>
      <c r="Z196" s="877">
        <f>$Y196*'Input data plant-based products'!Z128</f>
        <v>51.984983364805331</v>
      </c>
      <c r="AA196" s="877">
        <f>$Y196*'Input data plant-based products'!AA128</f>
        <v>51.984983364805331</v>
      </c>
      <c r="AB196" s="877">
        <f>$Y196*'Input data plant-based products'!AB128</f>
        <v>51.984983364805331</v>
      </c>
      <c r="AC196" s="877">
        <f>$Y196*'Input data plant-based products'!AC128</f>
        <v>71.333475169884906</v>
      </c>
      <c r="AD196" s="886">
        <f>$Y196*'Input data plant-based products'!AD128</f>
        <v>88.066018728252956</v>
      </c>
      <c r="AE196" s="877"/>
      <c r="AF196" s="879">
        <f>SUM('Input data plant-based products'!F128,'Input data plant-based products'!Q128)/'Input data plant-based products'!E128</f>
        <v>5.9997599999999998E-2</v>
      </c>
      <c r="AG196" s="877">
        <f>$AF196*'Input data plant-based products'!Z128</f>
        <v>0.13874444999999999</v>
      </c>
      <c r="AH196" s="877">
        <f>$AF196*'Input data plant-based products'!AA128</f>
        <v>0.13874444999999999</v>
      </c>
      <c r="AI196" s="877">
        <f>$AF196*'Input data plant-based products'!AB128</f>
        <v>0.13874444999999999</v>
      </c>
      <c r="AJ196" s="877">
        <f>$AF196*'Input data plant-based products'!AC128</f>
        <v>0.19038428289148687</v>
      </c>
      <c r="AK196" s="886">
        <f>$AF196*'Input data plant-based products'!AD128</f>
        <v>0.23504232455739119</v>
      </c>
      <c r="AL196" s="877"/>
      <c r="AM196" s="879">
        <f>'Input data plant-based products'!R128/'Input data plant-based products'!E128</f>
        <v>8.2729499999999997E-2</v>
      </c>
      <c r="AN196" s="877">
        <f>$AM196*'Input data plant-based products'!Z128</f>
        <v>0.19131196875000001</v>
      </c>
      <c r="AO196" s="877">
        <f>$AM196*'Input data plant-based products'!AA128</f>
        <v>0.19131196875000001</v>
      </c>
      <c r="AP196" s="877">
        <f>$AM196*'Input data plant-based products'!AB128</f>
        <v>0.19131196875000001</v>
      </c>
      <c r="AQ196" s="877">
        <f>$AM196*'Input data plant-based products'!AC128</f>
        <v>0.26251710954223606</v>
      </c>
      <c r="AR196" s="886">
        <f>$AM196*'Input data plant-based products'!AD128</f>
        <v>0.32409519696572353</v>
      </c>
      <c r="AS196" s="877"/>
      <c r="AT196" s="879">
        <f>'Input data plant-based products'!S128</f>
        <v>3.9722540834180118E-3</v>
      </c>
      <c r="AU196" s="877">
        <f>$AT196*'Input data plant-based products'!Z128</f>
        <v>9.185837567904153E-3</v>
      </c>
      <c r="AV196" s="877">
        <f>$AT196*'Input data plant-based products'!AA128</f>
        <v>9.185837567904153E-3</v>
      </c>
      <c r="AW196" s="877">
        <f>$AT196*'Input data plant-based products'!AB128</f>
        <v>9.185837567904153E-3</v>
      </c>
      <c r="AX196" s="877">
        <f>$AT196*'Input data plant-based products'!AC128</f>
        <v>1.2604749942236334E-2</v>
      </c>
      <c r="AY196" s="886">
        <f>$AT196*'Input data plant-based products'!AD128</f>
        <v>1.5561419681773252E-2</v>
      </c>
      <c r="AZ196" s="877"/>
      <c r="BA196" s="879">
        <f>((SUM('Input data plant-based products'!U128:Y128)*Y196)/('Common input data'!$B$192/10^6))/$BB$3</f>
        <v>1.5423886933595549E-8</v>
      </c>
      <c r="BB196" s="877">
        <f>$BA196*'Input data plant-based products'!Z128</f>
        <v>3.5667738533939707E-8</v>
      </c>
      <c r="BC196" s="877">
        <f>$BA196*'Input data plant-based products'!AA128</f>
        <v>3.5667738533939707E-8</v>
      </c>
      <c r="BD196" s="877">
        <f>$BA196*'Input data plant-based products'!AB128</f>
        <v>3.5667738533939707E-8</v>
      </c>
      <c r="BE196" s="877">
        <f>$BA196*'Input data plant-based products'!AC128</f>
        <v>4.8943051942943768E-8</v>
      </c>
      <c r="BF196" s="886">
        <f>$BA196*'Input data plant-based products'!AD128</f>
        <v>6.0423520917214529E-8</v>
      </c>
      <c r="BG196" s="877"/>
      <c r="BH196" s="879">
        <f>'Input data plant-based products'!T128/'Input data plant-based products'!E128</f>
        <v>1.5651531800645227E-2</v>
      </c>
      <c r="BI196" s="877">
        <f>$BH196*'Input data plant-based products'!Z128</f>
        <v>3.6194167288992087E-2</v>
      </c>
      <c r="BJ196" s="877">
        <f>$BH196*'Input data plant-based products'!AA128</f>
        <v>3.6194167288992087E-2</v>
      </c>
      <c r="BK196" s="877">
        <f>$BH196*'Input data plant-based products'!AB128</f>
        <v>3.6194167288992087E-2</v>
      </c>
      <c r="BL196" s="877">
        <f>$BH196*'Input data plant-based products'!AC128</f>
        <v>4.966541425022241E-2</v>
      </c>
      <c r="BM196" s="886">
        <f>$BH196*'Input data plant-based products'!AD128</f>
        <v>6.1315326234842475E-2</v>
      </c>
      <c r="BN196" s="877"/>
      <c r="BO196" s="879">
        <f>('Input data plant-based products'!F128/'Input data plant-based products'!E128*'Common input data'!$B$195+'Input data plant-based products'!G128/'Input data plant-based products'!E128*'Common input data'!$B$196)/'Common input data'!$B$198</f>
        <v>1.5319627070464767E-3</v>
      </c>
      <c r="BP196" s="877">
        <f>$BO196*'Input data plant-based products'!Z128</f>
        <v>3.5426637600449772E-3</v>
      </c>
      <c r="BQ196" s="877">
        <f>$BO196*'Input data plant-based products'!AA128</f>
        <v>3.5426637600449772E-3</v>
      </c>
      <c r="BR196" s="877">
        <f>$BO196*'Input data plant-based products'!AB128</f>
        <v>3.5426637600449772E-3</v>
      </c>
      <c r="BS196" s="877">
        <f>$BO196*'Input data plant-based products'!AC128</f>
        <v>4.8612214721512935E-3</v>
      </c>
      <c r="BT196" s="886">
        <f>$BO196*'Input data plant-based products'!AD128</f>
        <v>6.0015079903102389E-3</v>
      </c>
      <c r="BU196" s="877"/>
      <c r="BV196" s="879">
        <f>('Common input data'!$C$202+'Common input data'!$B$228)*'Input data plant-based products'!AC128</f>
        <v>17.936310030214401</v>
      </c>
      <c r="BW196" s="886">
        <f>('Common input data'!$C$202+'Common input data'!$B$228)*'Input data plant-based products'!AD128</f>
        <v>22.143592629894318</v>
      </c>
      <c r="BX196" s="406"/>
      <c r="BY196" s="406"/>
      <c r="BZ196" s="406"/>
      <c r="CA196" s="406"/>
      <c r="CB196" s="406"/>
      <c r="CC196" s="406"/>
      <c r="CD196" s="406"/>
      <c r="CE196" s="406"/>
      <c r="CF196" s="406"/>
      <c r="CG196" s="406"/>
      <c r="CH196" s="406"/>
      <c r="CI196" s="406"/>
      <c r="CJ196" s="406"/>
      <c r="CK196" s="406"/>
      <c r="CL196" s="406"/>
      <c r="CM196" s="406"/>
      <c r="CN196" s="406"/>
      <c r="CO196" s="406"/>
      <c r="CP196" s="406"/>
      <c r="CQ196" s="406"/>
      <c r="CR196" s="406"/>
      <c r="CS196" s="406"/>
      <c r="CT196" s="406"/>
      <c r="CU196" s="406"/>
      <c r="CV196" s="406"/>
      <c r="CW196" s="406"/>
      <c r="CX196" s="406"/>
      <c r="CY196" s="406"/>
      <c r="CZ196" s="406"/>
      <c r="DA196" s="406"/>
      <c r="DB196" s="406"/>
      <c r="DC196" s="406"/>
      <c r="DD196" s="406"/>
      <c r="DE196" s="406"/>
      <c r="DF196" s="406"/>
      <c r="DG196" s="406"/>
      <c r="DH196" s="406"/>
      <c r="DI196" s="406"/>
      <c r="DJ196" s="406"/>
      <c r="DK196" s="406"/>
      <c r="DL196" s="406"/>
      <c r="DM196" s="406"/>
      <c r="DN196" s="406"/>
      <c r="DO196" s="406"/>
      <c r="DP196" s="406"/>
      <c r="DQ196" s="406"/>
      <c r="DR196" s="406"/>
      <c r="DS196" s="406"/>
      <c r="DT196" s="406"/>
      <c r="DU196" s="406"/>
      <c r="DV196" s="406"/>
      <c r="DW196" s="406"/>
      <c r="DX196" s="406"/>
      <c r="DY196" s="406"/>
      <c r="DZ196" s="406"/>
      <c r="EA196" s="406"/>
      <c r="EB196" s="406"/>
      <c r="EC196" s="406"/>
      <c r="ED196" s="406"/>
      <c r="EE196" s="406"/>
      <c r="EF196" s="406"/>
      <c r="EG196" s="406"/>
      <c r="EH196" s="406"/>
      <c r="EI196" s="406"/>
      <c r="EJ196" s="406"/>
      <c r="EK196" s="406"/>
      <c r="EL196" s="406"/>
      <c r="EM196" s="406"/>
      <c r="EN196" s="406"/>
      <c r="EO196" s="406"/>
      <c r="EP196" s="406"/>
      <c r="EQ196" s="406"/>
      <c r="ER196" s="406"/>
      <c r="ES196" s="406"/>
      <c r="ET196" s="406"/>
      <c r="EU196" s="406"/>
      <c r="EV196" s="406"/>
      <c r="EW196" s="406"/>
      <c r="EX196" s="406"/>
      <c r="EY196" s="406"/>
      <c r="EZ196" s="406"/>
      <c r="FA196" s="406"/>
      <c r="FB196" s="406"/>
      <c r="FC196" s="406"/>
      <c r="FD196" s="406"/>
      <c r="FE196" s="406"/>
      <c r="FF196" s="406"/>
      <c r="FG196" s="406"/>
      <c r="FH196" s="406"/>
      <c r="FI196" s="406"/>
      <c r="FJ196" s="406"/>
      <c r="FK196" s="406"/>
      <c r="FL196" s="406"/>
      <c r="FM196" s="406"/>
      <c r="FN196" s="406"/>
      <c r="FO196" s="406"/>
      <c r="FP196" s="406"/>
      <c r="FQ196" s="406"/>
      <c r="FR196" s="406"/>
      <c r="FS196" s="406"/>
      <c r="FT196" s="406"/>
      <c r="FU196" s="406"/>
      <c r="FV196" s="406"/>
      <c r="FW196" s="406"/>
      <c r="FX196" s="406"/>
      <c r="FY196" s="406"/>
      <c r="FZ196" s="406"/>
      <c r="GA196" s="406"/>
      <c r="GB196" s="406"/>
      <c r="GC196" s="406"/>
      <c r="GD196" s="406"/>
      <c r="GE196" s="406"/>
      <c r="GF196" s="406"/>
      <c r="GG196" s="406"/>
      <c r="GH196" s="406"/>
      <c r="GI196" s="406"/>
      <c r="GJ196" s="406"/>
      <c r="GK196" s="406"/>
      <c r="GL196" s="406"/>
      <c r="GM196" s="406"/>
      <c r="GN196" s="406"/>
      <c r="GO196" s="406"/>
      <c r="GP196" s="406"/>
      <c r="GQ196" s="406"/>
      <c r="GR196" s="406"/>
      <c r="GS196" s="406"/>
      <c r="GT196" s="406"/>
      <c r="GU196" s="406"/>
      <c r="GV196" s="406"/>
      <c r="GW196" s="406"/>
      <c r="GX196" s="406"/>
      <c r="GY196" s="406"/>
      <c r="GZ196" s="406"/>
      <c r="HA196" s="406"/>
      <c r="HB196" s="406"/>
      <c r="HC196" s="406"/>
      <c r="HD196" s="406"/>
      <c r="HE196" s="406"/>
      <c r="HF196" s="406"/>
      <c r="HG196" s="406"/>
      <c r="HH196" s="406"/>
      <c r="HI196" s="406"/>
      <c r="HJ196" s="406"/>
      <c r="HK196" s="406"/>
      <c r="HL196" s="406"/>
      <c r="HM196" s="406"/>
      <c r="HN196" s="406"/>
      <c r="HO196" s="406"/>
      <c r="HP196" s="406"/>
      <c r="HQ196" s="406"/>
      <c r="HR196" s="406"/>
      <c r="HS196" s="406"/>
      <c r="HT196" s="406"/>
      <c r="HU196" s="406"/>
      <c r="HV196" s="406"/>
      <c r="HW196" s="406"/>
      <c r="HX196" s="406"/>
      <c r="HY196" s="406"/>
      <c r="HZ196" s="406"/>
      <c r="IA196" s="406"/>
      <c r="IB196" s="406"/>
      <c r="IC196" s="406"/>
      <c r="ID196" s="406"/>
      <c r="IE196" s="406"/>
      <c r="IF196" s="406"/>
      <c r="IG196" s="406"/>
      <c r="IH196" s="406"/>
      <c r="II196" s="406"/>
      <c r="IJ196" s="406"/>
      <c r="IK196" s="406"/>
      <c r="IL196" s="406"/>
      <c r="IM196" s="406"/>
      <c r="IN196" s="406"/>
      <c r="IO196" s="406"/>
      <c r="IP196" s="406"/>
      <c r="IQ196" s="406"/>
      <c r="IR196" s="406"/>
      <c r="IS196" s="406"/>
    </row>
    <row r="197" spans="1:253" s="406" customFormat="1" ht="17.25">
      <c r="A197" s="68"/>
      <c r="B197" s="55"/>
      <c r="C197" s="917"/>
      <c r="D197" s="5"/>
      <c r="E197" s="1294" t="s">
        <v>317</v>
      </c>
      <c r="F197" s="928">
        <f>IF(AND($G$2="No",$G$3="No"),SUM(K197:L197)*'Input data plant-based products'!O$274,IF(AND($G$2="Yes", $G$3="No"), (SUM(K197:L197)+S197)*'Input data plant-based products'!O$274, IF(AND($G$2="No", $G$3="Yes"),(SUM(K197:L197)+R197)*'Input data plant-based products'!O$274, (SUM(K197:L197)+S197+R197)*'Input data plant-based products'!O$274)))</f>
        <v>-0.21075904882694424</v>
      </c>
      <c r="G197" s="877">
        <f>IF(AND($G$2="No",$G$3="No"),SUM(I197:Q197)*'Input data plant-based products'!O$274,IF(AND($G$2="Yes", $G$3="No"), (SUM(I197:Q197)+S197)*'Input data plant-based products'!O$274, IF(AND($G$2="No", $G$3="Yes"),(SUM(I197:Q197)+R197)*'Input data plant-based products'!O$274, (SUM(I197:Q197)+S197+R197)*'Input data plant-based products'!O$274)))</f>
        <v>0.43905879971126421</v>
      </c>
      <c r="H197" s="878">
        <f>SUM(U197:W197)/(1-'Common input data'!$I$140)</f>
        <v>1.5355656179143533</v>
      </c>
      <c r="I197" s="877">
        <f>('Input data plant-based products'!$F$128*('Common input data'!$D$93*'Common input data'!B86+'Common input data'!$D$94*'Common input data'!C86))/'Input data plant-based products'!$E$128</f>
        <v>0.25100231288138741</v>
      </c>
      <c r="J197" s="877">
        <f>'Common input data'!B98</f>
        <v>0.03</v>
      </c>
      <c r="K197" s="877">
        <v>0</v>
      </c>
      <c r="L197" s="877">
        <v>0</v>
      </c>
      <c r="M197" s="877"/>
      <c r="N197" s="877">
        <f>('Input data plant-based products'!$P$128*'Common input data'!$C$76*'Common input data'!H66)/'Input data plant-based products'!$E$128</f>
        <v>0</v>
      </c>
      <c r="O197" s="877">
        <v>0</v>
      </c>
      <c r="P197" s="877">
        <v>0</v>
      </c>
      <c r="Q197" s="877">
        <v>0</v>
      </c>
      <c r="R197" s="877">
        <f>'Common input data'!F19</f>
        <v>-9.1139048141381296E-2</v>
      </c>
      <c r="S197" s="877">
        <v>0</v>
      </c>
      <c r="T197" s="877">
        <f>'Input data plant-based products'!B290</f>
        <v>0.2</v>
      </c>
      <c r="U197" s="877">
        <f>G197+T197</f>
        <v>0.63905879971126422</v>
      </c>
      <c r="V197" s="877">
        <f>'Common input data'!B$105</f>
        <v>0.05</v>
      </c>
      <c r="W197" s="886">
        <f>'Common input data'!B125+'Common input data'!C125</f>
        <v>0.43000000000000005</v>
      </c>
      <c r="X197" s="877"/>
      <c r="Y197" s="879"/>
      <c r="Z197" s="877"/>
      <c r="AA197" s="877"/>
      <c r="AB197" s="877"/>
      <c r="AC197" s="877"/>
      <c r="AD197" s="886"/>
      <c r="AE197" s="877"/>
      <c r="AF197" s="879"/>
      <c r="AG197" s="877"/>
      <c r="AH197" s="877"/>
      <c r="AI197" s="877"/>
      <c r="AJ197" s="877"/>
      <c r="AK197" s="886"/>
      <c r="AL197" s="877"/>
      <c r="AM197" s="879"/>
      <c r="AN197" s="877"/>
      <c r="AO197" s="877"/>
      <c r="AP197" s="877"/>
      <c r="AQ197" s="877"/>
      <c r="AR197" s="886"/>
      <c r="AS197" s="877"/>
      <c r="AT197" s="879"/>
      <c r="AU197" s="877"/>
      <c r="AV197" s="877"/>
      <c r="AW197" s="877"/>
      <c r="AX197" s="877"/>
      <c r="AY197" s="886"/>
      <c r="AZ197" s="877"/>
      <c r="BA197" s="879"/>
      <c r="BB197" s="877"/>
      <c r="BC197" s="877"/>
      <c r="BD197" s="877"/>
      <c r="BE197" s="877"/>
      <c r="BF197" s="886"/>
      <c r="BG197" s="877"/>
      <c r="BH197" s="879"/>
      <c r="BI197" s="877"/>
      <c r="BJ197" s="877"/>
      <c r="BK197" s="877"/>
      <c r="BL197" s="877"/>
      <c r="BM197" s="886"/>
      <c r="BN197" s="877"/>
      <c r="BO197" s="879"/>
      <c r="BP197" s="877"/>
      <c r="BQ197" s="877"/>
      <c r="BR197" s="877"/>
      <c r="BS197" s="877"/>
      <c r="BT197" s="886"/>
      <c r="BU197" s="877"/>
      <c r="BV197" s="879"/>
      <c r="BW197" s="886"/>
    </row>
    <row r="198" spans="1:253" s="406" customFormat="1" ht="17.25">
      <c r="A198" s="68"/>
      <c r="B198" s="55"/>
      <c r="C198" s="595"/>
      <c r="D198" s="50"/>
      <c r="E198" s="1294" t="s">
        <v>367</v>
      </c>
      <c r="F198" s="928">
        <f>SUM(K198:L198)*'Input data plant-based products'!O$274</f>
        <v>0</v>
      </c>
      <c r="G198" s="877">
        <f>SUM(I198:Q198)*'Input data plant-based products'!O$274</f>
        <v>1.2320494656847159E-3</v>
      </c>
      <c r="H198" s="878">
        <f>SUM(U198:W198)/(1-'Common input data'!$I$140)</f>
        <v>1.6906107164014431E-3</v>
      </c>
      <c r="I198" s="877">
        <f>('Input data plant-based products'!$F$128*('Common input data'!$D$93*'Common input data'!B87+'Common input data'!$D$94*'Common input data'!C87))/'Input data plant-based products'!$E$128</f>
        <v>5.3277814732312042E-4</v>
      </c>
      <c r="J198" s="877">
        <v>0</v>
      </c>
      <c r="K198" s="877">
        <v>0</v>
      </c>
      <c r="L198" s="877">
        <v>0</v>
      </c>
      <c r="M198" s="877"/>
      <c r="N198" s="877">
        <f>('Input data plant-based products'!$P$128*'Common input data'!$C$76*'Common input data'!H67)/'Input data plant-based products'!$E$128</f>
        <v>0</v>
      </c>
      <c r="O198" s="877">
        <v>0</v>
      </c>
      <c r="P198" s="877">
        <v>0</v>
      </c>
      <c r="Q198" s="877">
        <v>0</v>
      </c>
      <c r="R198" s="877">
        <v>0</v>
      </c>
      <c r="S198" s="877">
        <v>0</v>
      </c>
      <c r="T198" s="877">
        <v>0</v>
      </c>
      <c r="U198" s="877">
        <f>G198+T198</f>
        <v>1.2320494656847159E-3</v>
      </c>
      <c r="V198" s="877">
        <v>0</v>
      </c>
      <c r="W198" s="886">
        <v>0</v>
      </c>
      <c r="X198" s="877"/>
      <c r="Y198" s="879"/>
      <c r="Z198" s="877"/>
      <c r="AA198" s="877"/>
      <c r="AB198" s="877"/>
      <c r="AC198" s="877"/>
      <c r="AD198" s="886"/>
      <c r="AE198" s="877"/>
      <c r="AF198" s="879"/>
      <c r="AG198" s="877"/>
      <c r="AH198" s="877"/>
      <c r="AI198" s="877"/>
      <c r="AJ198" s="877"/>
      <c r="AK198" s="886"/>
      <c r="AL198" s="877"/>
      <c r="AM198" s="879"/>
      <c r="AN198" s="877"/>
      <c r="AO198" s="877"/>
      <c r="AP198" s="877"/>
      <c r="AQ198" s="877"/>
      <c r="AR198" s="886"/>
      <c r="AS198" s="877"/>
      <c r="AT198" s="879"/>
      <c r="AU198" s="877"/>
      <c r="AV198" s="877"/>
      <c r="AW198" s="877"/>
      <c r="AX198" s="877"/>
      <c r="AY198" s="886"/>
      <c r="AZ198" s="877"/>
      <c r="BA198" s="879"/>
      <c r="BB198" s="877"/>
      <c r="BC198" s="877"/>
      <c r="BD198" s="877"/>
      <c r="BE198" s="877"/>
      <c r="BF198" s="886"/>
      <c r="BG198" s="877"/>
      <c r="BH198" s="879"/>
      <c r="BI198" s="877"/>
      <c r="BJ198" s="877"/>
      <c r="BK198" s="877"/>
      <c r="BL198" s="877"/>
      <c r="BM198" s="886"/>
      <c r="BN198" s="877"/>
      <c r="BO198" s="879"/>
      <c r="BP198" s="877"/>
      <c r="BQ198" s="877"/>
      <c r="BR198" s="877"/>
      <c r="BS198" s="877"/>
      <c r="BT198" s="886"/>
      <c r="BU198" s="877"/>
      <c r="BV198" s="879"/>
      <c r="BW198" s="886"/>
    </row>
    <row r="199" spans="1:253" s="406" customFormat="1" ht="17.25">
      <c r="A199" s="359"/>
      <c r="B199" s="360"/>
      <c r="C199" s="83"/>
      <c r="D199" s="54"/>
      <c r="E199" s="1295" t="s">
        <v>320</v>
      </c>
      <c r="F199" s="928">
        <f>SUM(K199:L199)*'Input data plant-based products'!O$274</f>
        <v>7.7317629179331302E-4</v>
      </c>
      <c r="G199" s="877">
        <f>SUM(I199:Q199)*'Input data plant-based products'!O$274</f>
        <v>2.0759131520109424E-3</v>
      </c>
      <c r="H199" s="878">
        <f>SUM(U199:W199)/(1-'Common input data'!$I$140)</f>
        <v>2.8485552884501648E-3</v>
      </c>
      <c r="I199" s="896">
        <f>('Input data plant-based products'!$F$128*('Common input data'!$D$93*'Common input data'!B88+'Common input data'!$D$94*'Common input data'!C88))/'Input data plant-based products'!$E$128</f>
        <v>5.6334566928329906E-4</v>
      </c>
      <c r="J199" s="896">
        <v>0</v>
      </c>
      <c r="K199" s="896">
        <f>(SUM(('Input data plant-based products'!$F$115*'Input data plant-based products'!$B$258),(('Input data plant-based products'!$G$115+'Input data plant-based products'!$H$115)*'Input data plant-based products'!$B$259))*44/28)/'Input data plant-based products'!$E$115</f>
        <v>3.0395136778115504E-4</v>
      </c>
      <c r="L199" s="896">
        <f>K199*'Input data plant-based products'!$B$261</f>
        <v>3.0395136778115506E-5</v>
      </c>
      <c r="M199" s="896"/>
      <c r="N199" s="896">
        <f>('Input data plant-based products'!$P$128*'Common input data'!$C$76*'Common input data'!H68)/'Input data plant-based products'!$E$128</f>
        <v>0</v>
      </c>
      <c r="O199" s="896">
        <v>0</v>
      </c>
      <c r="P199" s="896">
        <v>0</v>
      </c>
      <c r="Q199" s="896">
        <v>0</v>
      </c>
      <c r="R199" s="896">
        <v>0</v>
      </c>
      <c r="S199" s="896">
        <v>0</v>
      </c>
      <c r="T199" s="896">
        <v>0</v>
      </c>
      <c r="U199" s="896">
        <f>G199+T199</f>
        <v>2.0759131520109424E-3</v>
      </c>
      <c r="V199" s="896">
        <v>0</v>
      </c>
      <c r="W199" s="897">
        <v>0</v>
      </c>
      <c r="X199" s="877"/>
      <c r="Y199" s="879"/>
      <c r="Z199" s="877"/>
      <c r="AA199" s="877"/>
      <c r="AB199" s="877"/>
      <c r="AC199" s="877"/>
      <c r="AD199" s="886"/>
      <c r="AE199" s="877"/>
      <c r="AF199" s="879"/>
      <c r="AG199" s="877"/>
      <c r="AH199" s="877"/>
      <c r="AI199" s="877"/>
      <c r="AJ199" s="877"/>
      <c r="AK199" s="886"/>
      <c r="AL199" s="877"/>
      <c r="AM199" s="879"/>
      <c r="AN199" s="877"/>
      <c r="AO199" s="877"/>
      <c r="AP199" s="877"/>
      <c r="AQ199" s="877"/>
      <c r="AR199" s="886"/>
      <c r="AS199" s="877"/>
      <c r="AT199" s="879"/>
      <c r="AU199" s="877"/>
      <c r="AV199" s="877"/>
      <c r="AW199" s="877"/>
      <c r="AX199" s="877"/>
      <c r="AY199" s="886"/>
      <c r="AZ199" s="877"/>
      <c r="BA199" s="879"/>
      <c r="BB199" s="877"/>
      <c r="BC199" s="877"/>
      <c r="BD199" s="877"/>
      <c r="BE199" s="877"/>
      <c r="BF199" s="886"/>
      <c r="BG199" s="877"/>
      <c r="BH199" s="879"/>
      <c r="BI199" s="877"/>
      <c r="BJ199" s="877"/>
      <c r="BK199" s="877"/>
      <c r="BL199" s="877"/>
      <c r="BM199" s="886"/>
      <c r="BN199" s="877"/>
      <c r="BO199" s="879"/>
      <c r="BP199" s="877"/>
      <c r="BQ199" s="877"/>
      <c r="BR199" s="877"/>
      <c r="BS199" s="877"/>
      <c r="BT199" s="886"/>
      <c r="BU199" s="877"/>
      <c r="BV199" s="879"/>
      <c r="BW199" s="886"/>
    </row>
    <row r="200" spans="1:253" s="503" customFormat="1" ht="17.25">
      <c r="A200" s="362" t="s">
        <v>524</v>
      </c>
      <c r="B200" s="363"/>
      <c r="C200" s="770"/>
      <c r="D200" s="54"/>
      <c r="E200" s="1296"/>
      <c r="F200" s="969" t="s">
        <v>523</v>
      </c>
      <c r="G200" s="892" t="s">
        <v>523</v>
      </c>
      <c r="H200" s="970" t="s">
        <v>525</v>
      </c>
      <c r="I200" s="889"/>
      <c r="J200" s="889"/>
      <c r="K200" s="889"/>
      <c r="L200" s="889"/>
      <c r="M200" s="889"/>
      <c r="N200" s="889"/>
      <c r="O200" s="1305"/>
      <c r="P200" s="889"/>
      <c r="Q200" s="889"/>
      <c r="R200" s="889"/>
      <c r="S200" s="889"/>
      <c r="T200" s="889"/>
      <c r="U200" s="889"/>
      <c r="V200" s="889"/>
      <c r="W200" s="960"/>
      <c r="X200" s="877"/>
      <c r="Y200" s="879"/>
      <c r="Z200" s="877"/>
      <c r="AA200" s="877"/>
      <c r="AB200" s="877"/>
      <c r="AC200" s="877"/>
      <c r="AD200" s="886"/>
      <c r="AE200" s="877"/>
      <c r="AF200" s="879"/>
      <c r="AG200" s="877"/>
      <c r="AH200" s="877"/>
      <c r="AI200" s="877"/>
      <c r="AJ200" s="877"/>
      <c r="AK200" s="886"/>
      <c r="AL200" s="877"/>
      <c r="AM200" s="879"/>
      <c r="AN200" s="877"/>
      <c r="AO200" s="877"/>
      <c r="AP200" s="877"/>
      <c r="AQ200" s="877"/>
      <c r="AR200" s="886"/>
      <c r="AS200" s="877"/>
      <c r="AT200" s="879"/>
      <c r="AU200" s="877"/>
      <c r="AV200" s="877"/>
      <c r="AW200" s="877"/>
      <c r="AX200" s="877"/>
      <c r="AY200" s="886"/>
      <c r="AZ200" s="877"/>
      <c r="BA200" s="879"/>
      <c r="BB200" s="877"/>
      <c r="BC200" s="877"/>
      <c r="BD200" s="877"/>
      <c r="BE200" s="877"/>
      <c r="BF200" s="886"/>
      <c r="BG200" s="877"/>
      <c r="BH200" s="879"/>
      <c r="BI200" s="877"/>
      <c r="BJ200" s="877"/>
      <c r="BK200" s="877"/>
      <c r="BL200" s="877"/>
      <c r="BM200" s="886"/>
      <c r="BN200" s="877"/>
      <c r="BO200" s="879"/>
      <c r="BP200" s="877"/>
      <c r="BQ200" s="877"/>
      <c r="BR200" s="877"/>
      <c r="BS200" s="877"/>
      <c r="BT200" s="886"/>
      <c r="BU200" s="877"/>
      <c r="BV200" s="879"/>
      <c r="BW200" s="886"/>
      <c r="BX200" s="406"/>
      <c r="BY200" s="406"/>
      <c r="BZ200" s="406"/>
      <c r="CA200" s="406"/>
      <c r="CB200" s="406"/>
      <c r="CC200" s="406"/>
      <c r="CD200" s="406"/>
      <c r="CE200" s="406"/>
      <c r="CF200" s="406"/>
      <c r="CG200" s="406"/>
      <c r="CH200" s="406"/>
      <c r="CI200" s="406"/>
      <c r="CJ200" s="406"/>
      <c r="CK200" s="406"/>
      <c r="CL200" s="406"/>
      <c r="CM200" s="406"/>
      <c r="CN200" s="406"/>
      <c r="CO200" s="406"/>
      <c r="CP200" s="406"/>
      <c r="CQ200" s="406"/>
      <c r="CR200" s="406"/>
      <c r="CS200" s="406"/>
      <c r="CT200" s="406"/>
      <c r="CU200" s="406"/>
      <c r="CV200" s="406"/>
      <c r="CW200" s="406"/>
      <c r="CX200" s="406"/>
      <c r="CY200" s="406"/>
      <c r="CZ200" s="406"/>
      <c r="DA200" s="406"/>
      <c r="DB200" s="406"/>
      <c r="DC200" s="406"/>
      <c r="DD200" s="406"/>
      <c r="DE200" s="406"/>
      <c r="DF200" s="406"/>
      <c r="DG200" s="406"/>
      <c r="DH200" s="406"/>
      <c r="DI200" s="406"/>
      <c r="DJ200" s="406"/>
      <c r="DK200" s="406"/>
      <c r="DL200" s="406"/>
      <c r="DM200" s="406"/>
      <c r="DN200" s="406"/>
      <c r="DO200" s="406"/>
      <c r="DP200" s="406"/>
      <c r="DQ200" s="406"/>
      <c r="DR200" s="406"/>
      <c r="DS200" s="406"/>
      <c r="DT200" s="406"/>
      <c r="DU200" s="406"/>
      <c r="DV200" s="406"/>
      <c r="DW200" s="406"/>
      <c r="DX200" s="406"/>
      <c r="DY200" s="406"/>
      <c r="DZ200" s="406"/>
      <c r="EA200" s="406"/>
      <c r="EB200" s="406"/>
      <c r="EC200" s="406"/>
      <c r="ED200" s="406"/>
      <c r="EE200" s="406"/>
      <c r="EF200" s="406"/>
      <c r="EG200" s="406"/>
      <c r="EH200" s="406"/>
      <c r="EI200" s="406"/>
      <c r="EJ200" s="406"/>
      <c r="EK200" s="406"/>
      <c r="EL200" s="406"/>
      <c r="EM200" s="406"/>
      <c r="EN200" s="406"/>
      <c r="EO200" s="406"/>
      <c r="EP200" s="406"/>
      <c r="EQ200" s="406"/>
      <c r="ER200" s="406"/>
      <c r="ES200" s="406"/>
      <c r="ET200" s="406"/>
      <c r="EU200" s="406"/>
      <c r="EV200" s="406"/>
      <c r="EW200" s="406"/>
      <c r="EX200" s="406"/>
      <c r="EY200" s="406"/>
      <c r="EZ200" s="406"/>
      <c r="FA200" s="406"/>
      <c r="FB200" s="406"/>
      <c r="FC200" s="406"/>
      <c r="FD200" s="406"/>
      <c r="FE200" s="406"/>
      <c r="FF200" s="406"/>
      <c r="FG200" s="406"/>
      <c r="FH200" s="406"/>
      <c r="FI200" s="406"/>
      <c r="FJ200" s="406"/>
      <c r="FK200" s="406"/>
      <c r="FL200" s="406"/>
      <c r="FM200" s="406"/>
      <c r="FN200" s="406"/>
      <c r="FO200" s="406"/>
      <c r="FP200" s="406"/>
      <c r="FQ200" s="406"/>
      <c r="FR200" s="406"/>
      <c r="FS200" s="406"/>
      <c r="FT200" s="406"/>
      <c r="FU200" s="406"/>
      <c r="FV200" s="406"/>
      <c r="FW200" s="406"/>
      <c r="FX200" s="406"/>
      <c r="FY200" s="406"/>
      <c r="FZ200" s="406"/>
      <c r="GA200" s="406"/>
      <c r="GB200" s="406"/>
      <c r="GC200" s="406"/>
      <c r="GD200" s="406"/>
      <c r="GE200" s="406"/>
      <c r="GF200" s="406"/>
      <c r="GG200" s="406"/>
      <c r="GH200" s="406"/>
      <c r="GI200" s="406"/>
      <c r="GJ200" s="406"/>
      <c r="GK200" s="406"/>
      <c r="GL200" s="406"/>
      <c r="GM200" s="406"/>
      <c r="GN200" s="406"/>
      <c r="GO200" s="406"/>
      <c r="GP200" s="406"/>
      <c r="GQ200" s="406"/>
      <c r="GR200" s="406"/>
      <c r="GS200" s="406"/>
      <c r="GT200" s="406"/>
      <c r="GU200" s="406"/>
      <c r="GV200" s="406"/>
      <c r="GW200" s="406"/>
      <c r="GX200" s="406"/>
      <c r="GY200" s="406"/>
      <c r="GZ200" s="406"/>
      <c r="HA200" s="406"/>
      <c r="HB200" s="406"/>
      <c r="HC200" s="406"/>
      <c r="HD200" s="406"/>
      <c r="HE200" s="406"/>
      <c r="HF200" s="406"/>
      <c r="HG200" s="406"/>
      <c r="HH200" s="406"/>
      <c r="HI200" s="406"/>
      <c r="HJ200" s="406"/>
      <c r="HK200" s="406"/>
      <c r="HL200" s="406"/>
      <c r="HM200" s="406"/>
      <c r="HN200" s="406"/>
      <c r="HO200" s="406"/>
      <c r="HP200" s="406"/>
      <c r="HQ200" s="406"/>
      <c r="HR200" s="406"/>
      <c r="HS200" s="406"/>
      <c r="HT200" s="406"/>
      <c r="HU200" s="406"/>
      <c r="HV200" s="406"/>
      <c r="HW200" s="406"/>
      <c r="HX200" s="406"/>
      <c r="HY200" s="406"/>
      <c r="HZ200" s="406"/>
      <c r="IA200" s="406"/>
      <c r="IB200" s="406"/>
      <c r="IC200" s="406"/>
      <c r="ID200" s="406"/>
      <c r="IE200" s="406"/>
      <c r="IF200" s="406"/>
      <c r="IG200" s="406"/>
      <c r="IH200" s="406"/>
      <c r="II200" s="406"/>
      <c r="IJ200" s="406"/>
      <c r="IK200" s="406"/>
      <c r="IL200" s="406"/>
      <c r="IM200" s="406"/>
      <c r="IN200" s="406"/>
      <c r="IO200" s="406"/>
      <c r="IP200" s="406"/>
      <c r="IQ200" s="406"/>
      <c r="IR200" s="406"/>
      <c r="IS200" s="406"/>
    </row>
    <row r="201" spans="1:253">
      <c r="A201" s="381" t="s">
        <v>120</v>
      </c>
      <c r="B201" s="95"/>
      <c r="C201" s="771">
        <f>SUM(C205:C220)</f>
        <v>1</v>
      </c>
      <c r="E201" s="1293" t="s">
        <v>316</v>
      </c>
      <c r="F201" s="926">
        <f>SUMPRODUCT($CI$4:$CI$6,F202:F204)</f>
        <v>3.1807883263021419E-4</v>
      </c>
      <c r="G201" s="874">
        <f>SUMPRODUCT($CI$4:$CI$6,G202:G204)</f>
        <v>1.1767497640817646</v>
      </c>
      <c r="H201" s="927">
        <f>SUMPRODUCT($CI$4:$CI$6,H202:H204)</f>
        <v>2.2549052508067269</v>
      </c>
      <c r="I201" s="875"/>
      <c r="J201" s="875"/>
      <c r="K201" s="875"/>
      <c r="L201" s="875"/>
      <c r="M201" s="875"/>
      <c r="N201" s="875"/>
      <c r="O201" s="875"/>
      <c r="P201" s="875"/>
      <c r="Q201" s="875"/>
      <c r="R201" s="875"/>
      <c r="S201" s="875"/>
      <c r="T201" s="875"/>
      <c r="U201" s="875"/>
      <c r="V201" s="875"/>
      <c r="W201" s="981"/>
      <c r="Y201" s="883">
        <f>Y205*$C$205+Y209*$C$209+Y213*$C$213+Y217*$C$217</f>
        <v>21.109827693692804</v>
      </c>
      <c r="Z201" s="884">
        <f t="shared" ref="Z201:BW201" si="26">Z205*$C$205+Z209*$C$209+Z213*$C$213+Z217*$C$217</f>
        <v>48.81647654166462</v>
      </c>
      <c r="AA201" s="884">
        <f t="shared" si="26"/>
        <v>158.49505370670329</v>
      </c>
      <c r="AB201" s="884">
        <f t="shared" si="26"/>
        <v>38.038812889608785</v>
      </c>
      <c r="AC201" s="884">
        <f t="shared" si="26"/>
        <v>58.608255877532848</v>
      </c>
      <c r="AD201" s="885">
        <f t="shared" si="26"/>
        <v>72.355871453744257</v>
      </c>
      <c r="AF201" s="883">
        <f t="shared" si="26"/>
        <v>6.8520532112207488E-2</v>
      </c>
      <c r="AG201" s="884">
        <f t="shared" si="26"/>
        <v>0.15845373050947981</v>
      </c>
      <c r="AH201" s="884">
        <f t="shared" si="26"/>
        <v>0.51446016399181749</v>
      </c>
      <c r="AI201" s="884">
        <f t="shared" si="26"/>
        <v>0.12347043935803619</v>
      </c>
      <c r="AJ201" s="884">
        <f t="shared" si="26"/>
        <v>0.19215190439092644</v>
      </c>
      <c r="AK201" s="885">
        <f t="shared" si="26"/>
        <v>0.23722457332213137</v>
      </c>
      <c r="AM201" s="883">
        <f t="shared" si="26"/>
        <v>6.7901098941705956E-2</v>
      </c>
      <c r="AN201" s="884">
        <f t="shared" si="26"/>
        <v>0.15702129130269502</v>
      </c>
      <c r="AO201" s="884">
        <f t="shared" si="26"/>
        <v>0.50980938734641246</v>
      </c>
      <c r="AP201" s="884">
        <f t="shared" si="26"/>
        <v>0.12235425296313897</v>
      </c>
      <c r="AQ201" s="884">
        <f t="shared" si="26"/>
        <v>0.18697856558082604</v>
      </c>
      <c r="AR201" s="885">
        <f t="shared" si="26"/>
        <v>0.23083773528497042</v>
      </c>
      <c r="AT201" s="883">
        <f t="shared" si="26"/>
        <v>1.2723050662164013E-3</v>
      </c>
      <c r="AU201" s="884">
        <f t="shared" si="26"/>
        <v>2.9422054656254282E-3</v>
      </c>
      <c r="AV201" s="884">
        <f t="shared" si="26"/>
        <v>9.5526151481345068E-3</v>
      </c>
      <c r="AW201" s="884">
        <f t="shared" si="26"/>
        <v>2.2926276355522816E-3</v>
      </c>
      <c r="AX201" s="884">
        <f t="shared" si="26"/>
        <v>3.1459295729077898E-3</v>
      </c>
      <c r="AY201" s="885">
        <f t="shared" si="26"/>
        <v>3.8838636702565308E-3</v>
      </c>
      <c r="BA201" s="883">
        <f t="shared" si="26"/>
        <v>1.2608757782676379E-8</v>
      </c>
      <c r="BB201" s="884">
        <f t="shared" si="26"/>
        <v>2.9157752372439125E-8</v>
      </c>
      <c r="BC201" s="884">
        <f t="shared" si="26"/>
        <v>9.4668027183243921E-8</v>
      </c>
      <c r="BD201" s="884">
        <f t="shared" si="26"/>
        <v>2.2720326523978537E-8</v>
      </c>
      <c r="BE201" s="884">
        <f t="shared" si="26"/>
        <v>3.4711513452295662E-8</v>
      </c>
      <c r="BF201" s="885">
        <f t="shared" si="26"/>
        <v>4.2853720311476128E-8</v>
      </c>
      <c r="BG201" s="877"/>
      <c r="BH201" s="883">
        <f t="shared" si="26"/>
        <v>1.5781668205112481E-2</v>
      </c>
      <c r="BI201" s="884">
        <f t="shared" si="26"/>
        <v>3.6495107724322601E-2</v>
      </c>
      <c r="BJ201" s="884">
        <f t="shared" si="26"/>
        <v>0.11849060949455391</v>
      </c>
      <c r="BK201" s="884">
        <f t="shared" si="26"/>
        <v>2.8437746278692937E-2</v>
      </c>
      <c r="BL201" s="884">
        <f t="shared" si="26"/>
        <v>4.398587215382202E-2</v>
      </c>
      <c r="BM201" s="885">
        <f t="shared" si="26"/>
        <v>5.4303545868916073E-2</v>
      </c>
      <c r="BN201" s="877"/>
      <c r="BO201" s="883">
        <f t="shared" si="26"/>
        <v>1.7495849811139516E-3</v>
      </c>
      <c r="BP201" s="884">
        <f t="shared" si="26"/>
        <v>4.0459152688260133E-3</v>
      </c>
      <c r="BQ201" s="884">
        <f t="shared" si="26"/>
        <v>1.3136088535149392E-2</v>
      </c>
      <c r="BR201" s="884">
        <f t="shared" si="26"/>
        <v>3.1526612484358537E-3</v>
      </c>
      <c r="BS201" s="884">
        <f t="shared" si="26"/>
        <v>4.9063554477989024E-3</v>
      </c>
      <c r="BT201" s="885">
        <f t="shared" si="26"/>
        <v>6.0572289478998797E-3</v>
      </c>
      <c r="BU201" s="877"/>
      <c r="BV201" s="883">
        <f t="shared" si="26"/>
        <v>8.7566992963865697</v>
      </c>
      <c r="BW201" s="885">
        <f t="shared" si="26"/>
        <v>10.810739872082184</v>
      </c>
    </row>
    <row r="202" spans="1:253">
      <c r="A202" s="18"/>
      <c r="C202" s="917"/>
      <c r="E202" s="1294" t="s">
        <v>317</v>
      </c>
      <c r="F202" s="928">
        <f t="shared" ref="F202:H204" si="27">F206*$C$205+F210*$C$209+$C$213*F214+$C$217*F218</f>
        <v>-0.21075904882694427</v>
      </c>
      <c r="G202" s="877">
        <f t="shared" si="27"/>
        <v>0.52151334777831138</v>
      </c>
      <c r="H202" s="878">
        <f t="shared" si="27"/>
        <v>1.4619967010598036</v>
      </c>
      <c r="U202" s="877">
        <f>U206*$C$205+U210*$C$209+$C$213*U214+$C$217*U218</f>
        <v>0.562218193074009</v>
      </c>
      <c r="V202" s="877">
        <f>V206*$C$205+V210*$C$209+$C$213*V214+$C$217*V218</f>
        <v>5.000000000000001E-2</v>
      </c>
      <c r="W202" s="886">
        <f>W206*$C$205+W210*$C$209+$C$213*W214+$C$217*W218</f>
        <v>0.32999999999999996</v>
      </c>
      <c r="Y202" s="879"/>
      <c r="AD202" s="886"/>
      <c r="AF202" s="879"/>
      <c r="AK202" s="886"/>
      <c r="AM202" s="879"/>
      <c r="AR202" s="886"/>
      <c r="AT202" s="879"/>
      <c r="AY202" s="886"/>
      <c r="BA202" s="879"/>
      <c r="BF202" s="886"/>
      <c r="BG202" s="877"/>
      <c r="BH202" s="879"/>
      <c r="BI202" s="877"/>
      <c r="BJ202" s="877"/>
      <c r="BK202" s="877"/>
      <c r="BL202" s="877"/>
      <c r="BM202" s="886"/>
      <c r="BN202" s="877"/>
      <c r="BO202" s="879"/>
      <c r="BP202" s="877"/>
      <c r="BQ202" s="877"/>
      <c r="BR202" s="877"/>
      <c r="BS202" s="877"/>
      <c r="BT202" s="886"/>
      <c r="BU202" s="877"/>
      <c r="BV202" s="879"/>
      <c r="BW202" s="886"/>
    </row>
    <row r="203" spans="1:253">
      <c r="A203" s="18"/>
      <c r="C203" s="917"/>
      <c r="E203" s="1294" t="s">
        <v>367</v>
      </c>
      <c r="F203" s="928">
        <f t="shared" si="27"/>
        <v>0</v>
      </c>
      <c r="G203" s="877">
        <f t="shared" si="27"/>
        <v>1.4070676989959207E-3</v>
      </c>
      <c r="H203" s="878">
        <f t="shared" si="27"/>
        <v>1.7063071793872947E-3</v>
      </c>
      <c r="U203" s="877">
        <f t="shared" ref="U203:W204" si="28">U207*$C$205+U211*$C$209+$C$213*U215+$C$217*U219</f>
        <v>1.09641638882799E-3</v>
      </c>
      <c r="V203" s="877">
        <f t="shared" si="28"/>
        <v>0</v>
      </c>
      <c r="W203" s="886">
        <f>W207*$C$205+W211*$C$209+$C$213*W215+$C$217*W219</f>
        <v>0</v>
      </c>
      <c r="Y203" s="879"/>
      <c r="AD203" s="886"/>
      <c r="AF203" s="879"/>
      <c r="AK203" s="886"/>
      <c r="AM203" s="879"/>
      <c r="AR203" s="886"/>
      <c r="AT203" s="879"/>
      <c r="AY203" s="886"/>
      <c r="BA203" s="879"/>
      <c r="BF203" s="886"/>
      <c r="BG203" s="877"/>
      <c r="BH203" s="879"/>
      <c r="BI203" s="877"/>
      <c r="BJ203" s="877"/>
      <c r="BK203" s="877"/>
      <c r="BL203" s="877"/>
      <c r="BM203" s="886"/>
      <c r="BN203" s="877"/>
      <c r="BO203" s="879"/>
      <c r="BP203" s="877"/>
      <c r="BQ203" s="877"/>
      <c r="BR203" s="877"/>
      <c r="BS203" s="877"/>
      <c r="BT203" s="886"/>
      <c r="BU203" s="877"/>
      <c r="BV203" s="879"/>
      <c r="BW203" s="886"/>
    </row>
    <row r="204" spans="1:253">
      <c r="A204" s="18"/>
      <c r="C204" s="917"/>
      <c r="E204" s="1295" t="s">
        <v>320</v>
      </c>
      <c r="F204" s="928">
        <f t="shared" si="27"/>
        <v>7.7317629179331313E-4</v>
      </c>
      <c r="G204" s="877">
        <f t="shared" si="27"/>
        <v>2.2609728513940043E-3</v>
      </c>
      <c r="H204" s="878">
        <f t="shared" si="27"/>
        <v>2.7356712670456641E-3</v>
      </c>
      <c r="U204" s="877">
        <f t="shared" si="28"/>
        <v>1.7617970270602632E-3</v>
      </c>
      <c r="V204" s="877">
        <f t="shared" si="28"/>
        <v>0</v>
      </c>
      <c r="W204" s="886">
        <f t="shared" si="28"/>
        <v>0</v>
      </c>
      <c r="Y204" s="879"/>
      <c r="AD204" s="886"/>
      <c r="AF204" s="879"/>
      <c r="AK204" s="886"/>
      <c r="AM204" s="879"/>
      <c r="AR204" s="886"/>
      <c r="AT204" s="879"/>
      <c r="AY204" s="886"/>
      <c r="BA204" s="879"/>
      <c r="BF204" s="886"/>
      <c r="BG204" s="877"/>
      <c r="BH204" s="879"/>
      <c r="BI204" s="877"/>
      <c r="BJ204" s="877"/>
      <c r="BK204" s="877"/>
      <c r="BL204" s="877"/>
      <c r="BM204" s="886"/>
      <c r="BN204" s="877"/>
      <c r="BO204" s="879"/>
      <c r="BP204" s="877"/>
      <c r="BQ204" s="877"/>
      <c r="BR204" s="877"/>
      <c r="BS204" s="877"/>
      <c r="BT204" s="886"/>
      <c r="BU204" s="877"/>
      <c r="BV204" s="879">
        <f>('Common input data'!$C$202+'Common input data'!$B$226)*'Input data plant-based products'!AC130</f>
        <v>10.144710844710843</v>
      </c>
      <c r="BW204" s="886">
        <f>('Common input data'!$C$202+'Common input data'!$B$226)*'Input data plant-based products'!AD130</f>
        <v>12.524334376186227</v>
      </c>
    </row>
    <row r="205" spans="1:253" s="502" customFormat="1" ht="17.25">
      <c r="A205" s="20" t="s">
        <v>137</v>
      </c>
      <c r="B205" s="93" t="s">
        <v>121</v>
      </c>
      <c r="C205" s="903">
        <f>'Input data plant-based products'!D130</f>
        <v>0.38538325080000002</v>
      </c>
      <c r="D205" s="26"/>
      <c r="E205" s="1293" t="s">
        <v>316</v>
      </c>
      <c r="F205" s="930">
        <f>SUMPRODUCT($CI$4:$CI$6,F206:F208)</f>
        <v>3.1807883263021419E-4</v>
      </c>
      <c r="G205" s="872">
        <f>SUMPRODUCT($CI$4:$CI$6,G206:G208)</f>
        <v>0.86038975315238275</v>
      </c>
      <c r="H205" s="873">
        <f>SUMPRODUCT($CI$4:$CI$6,H206:H208)</f>
        <v>1.9638221078211304</v>
      </c>
      <c r="I205" s="884"/>
      <c r="J205" s="884"/>
      <c r="K205" s="884"/>
      <c r="L205" s="884"/>
      <c r="M205" s="884"/>
      <c r="N205" s="884"/>
      <c r="O205" s="884"/>
      <c r="P205" s="884"/>
      <c r="Q205" s="884"/>
      <c r="R205" s="884"/>
      <c r="S205" s="884"/>
      <c r="T205" s="884"/>
      <c r="U205" s="872"/>
      <c r="V205" s="884"/>
      <c r="W205" s="885"/>
      <c r="X205" s="877"/>
      <c r="Y205" s="879">
        <f>1/'Input data plant-based products'!E130*10^4</f>
        <v>19.235948139883813</v>
      </c>
      <c r="Z205" s="877">
        <f>$Y205*'Input data plant-based products'!Z130</f>
        <v>44.48313007348132</v>
      </c>
      <c r="AA205" s="877">
        <f>$Y205*'Input data plant-based products'!AA130</f>
        <v>144.42574699182245</v>
      </c>
      <c r="AB205" s="877">
        <f>$Y205*'Input data plant-based products'!AB130</f>
        <v>34.662179278037385</v>
      </c>
      <c r="AC205" s="877">
        <f>$Y205*'Input data plant-based products'!AC130</f>
        <v>56.430084294729163</v>
      </c>
      <c r="AD205" s="886">
        <f>$Y205*'Input data plant-based products'!AD130</f>
        <v>69.666770734233523</v>
      </c>
      <c r="AE205" s="877"/>
      <c r="AF205" s="879">
        <f>SUM('Input data plant-based products'!F130,'Input data plant-based products'!Q130)/'Input data plant-based products'!E130</f>
        <v>4.89396411092985E-2</v>
      </c>
      <c r="AG205" s="877">
        <f>$AF205*'Input data plant-based products'!Z130</f>
        <v>0.11317292006525279</v>
      </c>
      <c r="AH205" s="877">
        <f>$AF205*'Input data plant-based products'!AA130</f>
        <v>0.36744454566640511</v>
      </c>
      <c r="AI205" s="877">
        <f>$AF205*'Input data plant-based products'!AB130</f>
        <v>8.8186690959937225E-2</v>
      </c>
      <c r="AJ205" s="877">
        <f>$AF205*'Input data plant-based products'!AC130</f>
        <v>0.14356807645085426</v>
      </c>
      <c r="AK205" s="886">
        <f>$AF205*'Input data plant-based products'!AD130</f>
        <v>0.17724453882821511</v>
      </c>
      <c r="AL205" s="877"/>
      <c r="AM205" s="879">
        <f>'Input data plant-based products'!R130/'Input data plant-based products'!E130</f>
        <v>9.7879282218597003E-3</v>
      </c>
      <c r="AN205" s="877">
        <f>$AM205*'Input data plant-based products'!Z130</f>
        <v>2.2634584013050556E-2</v>
      </c>
      <c r="AO205" s="877">
        <f>$AM205*'Input data plant-based products'!AA130</f>
        <v>7.348890913328103E-2</v>
      </c>
      <c r="AP205" s="877">
        <f>$AM205*'Input data plant-based products'!AB130</f>
        <v>1.7637338191987446E-2</v>
      </c>
      <c r="AQ205" s="877">
        <f>$AM205*'Input data plant-based products'!AC130</f>
        <v>2.8713615290170851E-2</v>
      </c>
      <c r="AR205" s="886">
        <f>$AM205*'Input data plant-based products'!AD130</f>
        <v>3.5448907765643023E-2</v>
      </c>
      <c r="AS205" s="877"/>
      <c r="AT205" s="879">
        <f>'Input data plant-based products'!S130</f>
        <v>0</v>
      </c>
      <c r="AU205" s="877">
        <f>$AT205*'Input data plant-based products'!Z130</f>
        <v>0</v>
      </c>
      <c r="AV205" s="877">
        <f>$AT205*'Input data plant-based products'!AA130</f>
        <v>0</v>
      </c>
      <c r="AW205" s="877">
        <f>$AT205*'Input data plant-based products'!AB130</f>
        <v>0</v>
      </c>
      <c r="AX205" s="877">
        <f>$AT205*'Input data plant-based products'!AC130</f>
        <v>0</v>
      </c>
      <c r="AY205" s="886">
        <f>$AT205*'Input data plant-based products'!AD130</f>
        <v>0</v>
      </c>
      <c r="AZ205" s="877"/>
      <c r="BA205" s="879">
        <f>((SUM('Input data plant-based products'!U130:Y130)*Y205)/('Common input data'!$B$192/10^6))/$BB$3</f>
        <v>4.8278373539608068E-9</v>
      </c>
      <c r="BB205" s="877">
        <f>$BA205*'Input data plant-based products'!Z130</f>
        <v>1.1164373881034367E-8</v>
      </c>
      <c r="BC205" s="877">
        <f>$BA205*'Input data plant-based products'!AA130</f>
        <v>3.624796714621547E-8</v>
      </c>
      <c r="BD205" s="877">
        <f>$BA205*'Input data plant-based products'!AB130</f>
        <v>8.6995121150917119E-9</v>
      </c>
      <c r="BE205" s="877">
        <f>$BA205*'Input data plant-based products'!AC130</f>
        <v>1.4162819886189194E-8</v>
      </c>
      <c r="BF205" s="886">
        <f>$BA205*'Input data plant-based products'!AD130</f>
        <v>1.7484962822455795E-8</v>
      </c>
      <c r="BG205" s="877"/>
      <c r="BH205" s="879">
        <f>'Input data plant-based products'!T130/'Input data plant-based products'!E130</f>
        <v>1.6051705224439577E-2</v>
      </c>
      <c r="BI205" s="877">
        <f>$BH205*'Input data plant-based products'!Z130</f>
        <v>3.7119568331516521E-2</v>
      </c>
      <c r="BJ205" s="877">
        <f>$BH205*'Input data plant-based products'!AA130</f>
        <v>0.12051807899843027</v>
      </c>
      <c r="BK205" s="877">
        <f>$BH205*'Input data plant-based products'!AB130</f>
        <v>2.892433895962326E-2</v>
      </c>
      <c r="BL205" s="877">
        <f>$BH205*'Input data plant-based products'!AC130</f>
        <v>4.7088870915137582E-2</v>
      </c>
      <c r="BM205" s="886">
        <f>$BH205*'Input data plant-based products'!AD130</f>
        <v>5.8134408537206889E-2</v>
      </c>
      <c r="BN205" s="877"/>
      <c r="BO205" s="879">
        <f>('Input data plant-based products'!F130/'Input data plant-based products'!E130*'Common input data'!$B$195+'Input data plant-based products'!G130/'Input data plant-based products'!E130*'Common input data'!$B$196)/'Common input data'!$B$198</f>
        <v>1.2496117357308288E-3</v>
      </c>
      <c r="BP205" s="877">
        <f>$BO205*'Input data plant-based products'!Z130</f>
        <v>2.8897271388775413E-3</v>
      </c>
      <c r="BQ205" s="877">
        <f>$BO205*'Input data plant-based products'!AA130</f>
        <v>9.3822309703816276E-3</v>
      </c>
      <c r="BR205" s="877">
        <f>$BO205*'Input data plant-based products'!AB130</f>
        <v>2.2517354328915906E-3</v>
      </c>
      <c r="BS205" s="877">
        <f>$BO205*'Input data plant-based products'!AC130</f>
        <v>3.6658289505764599E-3</v>
      </c>
      <c r="BT205" s="886">
        <f>$BO205*'Input data plant-based products'!AD130</f>
        <v>4.5257147537980987E-3</v>
      </c>
      <c r="BU205" s="877"/>
      <c r="BV205" s="879"/>
      <c r="BW205" s="886"/>
      <c r="BX205" s="406"/>
      <c r="BY205" s="406"/>
      <c r="BZ205" s="406"/>
      <c r="CA205" s="406"/>
      <c r="CB205" s="406"/>
      <c r="CC205" s="406"/>
      <c r="CD205" s="406"/>
      <c r="CE205" s="406"/>
      <c r="CF205" s="406"/>
      <c r="CG205" s="406"/>
      <c r="CH205" s="406"/>
      <c r="CI205" s="406"/>
      <c r="CJ205" s="406"/>
      <c r="CK205" s="406"/>
      <c r="CL205" s="406"/>
      <c r="CM205" s="406"/>
      <c r="CN205" s="406"/>
      <c r="CO205" s="406"/>
      <c r="CP205" s="406"/>
      <c r="CQ205" s="406"/>
      <c r="CR205" s="406"/>
      <c r="CS205" s="406"/>
      <c r="CT205" s="406"/>
      <c r="CU205" s="406"/>
      <c r="CV205" s="406"/>
      <c r="CW205" s="406"/>
      <c r="CX205" s="406"/>
      <c r="CY205" s="406"/>
      <c r="CZ205" s="406"/>
      <c r="DA205" s="406"/>
      <c r="DB205" s="406"/>
      <c r="DC205" s="406"/>
      <c r="DD205" s="406"/>
      <c r="DE205" s="406"/>
      <c r="DF205" s="406"/>
      <c r="DG205" s="406"/>
      <c r="DH205" s="406"/>
      <c r="DI205" s="406"/>
      <c r="DJ205" s="406"/>
      <c r="DK205" s="406"/>
      <c r="DL205" s="406"/>
      <c r="DM205" s="406"/>
      <c r="DN205" s="406"/>
      <c r="DO205" s="406"/>
      <c r="DP205" s="406"/>
      <c r="DQ205" s="406"/>
      <c r="DR205" s="406"/>
      <c r="DS205" s="406"/>
      <c r="DT205" s="406"/>
      <c r="DU205" s="406"/>
      <c r="DV205" s="406"/>
      <c r="DW205" s="406"/>
      <c r="DX205" s="406"/>
      <c r="DY205" s="406"/>
      <c r="DZ205" s="406"/>
      <c r="EA205" s="406"/>
      <c r="EB205" s="406"/>
      <c r="EC205" s="406"/>
      <c r="ED205" s="406"/>
      <c r="EE205" s="406"/>
      <c r="EF205" s="406"/>
      <c r="EG205" s="406"/>
      <c r="EH205" s="406"/>
      <c r="EI205" s="406"/>
      <c r="EJ205" s="406"/>
      <c r="EK205" s="406"/>
      <c r="EL205" s="406"/>
      <c r="EM205" s="406"/>
      <c r="EN205" s="406"/>
      <c r="EO205" s="406"/>
      <c r="EP205" s="406"/>
      <c r="EQ205" s="406"/>
      <c r="ER205" s="406"/>
      <c r="ES205" s="406"/>
      <c r="ET205" s="406"/>
      <c r="EU205" s="406"/>
      <c r="EV205" s="406"/>
      <c r="EW205" s="406"/>
      <c r="EX205" s="406"/>
      <c r="EY205" s="406"/>
      <c r="EZ205" s="406"/>
      <c r="FA205" s="406"/>
      <c r="FB205" s="406"/>
      <c r="FC205" s="406"/>
      <c r="FD205" s="406"/>
      <c r="FE205" s="406"/>
      <c r="FF205" s="406"/>
      <c r="FG205" s="406"/>
      <c r="FH205" s="406"/>
      <c r="FI205" s="406"/>
      <c r="FJ205" s="406"/>
      <c r="FK205" s="406"/>
      <c r="FL205" s="406"/>
      <c r="FM205" s="406"/>
      <c r="FN205" s="406"/>
      <c r="FO205" s="406"/>
      <c r="FP205" s="406"/>
      <c r="FQ205" s="406"/>
      <c r="FR205" s="406"/>
      <c r="FS205" s="406"/>
      <c r="FT205" s="406"/>
      <c r="FU205" s="406"/>
      <c r="FV205" s="406"/>
      <c r="FW205" s="406"/>
      <c r="FX205" s="406"/>
      <c r="FY205" s="406"/>
      <c r="FZ205" s="406"/>
      <c r="GA205" s="406"/>
      <c r="GB205" s="406"/>
      <c r="GC205" s="406"/>
      <c r="GD205" s="406"/>
      <c r="GE205" s="406"/>
      <c r="GF205" s="406"/>
      <c r="GG205" s="406"/>
      <c r="GH205" s="406"/>
      <c r="GI205" s="406"/>
      <c r="GJ205" s="406"/>
      <c r="GK205" s="406"/>
      <c r="GL205" s="406"/>
      <c r="GM205" s="406"/>
      <c r="GN205" s="406"/>
      <c r="GO205" s="406"/>
      <c r="GP205" s="406"/>
      <c r="GQ205" s="406"/>
      <c r="GR205" s="406"/>
      <c r="GS205" s="406"/>
      <c r="GT205" s="406"/>
      <c r="GU205" s="406"/>
      <c r="GV205" s="406"/>
      <c r="GW205" s="406"/>
      <c r="GX205" s="406"/>
      <c r="GY205" s="406"/>
      <c r="GZ205" s="406"/>
      <c r="HA205" s="406"/>
      <c r="HB205" s="406"/>
      <c r="HC205" s="406"/>
      <c r="HD205" s="406"/>
      <c r="HE205" s="406"/>
      <c r="HF205" s="406"/>
      <c r="HG205" s="406"/>
      <c r="HH205" s="406"/>
      <c r="HI205" s="406"/>
      <c r="HJ205" s="406"/>
      <c r="HK205" s="406"/>
      <c r="HL205" s="406"/>
      <c r="HM205" s="406"/>
      <c r="HN205" s="406"/>
      <c r="HO205" s="406"/>
      <c r="HP205" s="406"/>
      <c r="HQ205" s="406"/>
      <c r="HR205" s="406"/>
      <c r="HS205" s="406"/>
      <c r="HT205" s="406"/>
      <c r="HU205" s="406"/>
      <c r="HV205" s="406"/>
      <c r="HW205" s="406"/>
      <c r="HX205" s="406"/>
      <c r="HY205" s="406"/>
      <c r="HZ205" s="406"/>
      <c r="IA205" s="406"/>
      <c r="IB205" s="406"/>
      <c r="IC205" s="406"/>
      <c r="ID205" s="406"/>
      <c r="IE205" s="406"/>
      <c r="IF205" s="406"/>
      <c r="IG205" s="406"/>
      <c r="IH205" s="406"/>
      <c r="II205" s="406"/>
      <c r="IJ205" s="406"/>
      <c r="IK205" s="406"/>
      <c r="IL205" s="406"/>
      <c r="IM205" s="406"/>
      <c r="IN205" s="406"/>
      <c r="IO205" s="406"/>
      <c r="IP205" s="406"/>
      <c r="IQ205" s="406"/>
      <c r="IR205" s="406"/>
      <c r="IS205" s="406"/>
    </row>
    <row r="206" spans="1:253" s="406" customFormat="1" ht="17.25">
      <c r="A206" s="359"/>
      <c r="B206" s="360"/>
      <c r="C206" s="83"/>
      <c r="D206" s="54"/>
      <c r="E206" s="1294" t="s">
        <v>317</v>
      </c>
      <c r="F206" s="928">
        <f t="shared" ref="F206:G208" si="29">F185</f>
        <v>-0.21075904882694424</v>
      </c>
      <c r="G206" s="877">
        <f t="shared" si="29"/>
        <v>0.33207930123903878</v>
      </c>
      <c r="H206" s="878">
        <f>SUM(U206:W206)/(1-'Common input data'!$G$140)</f>
        <v>1.2936218929079879</v>
      </c>
      <c r="I206" s="877"/>
      <c r="J206" s="877"/>
      <c r="K206" s="877"/>
      <c r="L206" s="877"/>
      <c r="M206" s="877"/>
      <c r="N206" s="877"/>
      <c r="O206" s="877"/>
      <c r="P206" s="877"/>
      <c r="Q206" s="877"/>
      <c r="R206" s="877"/>
      <c r="S206" s="877"/>
      <c r="T206" s="877"/>
      <c r="U206" s="877">
        <f>(G206+T185)*'Common input data'!D$47/'Common input data'!C$47</f>
        <v>0.41460724771873153</v>
      </c>
      <c r="V206" s="877">
        <f>'Common input data'!B$105</f>
        <v>0.05</v>
      </c>
      <c r="W206" s="886">
        <f>'Common input data'!B$121+'Common input data'!C$121</f>
        <v>0.32999999999999996</v>
      </c>
      <c r="X206" s="877"/>
      <c r="Y206" s="879"/>
      <c r="Z206" s="877"/>
      <c r="AA206" s="877"/>
      <c r="AB206" s="877"/>
      <c r="AC206" s="877"/>
      <c r="AD206" s="886"/>
      <c r="AE206" s="877"/>
      <c r="AF206" s="879"/>
      <c r="AG206" s="877"/>
      <c r="AH206" s="877"/>
      <c r="AI206" s="877"/>
      <c r="AJ206" s="877"/>
      <c r="AK206" s="886"/>
      <c r="AL206" s="877"/>
      <c r="AM206" s="879"/>
      <c r="AN206" s="877"/>
      <c r="AO206" s="877"/>
      <c r="AP206" s="877"/>
      <c r="AQ206" s="877"/>
      <c r="AR206" s="886"/>
      <c r="AS206" s="877"/>
      <c r="AT206" s="879"/>
      <c r="AU206" s="877"/>
      <c r="AV206" s="877"/>
      <c r="AW206" s="877"/>
      <c r="AX206" s="877"/>
      <c r="AY206" s="886"/>
      <c r="AZ206" s="877"/>
      <c r="BA206" s="879"/>
      <c r="BB206" s="877"/>
      <c r="BC206" s="877"/>
      <c r="BD206" s="877"/>
      <c r="BE206" s="877"/>
      <c r="BF206" s="886"/>
      <c r="BG206" s="877"/>
      <c r="BH206" s="879"/>
      <c r="BI206" s="877"/>
      <c r="BJ206" s="877"/>
      <c r="BK206" s="877"/>
      <c r="BL206" s="877"/>
      <c r="BM206" s="886"/>
      <c r="BN206" s="877"/>
      <c r="BO206" s="879"/>
      <c r="BP206" s="877"/>
      <c r="BQ206" s="877"/>
      <c r="BR206" s="877"/>
      <c r="BS206" s="877"/>
      <c r="BT206" s="886"/>
      <c r="BU206" s="877"/>
      <c r="BV206" s="879"/>
      <c r="BW206" s="886"/>
    </row>
    <row r="207" spans="1:253" s="406" customFormat="1" ht="17.25">
      <c r="A207" s="359"/>
      <c r="B207" s="360"/>
      <c r="C207" s="83"/>
      <c r="D207" s="54"/>
      <c r="E207" s="1294" t="s">
        <v>367</v>
      </c>
      <c r="F207" s="928">
        <f t="shared" si="29"/>
        <v>0</v>
      </c>
      <c r="G207" s="877">
        <f t="shared" si="29"/>
        <v>1.0049745103056285E-3</v>
      </c>
      <c r="H207" s="878">
        <f>SUM(U207:W207)/(1-'Common input data'!$G$140)</f>
        <v>1.2748832250995081E-3</v>
      </c>
      <c r="I207" s="877"/>
      <c r="J207" s="877"/>
      <c r="K207" s="877"/>
      <c r="L207" s="877"/>
      <c r="M207" s="877"/>
      <c r="N207" s="877"/>
      <c r="O207" s="877"/>
      <c r="P207" s="877"/>
      <c r="Q207" s="877"/>
      <c r="R207" s="877"/>
      <c r="S207" s="877"/>
      <c r="T207" s="877"/>
      <c r="U207" s="877">
        <f>(G207+T186)*'Common input data'!D$47/'Common input data'!C$47</f>
        <v>7.8309702101737281E-4</v>
      </c>
      <c r="V207" s="877">
        <v>0</v>
      </c>
      <c r="W207" s="886">
        <v>0</v>
      </c>
      <c r="X207" s="877"/>
      <c r="Y207" s="879"/>
      <c r="Z207" s="877"/>
      <c r="AA207" s="877"/>
      <c r="AB207" s="877"/>
      <c r="AC207" s="877"/>
      <c r="AD207" s="886"/>
      <c r="AE207" s="877"/>
      <c r="AF207" s="879"/>
      <c r="AG207" s="877"/>
      <c r="AH207" s="877"/>
      <c r="AI207" s="877"/>
      <c r="AJ207" s="877"/>
      <c r="AK207" s="886"/>
      <c r="AL207" s="877"/>
      <c r="AM207" s="879"/>
      <c r="AN207" s="877"/>
      <c r="AO207" s="877"/>
      <c r="AP207" s="877"/>
      <c r="AQ207" s="877"/>
      <c r="AR207" s="886"/>
      <c r="AS207" s="877"/>
      <c r="AT207" s="879"/>
      <c r="AU207" s="877"/>
      <c r="AV207" s="877"/>
      <c r="AW207" s="877"/>
      <c r="AX207" s="877"/>
      <c r="AY207" s="886"/>
      <c r="AZ207" s="877"/>
      <c r="BA207" s="879"/>
      <c r="BB207" s="877"/>
      <c r="BC207" s="877"/>
      <c r="BD207" s="877"/>
      <c r="BE207" s="877"/>
      <c r="BF207" s="886"/>
      <c r="BG207" s="877"/>
      <c r="BH207" s="879"/>
      <c r="BI207" s="877"/>
      <c r="BJ207" s="877"/>
      <c r="BK207" s="877"/>
      <c r="BL207" s="877"/>
      <c r="BM207" s="886"/>
      <c r="BN207" s="877"/>
      <c r="BO207" s="879"/>
      <c r="BP207" s="877"/>
      <c r="BQ207" s="877"/>
      <c r="BR207" s="877"/>
      <c r="BS207" s="877"/>
      <c r="BT207" s="886"/>
      <c r="BU207" s="877"/>
      <c r="BV207" s="879"/>
      <c r="BW207" s="886"/>
    </row>
    <row r="208" spans="1:253" s="406" customFormat="1" ht="17.25">
      <c r="A208" s="983"/>
      <c r="B208" s="360"/>
      <c r="C208" s="83"/>
      <c r="D208" s="54"/>
      <c r="E208" s="1295" t="s">
        <v>320</v>
      </c>
      <c r="F208" s="928">
        <f t="shared" si="29"/>
        <v>7.7317629179331302E-4</v>
      </c>
      <c r="G208" s="877">
        <f t="shared" si="29"/>
        <v>1.8358100371248787E-3</v>
      </c>
      <c r="H208" s="878">
        <f>SUM(U208:W208)/(1-'Common input data'!$G$140)</f>
        <v>2.3288584902397651E-3</v>
      </c>
      <c r="I208" s="877"/>
      <c r="J208" s="877"/>
      <c r="K208" s="877"/>
      <c r="L208" s="877"/>
      <c r="M208" s="877"/>
      <c r="N208" s="877"/>
      <c r="O208" s="877"/>
      <c r="P208" s="877"/>
      <c r="Q208" s="877"/>
      <c r="R208" s="877"/>
      <c r="S208" s="877"/>
      <c r="T208" s="877"/>
      <c r="U208" s="877">
        <f>(G208+T187)*'Common input data'!D$47/'Common input data'!C$47</f>
        <v>1.4305013276297756E-3</v>
      </c>
      <c r="V208" s="877">
        <v>0</v>
      </c>
      <c r="W208" s="886">
        <v>0</v>
      </c>
      <c r="X208" s="877"/>
      <c r="Y208" s="879"/>
      <c r="Z208" s="877"/>
      <c r="AA208" s="877"/>
      <c r="AB208" s="877"/>
      <c r="AC208" s="877"/>
      <c r="AD208" s="886"/>
      <c r="AE208" s="877"/>
      <c r="AF208" s="879"/>
      <c r="AG208" s="877"/>
      <c r="AH208" s="877"/>
      <c r="AI208" s="877"/>
      <c r="AJ208" s="877"/>
      <c r="AK208" s="886"/>
      <c r="AL208" s="877"/>
      <c r="AM208" s="879"/>
      <c r="AN208" s="877"/>
      <c r="AO208" s="877"/>
      <c r="AP208" s="877"/>
      <c r="AQ208" s="877"/>
      <c r="AR208" s="886"/>
      <c r="AS208" s="877"/>
      <c r="AT208" s="879"/>
      <c r="AU208" s="877"/>
      <c r="AV208" s="877"/>
      <c r="AW208" s="877"/>
      <c r="AX208" s="877"/>
      <c r="AY208" s="886"/>
      <c r="AZ208" s="877"/>
      <c r="BA208" s="879"/>
      <c r="BB208" s="877"/>
      <c r="BC208" s="877"/>
      <c r="BD208" s="877"/>
      <c r="BE208" s="877"/>
      <c r="BF208" s="886"/>
      <c r="BG208" s="877"/>
      <c r="BH208" s="879"/>
      <c r="BI208" s="877"/>
      <c r="BJ208" s="877"/>
      <c r="BK208" s="877"/>
      <c r="BL208" s="877"/>
      <c r="BM208" s="886"/>
      <c r="BN208" s="877"/>
      <c r="BO208" s="879"/>
      <c r="BP208" s="877"/>
      <c r="BQ208" s="877"/>
      <c r="BR208" s="877"/>
      <c r="BS208" s="877"/>
      <c r="BT208" s="886"/>
      <c r="BU208" s="877"/>
      <c r="BV208" s="879"/>
      <c r="BW208" s="886"/>
    </row>
    <row r="209" spans="1:253" s="406" customFormat="1" ht="17.25">
      <c r="A209" s="984" t="s">
        <v>138</v>
      </c>
      <c r="B209" s="93" t="s">
        <v>121</v>
      </c>
      <c r="C209" s="87">
        <f>'Input data plant-based products'!D131</f>
        <v>0.16931057129999999</v>
      </c>
      <c r="D209" s="54"/>
      <c r="E209" s="1293" t="s">
        <v>316</v>
      </c>
      <c r="F209" s="930">
        <f>SUMPRODUCT($CI$4:$CI$6,F210:F212)</f>
        <v>3.1807883263021419E-4</v>
      </c>
      <c r="G209" s="872">
        <f>SUMPRODUCT($CI$4:$CI$6,G210:G212)</f>
        <v>6.9693078832630206E-2</v>
      </c>
      <c r="H209" s="873">
        <f>SUMPRODUCT($CI$4:$CI$6,H210:H212)</f>
        <v>0.96076589505643151</v>
      </c>
      <c r="I209" s="884"/>
      <c r="J209" s="884"/>
      <c r="K209" s="884"/>
      <c r="L209" s="884"/>
      <c r="M209" s="884"/>
      <c r="N209" s="884"/>
      <c r="O209" s="884"/>
      <c r="P209" s="884"/>
      <c r="Q209" s="884"/>
      <c r="R209" s="884"/>
      <c r="S209" s="884"/>
      <c r="T209" s="884"/>
      <c r="U209" s="884"/>
      <c r="V209" s="884"/>
      <c r="W209" s="885"/>
      <c r="X209" s="877"/>
      <c r="Y209" s="879">
        <f>1/'Input data plant-based products'!E131*10^4</f>
        <v>19.442392191935294</v>
      </c>
      <c r="Z209" s="877">
        <f>$Y209*'Input data plant-based products'!Z131</f>
        <v>44.96053194385037</v>
      </c>
      <c r="AA209" s="877">
        <f>$Y209*'Input data plant-based products'!AA131</f>
        <v>145.97575306444924</v>
      </c>
      <c r="AB209" s="877">
        <f>$Y209*'Input data plant-based products'!AB131</f>
        <v>35.034180735467814</v>
      </c>
      <c r="AC209" s="877">
        <f>$Y209*'Input data plant-based products'!AC131</f>
        <v>57.035703273044874</v>
      </c>
      <c r="AD209" s="886">
        <f>$Y209*'Input data plant-based products'!AD131</f>
        <v>70.414448485240584</v>
      </c>
      <c r="AE209" s="877"/>
      <c r="AF209" s="879">
        <f>SUM('Input data plant-based products'!F131,'Input data plant-based products'!Q131)/'Input data plant-based products'!E131</f>
        <v>0</v>
      </c>
      <c r="AG209" s="877">
        <f>$AF209*'Input data plant-based products'!Z131</f>
        <v>0</v>
      </c>
      <c r="AH209" s="877">
        <f>$AF209*'Input data plant-based products'!AA131</f>
        <v>0</v>
      </c>
      <c r="AI209" s="877">
        <f>$AF209*'Input data plant-based products'!AB131</f>
        <v>0</v>
      </c>
      <c r="AJ209" s="877">
        <f>$AF209*'Input data plant-based products'!AC131</f>
        <v>0</v>
      </c>
      <c r="AK209" s="886">
        <f>$AF209*'Input data plant-based products'!AD131</f>
        <v>0</v>
      </c>
      <c r="AL209" s="877"/>
      <c r="AM209" s="879">
        <f>'Input data plant-based products'!R131/'Input data plant-based products'!E131</f>
        <v>0.11816192560175</v>
      </c>
      <c r="AN209" s="877">
        <f>$AM209*'Input data plant-based products'!Z131</f>
        <v>0.27324945295404685</v>
      </c>
      <c r="AO209" s="877">
        <f>$AM209*'Input data plant-based products'!AA131</f>
        <v>0.88717354855210018</v>
      </c>
      <c r="AP209" s="877">
        <f>$AM209*'Input data plant-based products'!AB131</f>
        <v>0.21292165165250404</v>
      </c>
      <c r="AQ209" s="877">
        <f>$AM209*'Input data plant-based products'!AC131</f>
        <v>0.34663679552707211</v>
      </c>
      <c r="AR209" s="886">
        <f>$AM209*'Input data plant-based products'!AD131</f>
        <v>0.42794666114453339</v>
      </c>
      <c r="AS209" s="877"/>
      <c r="AT209" s="879">
        <f>'Input data plant-based products'!S131</f>
        <v>0</v>
      </c>
      <c r="AU209" s="877">
        <f>$AT209*'Input data plant-based products'!Z131</f>
        <v>0</v>
      </c>
      <c r="AV209" s="877">
        <f>$AT209*'Input data plant-based products'!AA131</f>
        <v>0</v>
      </c>
      <c r="AW209" s="877">
        <f>$AT209*'Input data plant-based products'!AB131</f>
        <v>0</v>
      </c>
      <c r="AX209" s="877">
        <f>$AT209*'Input data plant-based products'!AC131</f>
        <v>0</v>
      </c>
      <c r="AY209" s="886">
        <f>$AT209*'Input data plant-based products'!AD131</f>
        <v>0</v>
      </c>
      <c r="AZ209" s="877"/>
      <c r="BA209" s="879">
        <f>((SUM('Input data plant-based products'!U131:Y131)*Y209)/('Common input data'!$B$192/10^6))/$BB$3</f>
        <v>3.6102486339674766E-9</v>
      </c>
      <c r="BB209" s="877">
        <f>$BA209*'Input data plant-based products'!Z131</f>
        <v>8.3486999660497891E-9</v>
      </c>
      <c r="BC209" s="877">
        <f>$BA209*'Input data plant-based products'!AA131</f>
        <v>2.7106168720940875E-8</v>
      </c>
      <c r="BD209" s="877">
        <f>$BA209*'Input data plant-based products'!AB131</f>
        <v>6.505480493025809E-9</v>
      </c>
      <c r="BE209" s="877">
        <f>$BA209*'Input data plant-based products'!AC131</f>
        <v>1.0590932833578851E-8</v>
      </c>
      <c r="BF209" s="886">
        <f>$BA209*'Input data plant-based products'!AD131</f>
        <v>1.3075225720467716E-8</v>
      </c>
      <c r="BG209" s="877"/>
      <c r="BH209" s="879">
        <f>'Input data plant-based products'!T131/'Input data plant-based products'!E131</f>
        <v>1.527814660652827E-2</v>
      </c>
      <c r="BI209" s="877">
        <f>$BH209*'Input data plant-based products'!Z131</f>
        <v>3.5330714027596626E-2</v>
      </c>
      <c r="BJ209" s="877">
        <f>$BH209*'Input data plant-based products'!AA131</f>
        <v>0.11471011047920981</v>
      </c>
      <c r="BK209" s="877">
        <f>$BH209*'Input data plant-based products'!AB131</f>
        <v>2.7530426515010354E-2</v>
      </c>
      <c r="BL209" s="877">
        <f>$BH209*'Input data plant-based products'!AC131</f>
        <v>4.4819579186016041E-2</v>
      </c>
      <c r="BM209" s="886">
        <f>$BH209*'Input data plant-based products'!AD131</f>
        <v>5.5332813809896339E-2</v>
      </c>
      <c r="BN209" s="877"/>
      <c r="BO209" s="879">
        <f>('Input data plant-based products'!F131/'Input data plant-based products'!E131*'Common input data'!$B$195+'Input data plant-based products'!G131/'Input data plant-based products'!E131*'Common input data'!$B$196)/'Common input data'!$B$198</f>
        <v>0</v>
      </c>
      <c r="BP209" s="877">
        <f>$BO209*'Input data plant-based products'!Z131</f>
        <v>0</v>
      </c>
      <c r="BQ209" s="877">
        <f>$BO209*'Input data plant-based products'!AA131</f>
        <v>0</v>
      </c>
      <c r="BR209" s="877">
        <f>$BO209*'Input data plant-based products'!AB131</f>
        <v>0</v>
      </c>
      <c r="BS209" s="877">
        <f>$BO209*'Input data plant-based products'!AC131</f>
        <v>0</v>
      </c>
      <c r="BT209" s="886">
        <f>$BO209*'Input data plant-based products'!AD131</f>
        <v>0</v>
      </c>
      <c r="BU209" s="877"/>
      <c r="BV209" s="879">
        <f>('Common input data'!$C$202+'Common input data'!$B$225)*'Input data plant-based products'!AC131</f>
        <v>10.425629925629925</v>
      </c>
      <c r="BW209" s="886">
        <f>('Common input data'!$C$202+'Common input data'!$B$225)*'Input data plant-based products'!AD131</f>
        <v>12.87114805633324</v>
      </c>
    </row>
    <row r="210" spans="1:253" s="406" customFormat="1" ht="17.25">
      <c r="A210" s="983"/>
      <c r="B210" s="360"/>
      <c r="C210" s="83"/>
      <c r="D210" s="54"/>
      <c r="E210" s="1294" t="s">
        <v>317</v>
      </c>
      <c r="F210" s="928">
        <f t="shared" ref="F210:G212" si="30">F189</f>
        <v>-0.21075904882694424</v>
      </c>
      <c r="G210" s="877">
        <f t="shared" si="30"/>
        <v>-0.14138404882694425</v>
      </c>
      <c r="H210" s="878">
        <f>SUM(U210:W210)/(1-'Common input data'!$G$140)</f>
        <v>0.69299921391589026</v>
      </c>
      <c r="I210" s="877"/>
      <c r="J210" s="877"/>
      <c r="K210" s="877"/>
      <c r="L210" s="877"/>
      <c r="M210" s="877"/>
      <c r="N210" s="877"/>
      <c r="O210" s="877"/>
      <c r="P210" s="877"/>
      <c r="Q210" s="877"/>
      <c r="R210" s="877"/>
      <c r="S210" s="877"/>
      <c r="T210" s="877"/>
      <c r="U210" s="877">
        <f>(G210+T189)*'Common input data'!D$47/'Common input data'!C$47</f>
        <v>4.5674767147835658E-2</v>
      </c>
      <c r="V210" s="877">
        <f>'Common input data'!B$105</f>
        <v>0.05</v>
      </c>
      <c r="W210" s="886">
        <f>'Common input data'!B$121+'Common input data'!C$121</f>
        <v>0.32999999999999996</v>
      </c>
      <c r="X210" s="877"/>
      <c r="Y210" s="879"/>
      <c r="Z210" s="877"/>
      <c r="AA210" s="877"/>
      <c r="AB210" s="877"/>
      <c r="AC210" s="877"/>
      <c r="AD210" s="886"/>
      <c r="AE210" s="877"/>
      <c r="AF210" s="879"/>
      <c r="AG210" s="877"/>
      <c r="AH210" s="877"/>
      <c r="AI210" s="877"/>
      <c r="AJ210" s="877"/>
      <c r="AK210" s="886"/>
      <c r="AL210" s="877"/>
      <c r="AM210" s="879"/>
      <c r="AN210" s="877"/>
      <c r="AO210" s="877"/>
      <c r="AP210" s="877"/>
      <c r="AQ210" s="877"/>
      <c r="AR210" s="886"/>
      <c r="AS210" s="877"/>
      <c r="AT210" s="879"/>
      <c r="AU210" s="877"/>
      <c r="AV210" s="877"/>
      <c r="AW210" s="877"/>
      <c r="AX210" s="877"/>
      <c r="AY210" s="886"/>
      <c r="AZ210" s="877"/>
      <c r="BA210" s="879"/>
      <c r="BB210" s="877"/>
      <c r="BC210" s="877"/>
      <c r="BD210" s="877"/>
      <c r="BE210" s="877"/>
      <c r="BF210" s="886"/>
      <c r="BG210" s="877"/>
      <c r="BH210" s="879"/>
      <c r="BI210" s="877"/>
      <c r="BJ210" s="877"/>
      <c r="BK210" s="877"/>
      <c r="BL210" s="877"/>
      <c r="BM210" s="886"/>
      <c r="BN210" s="877"/>
      <c r="BO210" s="879"/>
      <c r="BP210" s="877"/>
      <c r="BQ210" s="877"/>
      <c r="BR210" s="877"/>
      <c r="BS210" s="877"/>
      <c r="BT210" s="886"/>
      <c r="BU210" s="877"/>
      <c r="BV210" s="879"/>
      <c r="BW210" s="886"/>
    </row>
    <row r="211" spans="1:253" s="406" customFormat="1" ht="17.25">
      <c r="A211" s="983"/>
      <c r="B211" s="360"/>
      <c r="C211" s="83"/>
      <c r="D211" s="54"/>
      <c r="E211" s="1294" t="s">
        <v>367</v>
      </c>
      <c r="F211" s="928">
        <f t="shared" si="30"/>
        <v>0</v>
      </c>
      <c r="G211" s="877">
        <f t="shared" si="30"/>
        <v>0</v>
      </c>
      <c r="H211" s="878">
        <f>SUM(U211:W211)/(1-'Common input data'!$G$140)</f>
        <v>0</v>
      </c>
      <c r="I211" s="877"/>
      <c r="J211" s="877"/>
      <c r="K211" s="877"/>
      <c r="L211" s="877"/>
      <c r="M211" s="877"/>
      <c r="N211" s="877"/>
      <c r="O211" s="877"/>
      <c r="P211" s="877"/>
      <c r="Q211" s="877"/>
      <c r="R211" s="877"/>
      <c r="S211" s="877"/>
      <c r="T211" s="877"/>
      <c r="U211" s="877">
        <f>(G211+T190)*'Common input data'!D$47/'Common input data'!C$47</f>
        <v>0</v>
      </c>
      <c r="V211" s="877">
        <v>0</v>
      </c>
      <c r="W211" s="886">
        <v>0</v>
      </c>
      <c r="X211" s="877"/>
      <c r="Y211" s="879"/>
      <c r="Z211" s="877"/>
      <c r="AA211" s="877"/>
      <c r="AB211" s="877"/>
      <c r="AC211" s="877"/>
      <c r="AD211" s="886"/>
      <c r="AE211" s="877"/>
      <c r="AF211" s="879"/>
      <c r="AG211" s="877"/>
      <c r="AH211" s="877"/>
      <c r="AI211" s="877"/>
      <c r="AJ211" s="877"/>
      <c r="AK211" s="886"/>
      <c r="AL211" s="877"/>
      <c r="AM211" s="879"/>
      <c r="AN211" s="877"/>
      <c r="AO211" s="877"/>
      <c r="AP211" s="877"/>
      <c r="AQ211" s="877"/>
      <c r="AR211" s="886"/>
      <c r="AS211" s="877"/>
      <c r="AT211" s="879"/>
      <c r="AU211" s="877"/>
      <c r="AV211" s="877"/>
      <c r="AW211" s="877"/>
      <c r="AX211" s="877"/>
      <c r="AY211" s="886"/>
      <c r="AZ211" s="877"/>
      <c r="BA211" s="879"/>
      <c r="BB211" s="877"/>
      <c r="BC211" s="877"/>
      <c r="BD211" s="877"/>
      <c r="BE211" s="877"/>
      <c r="BF211" s="886"/>
      <c r="BG211" s="877"/>
      <c r="BH211" s="879"/>
      <c r="BI211" s="877"/>
      <c r="BJ211" s="877"/>
      <c r="BK211" s="877"/>
      <c r="BL211" s="877"/>
      <c r="BM211" s="886"/>
      <c r="BN211" s="877"/>
      <c r="BO211" s="879"/>
      <c r="BP211" s="877"/>
      <c r="BQ211" s="877"/>
      <c r="BR211" s="877"/>
      <c r="BS211" s="877"/>
      <c r="BT211" s="886"/>
      <c r="BU211" s="877"/>
      <c r="BV211" s="879"/>
      <c r="BW211" s="886"/>
    </row>
    <row r="212" spans="1:253" s="406" customFormat="1" ht="17.25">
      <c r="A212" s="983"/>
      <c r="B212" s="360"/>
      <c r="C212" s="83"/>
      <c r="D212" s="54"/>
      <c r="E212" s="1295" t="s">
        <v>320</v>
      </c>
      <c r="F212" s="928">
        <f t="shared" si="30"/>
        <v>7.7317629179331302E-4</v>
      </c>
      <c r="G212" s="877">
        <f t="shared" si="30"/>
        <v>7.7317629179331302E-4</v>
      </c>
      <c r="H212" s="878">
        <f>SUM(U212:W212)/(1-'Common input data'!$G$140)</f>
        <v>9.8083033384813666E-4</v>
      </c>
      <c r="I212" s="877"/>
      <c r="J212" s="877"/>
      <c r="K212" s="877"/>
      <c r="L212" s="877"/>
      <c r="M212" s="877"/>
      <c r="N212" s="877"/>
      <c r="O212" s="877"/>
      <c r="P212" s="877"/>
      <c r="Q212" s="877"/>
      <c r="R212" s="877"/>
      <c r="S212" s="877"/>
      <c r="T212" s="877"/>
      <c r="U212" s="877">
        <f>(G212+T191)*'Common input data'!D$47/'Common input data'!C$47</f>
        <v>6.0247503256621795E-4</v>
      </c>
      <c r="V212" s="877">
        <v>0</v>
      </c>
      <c r="W212" s="886">
        <v>0</v>
      </c>
      <c r="X212" s="877"/>
      <c r="Y212" s="879"/>
      <c r="Z212" s="877"/>
      <c r="AA212" s="877"/>
      <c r="AB212" s="877"/>
      <c r="AC212" s="877"/>
      <c r="AD212" s="886"/>
      <c r="AE212" s="877"/>
      <c r="AF212" s="879"/>
      <c r="AG212" s="877"/>
      <c r="AH212" s="877"/>
      <c r="AI212" s="877"/>
      <c r="AJ212" s="877"/>
      <c r="AK212" s="886"/>
      <c r="AL212" s="877"/>
      <c r="AM212" s="879"/>
      <c r="AN212" s="877"/>
      <c r="AO212" s="877"/>
      <c r="AP212" s="877"/>
      <c r="AQ212" s="877"/>
      <c r="AR212" s="886"/>
      <c r="AS212" s="877"/>
      <c r="AT212" s="879"/>
      <c r="AU212" s="877"/>
      <c r="AV212" s="877"/>
      <c r="AW212" s="877"/>
      <c r="AX212" s="877"/>
      <c r="AY212" s="886"/>
      <c r="AZ212" s="877"/>
      <c r="BA212" s="879"/>
      <c r="BB212" s="877"/>
      <c r="BC212" s="877"/>
      <c r="BD212" s="877"/>
      <c r="BE212" s="877"/>
      <c r="BF212" s="886"/>
      <c r="BG212" s="877"/>
      <c r="BH212" s="879"/>
      <c r="BI212" s="877"/>
      <c r="BJ212" s="877"/>
      <c r="BK212" s="877"/>
      <c r="BL212" s="877"/>
      <c r="BM212" s="886"/>
      <c r="BN212" s="877"/>
      <c r="BO212" s="879"/>
      <c r="BP212" s="877"/>
      <c r="BQ212" s="877"/>
      <c r="BR212" s="877"/>
      <c r="BS212" s="877"/>
      <c r="BT212" s="886"/>
      <c r="BU212" s="877"/>
      <c r="BV212" s="879"/>
      <c r="BW212" s="886"/>
    </row>
    <row r="213" spans="1:253" s="406" customFormat="1" ht="17.25">
      <c r="A213" s="984" t="s">
        <v>139</v>
      </c>
      <c r="B213" s="93" t="s">
        <v>121</v>
      </c>
      <c r="C213" s="87">
        <f>'Input data plant-based products'!D132</f>
        <v>0.12500817089999999</v>
      </c>
      <c r="D213" s="54"/>
      <c r="E213" s="1293" t="s">
        <v>316</v>
      </c>
      <c r="F213" s="930">
        <f>SUMPRODUCT($CI$4:$CI$6,F214:F216)</f>
        <v>3.1807883263021419E-4</v>
      </c>
      <c r="G213" s="872">
        <f>SUMPRODUCT($CI$4:$CI$6,G214:G216)</f>
        <v>4.0042586456967513</v>
      </c>
      <c r="H213" s="873">
        <f>SUMPRODUCT($CI$4:$CI$6,H214:H216)</f>
        <v>5.9520483483036557</v>
      </c>
      <c r="I213" s="884"/>
      <c r="J213" s="884"/>
      <c r="K213" s="884"/>
      <c r="L213" s="884"/>
      <c r="M213" s="884"/>
      <c r="N213" s="884"/>
      <c r="O213" s="884"/>
      <c r="P213" s="884"/>
      <c r="Q213" s="884"/>
      <c r="R213" s="884"/>
      <c r="S213" s="884"/>
      <c r="T213" s="884"/>
      <c r="U213" s="884"/>
      <c r="V213" s="884"/>
      <c r="W213" s="885"/>
      <c r="X213" s="877"/>
      <c r="Y213" s="879">
        <f>1/'Input data plant-based products'!E132*10^4</f>
        <v>25.634452704434761</v>
      </c>
      <c r="Z213" s="877">
        <f>$Y213*'Input data plant-based products'!Z132</f>
        <v>59.279671879005384</v>
      </c>
      <c r="AA213" s="877">
        <f>$Y213*'Input data plant-based products'!AA132</f>
        <v>192.46646713962787</v>
      </c>
      <c r="AB213" s="877">
        <f>$Y213*'Input data plant-based products'!AB132</f>
        <v>46.191952113510681</v>
      </c>
      <c r="AC213" s="877">
        <f>$Y213*'Input data plant-based products'!AC132</f>
        <v>75.20057324136863</v>
      </c>
      <c r="AD213" s="886">
        <f>$Y213*'Input data plant-based products'!AD132</f>
        <v>92.840213878232873</v>
      </c>
      <c r="AE213" s="877"/>
      <c r="AF213" s="879">
        <f>SUM('Input data plant-based products'!F132,'Input data plant-based products'!Q132)/'Input data plant-based products'!E132</f>
        <v>0.24352730069213022</v>
      </c>
      <c r="AG213" s="877">
        <f>$AF213*'Input data plant-based products'!Z132</f>
        <v>0.5631568828505511</v>
      </c>
      <c r="AH213" s="877">
        <f>$AF213*'Input data plant-based products'!AA132</f>
        <v>1.8284314378264646</v>
      </c>
      <c r="AI213" s="877">
        <f>$AF213*'Input data plant-based products'!AB132</f>
        <v>0.43882354507835147</v>
      </c>
      <c r="AJ213" s="877">
        <f>$AF213*'Input data plant-based products'!AC132</f>
        <v>0.71440544579300203</v>
      </c>
      <c r="AK213" s="886">
        <f>$AF213*'Input data plant-based products'!AD132</f>
        <v>0.88198203184321222</v>
      </c>
      <c r="AL213" s="877"/>
      <c r="AM213" s="879">
        <f>'Input data plant-based products'!R132/'Input data plant-based products'!E132</f>
        <v>0.14098948987439117</v>
      </c>
      <c r="AN213" s="877">
        <f>$AM213*'Input data plant-based products'!Z132</f>
        <v>0.32603819533452955</v>
      </c>
      <c r="AO213" s="877">
        <f>$AM213*'Input data plant-based products'!AA132</f>
        <v>1.0585655692679532</v>
      </c>
      <c r="AP213" s="877">
        <f>$AM213*'Input data plant-based products'!AB132</f>
        <v>0.25405573662430875</v>
      </c>
      <c r="AQ213" s="877">
        <f>$AM213*'Input data plant-based products'!AC132</f>
        <v>0.41360315282752741</v>
      </c>
      <c r="AR213" s="886">
        <f>$AM213*'Input data plant-based products'!AD132</f>
        <v>0.5106211763302807</v>
      </c>
      <c r="AS213" s="877"/>
      <c r="AT213" s="879">
        <f>'Input data plant-based products'!S132</f>
        <v>0</v>
      </c>
      <c r="AU213" s="877">
        <f>$AT213*'Input data plant-based products'!Z132</f>
        <v>0</v>
      </c>
      <c r="AV213" s="877">
        <f>$AT213*'Input data plant-based products'!AA132</f>
        <v>0</v>
      </c>
      <c r="AW213" s="877">
        <f>$AT213*'Input data plant-based products'!AB132</f>
        <v>0</v>
      </c>
      <c r="AX213" s="877">
        <f>$AT213*'Input data plant-based products'!AC132</f>
        <v>0</v>
      </c>
      <c r="AY213" s="886">
        <f>$AT213*'Input data plant-based products'!AD132</f>
        <v>0</v>
      </c>
      <c r="AZ213" s="877"/>
      <c r="BA213" s="879">
        <f>((SUM('Input data plant-based products'!U132:Y132)*Y213)/('Common input data'!$B$192/10^6))/$BB$3</f>
        <v>4.1570855630343581E-8</v>
      </c>
      <c r="BB213" s="877">
        <f>$BA213*'Input data plant-based products'!Z132</f>
        <v>9.6132603645169531E-8</v>
      </c>
      <c r="BC213" s="877">
        <f>$BA213*'Input data plant-based products'!AA132</f>
        <v>3.121188430037972E-7</v>
      </c>
      <c r="BD213" s="877">
        <f>$BA213*'Input data plant-based products'!AB132</f>
        <v>7.4908522320911309E-8</v>
      </c>
      <c r="BE213" s="877">
        <f>$BA213*'Input data plant-based products'!AC132</f>
        <v>1.219511962896399E-7</v>
      </c>
      <c r="BF213" s="886">
        <f>$BA213*'Input data plant-based products'!AD132</f>
        <v>1.5055703245634556E-7</v>
      </c>
      <c r="BG213" s="877"/>
      <c r="BH213" s="879">
        <f>'Input data plant-based products'!T132/'Input data plant-based products'!E132</f>
        <v>1.596458597759039E-2</v>
      </c>
      <c r="BI213" s="877">
        <f>$BH213*'Input data plant-based products'!Z132</f>
        <v>3.6918105073177776E-2</v>
      </c>
      <c r="BJ213" s="877">
        <f>$BH213*'Input data plant-based products'!AA132</f>
        <v>0.11986397751031747</v>
      </c>
      <c r="BK213" s="877">
        <f>$BH213*'Input data plant-based products'!AB132</f>
        <v>2.8767354602476189E-2</v>
      </c>
      <c r="BL213" s="877">
        <f>$BH213*'Input data plant-based products'!AC132</f>
        <v>4.6833300126131357E-2</v>
      </c>
      <c r="BM213" s="886">
        <f>$BH213*'Input data plant-based products'!AD132</f>
        <v>5.7818889044606608E-2</v>
      </c>
      <c r="BN213" s="877"/>
      <c r="BO213" s="879">
        <f>('Input data plant-based products'!F132/'Input data plant-based products'!E132*'Common input data'!$B$195+'Input data plant-based products'!G132/'Input data plant-based products'!E132*'Common input data'!$B$196)/'Common input data'!$B$198</f>
        <v>6.2181611065782157E-3</v>
      </c>
      <c r="BP213" s="877">
        <f>$BO213*'Input data plant-based products'!Z132</f>
        <v>1.4379497558962125E-2</v>
      </c>
      <c r="BQ213" s="877">
        <f>$BO213*'Input data plant-based products'!AA132</f>
        <v>4.6686680386240659E-2</v>
      </c>
      <c r="BR213" s="877">
        <f>$BO213*'Input data plant-based products'!AB132</f>
        <v>1.1204803292697758E-2</v>
      </c>
      <c r="BS213" s="877">
        <f>$BO213*'Input data plant-based products'!AC132</f>
        <v>1.8241438001949953E-2</v>
      </c>
      <c r="BT213" s="886">
        <f>$BO213*'Input data plant-based products'!AD132</f>
        <v>2.2520293829567838E-2</v>
      </c>
      <c r="BU213" s="877"/>
      <c r="BV213" s="879">
        <f>('Common input data'!$C$202+'Common input data'!$B$224)*'Input data plant-based products'!AC132</f>
        <v>20.118159618159616</v>
      </c>
      <c r="BW213" s="886">
        <f>('Common input data'!$C$202+'Common input data'!$B$224)*'Input data plant-based products'!AD132</f>
        <v>24.837234096493351</v>
      </c>
    </row>
    <row r="214" spans="1:253" s="406" customFormat="1" ht="17.25">
      <c r="A214" s="983"/>
      <c r="B214" s="360"/>
      <c r="C214" s="83"/>
      <c r="D214" s="54"/>
      <c r="E214" s="1294" t="s">
        <v>317</v>
      </c>
      <c r="F214" s="928">
        <f t="shared" ref="F214:G216" si="31">F193</f>
        <v>-0.21075904882694424</v>
      </c>
      <c r="G214" s="877">
        <f t="shared" si="31"/>
        <v>2.214604859238726</v>
      </c>
      <c r="H214" s="878">
        <f>SUM(U214:W214)/(1-'Common input data'!$D$140)</f>
        <v>3.6817424174624014</v>
      </c>
      <c r="I214" s="877"/>
      <c r="J214" s="877"/>
      <c r="K214" s="877"/>
      <c r="L214" s="877"/>
      <c r="M214" s="877"/>
      <c r="N214" s="877"/>
      <c r="O214" s="877"/>
      <c r="P214" s="877"/>
      <c r="Q214" s="877"/>
      <c r="R214" s="877"/>
      <c r="S214" s="877"/>
      <c r="T214" s="877"/>
      <c r="U214" s="877">
        <f>(G214+T193)*'Common input data'!D$47/'Common input data'!C$47</f>
        <v>1.8815102799262799</v>
      </c>
      <c r="V214" s="877">
        <f>'Common input data'!B$105</f>
        <v>0.05</v>
      </c>
      <c r="W214" s="886">
        <f>'Common input data'!B$121+'Common input data'!C$121</f>
        <v>0.32999999999999996</v>
      </c>
      <c r="X214" s="877"/>
      <c r="Y214" s="879"/>
      <c r="Z214" s="877"/>
      <c r="AA214" s="877"/>
      <c r="AB214" s="877"/>
      <c r="AC214" s="877"/>
      <c r="AD214" s="886"/>
      <c r="AE214" s="877"/>
      <c r="AF214" s="879"/>
      <c r="AG214" s="877"/>
      <c r="AH214" s="877"/>
      <c r="AI214" s="877"/>
      <c r="AJ214" s="877"/>
      <c r="AK214" s="886"/>
      <c r="AL214" s="877"/>
      <c r="AM214" s="879"/>
      <c r="AN214" s="877"/>
      <c r="AO214" s="877"/>
      <c r="AP214" s="877"/>
      <c r="AQ214" s="877"/>
      <c r="AR214" s="886"/>
      <c r="AS214" s="877"/>
      <c r="AT214" s="879"/>
      <c r="AU214" s="877"/>
      <c r="AV214" s="877"/>
      <c r="AW214" s="877"/>
      <c r="AX214" s="877"/>
      <c r="AY214" s="886"/>
      <c r="AZ214" s="877"/>
      <c r="BA214" s="879"/>
      <c r="BB214" s="877"/>
      <c r="BC214" s="877"/>
      <c r="BD214" s="877"/>
      <c r="BE214" s="877"/>
      <c r="BF214" s="886"/>
      <c r="BG214" s="877"/>
      <c r="BH214" s="879"/>
      <c r="BI214" s="877"/>
      <c r="BJ214" s="877"/>
      <c r="BK214" s="877"/>
      <c r="BL214" s="877"/>
      <c r="BM214" s="886"/>
      <c r="BN214" s="877"/>
      <c r="BO214" s="879"/>
      <c r="BP214" s="877"/>
      <c r="BQ214" s="877"/>
      <c r="BR214" s="877"/>
      <c r="BS214" s="877"/>
      <c r="BT214" s="886"/>
      <c r="BU214" s="877"/>
      <c r="BV214" s="879"/>
      <c r="BW214" s="886"/>
    </row>
    <row r="215" spans="1:253" s="406" customFormat="1" ht="17.25">
      <c r="A215" s="983"/>
      <c r="B215" s="360"/>
      <c r="C215" s="83"/>
      <c r="D215" s="54"/>
      <c r="E215" s="1294" t="s">
        <v>367</v>
      </c>
      <c r="F215" s="928">
        <f t="shared" si="31"/>
        <v>0</v>
      </c>
      <c r="G215" s="877">
        <f t="shared" si="31"/>
        <v>5.0008280447447926E-3</v>
      </c>
      <c r="H215" s="878">
        <f>SUM(U215:W215)/(1-'Common input data'!$D$140)</f>
        <v>6.3439139206758859E-3</v>
      </c>
      <c r="I215" s="877"/>
      <c r="J215" s="877"/>
      <c r="K215" s="877"/>
      <c r="L215" s="877"/>
      <c r="M215" s="877"/>
      <c r="N215" s="877"/>
      <c r="O215" s="877"/>
      <c r="P215" s="877"/>
      <c r="Q215" s="877"/>
      <c r="R215" s="877"/>
      <c r="S215" s="877"/>
      <c r="T215" s="877"/>
      <c r="U215" s="877">
        <f>(G215+T194)*'Common input data'!D$47/'Common input data'!C$47</f>
        <v>3.8967491257751626E-3</v>
      </c>
      <c r="V215" s="877">
        <v>0</v>
      </c>
      <c r="W215" s="886">
        <v>0</v>
      </c>
      <c r="X215" s="877"/>
      <c r="Y215" s="879"/>
      <c r="Z215" s="877"/>
      <c r="AA215" s="877"/>
      <c r="AB215" s="877"/>
      <c r="AC215" s="877"/>
      <c r="AD215" s="886"/>
      <c r="AE215" s="877"/>
      <c r="AF215" s="879"/>
      <c r="AG215" s="877"/>
      <c r="AH215" s="877"/>
      <c r="AI215" s="877"/>
      <c r="AJ215" s="877"/>
      <c r="AK215" s="886"/>
      <c r="AL215" s="877"/>
      <c r="AM215" s="879"/>
      <c r="AN215" s="877"/>
      <c r="AO215" s="877"/>
      <c r="AP215" s="877"/>
      <c r="AQ215" s="877"/>
      <c r="AR215" s="886"/>
      <c r="AS215" s="877"/>
      <c r="AT215" s="879"/>
      <c r="AU215" s="877"/>
      <c r="AV215" s="877"/>
      <c r="AW215" s="877"/>
      <c r="AX215" s="877"/>
      <c r="AY215" s="886"/>
      <c r="AZ215" s="877"/>
      <c r="BA215" s="879"/>
      <c r="BB215" s="877"/>
      <c r="BC215" s="877"/>
      <c r="BD215" s="877"/>
      <c r="BE215" s="877"/>
      <c r="BF215" s="886"/>
      <c r="BG215" s="877"/>
      <c r="BH215" s="879"/>
      <c r="BI215" s="877"/>
      <c r="BJ215" s="877"/>
      <c r="BK215" s="877"/>
      <c r="BL215" s="877"/>
      <c r="BM215" s="886"/>
      <c r="BN215" s="877"/>
      <c r="BO215" s="879"/>
      <c r="BP215" s="877"/>
      <c r="BQ215" s="877"/>
      <c r="BR215" s="877"/>
      <c r="BS215" s="877"/>
      <c r="BT215" s="886"/>
      <c r="BU215" s="877"/>
      <c r="BV215" s="879"/>
      <c r="BW215" s="886"/>
    </row>
    <row r="216" spans="1:253" s="406" customFormat="1" ht="17.25">
      <c r="A216" s="983"/>
      <c r="B216" s="360"/>
      <c r="C216" s="83"/>
      <c r="D216" s="54"/>
      <c r="E216" s="1295" t="s">
        <v>320</v>
      </c>
      <c r="F216" s="928">
        <f t="shared" si="31"/>
        <v>7.7317629179331302E-4</v>
      </c>
      <c r="G216" s="877">
        <f t="shared" si="31"/>
        <v>6.0609209862634295E-3</v>
      </c>
      <c r="H216" s="878">
        <f>SUM(U216:W216)/(1-'Common input data'!$D$140)</f>
        <v>7.6887188827216334E-3</v>
      </c>
      <c r="I216" s="877"/>
      <c r="J216" s="877"/>
      <c r="K216" s="877"/>
      <c r="L216" s="877"/>
      <c r="M216" s="877"/>
      <c r="N216" s="877"/>
      <c r="O216" s="877"/>
      <c r="P216" s="877"/>
      <c r="Q216" s="877"/>
      <c r="R216" s="877"/>
      <c r="S216" s="877"/>
      <c r="T216" s="877"/>
      <c r="U216" s="877">
        <f>(G216+T195)*'Common input data'!D$47/'Common input data'!C$47</f>
        <v>4.7227955737117631E-3</v>
      </c>
      <c r="V216" s="877">
        <v>0</v>
      </c>
      <c r="W216" s="886">
        <v>0</v>
      </c>
      <c r="X216" s="877"/>
      <c r="Y216" s="879"/>
      <c r="Z216" s="877"/>
      <c r="AA216" s="877"/>
      <c r="AB216" s="877"/>
      <c r="AC216" s="877"/>
      <c r="AD216" s="886"/>
      <c r="AE216" s="877"/>
      <c r="AF216" s="879"/>
      <c r="AG216" s="877"/>
      <c r="AH216" s="877"/>
      <c r="AI216" s="877"/>
      <c r="AJ216" s="877"/>
      <c r="AK216" s="886"/>
      <c r="AL216" s="877"/>
      <c r="AM216" s="879"/>
      <c r="AN216" s="877"/>
      <c r="AO216" s="877"/>
      <c r="AP216" s="877"/>
      <c r="AQ216" s="877"/>
      <c r="AR216" s="886"/>
      <c r="AS216" s="877"/>
      <c r="AT216" s="879"/>
      <c r="AU216" s="877"/>
      <c r="AV216" s="877"/>
      <c r="AW216" s="877"/>
      <c r="AX216" s="877"/>
      <c r="AY216" s="886"/>
      <c r="AZ216" s="877"/>
      <c r="BA216" s="879"/>
      <c r="BB216" s="877"/>
      <c r="BC216" s="877"/>
      <c r="BD216" s="877"/>
      <c r="BE216" s="877"/>
      <c r="BF216" s="886"/>
      <c r="BG216" s="877"/>
      <c r="BH216" s="879"/>
      <c r="BI216" s="877"/>
      <c r="BJ216" s="877"/>
      <c r="BK216" s="877"/>
      <c r="BL216" s="877"/>
      <c r="BM216" s="886"/>
      <c r="BN216" s="877"/>
      <c r="BO216" s="879"/>
      <c r="BP216" s="877"/>
      <c r="BQ216" s="877"/>
      <c r="BR216" s="877"/>
      <c r="BS216" s="877"/>
      <c r="BT216" s="886"/>
      <c r="BU216" s="877"/>
      <c r="BV216" s="879"/>
      <c r="BW216" s="886"/>
    </row>
    <row r="217" spans="1:253" s="406" customFormat="1" ht="17.25">
      <c r="A217" s="984" t="s">
        <v>134</v>
      </c>
      <c r="B217" s="93" t="s">
        <v>121</v>
      </c>
      <c r="C217" s="87">
        <f>'Input data plant-based products'!D133</f>
        <v>0.32029800700000011</v>
      </c>
      <c r="D217" s="54"/>
      <c r="E217" s="1293" t="s">
        <v>316</v>
      </c>
      <c r="F217" s="930">
        <f>SUMPRODUCT($CI$4:$CI$6,F218:F220)</f>
        <v>3.1807883263021419E-4</v>
      </c>
      <c r="G217" s="872">
        <f>SUMPRODUCT($CI$4:$CI$6,G218:G220)</f>
        <v>1.0390484257837389</v>
      </c>
      <c r="H217" s="873">
        <f>SUMPRODUCT($CI$4:$CI$6,H218:H220)</f>
        <v>1.8462762498373739</v>
      </c>
      <c r="I217" s="884"/>
      <c r="J217" s="884"/>
      <c r="K217" s="884"/>
      <c r="L217" s="884"/>
      <c r="M217" s="884"/>
      <c r="N217" s="884"/>
      <c r="O217" s="884"/>
      <c r="P217" s="884"/>
      <c r="Q217" s="884"/>
      <c r="R217" s="884"/>
      <c r="S217" s="884"/>
      <c r="T217" s="884"/>
      <c r="U217" s="884"/>
      <c r="V217" s="884"/>
      <c r="W217" s="885"/>
      <c r="X217" s="877"/>
      <c r="Y217" s="879">
        <f>1/'Input data plant-based products'!E133*10^4</f>
        <v>22.479992806402304</v>
      </c>
      <c r="Z217" s="877">
        <f>$Y217*'Input data plant-based products'!Z133</f>
        <v>51.984983364805331</v>
      </c>
      <c r="AA217" s="877">
        <f>$Y217*'Input data plant-based products'!AA133</f>
        <v>168.78241352209523</v>
      </c>
      <c r="AB217" s="877">
        <f>$Y217*'Input data plant-based products'!AB133</f>
        <v>40.507779245302849</v>
      </c>
      <c r="AC217" s="877">
        <f>$Y217*'Input data plant-based products'!AC133</f>
        <v>55.584526106403814</v>
      </c>
      <c r="AD217" s="886">
        <f>$Y217*'Input data plant-based products'!AD133</f>
        <v>68.622871736301008</v>
      </c>
      <c r="AE217" s="877"/>
      <c r="AF217" s="879">
        <f>SUM('Input data plant-based products'!F133,'Input data plant-based products'!Q133)/'Input data plant-based products'!E133</f>
        <v>5.9997599999999998E-2</v>
      </c>
      <c r="AG217" s="877">
        <f>$AF217*'Input data plant-based products'!Z133</f>
        <v>0.13874444999999999</v>
      </c>
      <c r="AH217" s="877">
        <f>$AF217*'Input data plant-based products'!AA133</f>
        <v>0.4504689935064935</v>
      </c>
      <c r="AI217" s="877">
        <f>$AF217*'Input data plant-based products'!AB133</f>
        <v>0.10811255844155843</v>
      </c>
      <c r="AJ217" s="877">
        <f>$AF217*'Input data plant-based products'!AC133</f>
        <v>0.14835138926609365</v>
      </c>
      <c r="AK217" s="886">
        <f>$AF217*'Input data plant-based products'!AD133</f>
        <v>0.18314986329147365</v>
      </c>
      <c r="AL217" s="877"/>
      <c r="AM217" s="879">
        <f>'Input data plant-based products'!R133/'Input data plant-based products'!E133</f>
        <v>8.2729499999999997E-2</v>
      </c>
      <c r="AN217" s="877">
        <f>$AM217*'Input data plant-based products'!Z133</f>
        <v>0.19131196875000001</v>
      </c>
      <c r="AO217" s="877">
        <f>$AM217*'Input data plant-based products'!AA133</f>
        <v>0.6211427556818182</v>
      </c>
      <c r="AP217" s="877">
        <f>$AM217*'Input data plant-based products'!AB133</f>
        <v>0.14907426136363633</v>
      </c>
      <c r="AQ217" s="877">
        <f>$AM217*'Input data plant-based products'!AC133</f>
        <v>0.20455878665628782</v>
      </c>
      <c r="AR217" s="886">
        <f>$AM217*'Input data plant-based products'!AD133</f>
        <v>0.252541711921343</v>
      </c>
      <c r="AS217" s="877"/>
      <c r="AT217" s="879">
        <f>'Input data plant-based products'!S133</f>
        <v>3.9722540834180118E-3</v>
      </c>
      <c r="AU217" s="877">
        <f>$AT217*'Input data plant-based products'!Z133</f>
        <v>9.185837567904153E-3</v>
      </c>
      <c r="AV217" s="877">
        <f>$AT217*'Input data plant-based products'!AA133</f>
        <v>2.9824147947740753E-2</v>
      </c>
      <c r="AW217" s="877">
        <f>$AT217*'Input data plant-based products'!AB133</f>
        <v>7.1577955074577804E-3</v>
      </c>
      <c r="AX217" s="877">
        <f>$AT217*'Input data plant-based products'!AC133</f>
        <v>9.8218830718724663E-3</v>
      </c>
      <c r="AY217" s="886">
        <f>$AT217*'Input data plant-based products'!AD133</f>
        <v>1.2125781570212922E-2</v>
      </c>
      <c r="AZ217" s="877"/>
      <c r="BA217" s="879">
        <f>((SUM('Input data plant-based products'!U133:Y133)*Y217)/('Common input data'!$B$192/10^6))/$BB$3</f>
        <v>1.5423886933595549E-8</v>
      </c>
      <c r="BB217" s="877">
        <f>$BA217*'Input data plant-based products'!Z133</f>
        <v>3.5667738533939707E-8</v>
      </c>
      <c r="BC217" s="877">
        <f>$BA217*'Input data plant-based products'!AA133</f>
        <v>1.1580434588941463E-7</v>
      </c>
      <c r="BD217" s="877">
        <f>$BA217*'Input data plant-based products'!AB133</f>
        <v>2.7793043013459509E-8</v>
      </c>
      <c r="BE217" s="877">
        <f>$BA217*'Input data plant-based products'!AC133</f>
        <v>3.8137443072423711E-8</v>
      </c>
      <c r="BF217" s="886">
        <f>$BA217*'Input data plant-based products'!AD133</f>
        <v>4.7083263052374952E-8</v>
      </c>
      <c r="BG217" s="877"/>
      <c r="BH217" s="879">
        <f>'Input data plant-based products'!T133/'Input data plant-based products'!E133</f>
        <v>1.5651531800645227E-2</v>
      </c>
      <c r="BI217" s="877">
        <f>$BH217*'Input data plant-based products'!Z133</f>
        <v>3.6194167288992087E-2</v>
      </c>
      <c r="BJ217" s="877">
        <f>$BH217*'Input data plant-based products'!AA133</f>
        <v>0.11751353015906521</v>
      </c>
      <c r="BK217" s="877">
        <f>$BH217*'Input data plant-based products'!AB133</f>
        <v>2.820324723817565E-2</v>
      </c>
      <c r="BL217" s="877">
        <f>$BH217*'Input data plant-based products'!AC133</f>
        <v>3.8700322792381094E-2</v>
      </c>
      <c r="BM217" s="886">
        <f>$BH217*'Input data plant-based products'!AD133</f>
        <v>4.7778176286890239E-2</v>
      </c>
      <c r="BN217" s="877"/>
      <c r="BO217" s="879">
        <f>('Input data plant-based products'!F133/'Input data plant-based products'!E133*'Common input data'!$B$195+'Input data plant-based products'!G133/'Input data plant-based products'!E133*'Common input data'!$B$196)/'Common input data'!$B$198</f>
        <v>1.5319627070464767E-3</v>
      </c>
      <c r="BP217" s="877">
        <f>$BO217*'Input data plant-based products'!Z133</f>
        <v>3.5426637600449772E-3</v>
      </c>
      <c r="BQ217" s="877">
        <f>$BO217*'Input data plant-based products'!AA133</f>
        <v>1.1502155065081095E-2</v>
      </c>
      <c r="BR217" s="877">
        <f>$BO217*'Input data plant-based products'!AB133</f>
        <v>2.7605172156194625E-3</v>
      </c>
      <c r="BS217" s="877">
        <f>$BO217*'Input data plant-based products'!AC133</f>
        <v>3.7879647834945141E-3</v>
      </c>
      <c r="BT217" s="886">
        <f>$BO217*'Input data plant-based products'!AD133</f>
        <v>4.6764997327092767E-3</v>
      </c>
      <c r="BU217" s="877"/>
      <c r="BV217" s="879">
        <f>('Common input data'!$C$202+'Common input data'!$B$228)*'Input data plant-based products'!AC133</f>
        <v>13.97634547808914</v>
      </c>
      <c r="BW217" s="886">
        <f>('Common input data'!$C$202+'Common input data'!$B$228)*'Input data plant-based products'!AD133</f>
        <v>17.254747503813753</v>
      </c>
    </row>
    <row r="218" spans="1:253" s="406" customFormat="1" ht="17.25">
      <c r="A218" s="983"/>
      <c r="B218" s="360"/>
      <c r="C218" s="83"/>
      <c r="D218" s="54"/>
      <c r="E218" s="1294" t="s">
        <v>317</v>
      </c>
      <c r="F218" s="928">
        <f t="shared" ref="F218:G220" si="32">F197</f>
        <v>-0.21075904882694424</v>
      </c>
      <c r="G218" s="877">
        <f t="shared" si="32"/>
        <v>0.43905879971126421</v>
      </c>
      <c r="H218" s="878">
        <f>SUM(U218:W218)/(1-'Common input data'!$I$140)</f>
        <v>1.2047421591181007</v>
      </c>
      <c r="I218" s="877"/>
      <c r="J218" s="877"/>
      <c r="K218" s="877"/>
      <c r="L218" s="877"/>
      <c r="M218" s="877"/>
      <c r="N218" s="877"/>
      <c r="O218" s="877"/>
      <c r="P218" s="877"/>
      <c r="Q218" s="877"/>
      <c r="R218" s="877"/>
      <c r="S218" s="877"/>
      <c r="T218" s="877"/>
      <c r="U218" s="877">
        <f>(G218+T197)*'Common input data'!D$47/'Common input data'!C$47</f>
        <v>0.49796789587890716</v>
      </c>
      <c r="V218" s="877">
        <f>'Common input data'!B$105</f>
        <v>0.05</v>
      </c>
      <c r="W218" s="886">
        <f>'Common input data'!B$121+'Common input data'!C$121</f>
        <v>0.32999999999999996</v>
      </c>
      <c r="X218" s="877"/>
      <c r="Y218" s="879"/>
      <c r="Z218" s="877"/>
      <c r="AA218" s="877"/>
      <c r="AB218" s="877"/>
      <c r="AC218" s="877"/>
      <c r="AD218" s="886"/>
      <c r="AE218" s="877"/>
      <c r="AF218" s="879"/>
      <c r="AG218" s="877"/>
      <c r="AH218" s="877"/>
      <c r="AI218" s="877"/>
      <c r="AJ218" s="877"/>
      <c r="AK218" s="886"/>
      <c r="AL218" s="877"/>
      <c r="AM218" s="879"/>
      <c r="AN218" s="877"/>
      <c r="AO218" s="877"/>
      <c r="AP218" s="877"/>
      <c r="AQ218" s="877"/>
      <c r="AR218" s="886"/>
      <c r="AS218" s="877"/>
      <c r="AT218" s="879"/>
      <c r="AU218" s="877"/>
      <c r="AV218" s="877"/>
      <c r="AW218" s="877"/>
      <c r="AX218" s="877"/>
      <c r="AY218" s="886"/>
      <c r="AZ218" s="877"/>
      <c r="BA218" s="879"/>
      <c r="BB218" s="877"/>
      <c r="BC218" s="877"/>
      <c r="BD218" s="877"/>
      <c r="BE218" s="877"/>
      <c r="BF218" s="886"/>
      <c r="BG218" s="877"/>
      <c r="BH218" s="879"/>
      <c r="BI218" s="877"/>
      <c r="BJ218" s="877"/>
      <c r="BK218" s="877"/>
      <c r="BL218" s="877"/>
      <c r="BM218" s="886"/>
      <c r="BN218" s="877"/>
      <c r="BO218" s="879"/>
      <c r="BP218" s="877"/>
      <c r="BQ218" s="877"/>
      <c r="BR218" s="877"/>
      <c r="BS218" s="877"/>
      <c r="BT218" s="886"/>
      <c r="BU218" s="877"/>
      <c r="BV218" s="879"/>
      <c r="BW218" s="886"/>
    </row>
    <row r="219" spans="1:253" s="406" customFormat="1" ht="17.25">
      <c r="A219" s="983"/>
      <c r="B219" s="360"/>
      <c r="C219" s="83"/>
      <c r="D219" s="54"/>
      <c r="E219" s="1294" t="s">
        <v>367</v>
      </c>
      <c r="F219" s="928">
        <f t="shared" si="32"/>
        <v>0</v>
      </c>
      <c r="G219" s="877">
        <f t="shared" si="32"/>
        <v>1.2320494656847159E-3</v>
      </c>
      <c r="H219" s="878">
        <f>SUM(U219:W219)/(1-'Common input data'!$I$140)</f>
        <v>1.3173589997933324E-3</v>
      </c>
      <c r="I219" s="877"/>
      <c r="J219" s="877"/>
      <c r="K219" s="877"/>
      <c r="L219" s="877"/>
      <c r="M219" s="877"/>
      <c r="N219" s="877"/>
      <c r="O219" s="877"/>
      <c r="P219" s="877"/>
      <c r="Q219" s="877"/>
      <c r="R219" s="877"/>
      <c r="S219" s="877"/>
      <c r="T219" s="877"/>
      <c r="U219" s="877">
        <f>(G219+T198)*'Common input data'!D$47/'Common input data'!C$47</f>
        <v>9.6003854468938894E-4</v>
      </c>
      <c r="V219" s="877">
        <v>0</v>
      </c>
      <c r="W219" s="886">
        <v>0</v>
      </c>
      <c r="X219" s="877"/>
      <c r="Y219" s="879"/>
      <c r="Z219" s="877"/>
      <c r="AA219" s="877"/>
      <c r="AB219" s="877"/>
      <c r="AC219" s="877"/>
      <c r="AD219" s="886"/>
      <c r="AE219" s="877"/>
      <c r="AF219" s="879"/>
      <c r="AG219" s="877"/>
      <c r="AH219" s="877"/>
      <c r="AI219" s="877"/>
      <c r="AJ219" s="877"/>
      <c r="AK219" s="886"/>
      <c r="AL219" s="877"/>
      <c r="AM219" s="879"/>
      <c r="AN219" s="877"/>
      <c r="AO219" s="877"/>
      <c r="AP219" s="877"/>
      <c r="AQ219" s="877"/>
      <c r="AR219" s="886"/>
      <c r="AS219" s="877"/>
      <c r="AT219" s="879"/>
      <c r="AU219" s="877"/>
      <c r="AV219" s="877"/>
      <c r="AW219" s="877"/>
      <c r="AX219" s="877"/>
      <c r="AY219" s="886"/>
      <c r="AZ219" s="877"/>
      <c r="BA219" s="879"/>
      <c r="BB219" s="877"/>
      <c r="BC219" s="877"/>
      <c r="BD219" s="877"/>
      <c r="BE219" s="877"/>
      <c r="BF219" s="886"/>
      <c r="BG219" s="877"/>
      <c r="BH219" s="879"/>
      <c r="BI219" s="877"/>
      <c r="BJ219" s="877"/>
      <c r="BK219" s="877"/>
      <c r="BL219" s="877"/>
      <c r="BM219" s="886"/>
      <c r="BN219" s="877"/>
      <c r="BO219" s="879"/>
      <c r="BP219" s="877"/>
      <c r="BQ219" s="877"/>
      <c r="BR219" s="877"/>
      <c r="BS219" s="877"/>
      <c r="BT219" s="886"/>
      <c r="BU219" s="877"/>
      <c r="BV219" s="879"/>
      <c r="BW219" s="886"/>
    </row>
    <row r="220" spans="1:253" s="406" customFormat="1" ht="17.25">
      <c r="A220" s="985"/>
      <c r="B220" s="438"/>
      <c r="C220" s="88"/>
      <c r="D220" s="54"/>
      <c r="E220" s="1295" t="s">
        <v>320</v>
      </c>
      <c r="F220" s="932">
        <f t="shared" si="32"/>
        <v>7.7317629179331302E-4</v>
      </c>
      <c r="G220" s="896">
        <f t="shared" si="32"/>
        <v>2.0759131520109424E-3</v>
      </c>
      <c r="H220" s="878">
        <f>SUM(U220:W220)/(1-'Common input data'!$I$140)</f>
        <v>2.2196534715196092E-3</v>
      </c>
      <c r="I220" s="896"/>
      <c r="J220" s="896"/>
      <c r="K220" s="896"/>
      <c r="L220" s="896"/>
      <c r="M220" s="896"/>
      <c r="N220" s="896"/>
      <c r="O220" s="896"/>
      <c r="P220" s="896"/>
      <c r="Q220" s="896"/>
      <c r="R220" s="896"/>
      <c r="S220" s="896"/>
      <c r="T220" s="896"/>
      <c r="U220" s="896">
        <f>(G220+T199)*'Common input data'!D$47/'Common input data'!C$47</f>
        <v>1.6175946639046305E-3</v>
      </c>
      <c r="V220" s="896">
        <v>0</v>
      </c>
      <c r="W220" s="897">
        <v>0</v>
      </c>
      <c r="X220" s="877"/>
      <c r="Y220" s="879"/>
      <c r="Z220" s="877"/>
      <c r="AA220" s="877"/>
      <c r="AB220" s="877"/>
      <c r="AC220" s="877"/>
      <c r="AD220" s="886"/>
      <c r="AE220" s="877"/>
      <c r="AF220" s="879"/>
      <c r="AG220" s="877"/>
      <c r="AH220" s="877"/>
      <c r="AI220" s="877"/>
      <c r="AJ220" s="877"/>
      <c r="AK220" s="886"/>
      <c r="AL220" s="877"/>
      <c r="AM220" s="879"/>
      <c r="AN220" s="877"/>
      <c r="AO220" s="877"/>
      <c r="AP220" s="877"/>
      <c r="AQ220" s="877"/>
      <c r="AR220" s="886"/>
      <c r="AS220" s="877"/>
      <c r="AT220" s="879"/>
      <c r="AU220" s="877"/>
      <c r="AV220" s="877"/>
      <c r="AW220" s="877"/>
      <c r="AX220" s="877"/>
      <c r="AY220" s="886"/>
      <c r="AZ220" s="877"/>
      <c r="BA220" s="879"/>
      <c r="BB220" s="877"/>
      <c r="BC220" s="877"/>
      <c r="BD220" s="877"/>
      <c r="BE220" s="877"/>
      <c r="BF220" s="886"/>
      <c r="BG220" s="877"/>
      <c r="BH220" s="879"/>
      <c r="BI220" s="877"/>
      <c r="BJ220" s="877"/>
      <c r="BK220" s="877"/>
      <c r="BL220" s="877"/>
      <c r="BM220" s="886"/>
      <c r="BN220" s="877"/>
      <c r="BO220" s="879"/>
      <c r="BP220" s="877"/>
      <c r="BQ220" s="877"/>
      <c r="BR220" s="877"/>
      <c r="BS220" s="877"/>
      <c r="BT220" s="886"/>
      <c r="BU220" s="877"/>
      <c r="BV220" s="879"/>
      <c r="BW220" s="886"/>
    </row>
    <row r="221" spans="1:253" s="503" customFormat="1" ht="17.25">
      <c r="A221" s="374" t="s">
        <v>526</v>
      </c>
      <c r="B221" s="375"/>
      <c r="C221" s="767"/>
      <c r="D221" s="54"/>
      <c r="E221" s="1296"/>
      <c r="F221" s="969" t="s">
        <v>523</v>
      </c>
      <c r="G221" s="892" t="s">
        <v>523</v>
      </c>
      <c r="H221" s="970" t="s">
        <v>527</v>
      </c>
      <c r="I221" s="889"/>
      <c r="J221" s="889"/>
      <c r="K221" s="889"/>
      <c r="L221" s="889"/>
      <c r="M221" s="889"/>
      <c r="N221" s="889"/>
      <c r="O221" s="1305"/>
      <c r="P221" s="889"/>
      <c r="Q221" s="889"/>
      <c r="R221" s="889"/>
      <c r="S221" s="889"/>
      <c r="T221" s="889"/>
      <c r="U221" s="889"/>
      <c r="V221" s="889"/>
      <c r="W221" s="960"/>
      <c r="X221" s="877"/>
      <c r="Y221" s="879"/>
      <c r="Z221" s="877"/>
      <c r="AA221" s="877"/>
      <c r="AB221" s="877"/>
      <c r="AC221" s="877"/>
      <c r="AD221" s="886"/>
      <c r="AE221" s="877"/>
      <c r="AF221" s="879"/>
      <c r="AG221" s="877"/>
      <c r="AH221" s="877"/>
      <c r="AI221" s="877"/>
      <c r="AJ221" s="877"/>
      <c r="AK221" s="886"/>
      <c r="AL221" s="877"/>
      <c r="AM221" s="879"/>
      <c r="AN221" s="877"/>
      <c r="AO221" s="877"/>
      <c r="AP221" s="877"/>
      <c r="AQ221" s="877"/>
      <c r="AR221" s="886"/>
      <c r="AS221" s="877"/>
      <c r="AT221" s="879"/>
      <c r="AU221" s="877"/>
      <c r="AV221" s="877"/>
      <c r="AW221" s="877"/>
      <c r="AX221" s="877"/>
      <c r="AY221" s="886"/>
      <c r="AZ221" s="877"/>
      <c r="BA221" s="879"/>
      <c r="BB221" s="877"/>
      <c r="BC221" s="877"/>
      <c r="BD221" s="877"/>
      <c r="BE221" s="877"/>
      <c r="BF221" s="886"/>
      <c r="BG221" s="877"/>
      <c r="BH221" s="879"/>
      <c r="BI221" s="877"/>
      <c r="BJ221" s="877"/>
      <c r="BK221" s="877"/>
      <c r="BL221" s="877"/>
      <c r="BM221" s="886"/>
      <c r="BN221" s="877"/>
      <c r="BO221" s="879"/>
      <c r="BP221" s="877"/>
      <c r="BQ221" s="877"/>
      <c r="BR221" s="877"/>
      <c r="BS221" s="877"/>
      <c r="BT221" s="886"/>
      <c r="BU221" s="877"/>
      <c r="BV221" s="879"/>
      <c r="BW221" s="886"/>
      <c r="BX221" s="406"/>
      <c r="BY221" s="406"/>
      <c r="BZ221" s="406"/>
      <c r="CA221" s="406"/>
      <c r="CB221" s="406"/>
      <c r="CC221" s="406"/>
      <c r="CD221" s="406"/>
      <c r="CE221" s="406"/>
      <c r="CF221" s="406"/>
      <c r="CG221" s="406"/>
      <c r="CH221" s="406"/>
      <c r="CI221" s="406"/>
      <c r="CJ221" s="406"/>
      <c r="CK221" s="406"/>
      <c r="CL221" s="406"/>
      <c r="CM221" s="406"/>
      <c r="CN221" s="406"/>
      <c r="CO221" s="406"/>
      <c r="CP221" s="406"/>
      <c r="CQ221" s="406"/>
      <c r="CR221" s="406"/>
      <c r="CS221" s="406"/>
      <c r="CT221" s="406"/>
      <c r="CU221" s="406"/>
      <c r="CV221" s="406"/>
      <c r="CW221" s="406"/>
      <c r="CX221" s="406"/>
      <c r="CY221" s="406"/>
      <c r="CZ221" s="406"/>
      <c r="DA221" s="406"/>
      <c r="DB221" s="406"/>
      <c r="DC221" s="406"/>
      <c r="DD221" s="406"/>
      <c r="DE221" s="406"/>
      <c r="DF221" s="406"/>
      <c r="DG221" s="406"/>
      <c r="DH221" s="406"/>
      <c r="DI221" s="406"/>
      <c r="DJ221" s="406"/>
      <c r="DK221" s="406"/>
      <c r="DL221" s="406"/>
      <c r="DM221" s="406"/>
      <c r="DN221" s="406"/>
      <c r="DO221" s="406"/>
      <c r="DP221" s="406"/>
      <c r="DQ221" s="406"/>
      <c r="DR221" s="406"/>
      <c r="DS221" s="406"/>
      <c r="DT221" s="406"/>
      <c r="DU221" s="406"/>
      <c r="DV221" s="406"/>
      <c r="DW221" s="406"/>
      <c r="DX221" s="406"/>
      <c r="DY221" s="406"/>
      <c r="DZ221" s="406"/>
      <c r="EA221" s="406"/>
      <c r="EB221" s="406"/>
      <c r="EC221" s="406"/>
      <c r="ED221" s="406"/>
      <c r="EE221" s="406"/>
      <c r="EF221" s="406"/>
      <c r="EG221" s="406"/>
      <c r="EH221" s="406"/>
      <c r="EI221" s="406"/>
      <c r="EJ221" s="406"/>
      <c r="EK221" s="406"/>
      <c r="EL221" s="406"/>
      <c r="EM221" s="406"/>
      <c r="EN221" s="406"/>
      <c r="EO221" s="406"/>
      <c r="EP221" s="406"/>
      <c r="EQ221" s="406"/>
      <c r="ER221" s="406"/>
      <c r="ES221" s="406"/>
      <c r="ET221" s="406"/>
      <c r="EU221" s="406"/>
      <c r="EV221" s="406"/>
      <c r="EW221" s="406"/>
      <c r="EX221" s="406"/>
      <c r="EY221" s="406"/>
      <c r="EZ221" s="406"/>
      <c r="FA221" s="406"/>
      <c r="FB221" s="406"/>
      <c r="FC221" s="406"/>
      <c r="FD221" s="406"/>
      <c r="FE221" s="406"/>
      <c r="FF221" s="406"/>
      <c r="FG221" s="406"/>
      <c r="FH221" s="406"/>
      <c r="FI221" s="406"/>
      <c r="FJ221" s="406"/>
      <c r="FK221" s="406"/>
      <c r="FL221" s="406"/>
      <c r="FM221" s="406"/>
      <c r="FN221" s="406"/>
      <c r="FO221" s="406"/>
      <c r="FP221" s="406"/>
      <c r="FQ221" s="406"/>
      <c r="FR221" s="406"/>
      <c r="FS221" s="406"/>
      <c r="FT221" s="406"/>
      <c r="FU221" s="406"/>
      <c r="FV221" s="406"/>
      <c r="FW221" s="406"/>
      <c r="FX221" s="406"/>
      <c r="FY221" s="406"/>
      <c r="FZ221" s="406"/>
      <c r="GA221" s="406"/>
      <c r="GB221" s="406"/>
      <c r="GC221" s="406"/>
      <c r="GD221" s="406"/>
      <c r="GE221" s="406"/>
      <c r="GF221" s="406"/>
      <c r="GG221" s="406"/>
      <c r="GH221" s="406"/>
      <c r="GI221" s="406"/>
      <c r="GJ221" s="406"/>
      <c r="GK221" s="406"/>
      <c r="GL221" s="406"/>
      <c r="GM221" s="406"/>
      <c r="GN221" s="406"/>
      <c r="GO221" s="406"/>
      <c r="GP221" s="406"/>
      <c r="GQ221" s="406"/>
      <c r="GR221" s="406"/>
      <c r="GS221" s="406"/>
      <c r="GT221" s="406"/>
      <c r="GU221" s="406"/>
      <c r="GV221" s="406"/>
      <c r="GW221" s="406"/>
      <c r="GX221" s="406"/>
      <c r="GY221" s="406"/>
      <c r="GZ221" s="406"/>
      <c r="HA221" s="406"/>
      <c r="HB221" s="406"/>
      <c r="HC221" s="406"/>
      <c r="HD221" s="406"/>
      <c r="HE221" s="406"/>
      <c r="HF221" s="406"/>
      <c r="HG221" s="406"/>
      <c r="HH221" s="406"/>
      <c r="HI221" s="406"/>
      <c r="HJ221" s="406"/>
      <c r="HK221" s="406"/>
      <c r="HL221" s="406"/>
      <c r="HM221" s="406"/>
      <c r="HN221" s="406"/>
      <c r="HO221" s="406"/>
      <c r="HP221" s="406"/>
      <c r="HQ221" s="406"/>
      <c r="HR221" s="406"/>
      <c r="HS221" s="406"/>
      <c r="HT221" s="406"/>
      <c r="HU221" s="406"/>
      <c r="HV221" s="406"/>
      <c r="HW221" s="406"/>
      <c r="HX221" s="406"/>
      <c r="HY221" s="406"/>
      <c r="HZ221" s="406"/>
      <c r="IA221" s="406"/>
      <c r="IB221" s="406"/>
      <c r="IC221" s="406"/>
      <c r="ID221" s="406"/>
      <c r="IE221" s="406"/>
      <c r="IF221" s="406"/>
      <c r="IG221" s="406"/>
      <c r="IH221" s="406"/>
      <c r="II221" s="406"/>
      <c r="IJ221" s="406"/>
      <c r="IK221" s="406"/>
      <c r="IL221" s="406"/>
      <c r="IM221" s="406"/>
      <c r="IN221" s="406"/>
      <c r="IO221" s="406"/>
      <c r="IP221" s="406"/>
      <c r="IQ221" s="406"/>
      <c r="IR221" s="406"/>
      <c r="IS221" s="406"/>
    </row>
    <row r="222" spans="1:253">
      <c r="A222" s="827" t="s">
        <v>120</v>
      </c>
      <c r="B222" s="382" t="s">
        <v>121</v>
      </c>
      <c r="C222" s="771">
        <f>SUM(C226:C241)</f>
        <v>1</v>
      </c>
      <c r="E222" s="1293" t="s">
        <v>316</v>
      </c>
      <c r="F222" s="930">
        <f>SUMPRODUCT($CI$4:$CI$6,F223:F225)</f>
        <v>3.1807883263021419E-4</v>
      </c>
      <c r="G222" s="872">
        <f>SUMPRODUCT($CI$4:$CI$6,G223:G225)</f>
        <v>1.1767497640817646</v>
      </c>
      <c r="H222" s="873">
        <f>SUMPRODUCT($CI$4:$CI$6,H223:H225)</f>
        <v>4.1538883844646382</v>
      </c>
      <c r="I222" s="875"/>
      <c r="J222" s="875"/>
      <c r="K222" s="875"/>
      <c r="L222" s="875"/>
      <c r="M222" s="875"/>
      <c r="N222" s="875"/>
      <c r="O222" s="875"/>
      <c r="P222" s="875"/>
      <c r="Q222" s="875"/>
      <c r="R222" s="875"/>
      <c r="S222" s="875"/>
      <c r="T222" s="875"/>
      <c r="U222" s="875"/>
      <c r="V222" s="875"/>
      <c r="W222" s="981"/>
      <c r="Y222" s="883">
        <f t="shared" ref="Y222:AD222" si="33">Y226*$C$226+Y230*$C$230+Y234*$C$234+Y238*$C$238</f>
        <v>21.109827693692804</v>
      </c>
      <c r="Z222" s="884">
        <f t="shared" si="33"/>
        <v>48.81647654166462</v>
      </c>
      <c r="AA222" s="884">
        <f t="shared" si="33"/>
        <v>216.96211796295381</v>
      </c>
      <c r="AB222" s="884">
        <f t="shared" si="33"/>
        <v>81.360794236107679</v>
      </c>
      <c r="AC222" s="884">
        <f t="shared" si="33"/>
        <v>125.35654729361195</v>
      </c>
      <c r="AD222" s="885">
        <f t="shared" si="33"/>
        <v>154.76116949828634</v>
      </c>
      <c r="AF222" s="883">
        <f t="shared" ref="AF222:AK222" si="34">AF226*$C$226+AF230*$C$230+AF234*$C$234+AF238*$C$238</f>
        <v>6.8520532112207488E-2</v>
      </c>
      <c r="AG222" s="884">
        <f t="shared" si="34"/>
        <v>0.15845373050947981</v>
      </c>
      <c r="AH222" s="884">
        <f t="shared" si="34"/>
        <v>0.70423880226435454</v>
      </c>
      <c r="AI222" s="884">
        <f t="shared" si="34"/>
        <v>0.26408955084913294</v>
      </c>
      <c r="AJ222" s="884">
        <f t="shared" si="34"/>
        <v>0.41099157328059266</v>
      </c>
      <c r="AK222" s="885">
        <f t="shared" si="34"/>
        <v>0.50739700405011434</v>
      </c>
      <c r="AM222" s="883">
        <f t="shared" ref="AM222:AR222" si="35">AM226*$C$226+AM230*$C$230+AM234*$C$234+AM238*$C$238</f>
        <v>0.11389303788229439</v>
      </c>
      <c r="AN222" s="884">
        <f t="shared" si="35"/>
        <v>0.26337765010280578</v>
      </c>
      <c r="AO222" s="884">
        <f t="shared" si="35"/>
        <v>1.1705673337902478</v>
      </c>
      <c r="AP222" s="884">
        <f t="shared" si="35"/>
        <v>0.43896275017134295</v>
      </c>
      <c r="AQ222" s="884">
        <f t="shared" si="35"/>
        <v>0.67148786620677214</v>
      </c>
      <c r="AR222" s="885">
        <f t="shared" si="35"/>
        <v>0.82899736568737314</v>
      </c>
      <c r="AT222" s="883">
        <f t="shared" ref="AT222:AY222" si="36">AT226*$C$226+AT230*$C$230+AT234*$C$234+AT238*$C$238</f>
        <v>1.2723050662164013E-3</v>
      </c>
      <c r="AU222" s="884">
        <f t="shared" si="36"/>
        <v>2.9422054656254282E-3</v>
      </c>
      <c r="AV222" s="884">
        <f t="shared" si="36"/>
        <v>1.3076468736113013E-2</v>
      </c>
      <c r="AW222" s="884">
        <f t="shared" si="36"/>
        <v>4.9036757760423794E-3</v>
      </c>
      <c r="AX222" s="884">
        <f t="shared" si="36"/>
        <v>6.7287938087194406E-3</v>
      </c>
      <c r="AY222" s="885">
        <f t="shared" si="36"/>
        <v>8.3071528502709126E-3</v>
      </c>
      <c r="BA222" s="883">
        <f t="shared" ref="BA222:BF222" si="37">BA226*$C$226+BA230*$C$230+BA234*$C$234+BA238*$C$238</f>
        <v>1.2608757782676379E-8</v>
      </c>
      <c r="BB222" s="884">
        <f t="shared" si="37"/>
        <v>2.9157752372439125E-8</v>
      </c>
      <c r="BC222" s="884">
        <f t="shared" si="37"/>
        <v>1.2959001054417388E-7</v>
      </c>
      <c r="BD222" s="884">
        <f t="shared" si="37"/>
        <v>4.85962539540652E-8</v>
      </c>
      <c r="BE222" s="884">
        <f t="shared" si="37"/>
        <v>7.4244070439632403E-8</v>
      </c>
      <c r="BF222" s="885">
        <f t="shared" si="37"/>
        <v>9.1659346221768391E-8</v>
      </c>
      <c r="BG222" s="877"/>
      <c r="BH222" s="883">
        <f t="shared" ref="BH222:BM222" si="38">BH226*$C$226+BH230*$C$230+BH234*$C$234+BH238*$C$238</f>
        <v>1.5781668205112481E-2</v>
      </c>
      <c r="BI222" s="884">
        <f t="shared" si="38"/>
        <v>3.6495107724322601E-2</v>
      </c>
      <c r="BJ222" s="884">
        <f t="shared" si="38"/>
        <v>0.16220047877476712</v>
      </c>
      <c r="BK222" s="884">
        <f t="shared" si="38"/>
        <v>6.0825179540537663E-2</v>
      </c>
      <c r="BL222" s="884">
        <f t="shared" si="38"/>
        <v>9.4080893217897102E-2</v>
      </c>
      <c r="BM222" s="885">
        <f t="shared" si="38"/>
        <v>0.11614925088629273</v>
      </c>
      <c r="BN222" s="877"/>
      <c r="BO222" s="883">
        <f t="shared" ref="BO222:BT222" si="39">BO226*$C$226+BO230*$C$230+BO234*$C$234+BO238*$C$238</f>
        <v>1.7495849811139516E-3</v>
      </c>
      <c r="BP222" s="884">
        <f t="shared" si="39"/>
        <v>4.0459152688260133E-3</v>
      </c>
      <c r="BQ222" s="884">
        <f t="shared" si="39"/>
        <v>1.7981845639226723E-2</v>
      </c>
      <c r="BR222" s="884">
        <f t="shared" si="39"/>
        <v>6.7431921147100195E-3</v>
      </c>
      <c r="BS222" s="884">
        <f t="shared" si="39"/>
        <v>1.0494149152236541E-2</v>
      </c>
      <c r="BT222" s="885">
        <f t="shared" si="39"/>
        <v>1.2955739694119188E-2</v>
      </c>
      <c r="BU222" s="877"/>
      <c r="BV222" s="883">
        <f>BV227*$C$226+BV230*$C$230+BV234*$C$234+BV238*$C$238</f>
        <v>18.729606828382387</v>
      </c>
      <c r="BW222" s="885">
        <f>BW227*$C$226+BW230*$C$230+BW234*$C$234+BW238*$C$238</f>
        <v>23.122971393064674</v>
      </c>
    </row>
    <row r="223" spans="1:253">
      <c r="A223" s="18"/>
      <c r="C223" s="83"/>
      <c r="E223" s="1294" t="s">
        <v>317</v>
      </c>
      <c r="F223" s="928">
        <f t="shared" ref="F223:H225" si="40">F227*$C$226+F231*$C$230+$C$234*F235+$C$238*F239</f>
        <v>-0.21075904882694427</v>
      </c>
      <c r="G223" s="877">
        <f t="shared" si="40"/>
        <v>0.52151334777831138</v>
      </c>
      <c r="H223" s="878">
        <f t="shared" si="40"/>
        <v>2.4579450975059407</v>
      </c>
      <c r="U223" s="877">
        <f>U227*$C$226+U231*$C$230+$C$234*U235+$C$238*U239</f>
        <v>1.2025222462971858</v>
      </c>
      <c r="V223" s="877">
        <f>V227*$C$226+V231*$C$230+$C$234*V235+$C$238*V239</f>
        <v>5.000000000000001E-2</v>
      </c>
      <c r="W223" s="886">
        <f>W227*$C$226+W231*$C$230+$C$234*W235+$C$238*W239</f>
        <v>0.32999999999999996</v>
      </c>
      <c r="Y223" s="879"/>
      <c r="AD223" s="886"/>
      <c r="AF223" s="879"/>
      <c r="AK223" s="886"/>
      <c r="AM223" s="879"/>
      <c r="AR223" s="886"/>
      <c r="AT223" s="879"/>
      <c r="AY223" s="886"/>
      <c r="BA223" s="879"/>
      <c r="BF223" s="886"/>
      <c r="BG223" s="877"/>
      <c r="BH223" s="879"/>
      <c r="BI223" s="877"/>
      <c r="BJ223" s="877"/>
      <c r="BK223" s="877"/>
      <c r="BL223" s="877"/>
      <c r="BM223" s="886"/>
      <c r="BN223" s="877"/>
      <c r="BO223" s="879"/>
      <c r="BP223" s="877"/>
      <c r="BQ223" s="877"/>
      <c r="BR223" s="877"/>
      <c r="BS223" s="877"/>
      <c r="BT223" s="886"/>
      <c r="BU223" s="877"/>
      <c r="BV223" s="879"/>
      <c r="BW223" s="886"/>
    </row>
    <row r="224" spans="1:253">
      <c r="A224" s="18"/>
      <c r="C224" s="83"/>
      <c r="E224" s="1294" t="s">
        <v>367</v>
      </c>
      <c r="F224" s="928">
        <f t="shared" si="40"/>
        <v>0</v>
      </c>
      <c r="G224" s="877">
        <f t="shared" si="40"/>
        <v>1.4070676989959207E-3</v>
      </c>
      <c r="H224" s="878">
        <f t="shared" si="40"/>
        <v>3.6496014670228246E-3</v>
      </c>
      <c r="U224" s="877">
        <f t="shared" ref="U224:W225" si="41">U228*$C$226+U232*$C$230+$C$234*U236+$C$238*U240</f>
        <v>2.3451128316598676E-3</v>
      </c>
      <c r="V224" s="877">
        <f t="shared" si="41"/>
        <v>0</v>
      </c>
      <c r="W224" s="886">
        <f t="shared" si="41"/>
        <v>0</v>
      </c>
      <c r="Y224" s="879"/>
      <c r="AD224" s="886"/>
      <c r="AF224" s="879"/>
      <c r="AK224" s="886"/>
      <c r="AM224" s="879"/>
      <c r="AR224" s="886"/>
      <c r="AT224" s="879"/>
      <c r="AY224" s="886"/>
      <c r="BA224" s="879"/>
      <c r="BF224" s="886"/>
      <c r="BG224" s="877"/>
      <c r="BH224" s="879"/>
      <c r="BI224" s="877"/>
      <c r="BJ224" s="877"/>
      <c r="BK224" s="877"/>
      <c r="BL224" s="877"/>
      <c r="BM224" s="886"/>
      <c r="BN224" s="877"/>
      <c r="BO224" s="879"/>
      <c r="BP224" s="877"/>
      <c r="BQ224" s="877"/>
      <c r="BR224" s="877"/>
      <c r="BS224" s="877"/>
      <c r="BT224" s="886"/>
      <c r="BU224" s="877"/>
      <c r="BV224" s="879"/>
      <c r="BW224" s="886"/>
    </row>
    <row r="225" spans="1:253">
      <c r="A225" s="18"/>
      <c r="C225" s="83"/>
      <c r="E225" s="1295" t="s">
        <v>320</v>
      </c>
      <c r="F225" s="928">
        <f t="shared" si="40"/>
        <v>7.7317629179331313E-4</v>
      </c>
      <c r="G225" s="877">
        <f t="shared" si="40"/>
        <v>2.2609728513940043E-3</v>
      </c>
      <c r="H225" s="878">
        <f t="shared" si="40"/>
        <v>5.851296876736559E-3</v>
      </c>
      <c r="U225" s="877">
        <f t="shared" si="41"/>
        <v>3.7682880856566734E-3</v>
      </c>
      <c r="V225" s="877">
        <f t="shared" si="41"/>
        <v>0</v>
      </c>
      <c r="W225" s="886">
        <f t="shared" si="41"/>
        <v>0</v>
      </c>
      <c r="Y225" s="879"/>
      <c r="AD225" s="886"/>
      <c r="AF225" s="879"/>
      <c r="AK225" s="886"/>
      <c r="AM225" s="879"/>
      <c r="AR225" s="886"/>
      <c r="AT225" s="879"/>
      <c r="AY225" s="886"/>
      <c r="BA225" s="879"/>
      <c r="BF225" s="886"/>
      <c r="BG225" s="877"/>
      <c r="BH225" s="879"/>
      <c r="BI225" s="877"/>
      <c r="BJ225" s="877"/>
      <c r="BK225" s="877"/>
      <c r="BL225" s="877"/>
      <c r="BM225" s="886"/>
      <c r="BN225" s="877"/>
      <c r="BO225" s="879"/>
      <c r="BP225" s="877"/>
      <c r="BQ225" s="877"/>
      <c r="BR225" s="877"/>
      <c r="BS225" s="877"/>
      <c r="BT225" s="886"/>
      <c r="BU225" s="877"/>
      <c r="BV225" s="879"/>
      <c r="BW225" s="886"/>
    </row>
    <row r="226" spans="1:253" s="502" customFormat="1" ht="17.25">
      <c r="A226" s="20" t="s">
        <v>137</v>
      </c>
      <c r="B226" s="93" t="s">
        <v>121</v>
      </c>
      <c r="C226" s="771">
        <f>'Input data plant-based products'!D135</f>
        <v>0.38538325080000002</v>
      </c>
      <c r="D226" s="26"/>
      <c r="E226" s="1293" t="s">
        <v>316</v>
      </c>
      <c r="F226" s="930">
        <f>SUMPRODUCT($CI$4:$CI$6,F227:F229)</f>
        <v>3.1807883263021419E-4</v>
      </c>
      <c r="G226" s="872">
        <f>SUMPRODUCT($CI$4:$CI$6,G227:G229)</f>
        <v>0.86038975315238275</v>
      </c>
      <c r="H226" s="873">
        <f>SUMPRODUCT($CI$4:$CI$6,H227:H229)</f>
        <v>3.4958343593878247</v>
      </c>
      <c r="I226" s="872"/>
      <c r="J226" s="884"/>
      <c r="K226" s="884"/>
      <c r="L226" s="884"/>
      <c r="M226" s="884"/>
      <c r="N226" s="884"/>
      <c r="O226" s="884"/>
      <c r="P226" s="884"/>
      <c r="Q226" s="884"/>
      <c r="R226" s="884"/>
      <c r="S226" s="884"/>
      <c r="T226" s="884"/>
      <c r="U226" s="872"/>
      <c r="V226" s="884"/>
      <c r="W226" s="885"/>
      <c r="X226" s="877"/>
      <c r="Y226" s="879">
        <f>1/'Input data plant-based products'!E135*10^4</f>
        <v>19.235948139883813</v>
      </c>
      <c r="Z226" s="877">
        <f>$Y226*'Input data plant-based products'!Z135</f>
        <v>44.48313007348132</v>
      </c>
      <c r="AA226" s="877">
        <f>$Y226*'Input data plant-based products'!AA135</f>
        <v>197.70280032658363</v>
      </c>
      <c r="AB226" s="877">
        <f>$Y226*'Input data plant-based products'!AB135</f>
        <v>74.138550122468857</v>
      </c>
      <c r="AC226" s="877">
        <f>$Y226*'Input data plant-based products'!AC135</f>
        <v>120.69768029705961</v>
      </c>
      <c r="AD226" s="886">
        <f>$Y226*'Input data plant-based products'!AD135</f>
        <v>149.00948184822172</v>
      </c>
      <c r="AE226" s="877"/>
      <c r="AF226" s="879">
        <f>SUM('Input data plant-based products'!F135,'Input data plant-based products'!Q135)/'Input data plant-based products'!E135</f>
        <v>4.89396411092985E-2</v>
      </c>
      <c r="AG226" s="877">
        <f>$AF226*'Input data plant-based products'!Z135</f>
        <v>0.11317292006525279</v>
      </c>
      <c r="AH226" s="877">
        <f>$AF226*'Input data plant-based products'!AA135</f>
        <v>0.50299075584556785</v>
      </c>
      <c r="AI226" s="877">
        <f>$AF226*'Input data plant-based products'!AB135</f>
        <v>0.18862153344208793</v>
      </c>
      <c r="AJ226" s="877">
        <f>$AF226*'Input data plant-based products'!AC135</f>
        <v>0.30707616351988271</v>
      </c>
      <c r="AK226" s="886">
        <f>$AF226*'Input data plant-based products'!AD135</f>
        <v>0.37910637471590458</v>
      </c>
      <c r="AL226" s="877"/>
      <c r="AM226" s="879">
        <f>'Input data plant-based products'!R135/'Input data plant-based products'!E135</f>
        <v>0.14426961104912861</v>
      </c>
      <c r="AN226" s="877">
        <f>$AM226*'Input data plant-based products'!Z135</f>
        <v>0.33362347555110994</v>
      </c>
      <c r="AO226" s="877">
        <f>$AM226*'Input data plant-based products'!AA135</f>
        <v>1.4827710024493772</v>
      </c>
      <c r="AP226" s="877">
        <f>$AM226*'Input data plant-based products'!AB135</f>
        <v>0.55603912591851645</v>
      </c>
      <c r="AQ226" s="877">
        <f>$AM226*'Input data plant-based products'!AC135</f>
        <v>0.9052326022279471</v>
      </c>
      <c r="AR226" s="886">
        <f>$AM226*'Input data plant-based products'!AD135</f>
        <v>1.1175711138616631</v>
      </c>
      <c r="AS226" s="877"/>
      <c r="AT226" s="879">
        <f>'Input data plant-based products'!S135</f>
        <v>0</v>
      </c>
      <c r="AU226" s="877">
        <f>$AT226*'Input data plant-based products'!Z135</f>
        <v>0</v>
      </c>
      <c r="AV226" s="877">
        <f>$AT226*'Input data plant-based products'!AA135</f>
        <v>0</v>
      </c>
      <c r="AW226" s="877">
        <f>$AT226*'Input data plant-based products'!AB135</f>
        <v>0</v>
      </c>
      <c r="AX226" s="877">
        <f>$AT226*'Input data plant-based products'!AC135</f>
        <v>0</v>
      </c>
      <c r="AY226" s="886">
        <f>$AT226*'Input data plant-based products'!AD135</f>
        <v>0</v>
      </c>
      <c r="AZ226" s="877"/>
      <c r="BA226" s="879">
        <f>((SUM('Input data plant-based products'!U135:Y135)*Y226)/('Common input data'!$B$192/10^6))/$BB$3</f>
        <v>4.8278373539608068E-9</v>
      </c>
      <c r="BB226" s="877">
        <f>$BA226*'Input data plant-based products'!Z135</f>
        <v>1.1164373881034367E-8</v>
      </c>
      <c r="BC226" s="877">
        <f>$BA226*'Input data plant-based products'!AA135</f>
        <v>4.961943947126384E-8</v>
      </c>
      <c r="BD226" s="877">
        <f>$BA226*'Input data plant-based products'!AB135</f>
        <v>1.8607289801723939E-8</v>
      </c>
      <c r="BE226" s="877">
        <f>$BA226*'Input data plant-based products'!AC135</f>
        <v>3.0292698089904668E-8</v>
      </c>
      <c r="BF226" s="886">
        <f>$BA226*'Input data plant-based products'!AD135</f>
        <v>3.7398392703586006E-8</v>
      </c>
      <c r="BG226" s="877"/>
      <c r="BH226" s="879">
        <f>'Input data plant-based products'!T135/'Input data plant-based products'!E135</f>
        <v>1.6051705224439577E-2</v>
      </c>
      <c r="BI226" s="877">
        <f>$BH226*'Input data plant-based products'!Z135</f>
        <v>3.7119568331516521E-2</v>
      </c>
      <c r="BJ226" s="877">
        <f>$BH226*'Input data plant-based products'!AA135</f>
        <v>0.16497585925118452</v>
      </c>
      <c r="BK226" s="877">
        <f>$BH226*'Input data plant-based products'!AB135</f>
        <v>6.1865947219194195E-2</v>
      </c>
      <c r="BL226" s="877">
        <f>$BH226*'Input data plant-based products'!AC135</f>
        <v>0.10071786279071095</v>
      </c>
      <c r="BM226" s="886">
        <f>$BH226*'Input data plant-based products'!AD135</f>
        <v>0.1243430404823592</v>
      </c>
      <c r="BN226" s="877"/>
      <c r="BO226" s="879">
        <f>('Input data plant-based products'!F135/'Input data plant-based products'!E135*'Common input data'!$B$195+'Input data plant-based products'!G135/'Input data plant-based products'!E135*'Common input data'!$B$196)/'Common input data'!$B$198</f>
        <v>1.2496117357308288E-3</v>
      </c>
      <c r="BP226" s="877">
        <f>$BO226*'Input data plant-based products'!Z135</f>
        <v>2.8897271388775413E-3</v>
      </c>
      <c r="BQ226" s="877">
        <f>$BO226*'Input data plant-based products'!AA135</f>
        <v>1.2843231728344628E-2</v>
      </c>
      <c r="BR226" s="877">
        <f>$BO226*'Input data plant-based products'!AB135</f>
        <v>4.816211898129235E-3</v>
      </c>
      <c r="BS226" s="877">
        <f>$BO226*'Input data plant-based products'!AC135</f>
        <v>7.840800810955206E-3</v>
      </c>
      <c r="BT226" s="886">
        <f>$BO226*'Input data plant-based products'!AD135</f>
        <v>9.6800010011792673E-3</v>
      </c>
      <c r="BU226" s="877"/>
      <c r="BV226" s="879">
        <f>('Common input data'!$C$202+'Common input data'!$B$226)*'Input data plant-based products'!AC135</f>
        <v>21.69840930674264</v>
      </c>
      <c r="BW226" s="886">
        <f>('Common input data'!$C$202+'Common input data'!$B$226)*'Input data plant-based products'!AD135</f>
        <v>26.788159637953875</v>
      </c>
      <c r="BX226" s="406"/>
      <c r="BY226" s="406"/>
      <c r="BZ226" s="406"/>
      <c r="CA226" s="406"/>
      <c r="CB226" s="406"/>
      <c r="CC226" s="406"/>
      <c r="CD226" s="406"/>
      <c r="CE226" s="406"/>
      <c r="CF226" s="406"/>
      <c r="CG226" s="406"/>
      <c r="CH226" s="406"/>
      <c r="CI226" s="406"/>
      <c r="CJ226" s="406"/>
      <c r="CK226" s="406"/>
      <c r="CL226" s="406"/>
      <c r="CM226" s="406"/>
      <c r="CN226" s="406"/>
      <c r="CO226" s="406"/>
      <c r="CP226" s="406"/>
      <c r="CQ226" s="406"/>
      <c r="CR226" s="406"/>
      <c r="CS226" s="406"/>
      <c r="CT226" s="406"/>
      <c r="CU226" s="406"/>
      <c r="CV226" s="406"/>
      <c r="CW226" s="406"/>
      <c r="CX226" s="406"/>
      <c r="CY226" s="406"/>
      <c r="CZ226" s="406"/>
      <c r="DA226" s="406"/>
      <c r="DB226" s="406"/>
      <c r="DC226" s="406"/>
      <c r="DD226" s="406"/>
      <c r="DE226" s="406"/>
      <c r="DF226" s="406"/>
      <c r="DG226" s="406"/>
      <c r="DH226" s="406"/>
      <c r="DI226" s="406"/>
      <c r="DJ226" s="406"/>
      <c r="DK226" s="406"/>
      <c r="DL226" s="406"/>
      <c r="DM226" s="406"/>
      <c r="DN226" s="406"/>
      <c r="DO226" s="406"/>
      <c r="DP226" s="406"/>
      <c r="DQ226" s="406"/>
      <c r="DR226" s="406"/>
      <c r="DS226" s="406"/>
      <c r="DT226" s="406"/>
      <c r="DU226" s="406"/>
      <c r="DV226" s="406"/>
      <c r="DW226" s="406"/>
      <c r="DX226" s="406"/>
      <c r="DY226" s="406"/>
      <c r="DZ226" s="406"/>
      <c r="EA226" s="406"/>
      <c r="EB226" s="406"/>
      <c r="EC226" s="406"/>
      <c r="ED226" s="406"/>
      <c r="EE226" s="406"/>
      <c r="EF226" s="406"/>
      <c r="EG226" s="406"/>
      <c r="EH226" s="406"/>
      <c r="EI226" s="406"/>
      <c r="EJ226" s="406"/>
      <c r="EK226" s="406"/>
      <c r="EL226" s="406"/>
      <c r="EM226" s="406"/>
      <c r="EN226" s="406"/>
      <c r="EO226" s="406"/>
      <c r="EP226" s="406"/>
      <c r="EQ226" s="406"/>
      <c r="ER226" s="406"/>
      <c r="ES226" s="406"/>
      <c r="ET226" s="406"/>
      <c r="EU226" s="406"/>
      <c r="EV226" s="406"/>
      <c r="EW226" s="406"/>
      <c r="EX226" s="406"/>
      <c r="EY226" s="406"/>
      <c r="EZ226" s="406"/>
      <c r="FA226" s="406"/>
      <c r="FB226" s="406"/>
      <c r="FC226" s="406"/>
      <c r="FD226" s="406"/>
      <c r="FE226" s="406"/>
      <c r="FF226" s="406"/>
      <c r="FG226" s="406"/>
      <c r="FH226" s="406"/>
      <c r="FI226" s="406"/>
      <c r="FJ226" s="406"/>
      <c r="FK226" s="406"/>
      <c r="FL226" s="406"/>
      <c r="FM226" s="406"/>
      <c r="FN226" s="406"/>
      <c r="FO226" s="406"/>
      <c r="FP226" s="406"/>
      <c r="FQ226" s="406"/>
      <c r="FR226" s="406"/>
      <c r="FS226" s="406"/>
      <c r="FT226" s="406"/>
      <c r="FU226" s="406"/>
      <c r="FV226" s="406"/>
      <c r="FW226" s="406"/>
      <c r="FX226" s="406"/>
      <c r="FY226" s="406"/>
      <c r="FZ226" s="406"/>
      <c r="GA226" s="406"/>
      <c r="GB226" s="406"/>
      <c r="GC226" s="406"/>
      <c r="GD226" s="406"/>
      <c r="GE226" s="406"/>
      <c r="GF226" s="406"/>
      <c r="GG226" s="406"/>
      <c r="GH226" s="406"/>
      <c r="GI226" s="406"/>
      <c r="GJ226" s="406"/>
      <c r="GK226" s="406"/>
      <c r="GL226" s="406"/>
      <c r="GM226" s="406"/>
      <c r="GN226" s="406"/>
      <c r="GO226" s="406"/>
      <c r="GP226" s="406"/>
      <c r="GQ226" s="406"/>
      <c r="GR226" s="406"/>
      <c r="GS226" s="406"/>
      <c r="GT226" s="406"/>
      <c r="GU226" s="406"/>
      <c r="GV226" s="406"/>
      <c r="GW226" s="406"/>
      <c r="GX226" s="406"/>
      <c r="GY226" s="406"/>
      <c r="GZ226" s="406"/>
      <c r="HA226" s="406"/>
      <c r="HB226" s="406"/>
      <c r="HC226" s="406"/>
      <c r="HD226" s="406"/>
      <c r="HE226" s="406"/>
      <c r="HF226" s="406"/>
      <c r="HG226" s="406"/>
      <c r="HH226" s="406"/>
      <c r="HI226" s="406"/>
      <c r="HJ226" s="406"/>
      <c r="HK226" s="406"/>
      <c r="HL226" s="406"/>
      <c r="HM226" s="406"/>
      <c r="HN226" s="406"/>
      <c r="HO226" s="406"/>
      <c r="HP226" s="406"/>
      <c r="HQ226" s="406"/>
      <c r="HR226" s="406"/>
      <c r="HS226" s="406"/>
      <c r="HT226" s="406"/>
      <c r="HU226" s="406"/>
      <c r="HV226" s="406"/>
      <c r="HW226" s="406"/>
      <c r="HX226" s="406"/>
      <c r="HY226" s="406"/>
      <c r="HZ226" s="406"/>
      <c r="IA226" s="406"/>
      <c r="IB226" s="406"/>
      <c r="IC226" s="406"/>
      <c r="ID226" s="406"/>
      <c r="IE226" s="406"/>
      <c r="IF226" s="406"/>
      <c r="IG226" s="406"/>
      <c r="IH226" s="406"/>
      <c r="II226" s="406"/>
      <c r="IJ226" s="406"/>
      <c r="IK226" s="406"/>
      <c r="IL226" s="406"/>
      <c r="IM226" s="406"/>
      <c r="IN226" s="406"/>
      <c r="IO226" s="406"/>
      <c r="IP226" s="406"/>
      <c r="IQ226" s="406"/>
      <c r="IR226" s="406"/>
      <c r="IS226" s="406"/>
    </row>
    <row r="227" spans="1:253" s="406" customFormat="1" ht="17.25">
      <c r="A227" s="359"/>
      <c r="B227" s="360"/>
      <c r="C227" s="83"/>
      <c r="D227" s="54"/>
      <c r="E227" s="1294" t="s">
        <v>317</v>
      </c>
      <c r="F227" s="928">
        <f t="shared" ref="F227:G229" si="42">F185</f>
        <v>-0.21075904882694424</v>
      </c>
      <c r="G227" s="877">
        <f t="shared" si="42"/>
        <v>0.33207930123903878</v>
      </c>
      <c r="H227" s="878">
        <f>SUM(U227:W227)/(1-'Common input data'!$G$140)</f>
        <v>2.0623505663791586</v>
      </c>
      <c r="I227" s="877"/>
      <c r="J227" s="877"/>
      <c r="K227" s="877"/>
      <c r="L227" s="877"/>
      <c r="M227" s="877"/>
      <c r="N227" s="877"/>
      <c r="O227" s="877"/>
      <c r="P227" s="877"/>
      <c r="Q227" s="877"/>
      <c r="R227" s="877"/>
      <c r="S227" s="877"/>
      <c r="T227" s="877"/>
      <c r="U227" s="877">
        <f>(G206+T185)*'Common input data'!G$47/'Common input data'!F$47</f>
        <v>0.88679883539839799</v>
      </c>
      <c r="V227" s="877">
        <f>'Common input data'!B$105</f>
        <v>0.05</v>
      </c>
      <c r="W227" s="886">
        <f>'Common input data'!B$121+'Common input data'!C$121</f>
        <v>0.32999999999999996</v>
      </c>
      <c r="X227" s="877"/>
      <c r="Y227" s="879"/>
      <c r="Z227" s="877"/>
      <c r="AA227" s="877"/>
      <c r="AB227" s="877"/>
      <c r="AC227" s="877"/>
      <c r="AD227" s="886"/>
      <c r="AE227" s="877"/>
      <c r="AF227" s="879"/>
      <c r="AG227" s="877"/>
      <c r="AH227" s="877"/>
      <c r="AI227" s="877"/>
      <c r="AJ227" s="877"/>
      <c r="AK227" s="886"/>
      <c r="AL227" s="877"/>
      <c r="AM227" s="879"/>
      <c r="AN227" s="877"/>
      <c r="AO227" s="877"/>
      <c r="AP227" s="877"/>
      <c r="AQ227" s="877"/>
      <c r="AR227" s="886"/>
      <c r="AS227" s="877"/>
      <c r="AT227" s="879"/>
      <c r="AU227" s="877"/>
      <c r="AV227" s="877"/>
      <c r="AW227" s="877"/>
      <c r="AX227" s="877"/>
      <c r="AY227" s="886"/>
      <c r="AZ227" s="877"/>
      <c r="BA227" s="879"/>
      <c r="BB227" s="877"/>
      <c r="BC227" s="877"/>
      <c r="BD227" s="877"/>
      <c r="BE227" s="877"/>
      <c r="BF227" s="886"/>
      <c r="BG227" s="877"/>
      <c r="BH227" s="879"/>
      <c r="BI227" s="877"/>
      <c r="BJ227" s="877"/>
      <c r="BK227" s="877"/>
      <c r="BL227" s="877"/>
      <c r="BM227" s="886"/>
      <c r="BN227" s="877"/>
      <c r="BO227" s="879"/>
      <c r="BP227" s="877"/>
      <c r="BQ227" s="877"/>
      <c r="BR227" s="877"/>
      <c r="BS227" s="877"/>
      <c r="BT227" s="886"/>
      <c r="BU227" s="877"/>
      <c r="BV227" s="879"/>
      <c r="BW227" s="886"/>
    </row>
    <row r="228" spans="1:253" s="406" customFormat="1" ht="17.25">
      <c r="A228" s="359"/>
      <c r="B228" s="360"/>
      <c r="C228" s="83"/>
      <c r="D228" s="54"/>
      <c r="E228" s="1294" t="s">
        <v>367</v>
      </c>
      <c r="F228" s="928">
        <f t="shared" si="42"/>
        <v>0</v>
      </c>
      <c r="G228" s="877">
        <f t="shared" si="42"/>
        <v>1.0049745103056285E-3</v>
      </c>
      <c r="H228" s="878">
        <f>SUM(U228:W228)/(1-'Common input data'!$G$140)</f>
        <v>2.7268335647961705E-3</v>
      </c>
      <c r="I228" s="877"/>
      <c r="J228" s="877"/>
      <c r="K228" s="877"/>
      <c r="L228" s="877"/>
      <c r="M228" s="877"/>
      <c r="N228" s="877"/>
      <c r="O228" s="877"/>
      <c r="P228" s="877"/>
      <c r="Q228" s="877"/>
      <c r="R228" s="877"/>
      <c r="S228" s="877"/>
      <c r="T228" s="877"/>
      <c r="U228" s="877">
        <f>(G207+T186)*'Common input data'!G$47/'Common input data'!F$47</f>
        <v>1.6749575171760476E-3</v>
      </c>
      <c r="V228" s="877">
        <v>0</v>
      </c>
      <c r="W228" s="886">
        <v>0</v>
      </c>
      <c r="X228" s="877"/>
      <c r="Y228" s="879"/>
      <c r="Z228" s="877"/>
      <c r="AA228" s="877"/>
      <c r="AB228" s="877"/>
      <c r="AC228" s="877"/>
      <c r="AD228" s="886"/>
      <c r="AE228" s="877"/>
      <c r="AF228" s="879"/>
      <c r="AG228" s="877"/>
      <c r="AH228" s="877"/>
      <c r="AI228" s="877"/>
      <c r="AJ228" s="877"/>
      <c r="AK228" s="886"/>
      <c r="AL228" s="877"/>
      <c r="AM228" s="879"/>
      <c r="AN228" s="877"/>
      <c r="AO228" s="877"/>
      <c r="AP228" s="877"/>
      <c r="AQ228" s="877"/>
      <c r="AR228" s="886"/>
      <c r="AS228" s="877"/>
      <c r="AT228" s="879"/>
      <c r="AU228" s="877"/>
      <c r="AV228" s="877"/>
      <c r="AW228" s="877"/>
      <c r="AX228" s="877"/>
      <c r="AY228" s="886"/>
      <c r="AZ228" s="877"/>
      <c r="BA228" s="879"/>
      <c r="BB228" s="877"/>
      <c r="BC228" s="877"/>
      <c r="BD228" s="877"/>
      <c r="BE228" s="877"/>
      <c r="BF228" s="886"/>
      <c r="BG228" s="877"/>
      <c r="BH228" s="879"/>
      <c r="BI228" s="877"/>
      <c r="BJ228" s="877"/>
      <c r="BK228" s="877"/>
      <c r="BL228" s="877"/>
      <c r="BM228" s="886"/>
      <c r="BN228" s="877"/>
      <c r="BO228" s="879"/>
      <c r="BP228" s="877"/>
      <c r="BQ228" s="877"/>
      <c r="BR228" s="877"/>
      <c r="BS228" s="877"/>
      <c r="BT228" s="886"/>
      <c r="BU228" s="877"/>
      <c r="BV228" s="879"/>
      <c r="BW228" s="886"/>
    </row>
    <row r="229" spans="1:253" s="406" customFormat="1" ht="17.25">
      <c r="A229" s="359"/>
      <c r="B229" s="360"/>
      <c r="C229" s="83"/>
      <c r="D229" s="54"/>
      <c r="E229" s="1295" t="s">
        <v>320</v>
      </c>
      <c r="F229" s="928">
        <f t="shared" si="42"/>
        <v>7.7317629179331302E-4</v>
      </c>
      <c r="G229" s="877">
        <f t="shared" si="42"/>
        <v>1.8358100371248787E-3</v>
      </c>
      <c r="H229" s="878">
        <f>SUM(U229:W229)/(1-'Common input data'!$G$140)</f>
        <v>4.9811695485683866E-3</v>
      </c>
      <c r="I229" s="877"/>
      <c r="J229" s="877"/>
      <c r="K229" s="877"/>
      <c r="L229" s="877"/>
      <c r="M229" s="877"/>
      <c r="N229" s="877"/>
      <c r="O229" s="877"/>
      <c r="P229" s="877"/>
      <c r="Q229" s="877"/>
      <c r="R229" s="877"/>
      <c r="S229" s="877"/>
      <c r="T229" s="877"/>
      <c r="U229" s="877">
        <f>(G208+T187)*'Common input data'!G$47/'Common input data'!F$47</f>
        <v>3.0596833952081311E-3</v>
      </c>
      <c r="V229" s="877">
        <v>0</v>
      </c>
      <c r="W229" s="886">
        <v>0</v>
      </c>
      <c r="X229" s="877"/>
      <c r="Y229" s="879"/>
      <c r="Z229" s="877"/>
      <c r="AA229" s="877"/>
      <c r="AB229" s="877"/>
      <c r="AC229" s="877"/>
      <c r="AD229" s="886"/>
      <c r="AE229" s="877"/>
      <c r="AF229" s="879"/>
      <c r="AG229" s="877"/>
      <c r="AH229" s="877"/>
      <c r="AI229" s="877"/>
      <c r="AJ229" s="877"/>
      <c r="AK229" s="886"/>
      <c r="AL229" s="877"/>
      <c r="AM229" s="879"/>
      <c r="AN229" s="877"/>
      <c r="AO229" s="877"/>
      <c r="AP229" s="877"/>
      <c r="AQ229" s="877"/>
      <c r="AR229" s="886"/>
      <c r="AS229" s="877"/>
      <c r="AT229" s="879"/>
      <c r="AU229" s="877"/>
      <c r="AV229" s="877"/>
      <c r="AW229" s="877"/>
      <c r="AX229" s="877"/>
      <c r="AY229" s="886"/>
      <c r="AZ229" s="877"/>
      <c r="BA229" s="879"/>
      <c r="BB229" s="877"/>
      <c r="BC229" s="877"/>
      <c r="BD229" s="877"/>
      <c r="BE229" s="877"/>
      <c r="BF229" s="886"/>
      <c r="BG229" s="877"/>
      <c r="BH229" s="879"/>
      <c r="BI229" s="877"/>
      <c r="BJ229" s="877"/>
      <c r="BK229" s="877"/>
      <c r="BL229" s="877"/>
      <c r="BM229" s="886"/>
      <c r="BN229" s="877"/>
      <c r="BO229" s="879"/>
      <c r="BP229" s="877"/>
      <c r="BQ229" s="877"/>
      <c r="BR229" s="877"/>
      <c r="BS229" s="877"/>
      <c r="BT229" s="886"/>
      <c r="BU229" s="877"/>
      <c r="BV229" s="879"/>
      <c r="BW229" s="886"/>
    </row>
    <row r="230" spans="1:253" s="406" customFormat="1" ht="17.25">
      <c r="A230" s="984" t="s">
        <v>138</v>
      </c>
      <c r="B230" s="93" t="s">
        <v>121</v>
      </c>
      <c r="C230" s="87">
        <f>'Input data plant-based products'!D136</f>
        <v>0.16931057129999999</v>
      </c>
      <c r="D230" s="54"/>
      <c r="E230" s="1293" t="s">
        <v>316</v>
      </c>
      <c r="F230" s="930">
        <f>SUMPRODUCT($CI$4:$CI$6,F231:F233)</f>
        <v>3.1807883263021419E-4</v>
      </c>
      <c r="G230" s="872">
        <f>SUMPRODUCT($CI$4:$CI$6,G231:G233)</f>
        <v>6.9693078832630206E-2</v>
      </c>
      <c r="H230" s="873">
        <f>SUMPRODUCT($CI$4:$CI$6,H231:H233)</f>
        <v>1.3504085709744409</v>
      </c>
      <c r="I230" s="884"/>
      <c r="J230" s="884"/>
      <c r="K230" s="884"/>
      <c r="L230" s="884"/>
      <c r="M230" s="884"/>
      <c r="N230" s="884"/>
      <c r="O230" s="884"/>
      <c r="P230" s="884"/>
      <c r="Q230" s="884"/>
      <c r="R230" s="884"/>
      <c r="S230" s="884"/>
      <c r="T230" s="884"/>
      <c r="U230" s="884"/>
      <c r="V230" s="884"/>
      <c r="W230" s="885"/>
      <c r="X230" s="877"/>
      <c r="Y230" s="879">
        <f>1/'Input data plant-based products'!E136*10^4</f>
        <v>19.442392191935294</v>
      </c>
      <c r="Z230" s="877">
        <f>$Y230*'Input data plant-based products'!Z136</f>
        <v>44.96053194385037</v>
      </c>
      <c r="AA230" s="877">
        <f>$Y230*'Input data plant-based products'!AA136</f>
        <v>199.82458641711273</v>
      </c>
      <c r="AB230" s="877">
        <f>$Y230*'Input data plant-based products'!AB136</f>
        <v>74.934219906417269</v>
      </c>
      <c r="AC230" s="877">
        <f>$Y230*'Input data plant-based products'!AC136</f>
        <v>121.99303200067934</v>
      </c>
      <c r="AD230" s="886">
        <f>$Y230*'Input data plant-based products'!AD136</f>
        <v>150.60868148232015</v>
      </c>
      <c r="AE230" s="877"/>
      <c r="AF230" s="879">
        <f>SUM('Input data plant-based products'!F136,'Input data plant-based products'!Q136)/'Input data plant-based products'!E136</f>
        <v>0</v>
      </c>
      <c r="AG230" s="877">
        <f>$AF230*'Input data plant-based products'!Z136</f>
        <v>0</v>
      </c>
      <c r="AH230" s="877">
        <f>$AF230*'Input data plant-based products'!AA136</f>
        <v>0</v>
      </c>
      <c r="AI230" s="877">
        <f>$AF230*'Input data plant-based products'!AB136</f>
        <v>0</v>
      </c>
      <c r="AJ230" s="877">
        <f>$AF230*'Input data plant-based products'!AC136</f>
        <v>0</v>
      </c>
      <c r="AK230" s="886">
        <f>$AF230*'Input data plant-based products'!AD136</f>
        <v>0</v>
      </c>
      <c r="AL230" s="877"/>
      <c r="AM230" s="879">
        <f>'Input data plant-based products'!R136/'Input data plant-based products'!E136</f>
        <v>7.6210714776866265E-2</v>
      </c>
      <c r="AN230" s="877">
        <f>$AM230*'Input data plant-based products'!Z136</f>
        <v>0.17623727792150323</v>
      </c>
      <c r="AO230" s="877">
        <f>$AM230*'Input data plant-based products'!AA136</f>
        <v>0.78327679076223655</v>
      </c>
      <c r="AP230" s="877">
        <f>$AM230*'Input data plant-based products'!AB136</f>
        <v>0.29372879653583867</v>
      </c>
      <c r="AQ230" s="877">
        <f>$AM230*'Input data plant-based products'!AC136</f>
        <v>0.47819095895130437</v>
      </c>
      <c r="AR230" s="886">
        <f>$AM230*'Input data plant-based products'!AD136</f>
        <v>0.5903592085818572</v>
      </c>
      <c r="AS230" s="877"/>
      <c r="AT230" s="879">
        <f>'Input data plant-based products'!S136</f>
        <v>0</v>
      </c>
      <c r="AU230" s="877">
        <f>$AT230*'Input data plant-based products'!Z136</f>
        <v>0</v>
      </c>
      <c r="AV230" s="877">
        <f>$AT230*'Input data plant-based products'!AA136</f>
        <v>0</v>
      </c>
      <c r="AW230" s="877">
        <f>$AT230*'Input data plant-based products'!AB136</f>
        <v>0</v>
      </c>
      <c r="AX230" s="877">
        <f>$AT230*'Input data plant-based products'!AC136</f>
        <v>0</v>
      </c>
      <c r="AY230" s="886">
        <f>$AT230*'Input data plant-based products'!AD136</f>
        <v>0</v>
      </c>
      <c r="AZ230" s="877"/>
      <c r="BA230" s="879">
        <f>((SUM('Input data plant-based products'!U136:Y136)*Y230)/('Common input data'!$B$192/10^6))/$BB$3</f>
        <v>3.6102486339674766E-9</v>
      </c>
      <c r="BB230" s="877">
        <f>$BA230*'Input data plant-based products'!Z136</f>
        <v>8.3486999660497891E-9</v>
      </c>
      <c r="BC230" s="877">
        <f>$BA230*'Input data plant-based products'!AA136</f>
        <v>3.7105333182443509E-8</v>
      </c>
      <c r="BD230" s="877">
        <f>$BA230*'Input data plant-based products'!AB136</f>
        <v>1.3914499943416313E-8</v>
      </c>
      <c r="BE230" s="877">
        <f>$BA230*'Input data plant-based products'!AC136</f>
        <v>2.2652828560710323E-8</v>
      </c>
      <c r="BF230" s="886">
        <f>$BA230*'Input data plant-based products'!AD136</f>
        <v>2.7966455013222618E-8</v>
      </c>
      <c r="BG230" s="877"/>
      <c r="BH230" s="879">
        <f>'Input data plant-based products'!T136/'Input data plant-based products'!E136</f>
        <v>1.527814660652827E-2</v>
      </c>
      <c r="BI230" s="877">
        <f>$BH230*'Input data plant-based products'!Z136</f>
        <v>3.5330714027596626E-2</v>
      </c>
      <c r="BJ230" s="877">
        <f>$BH230*'Input data plant-based products'!AA136</f>
        <v>0.1570253956782072</v>
      </c>
      <c r="BK230" s="877">
        <f>$BH230*'Input data plant-based products'!AB136</f>
        <v>5.8884523379327695E-2</v>
      </c>
      <c r="BL230" s="877">
        <f>$BH230*'Input data plant-based products'!AC136</f>
        <v>9.586409992564543E-2</v>
      </c>
      <c r="BM230" s="886">
        <f>$BH230*'Input data plant-based products'!AD136</f>
        <v>0.11835074064894496</v>
      </c>
      <c r="BN230" s="877"/>
      <c r="BO230" s="879">
        <f>('Input data plant-based products'!F136/'Input data plant-based products'!E136*'Common input data'!$B$195+'Input data plant-based products'!G136/'Input data plant-based products'!E136*'Common input data'!$B$196)/'Common input data'!$B$198</f>
        <v>0</v>
      </c>
      <c r="BP230" s="877">
        <f>$BO230*'Input data plant-based products'!Z136</f>
        <v>0</v>
      </c>
      <c r="BQ230" s="877">
        <f>$BO230*'Input data plant-based products'!AA136</f>
        <v>0</v>
      </c>
      <c r="BR230" s="877">
        <f>$BO230*'Input data plant-based products'!AB136</f>
        <v>0</v>
      </c>
      <c r="BS230" s="877">
        <f>$BO230*'Input data plant-based products'!AC136</f>
        <v>0</v>
      </c>
      <c r="BT230" s="886">
        <f>$BO230*'Input data plant-based products'!AD136</f>
        <v>0</v>
      </c>
      <c r="BU230" s="877"/>
      <c r="BV230" s="879">
        <f>('Common input data'!$C$202+'Common input data'!$B$225)*'Input data plant-based products'!AC136</f>
        <v>22.299264007597344</v>
      </c>
      <c r="BW230" s="886">
        <f>('Common input data'!$C$202+'Common input data'!$B$225)*'Input data plant-based products'!AD136</f>
        <v>27.529955564934991</v>
      </c>
    </row>
    <row r="231" spans="1:253" s="406" customFormat="1" ht="17.25">
      <c r="A231" s="983"/>
      <c r="C231" s="83"/>
      <c r="D231" s="54"/>
      <c r="E231" s="1294" t="s">
        <v>317</v>
      </c>
      <c r="F231" s="928">
        <f t="shared" ref="F231:G233" si="43">F189</f>
        <v>-0.21075904882694424</v>
      </c>
      <c r="G231" s="877">
        <f t="shared" si="43"/>
        <v>-0.14138404882694425</v>
      </c>
      <c r="H231" s="878">
        <f>SUM(U231:W231)/(1-'Common input data'!$G$140)</f>
        <v>0.77768539186828312</v>
      </c>
      <c r="I231" s="877"/>
      <c r="J231" s="877"/>
      <c r="K231" s="877"/>
      <c r="L231" s="877"/>
      <c r="M231" s="877"/>
      <c r="N231" s="877"/>
      <c r="O231" s="877"/>
      <c r="P231" s="877"/>
      <c r="Q231" s="877"/>
      <c r="R231" s="877"/>
      <c r="S231" s="877"/>
      <c r="T231" s="877"/>
      <c r="U231" s="877">
        <f>(G210+T189)*'Common input data'!G$47/'Common input data'!F$47</f>
        <v>9.769325195509293E-2</v>
      </c>
      <c r="V231" s="877">
        <f>'Common input data'!B$105</f>
        <v>0.05</v>
      </c>
      <c r="W231" s="886">
        <f>'Common input data'!B$121+'Common input data'!C$121</f>
        <v>0.32999999999999996</v>
      </c>
      <c r="X231" s="877"/>
      <c r="Y231" s="879"/>
      <c r="Z231" s="877"/>
      <c r="AA231" s="877"/>
      <c r="AB231" s="877"/>
      <c r="AC231" s="877"/>
      <c r="AD231" s="886"/>
      <c r="AE231" s="877"/>
      <c r="AF231" s="879"/>
      <c r="AG231" s="877"/>
      <c r="AH231" s="877"/>
      <c r="AI231" s="877"/>
      <c r="AJ231" s="877"/>
      <c r="AK231" s="886"/>
      <c r="AL231" s="877"/>
      <c r="AM231" s="879"/>
      <c r="AN231" s="877"/>
      <c r="AO231" s="877"/>
      <c r="AP231" s="877"/>
      <c r="AQ231" s="877"/>
      <c r="AR231" s="886"/>
      <c r="AS231" s="877"/>
      <c r="AT231" s="879"/>
      <c r="AU231" s="877"/>
      <c r="AV231" s="877"/>
      <c r="AW231" s="877"/>
      <c r="AX231" s="877"/>
      <c r="AY231" s="886"/>
      <c r="AZ231" s="877"/>
      <c r="BA231" s="879"/>
      <c r="BB231" s="877"/>
      <c r="BC231" s="877"/>
      <c r="BD231" s="877"/>
      <c r="BE231" s="877"/>
      <c r="BF231" s="886"/>
      <c r="BG231" s="877"/>
      <c r="BH231" s="879"/>
      <c r="BI231" s="877"/>
      <c r="BJ231" s="877"/>
      <c r="BK231" s="877"/>
      <c r="BL231" s="877"/>
      <c r="BM231" s="886"/>
      <c r="BN231" s="877"/>
      <c r="BO231" s="879"/>
      <c r="BP231" s="877"/>
      <c r="BQ231" s="877"/>
      <c r="BR231" s="877"/>
      <c r="BS231" s="877"/>
      <c r="BT231" s="886"/>
      <c r="BU231" s="877"/>
      <c r="BV231" s="879"/>
      <c r="BW231" s="886"/>
    </row>
    <row r="232" spans="1:253" s="406" customFormat="1" ht="17.25">
      <c r="A232" s="983"/>
      <c r="C232" s="83"/>
      <c r="D232" s="54"/>
      <c r="E232" s="1294" t="s">
        <v>367</v>
      </c>
      <c r="F232" s="928">
        <f t="shared" si="43"/>
        <v>0</v>
      </c>
      <c r="G232" s="877">
        <f t="shared" si="43"/>
        <v>0</v>
      </c>
      <c r="H232" s="878">
        <f>SUM(U232:W232)/(1-'Common input data'!$G$140)</f>
        <v>0</v>
      </c>
      <c r="I232" s="877"/>
      <c r="J232" s="877"/>
      <c r="K232" s="877"/>
      <c r="L232" s="877"/>
      <c r="M232" s="877"/>
      <c r="N232" s="877"/>
      <c r="O232" s="877"/>
      <c r="P232" s="877"/>
      <c r="Q232" s="877"/>
      <c r="R232" s="877"/>
      <c r="S232" s="877"/>
      <c r="T232" s="877"/>
      <c r="U232" s="877">
        <f>(G211+T190)*'Common input data'!G$47/'Common input data'!F$47</f>
        <v>0</v>
      </c>
      <c r="V232" s="877">
        <v>0</v>
      </c>
      <c r="W232" s="886">
        <v>0</v>
      </c>
      <c r="X232" s="877"/>
      <c r="Y232" s="879"/>
      <c r="Z232" s="877"/>
      <c r="AA232" s="877"/>
      <c r="AB232" s="877"/>
      <c r="AC232" s="877"/>
      <c r="AD232" s="886"/>
      <c r="AE232" s="877"/>
      <c r="AF232" s="879"/>
      <c r="AG232" s="877"/>
      <c r="AH232" s="877"/>
      <c r="AI232" s="877"/>
      <c r="AJ232" s="877"/>
      <c r="AK232" s="886"/>
      <c r="AL232" s="877"/>
      <c r="AM232" s="879"/>
      <c r="AN232" s="877"/>
      <c r="AO232" s="877"/>
      <c r="AP232" s="877"/>
      <c r="AQ232" s="877"/>
      <c r="AR232" s="886"/>
      <c r="AS232" s="877"/>
      <c r="AT232" s="879"/>
      <c r="AU232" s="877"/>
      <c r="AV232" s="877"/>
      <c r="AW232" s="877"/>
      <c r="AX232" s="877"/>
      <c r="AY232" s="886"/>
      <c r="AZ232" s="877"/>
      <c r="BA232" s="879"/>
      <c r="BB232" s="877"/>
      <c r="BC232" s="877"/>
      <c r="BD232" s="877"/>
      <c r="BE232" s="877"/>
      <c r="BF232" s="886"/>
      <c r="BG232" s="877"/>
      <c r="BH232" s="879"/>
      <c r="BI232" s="877"/>
      <c r="BJ232" s="877"/>
      <c r="BK232" s="877"/>
      <c r="BL232" s="877"/>
      <c r="BM232" s="886"/>
      <c r="BN232" s="877"/>
      <c r="BO232" s="879"/>
      <c r="BP232" s="877"/>
      <c r="BQ232" s="877"/>
      <c r="BR232" s="877"/>
      <c r="BS232" s="877"/>
      <c r="BT232" s="886"/>
      <c r="BU232" s="877"/>
      <c r="BV232" s="879"/>
      <c r="BW232" s="886"/>
    </row>
    <row r="233" spans="1:253" s="406" customFormat="1" ht="17.25">
      <c r="A233" s="983"/>
      <c r="C233" s="83"/>
      <c r="D233" s="54"/>
      <c r="E233" s="1295" t="s">
        <v>320</v>
      </c>
      <c r="F233" s="928">
        <f t="shared" si="43"/>
        <v>7.7317629179331302E-4</v>
      </c>
      <c r="G233" s="877">
        <f t="shared" si="43"/>
        <v>7.7317629179331302E-4</v>
      </c>
      <c r="H233" s="878">
        <f>SUM(U233:W233)/(1-'Common input data'!$G$140)</f>
        <v>2.0978871029529588E-3</v>
      </c>
      <c r="I233" s="877"/>
      <c r="J233" s="877"/>
      <c r="K233" s="877"/>
      <c r="L233" s="877"/>
      <c r="M233" s="877"/>
      <c r="N233" s="877"/>
      <c r="O233" s="877"/>
      <c r="P233" s="877"/>
      <c r="Q233" s="877"/>
      <c r="R233" s="877"/>
      <c r="S233" s="877"/>
      <c r="T233" s="877"/>
      <c r="U233" s="877">
        <f>(G212+T191)*'Common input data'!G$47/'Common input data'!F$47</f>
        <v>1.288627152988855E-3</v>
      </c>
      <c r="V233" s="877">
        <v>0</v>
      </c>
      <c r="W233" s="886">
        <v>0</v>
      </c>
      <c r="X233" s="877"/>
      <c r="Y233" s="879"/>
      <c r="Z233" s="877"/>
      <c r="AA233" s="877"/>
      <c r="AB233" s="877"/>
      <c r="AC233" s="877"/>
      <c r="AD233" s="886"/>
      <c r="AE233" s="877"/>
      <c r="AF233" s="879"/>
      <c r="AG233" s="877"/>
      <c r="AH233" s="877"/>
      <c r="AI233" s="877"/>
      <c r="AJ233" s="877"/>
      <c r="AK233" s="886"/>
      <c r="AL233" s="877"/>
      <c r="AM233" s="879"/>
      <c r="AN233" s="877"/>
      <c r="AO233" s="877"/>
      <c r="AP233" s="877"/>
      <c r="AQ233" s="877"/>
      <c r="AR233" s="886"/>
      <c r="AS233" s="877"/>
      <c r="AT233" s="879"/>
      <c r="AU233" s="877"/>
      <c r="AV233" s="877"/>
      <c r="AW233" s="877"/>
      <c r="AX233" s="877"/>
      <c r="AY233" s="886"/>
      <c r="AZ233" s="877"/>
      <c r="BA233" s="879"/>
      <c r="BB233" s="877"/>
      <c r="BC233" s="877"/>
      <c r="BD233" s="877"/>
      <c r="BE233" s="877"/>
      <c r="BF233" s="886"/>
      <c r="BG233" s="877"/>
      <c r="BH233" s="879"/>
      <c r="BI233" s="877"/>
      <c r="BJ233" s="877"/>
      <c r="BK233" s="877"/>
      <c r="BL233" s="877"/>
      <c r="BM233" s="886"/>
      <c r="BN233" s="877"/>
      <c r="BO233" s="879"/>
      <c r="BP233" s="877"/>
      <c r="BQ233" s="877"/>
      <c r="BR233" s="877"/>
      <c r="BS233" s="877"/>
      <c r="BT233" s="886"/>
      <c r="BU233" s="877"/>
      <c r="BV233" s="879"/>
      <c r="BW233" s="886"/>
    </row>
    <row r="234" spans="1:253" s="406" customFormat="1" ht="17.25">
      <c r="A234" s="984" t="s">
        <v>139</v>
      </c>
      <c r="B234" s="93" t="s">
        <v>121</v>
      </c>
      <c r="C234" s="87">
        <f>'Input data plant-based products'!D137</f>
        <v>0.12500817089999999</v>
      </c>
      <c r="D234" s="54"/>
      <c r="E234" s="1293" t="s">
        <v>316</v>
      </c>
      <c r="F234" s="930">
        <f>SUMPRODUCT($CI$4:$CI$6,F235:F237)</f>
        <v>3.1807883263021419E-4</v>
      </c>
      <c r="G234" s="872">
        <f>SUMPRODUCT($CI$4:$CI$6,G235:G237)</f>
        <v>4.0042586456967513</v>
      </c>
      <c r="H234" s="873">
        <f>SUMPRODUCT($CI$4:$CI$6,H235:H237)</f>
        <v>12.026207151531006</v>
      </c>
      <c r="I234" s="884"/>
      <c r="J234" s="884"/>
      <c r="K234" s="884"/>
      <c r="L234" s="884"/>
      <c r="M234" s="884"/>
      <c r="N234" s="884"/>
      <c r="O234" s="884"/>
      <c r="P234" s="884"/>
      <c r="Q234" s="884"/>
      <c r="R234" s="884"/>
      <c r="S234" s="884"/>
      <c r="T234" s="884"/>
      <c r="U234" s="884"/>
      <c r="V234" s="884"/>
      <c r="W234" s="885"/>
      <c r="X234" s="877"/>
      <c r="Y234" s="879">
        <f>1/'Input data plant-based products'!E137*10^4</f>
        <v>25.634452704434761</v>
      </c>
      <c r="Z234" s="877">
        <f>$Y234*'Input data plant-based products'!Z137</f>
        <v>59.279671879005384</v>
      </c>
      <c r="AA234" s="877">
        <f>$Y234*'Input data plant-based products'!AA137</f>
        <v>263.465208351135</v>
      </c>
      <c r="AB234" s="877">
        <f>$Y234*'Input data plant-based products'!AB137</f>
        <v>98.799453131675619</v>
      </c>
      <c r="AC234" s="877">
        <f>$Y234*'Input data plant-based products'!AC137</f>
        <v>160.84567054403848</v>
      </c>
      <c r="AD234" s="886">
        <f>$Y234*'Input data plant-based products'!AD137</f>
        <v>198.57490190622033</v>
      </c>
      <c r="AE234" s="877"/>
      <c r="AF234" s="879">
        <f>SUM('Input data plant-based products'!F137,'Input data plant-based products'!Q137)/'Input data plant-based products'!E137</f>
        <v>0.24352730069213022</v>
      </c>
      <c r="AG234" s="877">
        <f>$AF234*'Input data plant-based products'!Z137</f>
        <v>0.5631568828505511</v>
      </c>
      <c r="AH234" s="877">
        <f>$AF234*'Input data plant-based products'!AA137</f>
        <v>2.5029194793357825</v>
      </c>
      <c r="AI234" s="877">
        <f>$AF234*'Input data plant-based products'!AB137</f>
        <v>0.93859480475091839</v>
      </c>
      <c r="AJ234" s="877">
        <f>$AF234*'Input data plant-based products'!AC137</f>
        <v>1.5280338701683656</v>
      </c>
      <c r="AK234" s="886">
        <f>$AF234*'Input data plant-based products'!AD137</f>
        <v>1.886461568109093</v>
      </c>
      <c r="AL234" s="877"/>
      <c r="AM234" s="879">
        <f>'Input data plant-based products'!R137/'Input data plant-based products'!E137</f>
        <v>1.3043712805475477E-2</v>
      </c>
      <c r="AN234" s="877">
        <f>$AM234*'Input data plant-based products'!Z137</f>
        <v>3.0163585862662039E-2</v>
      </c>
      <c r="AO234" s="877">
        <f>$AM234*'Input data plant-based products'!AA137</f>
        <v>0.13406038161183129</v>
      </c>
      <c r="AP234" s="877">
        <f>$AM234*'Input data plant-based products'!AB137</f>
        <v>5.0272643104436729E-2</v>
      </c>
      <c r="AQ234" s="877">
        <f>$AM234*'Input data plant-based products'!AC137</f>
        <v>8.184394481796782E-2</v>
      </c>
      <c r="AR234" s="886">
        <f>$AM234*'Input data plant-based products'!AD137</f>
        <v>0.1010419071826763</v>
      </c>
      <c r="AS234" s="877"/>
      <c r="AT234" s="879">
        <f>'Input data plant-based products'!S137</f>
        <v>0</v>
      </c>
      <c r="AU234" s="877">
        <f>$AT234*'Input data plant-based products'!Z137</f>
        <v>0</v>
      </c>
      <c r="AV234" s="877">
        <f>$AT234*'Input data plant-based products'!AA137</f>
        <v>0</v>
      </c>
      <c r="AW234" s="877">
        <f>$AT234*'Input data plant-based products'!AB137</f>
        <v>0</v>
      </c>
      <c r="AX234" s="877">
        <f>$AT234*'Input data plant-based products'!AC137</f>
        <v>0</v>
      </c>
      <c r="AY234" s="886">
        <f>$AT234*'Input data plant-based products'!AD137</f>
        <v>0</v>
      </c>
      <c r="AZ234" s="877"/>
      <c r="BA234" s="879">
        <f>((SUM('Input data plant-based products'!U137:Y137)*Y234)/('Common input data'!$B$192/10^6))/$BB$3</f>
        <v>4.1570855630343581E-8</v>
      </c>
      <c r="BB234" s="877">
        <f>$BA234*'Input data plant-based products'!Z137</f>
        <v>9.6132603645169531E-8</v>
      </c>
      <c r="BC234" s="877">
        <f>$BA234*'Input data plant-based products'!AA137</f>
        <v>4.2725601620075346E-7</v>
      </c>
      <c r="BD234" s="877">
        <f>$BA234*'Input data plant-based products'!AB137</f>
        <v>1.6022100607528253E-7</v>
      </c>
      <c r="BE234" s="877">
        <f>$BA234*'Input data plant-based products'!AC137</f>
        <v>2.6084005873061869E-7</v>
      </c>
      <c r="BF234" s="886">
        <f>$BA234*'Input data plant-based products'!AD137</f>
        <v>3.2202476386496134E-7</v>
      </c>
      <c r="BG234" s="877"/>
      <c r="BH234" s="879">
        <f>'Input data plant-based products'!T137/'Input data plant-based products'!E137</f>
        <v>1.596458597759039E-2</v>
      </c>
      <c r="BI234" s="877">
        <f>$BH234*'Input data plant-based products'!Z137</f>
        <v>3.6918105073177776E-2</v>
      </c>
      <c r="BJ234" s="877">
        <f>$BH234*'Input data plant-based products'!AA137</f>
        <v>0.16408046699190121</v>
      </c>
      <c r="BK234" s="877">
        <f>$BH234*'Input data plant-based products'!AB137</f>
        <v>6.1530175121962953E-2</v>
      </c>
      <c r="BL234" s="877">
        <f>$BH234*'Input data plant-based products'!AC137</f>
        <v>0.10017122526978096</v>
      </c>
      <c r="BM234" s="886">
        <f>$BH234*'Input data plant-based products'!AD137</f>
        <v>0.12366817934540859</v>
      </c>
      <c r="BN234" s="877"/>
      <c r="BO234" s="879">
        <f>('Input data plant-based products'!F137/'Input data plant-based products'!E137*'Common input data'!$B$195+'Input data plant-based products'!G137/'Input data plant-based products'!E137*'Common input data'!$B$196)/'Common input data'!$B$198</f>
        <v>6.2181611065782157E-3</v>
      </c>
      <c r="BP234" s="877">
        <f>$BO234*'Input data plant-based products'!Z137</f>
        <v>1.4379497558962125E-2</v>
      </c>
      <c r="BQ234" s="877">
        <f>$BO234*'Input data plant-based products'!AA137</f>
        <v>6.3908878039831654E-2</v>
      </c>
      <c r="BR234" s="877">
        <f>$BO234*'Input data plant-based products'!AB137</f>
        <v>2.3965829264936869E-2</v>
      </c>
      <c r="BS234" s="877">
        <f>$BO234*'Input data plant-based products'!AC137</f>
        <v>3.9016409059726288E-2</v>
      </c>
      <c r="BT234" s="886">
        <f>$BO234*'Input data plant-based products'!AD137</f>
        <v>4.816840624657566E-2</v>
      </c>
      <c r="BU234" s="877"/>
      <c r="BV234" s="879">
        <f>('Common input data'!$C$202+'Common input data'!$B$224)*'Input data plant-based products'!AC137</f>
        <v>43.03050807217474</v>
      </c>
      <c r="BW234" s="886">
        <f>('Common input data'!$C$202+'Common input data'!$B$224)*'Input data plant-based products'!AD137</f>
        <v>53.124084039721893</v>
      </c>
    </row>
    <row r="235" spans="1:253" s="406" customFormat="1" ht="17.25">
      <c r="A235" s="983"/>
      <c r="C235" s="83"/>
      <c r="D235" s="54"/>
      <c r="E235" s="1294" t="s">
        <v>317</v>
      </c>
      <c r="F235" s="928">
        <f t="shared" ref="F235:G237" si="44">F193</f>
        <v>-0.21075904882694424</v>
      </c>
      <c r="G235" s="877">
        <f t="shared" si="44"/>
        <v>2.214604859238726</v>
      </c>
      <c r="H235" s="878">
        <f>SUM(U235:W235)/(1-'Common input data'!$D$140)</f>
        <v>7.1702750216760993</v>
      </c>
      <c r="I235" s="877"/>
      <c r="J235" s="877"/>
      <c r="K235" s="877"/>
      <c r="L235" s="877"/>
      <c r="M235" s="877"/>
      <c r="N235" s="877"/>
      <c r="O235" s="877"/>
      <c r="P235" s="877"/>
      <c r="Q235" s="877"/>
      <c r="R235" s="877"/>
      <c r="S235" s="877"/>
      <c r="T235" s="877"/>
      <c r="U235" s="877">
        <f>(G214+T193)*'Common input data'!G$47/'Common input data'!F$47</f>
        <v>4.0243414320645439</v>
      </c>
      <c r="V235" s="877">
        <f>'Common input data'!B$105</f>
        <v>0.05</v>
      </c>
      <c r="W235" s="886">
        <f>'Common input data'!B$121+'Common input data'!C$121</f>
        <v>0.32999999999999996</v>
      </c>
      <c r="X235" s="877"/>
      <c r="Y235" s="879"/>
      <c r="Z235" s="877"/>
      <c r="AA235" s="877"/>
      <c r="AB235" s="877"/>
      <c r="AC235" s="877"/>
      <c r="AD235" s="886"/>
      <c r="AE235" s="877"/>
      <c r="AF235" s="879"/>
      <c r="AG235" s="877"/>
      <c r="AH235" s="877"/>
      <c r="AI235" s="877"/>
      <c r="AJ235" s="877"/>
      <c r="AK235" s="886"/>
      <c r="AL235" s="877"/>
      <c r="AM235" s="879"/>
      <c r="AN235" s="877"/>
      <c r="AO235" s="877"/>
      <c r="AP235" s="877"/>
      <c r="AQ235" s="877"/>
      <c r="AR235" s="886"/>
      <c r="AS235" s="877"/>
      <c r="AT235" s="879"/>
      <c r="AU235" s="877"/>
      <c r="AV235" s="877"/>
      <c r="AW235" s="877"/>
      <c r="AX235" s="877"/>
      <c r="AY235" s="886"/>
      <c r="AZ235" s="877"/>
      <c r="BA235" s="879"/>
      <c r="BB235" s="877"/>
      <c r="BC235" s="877"/>
      <c r="BD235" s="877"/>
      <c r="BE235" s="877"/>
      <c r="BF235" s="886"/>
      <c r="BG235" s="877"/>
      <c r="BH235" s="879"/>
      <c r="BI235" s="877"/>
      <c r="BJ235" s="877"/>
      <c r="BK235" s="877"/>
      <c r="BL235" s="877"/>
      <c r="BM235" s="886"/>
      <c r="BN235" s="877"/>
      <c r="BO235" s="879"/>
      <c r="BP235" s="877"/>
      <c r="BQ235" s="877"/>
      <c r="BR235" s="877"/>
      <c r="BS235" s="877"/>
      <c r="BT235" s="886"/>
      <c r="BU235" s="877"/>
      <c r="BV235" s="879"/>
      <c r="BW235" s="886"/>
    </row>
    <row r="236" spans="1:253" s="406" customFormat="1" ht="17.25">
      <c r="A236" s="983"/>
      <c r="C236" s="83"/>
      <c r="D236" s="54"/>
      <c r="E236" s="1294" t="s">
        <v>367</v>
      </c>
      <c r="F236" s="928">
        <f t="shared" si="44"/>
        <v>0</v>
      </c>
      <c r="G236" s="877">
        <f t="shared" si="44"/>
        <v>5.0008280447447926E-3</v>
      </c>
      <c r="H236" s="878">
        <f>SUM(U236:W236)/(1-'Common input data'!$D$140)</f>
        <v>1.3568926997001201E-2</v>
      </c>
      <c r="I236" s="877"/>
      <c r="J236" s="877"/>
      <c r="K236" s="877"/>
      <c r="L236" s="877"/>
      <c r="M236" s="877"/>
      <c r="N236" s="877"/>
      <c r="O236" s="877"/>
      <c r="P236" s="877"/>
      <c r="Q236" s="877"/>
      <c r="R236" s="877"/>
      <c r="S236" s="877"/>
      <c r="T236" s="877"/>
      <c r="U236" s="877">
        <f>(G215+T194)*'Common input data'!G$47/'Common input data'!F$47</f>
        <v>8.3347134079079874E-3</v>
      </c>
      <c r="V236" s="877">
        <v>0</v>
      </c>
      <c r="W236" s="886">
        <v>0</v>
      </c>
      <c r="X236" s="877"/>
      <c r="Y236" s="879"/>
      <c r="Z236" s="877"/>
      <c r="AA236" s="877"/>
      <c r="AB236" s="877"/>
      <c r="AC236" s="877"/>
      <c r="AD236" s="886"/>
      <c r="AE236" s="877"/>
      <c r="AF236" s="879"/>
      <c r="AG236" s="877"/>
      <c r="AH236" s="877"/>
      <c r="AI236" s="877"/>
      <c r="AJ236" s="877"/>
      <c r="AK236" s="886"/>
      <c r="AL236" s="877"/>
      <c r="AM236" s="879"/>
      <c r="AN236" s="877"/>
      <c r="AO236" s="877"/>
      <c r="AP236" s="877"/>
      <c r="AQ236" s="877"/>
      <c r="AR236" s="886"/>
      <c r="AS236" s="877"/>
      <c r="AT236" s="879"/>
      <c r="AU236" s="877"/>
      <c r="AV236" s="877"/>
      <c r="AW236" s="877"/>
      <c r="AX236" s="877"/>
      <c r="AY236" s="886"/>
      <c r="AZ236" s="877"/>
      <c r="BA236" s="879"/>
      <c r="BB236" s="877"/>
      <c r="BC236" s="877"/>
      <c r="BD236" s="877"/>
      <c r="BE236" s="877"/>
      <c r="BF236" s="886"/>
      <c r="BG236" s="877"/>
      <c r="BH236" s="879"/>
      <c r="BI236" s="877"/>
      <c r="BJ236" s="877"/>
      <c r="BK236" s="877"/>
      <c r="BL236" s="877"/>
      <c r="BM236" s="886"/>
      <c r="BN236" s="877"/>
      <c r="BO236" s="879"/>
      <c r="BP236" s="877"/>
      <c r="BQ236" s="877"/>
      <c r="BR236" s="877"/>
      <c r="BS236" s="877"/>
      <c r="BT236" s="886"/>
      <c r="BU236" s="877"/>
      <c r="BV236" s="879"/>
      <c r="BW236" s="886"/>
    </row>
    <row r="237" spans="1:253" s="406" customFormat="1" ht="17.25">
      <c r="A237" s="983"/>
      <c r="C237" s="83"/>
      <c r="D237" s="54"/>
      <c r="E237" s="1295" t="s">
        <v>320</v>
      </c>
      <c r="F237" s="928">
        <f t="shared" si="44"/>
        <v>7.7317629179331302E-4</v>
      </c>
      <c r="G237" s="877">
        <f t="shared" si="44"/>
        <v>6.0609209862634295E-3</v>
      </c>
      <c r="H237" s="878">
        <f>SUM(U237:W237)/(1-'Common input data'!$D$140)</f>
        <v>1.6445315388043495E-2</v>
      </c>
      <c r="I237" s="877"/>
      <c r="J237" s="877"/>
      <c r="K237" s="877"/>
      <c r="L237" s="877"/>
      <c r="M237" s="877"/>
      <c r="N237" s="877"/>
      <c r="O237" s="877"/>
      <c r="P237" s="877"/>
      <c r="Q237" s="877"/>
      <c r="R237" s="877"/>
      <c r="S237" s="877"/>
      <c r="T237" s="877"/>
      <c r="U237" s="877">
        <f>(G216+T195)*'Common input data'!G$47/'Common input data'!F$47</f>
        <v>1.0101534977105716E-2</v>
      </c>
      <c r="V237" s="877">
        <v>0</v>
      </c>
      <c r="W237" s="886">
        <v>0</v>
      </c>
      <c r="X237" s="877"/>
      <c r="Y237" s="879"/>
      <c r="Z237" s="877"/>
      <c r="AA237" s="877"/>
      <c r="AB237" s="877"/>
      <c r="AC237" s="877"/>
      <c r="AD237" s="886"/>
      <c r="AE237" s="877"/>
      <c r="AF237" s="879"/>
      <c r="AG237" s="877"/>
      <c r="AH237" s="877"/>
      <c r="AI237" s="877"/>
      <c r="AJ237" s="877"/>
      <c r="AK237" s="886"/>
      <c r="AL237" s="877"/>
      <c r="AM237" s="879"/>
      <c r="AN237" s="877"/>
      <c r="AO237" s="877"/>
      <c r="AP237" s="877"/>
      <c r="AQ237" s="877"/>
      <c r="AR237" s="886"/>
      <c r="AS237" s="877"/>
      <c r="AT237" s="879"/>
      <c r="AU237" s="877"/>
      <c r="AV237" s="877"/>
      <c r="AW237" s="877"/>
      <c r="AX237" s="877"/>
      <c r="AY237" s="886"/>
      <c r="AZ237" s="877"/>
      <c r="BA237" s="879"/>
      <c r="BB237" s="877"/>
      <c r="BC237" s="877"/>
      <c r="BD237" s="877"/>
      <c r="BE237" s="877"/>
      <c r="BF237" s="886"/>
      <c r="BG237" s="877"/>
      <c r="BH237" s="879"/>
      <c r="BI237" s="877"/>
      <c r="BJ237" s="877"/>
      <c r="BK237" s="877"/>
      <c r="BL237" s="877"/>
      <c r="BM237" s="886"/>
      <c r="BN237" s="877"/>
      <c r="BO237" s="879"/>
      <c r="BP237" s="877"/>
      <c r="BQ237" s="877"/>
      <c r="BR237" s="877"/>
      <c r="BS237" s="877"/>
      <c r="BT237" s="886"/>
      <c r="BU237" s="877"/>
      <c r="BV237" s="879"/>
      <c r="BW237" s="886"/>
    </row>
    <row r="238" spans="1:253" s="406" customFormat="1" ht="17.25">
      <c r="A238" s="984" t="s">
        <v>134</v>
      </c>
      <c r="B238" s="93" t="s">
        <v>121</v>
      </c>
      <c r="C238" s="87">
        <f>'Input data plant-based products'!D138</f>
        <v>0.32029800700000011</v>
      </c>
      <c r="D238" s="54"/>
      <c r="E238" s="1293" t="s">
        <v>316</v>
      </c>
      <c r="F238" s="930">
        <f>SUMPRODUCT($CI$4:$CI$6,F239:F241)</f>
        <v>3.1807883263021419E-4</v>
      </c>
      <c r="G238" s="872">
        <f>SUMPRODUCT($CI$4:$CI$6,G239:G241)</f>
        <v>1.0390484257837389</v>
      </c>
      <c r="H238" s="873">
        <f>SUMPRODUCT($CI$4:$CI$6,H239:H241)</f>
        <v>3.3551247456495474</v>
      </c>
      <c r="I238" s="884"/>
      <c r="J238" s="884"/>
      <c r="K238" s="884"/>
      <c r="L238" s="884"/>
      <c r="M238" s="884"/>
      <c r="N238" s="884"/>
      <c r="O238" s="884"/>
      <c r="P238" s="884"/>
      <c r="Q238" s="884"/>
      <c r="R238" s="884"/>
      <c r="S238" s="884"/>
      <c r="T238" s="884"/>
      <c r="U238" s="884"/>
      <c r="V238" s="884"/>
      <c r="W238" s="885"/>
      <c r="X238" s="877"/>
      <c r="Y238" s="879">
        <f>1/'Input data plant-based products'!E138*10^4</f>
        <v>22.479992806402304</v>
      </c>
      <c r="Z238" s="877">
        <f>$Y238*'Input data plant-based products'!Z138</f>
        <v>51.984983364805331</v>
      </c>
      <c r="AA238" s="877">
        <f>$Y238*'Input data plant-based products'!AA138</f>
        <v>231.04437051024587</v>
      </c>
      <c r="AB238" s="877">
        <f>$Y238*'Input data plant-based products'!AB138</f>
        <v>86.641638941342194</v>
      </c>
      <c r="AC238" s="877">
        <f>$Y238*'Input data plant-based products'!AC138</f>
        <v>118.8891252831415</v>
      </c>
      <c r="AD238" s="886">
        <f>$Y238*'Input data plant-based products'!AD138</f>
        <v>146.77669788042161</v>
      </c>
      <c r="AE238" s="877"/>
      <c r="AF238" s="879">
        <f>SUM('Input data plant-based products'!F138,'Input data plant-based products'!Q138)/'Input data plant-based products'!E138</f>
        <v>5.9997599999999998E-2</v>
      </c>
      <c r="AG238" s="877">
        <f>$AF238*'Input data plant-based products'!Z138</f>
        <v>0.13874444999999999</v>
      </c>
      <c r="AH238" s="877">
        <f>$AF238*'Input data plant-based products'!AA138</f>
        <v>0.61664199999999991</v>
      </c>
      <c r="AI238" s="877">
        <f>$AF238*'Input data plant-based products'!AB138</f>
        <v>0.23124074999999997</v>
      </c>
      <c r="AJ238" s="877">
        <f>$AF238*'Input data plant-based products'!AC138</f>
        <v>0.31730713815247813</v>
      </c>
      <c r="AK238" s="886">
        <f>$AF238*'Input data plant-based products'!AD138</f>
        <v>0.39173720759565195</v>
      </c>
      <c r="AL238" s="877"/>
      <c r="AM238" s="879">
        <f>'Input data plant-based products'!R138/'Input data plant-based products'!E138</f>
        <v>0.13662306630250001</v>
      </c>
      <c r="AN238" s="877">
        <f>$AM238*'Input data plant-based products'!Z138</f>
        <v>0.31594084082453128</v>
      </c>
      <c r="AO238" s="877">
        <f>$AM238*'Input data plant-based products'!AA138</f>
        <v>1.4041815147756944</v>
      </c>
      <c r="AP238" s="877">
        <f>$AM238*'Input data plant-based products'!AB138</f>
        <v>0.52656806804088541</v>
      </c>
      <c r="AQ238" s="877">
        <f>$AM238*'Input data plant-based products'!AC138</f>
        <v>0.72255347170657747</v>
      </c>
      <c r="AR238" s="886">
        <f>$AM238*'Input data plant-based products'!AD138</f>
        <v>0.89204132309453998</v>
      </c>
      <c r="AS238" s="877"/>
      <c r="AT238" s="879">
        <f>'Input data plant-based products'!S138</f>
        <v>3.9722540834180118E-3</v>
      </c>
      <c r="AU238" s="877">
        <f>$AT238*'Input data plant-based products'!Z138</f>
        <v>9.185837567904153E-3</v>
      </c>
      <c r="AV238" s="877">
        <f>$AT238*'Input data plant-based products'!AA138</f>
        <v>4.0825944746240676E-2</v>
      </c>
      <c r="AW238" s="877">
        <f>$AT238*'Input data plant-based products'!AB138</f>
        <v>1.5309729279840251E-2</v>
      </c>
      <c r="AX238" s="877">
        <f>$AT238*'Input data plant-based products'!AC138</f>
        <v>2.100791657039389E-2</v>
      </c>
      <c r="AY238" s="886">
        <f>$AT238*'Input data plant-based products'!AD138</f>
        <v>2.5935699469622084E-2</v>
      </c>
      <c r="AZ238" s="877"/>
      <c r="BA238" s="879">
        <f>((SUM('Input data plant-based products'!U138:Y138)*Y238)/('Common input data'!$B$192/10^6))/$BB$3</f>
        <v>1.5423886933595549E-8</v>
      </c>
      <c r="BB238" s="877">
        <f>$BA238*'Input data plant-based products'!Z138</f>
        <v>3.5667738533939707E-8</v>
      </c>
      <c r="BC238" s="877">
        <f>$BA238*'Input data plant-based products'!AA138</f>
        <v>1.5852328237306535E-7</v>
      </c>
      <c r="BD238" s="877">
        <f>$BA238*'Input data plant-based products'!AB138</f>
        <v>5.94462308898995E-8</v>
      </c>
      <c r="BE238" s="877">
        <f>$BA238*'Input data plant-based products'!AC138</f>
        <v>8.1571753238239612E-8</v>
      </c>
      <c r="BF238" s="886">
        <f>$BA238*'Input data plant-based products'!AD138</f>
        <v>1.0070586819535753E-7</v>
      </c>
      <c r="BG238" s="877"/>
      <c r="BH238" s="879">
        <f>'Input data plant-based products'!T138/'Input data plant-based products'!E138</f>
        <v>1.5651531800645227E-2</v>
      </c>
      <c r="BI238" s="877">
        <f>$BH238*'Input data plant-based products'!Z138</f>
        <v>3.6194167288992087E-2</v>
      </c>
      <c r="BJ238" s="877">
        <f>$BH238*'Input data plant-based products'!AA138</f>
        <v>0.1608629657288537</v>
      </c>
      <c r="BK238" s="877">
        <f>$BH238*'Input data plant-based products'!AB138</f>
        <v>6.032361214832014E-2</v>
      </c>
      <c r="BL238" s="877">
        <f>$BH238*'Input data plant-based products'!AC138</f>
        <v>8.2775690417037348E-2</v>
      </c>
      <c r="BM238" s="886">
        <f>$BH238*'Input data plant-based products'!AD138</f>
        <v>0.10219221039140412</v>
      </c>
      <c r="BN238" s="877"/>
      <c r="BO238" s="879">
        <f>('Input data plant-based products'!F138/'Input data plant-based products'!E138*'Common input data'!$B$195+'Input data plant-based products'!G138/'Input data plant-based products'!E138*'Common input data'!$B$196)/'Common input data'!$B$198</f>
        <v>1.5319627070464767E-3</v>
      </c>
      <c r="BP238" s="877">
        <f>$BO238*'Input data plant-based products'!Z138</f>
        <v>3.5426637600449772E-3</v>
      </c>
      <c r="BQ238" s="877">
        <f>$BO238*'Input data plant-based products'!AA138</f>
        <v>1.5745172266866565E-2</v>
      </c>
      <c r="BR238" s="877">
        <f>$BO238*'Input data plant-based products'!AB138</f>
        <v>5.9044396000749611E-3</v>
      </c>
      <c r="BS238" s="877">
        <f>$BO238*'Input data plant-based products'!AC138</f>
        <v>8.1020357869188223E-3</v>
      </c>
      <c r="BT238" s="886">
        <f>$BO238*'Input data plant-based products'!AD138</f>
        <v>1.0002513317183732E-2</v>
      </c>
      <c r="BU238" s="877"/>
      <c r="BV238" s="879">
        <f>('Common input data'!$C$202+'Common input data'!$B$228)*'Input data plant-based products'!AC138</f>
        <v>29.893850050357329</v>
      </c>
      <c r="BW238" s="886">
        <f>('Common input data'!$C$202+'Common input data'!$B$228)*'Input data plant-based products'!AD138</f>
        <v>36.905987716490529</v>
      </c>
    </row>
    <row r="239" spans="1:253" s="406" customFormat="1" ht="17.25">
      <c r="A239" s="983"/>
      <c r="B239" s="360"/>
      <c r="C239" s="83"/>
      <c r="D239" s="54"/>
      <c r="E239" s="1294" t="s">
        <v>317</v>
      </c>
      <c r="F239" s="928">
        <f t="shared" ref="F239:G241" si="45">F197</f>
        <v>-0.21075904882694424</v>
      </c>
      <c r="G239" s="877">
        <f t="shared" si="45"/>
        <v>0.43905879971126421</v>
      </c>
      <c r="H239" s="878">
        <f>SUM(U239:W239)/(1-'Common input data'!$I$140)</f>
        <v>1.9829546071666577</v>
      </c>
      <c r="I239" s="877"/>
      <c r="J239" s="877"/>
      <c r="K239" s="877"/>
      <c r="L239" s="877"/>
      <c r="M239" s="877"/>
      <c r="N239" s="877"/>
      <c r="O239" s="877"/>
      <c r="P239" s="877"/>
      <c r="Q239" s="877"/>
      <c r="R239" s="877"/>
      <c r="S239" s="877"/>
      <c r="T239" s="877"/>
      <c r="U239" s="877">
        <f>(G218+T197)*'Common input data'!G$47/'Common input data'!F$47</f>
        <v>1.0650979995187737</v>
      </c>
      <c r="V239" s="877">
        <f>'Common input data'!B$105</f>
        <v>0.05</v>
      </c>
      <c r="W239" s="886">
        <f>'Common input data'!B$121+'Common input data'!C$121</f>
        <v>0.32999999999999996</v>
      </c>
      <c r="X239" s="877"/>
      <c r="Y239" s="879"/>
      <c r="Z239" s="877"/>
      <c r="AA239" s="877"/>
      <c r="AB239" s="877"/>
      <c r="AC239" s="877"/>
      <c r="AD239" s="886"/>
      <c r="AE239" s="877"/>
      <c r="AF239" s="879"/>
      <c r="AG239" s="877"/>
      <c r="AH239" s="877"/>
      <c r="AI239" s="877"/>
      <c r="AJ239" s="877"/>
      <c r="AK239" s="886"/>
      <c r="AL239" s="877"/>
      <c r="AM239" s="879"/>
      <c r="AN239" s="877"/>
      <c r="AO239" s="877"/>
      <c r="AP239" s="877"/>
      <c r="AQ239" s="877"/>
      <c r="AR239" s="886"/>
      <c r="AS239" s="877"/>
      <c r="AT239" s="879"/>
      <c r="AU239" s="877"/>
      <c r="AV239" s="877"/>
      <c r="AW239" s="877"/>
      <c r="AX239" s="877"/>
      <c r="AY239" s="886"/>
      <c r="AZ239" s="877"/>
      <c r="BA239" s="879"/>
      <c r="BB239" s="877"/>
      <c r="BC239" s="877"/>
      <c r="BD239" s="877"/>
      <c r="BE239" s="877"/>
      <c r="BF239" s="886"/>
      <c r="BG239" s="877"/>
      <c r="BH239" s="879"/>
      <c r="BI239" s="877"/>
      <c r="BJ239" s="877"/>
      <c r="BK239" s="877"/>
      <c r="BL239" s="877"/>
      <c r="BM239" s="886"/>
      <c r="BN239" s="877"/>
      <c r="BO239" s="879"/>
      <c r="BP239" s="877"/>
      <c r="BQ239" s="877"/>
      <c r="BR239" s="877"/>
      <c r="BS239" s="877"/>
      <c r="BT239" s="886"/>
      <c r="BU239" s="877"/>
      <c r="BV239" s="879"/>
      <c r="BW239" s="886"/>
    </row>
    <row r="240" spans="1:253" s="406" customFormat="1" ht="17.25">
      <c r="A240" s="983"/>
      <c r="B240" s="360"/>
      <c r="C240" s="83"/>
      <c r="D240" s="54"/>
      <c r="E240" s="1294" t="s">
        <v>367</v>
      </c>
      <c r="F240" s="928">
        <f t="shared" si="45"/>
        <v>0</v>
      </c>
      <c r="G240" s="877">
        <f t="shared" si="45"/>
        <v>1.2320494656847159E-3</v>
      </c>
      <c r="H240" s="878">
        <f>SUM(U240:W240)/(1-'Common input data'!$I$140)</f>
        <v>2.8176845273357389E-3</v>
      </c>
      <c r="I240" s="877"/>
      <c r="J240" s="877"/>
      <c r="K240" s="877"/>
      <c r="L240" s="877"/>
      <c r="M240" s="877"/>
      <c r="N240" s="877"/>
      <c r="O240" s="877"/>
      <c r="P240" s="877"/>
      <c r="Q240" s="877"/>
      <c r="R240" s="877"/>
      <c r="S240" s="877"/>
      <c r="T240" s="877"/>
      <c r="U240" s="877">
        <f>(G219+T198)*'Common input data'!G$47/'Common input data'!F$47</f>
        <v>2.0534157761411933E-3</v>
      </c>
      <c r="V240" s="877">
        <v>0</v>
      </c>
      <c r="W240" s="886">
        <v>0</v>
      </c>
      <c r="X240" s="877"/>
      <c r="Y240" s="879"/>
      <c r="Z240" s="877"/>
      <c r="AA240" s="877"/>
      <c r="AB240" s="877"/>
      <c r="AC240" s="877"/>
      <c r="AD240" s="886"/>
      <c r="AE240" s="877"/>
      <c r="AF240" s="879"/>
      <c r="AG240" s="877"/>
      <c r="AH240" s="877"/>
      <c r="AI240" s="877"/>
      <c r="AJ240" s="877"/>
      <c r="AK240" s="886"/>
      <c r="AL240" s="877"/>
      <c r="AM240" s="879"/>
      <c r="AN240" s="877"/>
      <c r="AO240" s="877"/>
      <c r="AP240" s="877"/>
      <c r="AQ240" s="877"/>
      <c r="AR240" s="886"/>
      <c r="AS240" s="877"/>
      <c r="AT240" s="879"/>
      <c r="AU240" s="877"/>
      <c r="AV240" s="877"/>
      <c r="AW240" s="877"/>
      <c r="AX240" s="877"/>
      <c r="AY240" s="886"/>
      <c r="AZ240" s="877"/>
      <c r="BA240" s="879"/>
      <c r="BB240" s="877"/>
      <c r="BC240" s="877"/>
      <c r="BD240" s="877"/>
      <c r="BE240" s="877"/>
      <c r="BF240" s="886"/>
      <c r="BG240" s="877"/>
      <c r="BH240" s="879"/>
      <c r="BI240" s="877"/>
      <c r="BJ240" s="877"/>
      <c r="BK240" s="877"/>
      <c r="BL240" s="877"/>
      <c r="BM240" s="886"/>
      <c r="BN240" s="877"/>
      <c r="BO240" s="879"/>
      <c r="BP240" s="877"/>
      <c r="BQ240" s="877"/>
      <c r="BR240" s="877"/>
      <c r="BS240" s="877"/>
      <c r="BT240" s="886"/>
      <c r="BU240" s="877"/>
      <c r="BV240" s="879"/>
      <c r="BW240" s="886"/>
    </row>
    <row r="241" spans="1:253" s="406" customFormat="1" ht="17.25">
      <c r="A241" s="437"/>
      <c r="B241" s="438"/>
      <c r="C241" s="88"/>
      <c r="D241" s="54"/>
      <c r="E241" s="1295" t="s">
        <v>320</v>
      </c>
      <c r="F241" s="932">
        <f t="shared" si="45"/>
        <v>7.7317629179331302E-4</v>
      </c>
      <c r="G241" s="896">
        <f t="shared" si="45"/>
        <v>2.0759131520109424E-3</v>
      </c>
      <c r="H241" s="878">
        <f>SUM(U241:W241)/(1-'Common input data'!$I$140)</f>
        <v>4.7475921474169416E-3</v>
      </c>
      <c r="I241" s="896"/>
      <c r="J241" s="896"/>
      <c r="K241" s="896"/>
      <c r="L241" s="896"/>
      <c r="M241" s="896"/>
      <c r="N241" s="896"/>
      <c r="O241" s="896"/>
      <c r="P241" s="896"/>
      <c r="Q241" s="896"/>
      <c r="R241" s="896"/>
      <c r="S241" s="896"/>
      <c r="T241" s="896"/>
      <c r="U241" s="896">
        <f>(G220+T199)*'Common input data'!G$47/'Common input data'!F$47</f>
        <v>3.4598552533515706E-3</v>
      </c>
      <c r="V241" s="896">
        <v>0</v>
      </c>
      <c r="W241" s="897">
        <v>0</v>
      </c>
      <c r="X241" s="877"/>
      <c r="Y241" s="879"/>
      <c r="Z241" s="877"/>
      <c r="AA241" s="877"/>
      <c r="AB241" s="877"/>
      <c r="AC241" s="877"/>
      <c r="AD241" s="886"/>
      <c r="AE241" s="877"/>
      <c r="AF241" s="879"/>
      <c r="AG241" s="877"/>
      <c r="AH241" s="877"/>
      <c r="AI241" s="877"/>
      <c r="AJ241" s="877"/>
      <c r="AK241" s="886"/>
      <c r="AL241" s="877"/>
      <c r="AM241" s="879"/>
      <c r="AN241" s="877"/>
      <c r="AO241" s="877"/>
      <c r="AP241" s="877"/>
      <c r="AQ241" s="877"/>
      <c r="AR241" s="886"/>
      <c r="AS241" s="877"/>
      <c r="AT241" s="879"/>
      <c r="AU241" s="877"/>
      <c r="AV241" s="877"/>
      <c r="AW241" s="877"/>
      <c r="AX241" s="877"/>
      <c r="AY241" s="886"/>
      <c r="AZ241" s="877"/>
      <c r="BA241" s="879"/>
      <c r="BB241" s="877"/>
      <c r="BC241" s="877"/>
      <c r="BD241" s="877"/>
      <c r="BE241" s="877"/>
      <c r="BF241" s="886"/>
      <c r="BG241" s="877"/>
      <c r="BH241" s="879"/>
      <c r="BI241" s="877"/>
      <c r="BJ241" s="877"/>
      <c r="BK241" s="877"/>
      <c r="BL241" s="877"/>
      <c r="BM241" s="886"/>
      <c r="BN241" s="877"/>
      <c r="BO241" s="879"/>
      <c r="BP241" s="877"/>
      <c r="BQ241" s="877"/>
      <c r="BR241" s="877"/>
      <c r="BS241" s="877"/>
      <c r="BT241" s="886"/>
      <c r="BU241" s="877"/>
      <c r="BV241" s="879"/>
      <c r="BW241" s="886"/>
    </row>
    <row r="242" spans="1:253" s="503" customFormat="1" ht="17.25">
      <c r="A242" s="350" t="s">
        <v>528</v>
      </c>
      <c r="B242" s="351"/>
      <c r="C242" s="902"/>
      <c r="D242" s="54"/>
      <c r="E242" s="1296"/>
      <c r="F242" s="925" t="s">
        <v>529</v>
      </c>
      <c r="G242" s="1290" t="s">
        <v>529</v>
      </c>
      <c r="H242" s="970" t="s">
        <v>530</v>
      </c>
      <c r="I242" s="889"/>
      <c r="J242" s="889"/>
      <c r="K242" s="889"/>
      <c r="L242" s="889"/>
      <c r="M242" s="889"/>
      <c r="N242" s="889"/>
      <c r="O242" s="1305"/>
      <c r="P242" s="889"/>
      <c r="Q242" s="889"/>
      <c r="R242" s="889"/>
      <c r="S242" s="889"/>
      <c r="T242" s="889"/>
      <c r="U242" s="889"/>
      <c r="V242" s="889"/>
      <c r="W242" s="960"/>
      <c r="X242" s="877"/>
      <c r="Y242" s="879"/>
      <c r="Z242" s="877"/>
      <c r="AA242" s="877"/>
      <c r="AB242" s="877"/>
      <c r="AC242" s="877"/>
      <c r="AD242" s="886"/>
      <c r="AE242" s="877"/>
      <c r="AF242" s="879"/>
      <c r="AG242" s="877"/>
      <c r="AH242" s="877"/>
      <c r="AI242" s="877"/>
      <c r="AJ242" s="877"/>
      <c r="AK242" s="886"/>
      <c r="AL242" s="877"/>
      <c r="AM242" s="879"/>
      <c r="AN242" s="877"/>
      <c r="AO242" s="877"/>
      <c r="AP242" s="877"/>
      <c r="AQ242" s="877"/>
      <c r="AR242" s="886"/>
      <c r="AS242" s="877"/>
      <c r="AT242" s="879"/>
      <c r="AU242" s="877"/>
      <c r="AV242" s="877"/>
      <c r="AW242" s="877"/>
      <c r="AX242" s="877"/>
      <c r="AY242" s="886"/>
      <c r="AZ242" s="877"/>
      <c r="BA242" s="879"/>
      <c r="BB242" s="877"/>
      <c r="BC242" s="877"/>
      <c r="BD242" s="877"/>
      <c r="BE242" s="877"/>
      <c r="BF242" s="886"/>
      <c r="BG242" s="877"/>
      <c r="BH242" s="879"/>
      <c r="BI242" s="877"/>
      <c r="BJ242" s="877"/>
      <c r="BK242" s="877"/>
      <c r="BL242" s="877"/>
      <c r="BM242" s="886"/>
      <c r="BN242" s="877"/>
      <c r="BO242" s="879"/>
      <c r="BP242" s="877"/>
      <c r="BQ242" s="877"/>
      <c r="BR242" s="877"/>
      <c r="BS242" s="877"/>
      <c r="BT242" s="886"/>
      <c r="BU242" s="877"/>
      <c r="BV242" s="879"/>
      <c r="BW242" s="886"/>
      <c r="BX242" s="406"/>
      <c r="BY242" s="406"/>
      <c r="BZ242" s="406"/>
      <c r="CA242" s="406"/>
      <c r="CB242" s="406"/>
      <c r="CC242" s="406"/>
      <c r="CD242" s="406"/>
      <c r="CE242" s="406"/>
      <c r="CF242" s="406"/>
      <c r="CG242" s="406"/>
      <c r="CH242" s="406"/>
      <c r="CI242" s="406"/>
      <c r="CJ242" s="406"/>
      <c r="CK242" s="406"/>
      <c r="CL242" s="406"/>
      <c r="CM242" s="406"/>
      <c r="CN242" s="406"/>
      <c r="CO242" s="406"/>
      <c r="CP242" s="406"/>
      <c r="CQ242" s="406"/>
      <c r="CR242" s="406"/>
      <c r="CS242" s="406"/>
      <c r="CT242" s="406"/>
      <c r="CU242" s="406"/>
      <c r="CV242" s="406"/>
      <c r="CW242" s="406"/>
      <c r="CX242" s="406"/>
      <c r="CY242" s="406"/>
      <c r="CZ242" s="406"/>
      <c r="DA242" s="406"/>
      <c r="DB242" s="406"/>
      <c r="DC242" s="406"/>
      <c r="DD242" s="406"/>
      <c r="DE242" s="406"/>
      <c r="DF242" s="406"/>
      <c r="DG242" s="406"/>
      <c r="DH242" s="406"/>
      <c r="DI242" s="406"/>
      <c r="DJ242" s="406"/>
      <c r="DK242" s="406"/>
      <c r="DL242" s="406"/>
      <c r="DM242" s="406"/>
      <c r="DN242" s="406"/>
      <c r="DO242" s="406"/>
      <c r="DP242" s="406"/>
      <c r="DQ242" s="406"/>
      <c r="DR242" s="406"/>
      <c r="DS242" s="406"/>
      <c r="DT242" s="406"/>
      <c r="DU242" s="406"/>
      <c r="DV242" s="406"/>
      <c r="DW242" s="406"/>
      <c r="DX242" s="406"/>
      <c r="DY242" s="406"/>
      <c r="DZ242" s="406"/>
      <c r="EA242" s="406"/>
      <c r="EB242" s="406"/>
      <c r="EC242" s="406"/>
      <c r="ED242" s="406"/>
      <c r="EE242" s="406"/>
      <c r="EF242" s="406"/>
      <c r="EG242" s="406"/>
      <c r="EH242" s="406"/>
      <c r="EI242" s="406"/>
      <c r="EJ242" s="406"/>
      <c r="EK242" s="406"/>
      <c r="EL242" s="406"/>
      <c r="EM242" s="406"/>
      <c r="EN242" s="406"/>
      <c r="EO242" s="406"/>
      <c r="EP242" s="406"/>
      <c r="EQ242" s="406"/>
      <c r="ER242" s="406"/>
      <c r="ES242" s="406"/>
      <c r="ET242" s="406"/>
      <c r="EU242" s="406"/>
      <c r="EV242" s="406"/>
      <c r="EW242" s="406"/>
      <c r="EX242" s="406"/>
      <c r="EY242" s="406"/>
      <c r="EZ242" s="406"/>
      <c r="FA242" s="406"/>
      <c r="FB242" s="406"/>
      <c r="FC242" s="406"/>
      <c r="FD242" s="406"/>
      <c r="FE242" s="406"/>
      <c r="FF242" s="406"/>
      <c r="FG242" s="406"/>
      <c r="FH242" s="406"/>
      <c r="FI242" s="406"/>
      <c r="FJ242" s="406"/>
      <c r="FK242" s="406"/>
      <c r="FL242" s="406"/>
      <c r="FM242" s="406"/>
      <c r="FN242" s="406"/>
      <c r="FO242" s="406"/>
      <c r="FP242" s="406"/>
      <c r="FQ242" s="406"/>
      <c r="FR242" s="406"/>
      <c r="FS242" s="406"/>
      <c r="FT242" s="406"/>
      <c r="FU242" s="406"/>
      <c r="FV242" s="406"/>
      <c r="FW242" s="406"/>
      <c r="FX242" s="406"/>
      <c r="FY242" s="406"/>
      <c r="FZ242" s="406"/>
      <c r="GA242" s="406"/>
      <c r="GB242" s="406"/>
      <c r="GC242" s="406"/>
      <c r="GD242" s="406"/>
      <c r="GE242" s="406"/>
      <c r="GF242" s="406"/>
      <c r="GG242" s="406"/>
      <c r="GH242" s="406"/>
      <c r="GI242" s="406"/>
      <c r="GJ242" s="406"/>
      <c r="GK242" s="406"/>
      <c r="GL242" s="406"/>
      <c r="GM242" s="406"/>
      <c r="GN242" s="406"/>
      <c r="GO242" s="406"/>
      <c r="GP242" s="406"/>
      <c r="GQ242" s="406"/>
      <c r="GR242" s="406"/>
      <c r="GS242" s="406"/>
      <c r="GT242" s="406"/>
      <c r="GU242" s="406"/>
      <c r="GV242" s="406"/>
      <c r="GW242" s="406"/>
      <c r="GX242" s="406"/>
      <c r="GY242" s="406"/>
      <c r="GZ242" s="406"/>
      <c r="HA242" s="406"/>
      <c r="HB242" s="406"/>
      <c r="HC242" s="406"/>
      <c r="HD242" s="406"/>
      <c r="HE242" s="406"/>
      <c r="HF242" s="406"/>
      <c r="HG242" s="406"/>
      <c r="HH242" s="406"/>
      <c r="HI242" s="406"/>
      <c r="HJ242" s="406"/>
      <c r="HK242" s="406"/>
      <c r="HL242" s="406"/>
      <c r="HM242" s="406"/>
      <c r="HN242" s="406"/>
      <c r="HO242" s="406"/>
      <c r="HP242" s="406"/>
      <c r="HQ242" s="406"/>
      <c r="HR242" s="406"/>
      <c r="HS242" s="406"/>
      <c r="HT242" s="406"/>
      <c r="HU242" s="406"/>
      <c r="HV242" s="406"/>
      <c r="HW242" s="406"/>
      <c r="HX242" s="406"/>
      <c r="HY242" s="406"/>
      <c r="HZ242" s="406"/>
      <c r="IA242" s="406"/>
      <c r="IB242" s="406"/>
      <c r="IC242" s="406"/>
      <c r="ID242" s="406"/>
      <c r="IE242" s="406"/>
      <c r="IF242" s="406"/>
      <c r="IG242" s="406"/>
      <c r="IH242" s="406"/>
      <c r="II242" s="406"/>
      <c r="IJ242" s="406"/>
      <c r="IK242" s="406"/>
      <c r="IL242" s="406"/>
      <c r="IM242" s="406"/>
      <c r="IN242" s="406"/>
      <c r="IO242" s="406"/>
      <c r="IP242" s="406"/>
      <c r="IQ242" s="406"/>
      <c r="IR242" s="406"/>
      <c r="IS242" s="406"/>
    </row>
    <row r="243" spans="1:253" s="502" customFormat="1" ht="17.25">
      <c r="A243" s="20" t="s">
        <v>120</v>
      </c>
      <c r="B243" s="93"/>
      <c r="C243" s="903">
        <f>SUM(C247:C258)</f>
        <v>1</v>
      </c>
      <c r="D243" s="26"/>
      <c r="E243" s="1293" t="s">
        <v>316</v>
      </c>
      <c r="F243" s="926">
        <f>IF($G$1="GWP100 without fb",F244+F245*'Common input data'!$C$6+F246*'Common input data'!$E$6,IF($G$1="GWP100 with fb",F244+F245*'Common input data'!$C$7+F246*'Common input data'!$E$7,IF($G$1="GTP100 without fb",F244+F245*'Common input data'!$C$8+F246*'Common input data'!$E$8,IF($G$1="GTP100 with fb",F244+F245*'Common input data'!$C$9+F246*'Common input data'!$E$9,F244+F245*'Common input data'!$C$10+F246*'Common input data'!$E$10))))</f>
        <v>0.53330652188420979</v>
      </c>
      <c r="G243" s="874">
        <f>IF($G$1="GWP100 without fb",G244+G245*'Common input data'!$C$6+G246*'Common input data'!$E$6,IF($G$1="GWP100 with fb",G244+G245*'Common input data'!$C$7+G246*'Common input data'!$E$7,IF($G$1="GTP100 without fb",G244+G245*'Common input data'!$C$8+G246*'Common input data'!$E$8,IF($G$1="GTP100 with fb",G244+G245*'Common input data'!$C$9+G246*'Common input data'!$E$9,G244+G245*'Common input data'!$C$10+G246*'Common input data'!$E$10))))</f>
        <v>2.3301512387819923</v>
      </c>
      <c r="H243" s="927">
        <f>IF($G$1="GWP100 without fb",H244+H245*'Common input data'!$C$6+H246*'Common input data'!$E$6,IF($G$1="GWP100 with fb",H244+H245*'Common input data'!$C$7+H246*'Common input data'!$E$7,IF($G$1="GTP100 without fb",H244+H245*'Common input data'!$C$8+H246*'Common input data'!$E$8,IF($G$1="GTP100 with fb",H244+H245*'Common input data'!$C$9+H246*'Common input data'!$E$9,H244+H245*'Common input data'!$C$10+H246*'Common input data'!$E$10))))</f>
        <v>4.7525892066131989</v>
      </c>
      <c r="I243" s="872"/>
      <c r="J243" s="884"/>
      <c r="K243" s="884"/>
      <c r="L243" s="884"/>
      <c r="M243" s="884"/>
      <c r="N243" s="884"/>
      <c r="O243" s="884"/>
      <c r="P243" s="884"/>
      <c r="Q243" s="884"/>
      <c r="R243" s="884"/>
      <c r="S243" s="884"/>
      <c r="T243" s="884"/>
      <c r="U243" s="884"/>
      <c r="V243" s="884"/>
      <c r="W243" s="885"/>
      <c r="X243" s="877"/>
      <c r="Y243" s="883">
        <f>Y247*$C$247+Y251*$C$251+Y255*$C$255</f>
        <v>10.332126495266939</v>
      </c>
      <c r="Z243" s="884">
        <f>Z247*$C$247+Z251*$C$251+Z255*$C$255</f>
        <v>10.332126495266939</v>
      </c>
      <c r="AA243" s="884">
        <f t="shared" ref="AA243:BW243" si="46">AA247*$C$247+AA251*$C$251+AA255*$C$255</f>
        <v>12.300150589603501</v>
      </c>
      <c r="AB243" s="884">
        <f t="shared" si="46"/>
        <v>12.300150589603501</v>
      </c>
      <c r="AC243" s="884">
        <f t="shared" si="46"/>
        <v>17.64477365250719</v>
      </c>
      <c r="AD243" s="885">
        <f t="shared" si="46"/>
        <v>21.783671175934806</v>
      </c>
      <c r="AE243" s="877"/>
      <c r="AF243" s="883">
        <f t="shared" si="46"/>
        <v>0.12805128889104794</v>
      </c>
      <c r="AG243" s="884">
        <f t="shared" si="46"/>
        <v>0.12805128889104794</v>
      </c>
      <c r="AH243" s="884">
        <f t="shared" si="46"/>
        <v>0.1524420105845809</v>
      </c>
      <c r="AI243" s="884">
        <f t="shared" si="46"/>
        <v>0.1524420105845809</v>
      </c>
      <c r="AJ243" s="884">
        <f t="shared" si="46"/>
        <v>0.21649663710447387</v>
      </c>
      <c r="AK243" s="885">
        <f t="shared" si="46"/>
        <v>0.26727979889441222</v>
      </c>
      <c r="AL243" s="877"/>
      <c r="AM243" s="883">
        <f t="shared" si="46"/>
        <v>3.2776464521133163E-2</v>
      </c>
      <c r="AN243" s="884">
        <f t="shared" si="46"/>
        <v>3.2776464521133163E-2</v>
      </c>
      <c r="AO243" s="884">
        <f t="shared" si="46"/>
        <v>3.9019600620396624E-2</v>
      </c>
      <c r="AP243" s="884">
        <f t="shared" si="46"/>
        <v>3.9019600620396624E-2</v>
      </c>
      <c r="AQ243" s="884">
        <f t="shared" si="46"/>
        <v>5.6621756688904692E-2</v>
      </c>
      <c r="AR243" s="885">
        <f t="shared" si="46"/>
        <v>6.9903403319635432E-2</v>
      </c>
      <c r="AS243" s="877"/>
      <c r="AT243" s="883">
        <f t="shared" si="46"/>
        <v>0.12618883867377018</v>
      </c>
      <c r="AU243" s="884">
        <f t="shared" si="46"/>
        <v>0.12618883867377018</v>
      </c>
      <c r="AV243" s="884">
        <f t="shared" si="46"/>
        <v>0.15022480794496451</v>
      </c>
      <c r="AW243" s="884">
        <f t="shared" si="46"/>
        <v>0.15022480794496451</v>
      </c>
      <c r="AX243" s="884">
        <f t="shared" si="46"/>
        <v>0.21849910020766397</v>
      </c>
      <c r="AY243" s="885">
        <f t="shared" si="46"/>
        <v>0.26975197556501729</v>
      </c>
      <c r="AZ243" s="877"/>
      <c r="BA243" s="883">
        <f t="shared" si="46"/>
        <v>5.0063478634372044E-9</v>
      </c>
      <c r="BB243" s="884">
        <f t="shared" si="46"/>
        <v>5.0063478634372044E-9</v>
      </c>
      <c r="BC243" s="884">
        <f t="shared" si="46"/>
        <v>5.9599379326633384E-9</v>
      </c>
      <c r="BD243" s="884">
        <f t="shared" si="46"/>
        <v>5.9599379326633384E-9</v>
      </c>
      <c r="BE243" s="884">
        <f t="shared" si="46"/>
        <v>8.6452547311301772E-9</v>
      </c>
      <c r="BF243" s="885">
        <f t="shared" si="46"/>
        <v>1.0673153989049601E-8</v>
      </c>
      <c r="BG243" s="877"/>
      <c r="BH243" s="883">
        <f t="shared" si="46"/>
        <v>4.2468013731321291E-3</v>
      </c>
      <c r="BI243" s="884">
        <f t="shared" si="46"/>
        <v>4.2468013731321291E-3</v>
      </c>
      <c r="BJ243" s="884">
        <f t="shared" si="46"/>
        <v>5.0557159203953924E-3</v>
      </c>
      <c r="BK243" s="884">
        <f t="shared" si="46"/>
        <v>5.0557159203953924E-3</v>
      </c>
      <c r="BL243" s="884">
        <f t="shared" si="46"/>
        <v>7.3159638419101319E-3</v>
      </c>
      <c r="BM243" s="885">
        <f t="shared" si="46"/>
        <v>9.0320541258149777E-3</v>
      </c>
      <c r="BN243" s="877"/>
      <c r="BO243" s="883">
        <f t="shared" si="46"/>
        <v>3.269627437936188E-3</v>
      </c>
      <c r="BP243" s="884">
        <f t="shared" si="46"/>
        <v>3.269627437936188E-3</v>
      </c>
      <c r="BQ243" s="884">
        <f t="shared" si="46"/>
        <v>3.8924136165907003E-3</v>
      </c>
      <c r="BR243" s="884">
        <f t="shared" si="46"/>
        <v>3.8924136165907003E-3</v>
      </c>
      <c r="BS243" s="884">
        <f t="shared" si="46"/>
        <v>5.5279673561113851E-3</v>
      </c>
      <c r="BT243" s="885">
        <f t="shared" si="46"/>
        <v>6.8246510569276372E-3</v>
      </c>
      <c r="BU243" s="877"/>
      <c r="BV243" s="883">
        <f t="shared" si="46"/>
        <v>9.1927961211907991</v>
      </c>
      <c r="BW243" s="885">
        <f t="shared" si="46"/>
        <v>11.349131013815802</v>
      </c>
      <c r="BX243" s="406"/>
      <c r="BY243" s="406"/>
      <c r="BZ243" s="406"/>
      <c r="CA243" s="406"/>
      <c r="CB243" s="406"/>
      <c r="CC243" s="406"/>
      <c r="CD243" s="406"/>
      <c r="CE243" s="406"/>
      <c r="CF243" s="406"/>
      <c r="CG243" s="406"/>
      <c r="CH243" s="406"/>
      <c r="CI243" s="406"/>
      <c r="CJ243" s="406"/>
      <c r="CK243" s="406"/>
      <c r="CL243" s="406"/>
      <c r="CM243" s="406"/>
      <c r="CN243" s="406"/>
      <c r="CO243" s="406"/>
      <c r="CP243" s="406"/>
      <c r="CQ243" s="406"/>
      <c r="CR243" s="406"/>
      <c r="CS243" s="406"/>
      <c r="CT243" s="406"/>
      <c r="CU243" s="406"/>
      <c r="CV243" s="406"/>
      <c r="CW243" s="406"/>
      <c r="CX243" s="406"/>
      <c r="CY243" s="406"/>
      <c r="CZ243" s="406"/>
      <c r="DA243" s="406"/>
      <c r="DB243" s="406"/>
      <c r="DC243" s="406"/>
      <c r="DD243" s="406"/>
      <c r="DE243" s="406"/>
      <c r="DF243" s="406"/>
      <c r="DG243" s="406"/>
      <c r="DH243" s="406"/>
      <c r="DI243" s="406"/>
      <c r="DJ243" s="406"/>
      <c r="DK243" s="406"/>
      <c r="DL243" s="406"/>
      <c r="DM243" s="406"/>
      <c r="DN243" s="406"/>
      <c r="DO243" s="406"/>
      <c r="DP243" s="406"/>
      <c r="DQ243" s="406"/>
      <c r="DR243" s="406"/>
      <c r="DS243" s="406"/>
      <c r="DT243" s="406"/>
      <c r="DU243" s="406"/>
      <c r="DV243" s="406"/>
      <c r="DW243" s="406"/>
      <c r="DX243" s="406"/>
      <c r="DY243" s="406"/>
      <c r="DZ243" s="406"/>
      <c r="EA243" s="406"/>
      <c r="EB243" s="406"/>
      <c r="EC243" s="406"/>
      <c r="ED243" s="406"/>
      <c r="EE243" s="406"/>
      <c r="EF243" s="406"/>
      <c r="EG243" s="406"/>
      <c r="EH243" s="406"/>
      <c r="EI243" s="406"/>
      <c r="EJ243" s="406"/>
      <c r="EK243" s="406"/>
      <c r="EL243" s="406"/>
      <c r="EM243" s="406"/>
      <c r="EN243" s="406"/>
      <c r="EO243" s="406"/>
      <c r="EP243" s="406"/>
      <c r="EQ243" s="406"/>
      <c r="ER243" s="406"/>
      <c r="ES243" s="406"/>
      <c r="ET243" s="406"/>
      <c r="EU243" s="406"/>
      <c r="EV243" s="406"/>
      <c r="EW243" s="406"/>
      <c r="EX243" s="406"/>
      <c r="EY243" s="406"/>
      <c r="EZ243" s="406"/>
      <c r="FA243" s="406"/>
      <c r="FB243" s="406"/>
      <c r="FC243" s="406"/>
      <c r="FD243" s="406"/>
      <c r="FE243" s="406"/>
      <c r="FF243" s="406"/>
      <c r="FG243" s="406"/>
      <c r="FH243" s="406"/>
      <c r="FI243" s="406"/>
      <c r="FJ243" s="406"/>
      <c r="FK243" s="406"/>
      <c r="FL243" s="406"/>
      <c r="FM243" s="406"/>
      <c r="FN243" s="406"/>
      <c r="FO243" s="406"/>
      <c r="FP243" s="406"/>
      <c r="FQ243" s="406"/>
      <c r="FR243" s="406"/>
      <c r="FS243" s="406"/>
      <c r="FT243" s="406"/>
      <c r="FU243" s="406"/>
      <c r="FV243" s="406"/>
      <c r="FW243" s="406"/>
      <c r="FX243" s="406"/>
      <c r="FY243" s="406"/>
      <c r="FZ243" s="406"/>
      <c r="GA243" s="406"/>
      <c r="GB243" s="406"/>
      <c r="GC243" s="406"/>
      <c r="GD243" s="406"/>
      <c r="GE243" s="406"/>
      <c r="GF243" s="406"/>
      <c r="GG243" s="406"/>
      <c r="GH243" s="406"/>
      <c r="GI243" s="406"/>
      <c r="GJ243" s="406"/>
      <c r="GK243" s="406"/>
      <c r="GL243" s="406"/>
      <c r="GM243" s="406"/>
      <c r="GN243" s="406"/>
      <c r="GO243" s="406"/>
      <c r="GP243" s="406"/>
      <c r="GQ243" s="406"/>
      <c r="GR243" s="406"/>
      <c r="GS243" s="406"/>
      <c r="GT243" s="406"/>
      <c r="GU243" s="406"/>
      <c r="GV243" s="406"/>
      <c r="GW243" s="406"/>
      <c r="GX243" s="406"/>
      <c r="GY243" s="406"/>
      <c r="GZ243" s="406"/>
      <c r="HA243" s="406"/>
      <c r="HB243" s="406"/>
      <c r="HC243" s="406"/>
      <c r="HD243" s="406"/>
      <c r="HE243" s="406"/>
      <c r="HF243" s="406"/>
      <c r="HG243" s="406"/>
      <c r="HH243" s="406"/>
      <c r="HI243" s="406"/>
      <c r="HJ243" s="406"/>
      <c r="HK243" s="406"/>
      <c r="HL243" s="406"/>
      <c r="HM243" s="406"/>
      <c r="HN243" s="406"/>
      <c r="HO243" s="406"/>
      <c r="HP243" s="406"/>
      <c r="HQ243" s="406"/>
      <c r="HR243" s="406"/>
      <c r="HS243" s="406"/>
      <c r="HT243" s="406"/>
      <c r="HU243" s="406"/>
      <c r="HV243" s="406"/>
      <c r="HW243" s="406"/>
      <c r="HX243" s="406"/>
      <c r="HY243" s="406"/>
      <c r="HZ243" s="406"/>
      <c r="IA243" s="406"/>
      <c r="IB243" s="406"/>
      <c r="IC243" s="406"/>
      <c r="ID243" s="406"/>
      <c r="IE243" s="406"/>
      <c r="IF243" s="406"/>
      <c r="IG243" s="406"/>
      <c r="IH243" s="406"/>
      <c r="II243" s="406"/>
      <c r="IJ243" s="406"/>
      <c r="IK243" s="406"/>
      <c r="IL243" s="406"/>
      <c r="IM243" s="406"/>
      <c r="IN243" s="406"/>
      <c r="IO243" s="406"/>
      <c r="IP243" s="406"/>
      <c r="IQ243" s="406"/>
      <c r="IR243" s="406"/>
      <c r="IS243" s="406"/>
    </row>
    <row r="244" spans="1:253" s="406" customFormat="1" ht="17.25">
      <c r="A244" s="499"/>
      <c r="B244" s="55"/>
      <c r="C244" s="917"/>
      <c r="D244" s="5"/>
      <c r="E244" s="1294" t="s">
        <v>317</v>
      </c>
      <c r="F244" s="928">
        <f>F248*$C$247+F252*$C$251+F256*$C$255</f>
        <v>-9.1139048141381296E-2</v>
      </c>
      <c r="G244" s="877">
        <f t="shared" ref="G244:W246" si="47">G248*$C$247+G252*$C$251+G256*$C$255</f>
        <v>1.3473327544417317</v>
      </c>
      <c r="H244" s="878">
        <f t="shared" si="47"/>
        <v>3.0959622541250691</v>
      </c>
      <c r="I244" s="877">
        <f t="shared" si="47"/>
        <v>0.53570758962184739</v>
      </c>
      <c r="J244" s="877">
        <f t="shared" si="47"/>
        <v>0.03</v>
      </c>
      <c r="K244" s="877">
        <f t="shared" si="47"/>
        <v>0</v>
      </c>
      <c r="L244" s="877">
        <f t="shared" si="47"/>
        <v>0</v>
      </c>
      <c r="M244" s="877"/>
      <c r="N244" s="877">
        <f t="shared" si="47"/>
        <v>0.38655973344698419</v>
      </c>
      <c r="O244" s="877">
        <f t="shared" si="47"/>
        <v>0</v>
      </c>
      <c r="P244" s="877">
        <f t="shared" si="47"/>
        <v>0.4</v>
      </c>
      <c r="Q244" s="877">
        <f t="shared" si="47"/>
        <v>8.6204479514281451E-2</v>
      </c>
      <c r="R244" s="877">
        <f t="shared" si="47"/>
        <v>-9.1139048141381296E-2</v>
      </c>
      <c r="S244" s="877">
        <f t="shared" si="47"/>
        <v>0</v>
      </c>
      <c r="T244" s="877">
        <f t="shared" si="47"/>
        <v>0.1</v>
      </c>
      <c r="U244" s="877">
        <f t="shared" si="47"/>
        <v>1.7230151838592045</v>
      </c>
      <c r="V244" s="877">
        <f t="shared" si="47"/>
        <v>0.05</v>
      </c>
      <c r="W244" s="886">
        <f t="shared" si="47"/>
        <v>0.386208147180095</v>
      </c>
      <c r="X244" s="877"/>
      <c r="Y244" s="879"/>
      <c r="Z244" s="877"/>
      <c r="AA244" s="877"/>
      <c r="AB244" s="877"/>
      <c r="AC244" s="877"/>
      <c r="AD244" s="886"/>
      <c r="AE244" s="877"/>
      <c r="AF244" s="879"/>
      <c r="AG244" s="877"/>
      <c r="AH244" s="877"/>
      <c r="AI244" s="877"/>
      <c r="AJ244" s="877"/>
      <c r="AK244" s="886"/>
      <c r="AL244" s="877"/>
      <c r="AM244" s="879"/>
      <c r="AN244" s="877"/>
      <c r="AO244" s="877"/>
      <c r="AP244" s="877"/>
      <c r="AQ244" s="877"/>
      <c r="AR244" s="886"/>
      <c r="AS244" s="877"/>
      <c r="AT244" s="879"/>
      <c r="AU244" s="877"/>
      <c r="AV244" s="877"/>
      <c r="AW244" s="877"/>
      <c r="AX244" s="877"/>
      <c r="AY244" s="886"/>
      <c r="AZ244" s="877"/>
      <c r="BA244" s="879"/>
      <c r="BB244" s="877"/>
      <c r="BC244" s="877"/>
      <c r="BD244" s="877"/>
      <c r="BE244" s="877"/>
      <c r="BF244" s="886"/>
      <c r="BG244" s="877"/>
      <c r="BH244" s="879"/>
      <c r="BI244" s="877"/>
      <c r="BJ244" s="877"/>
      <c r="BK244" s="877"/>
      <c r="BL244" s="877"/>
      <c r="BM244" s="886"/>
      <c r="BN244" s="877"/>
      <c r="BO244" s="879"/>
      <c r="BP244" s="877"/>
      <c r="BQ244" s="877"/>
      <c r="BR244" s="877"/>
      <c r="BS244" s="877"/>
      <c r="BT244" s="886"/>
      <c r="BU244" s="877"/>
      <c r="BV244" s="879"/>
      <c r="BW244" s="886"/>
    </row>
    <row r="245" spans="1:253" s="406" customFormat="1" ht="17.25">
      <c r="A245" s="499"/>
      <c r="B245" s="55"/>
      <c r="C245" s="595"/>
      <c r="D245" s="50"/>
      <c r="E245" s="1294" t="s">
        <v>367</v>
      </c>
      <c r="F245" s="928">
        <f t="shared" ref="F245:V246" si="48">F249*$C$247+F253*$C$251+F257*$C$255</f>
        <v>0</v>
      </c>
      <c r="G245" s="877">
        <f t="shared" si="48"/>
        <v>1.355545298637015E-3</v>
      </c>
      <c r="H245" s="878">
        <f t="shared" si="48"/>
        <v>2.2962561594379958E-3</v>
      </c>
      <c r="I245" s="877">
        <f t="shared" si="48"/>
        <v>1.1370942914001592E-3</v>
      </c>
      <c r="J245" s="877">
        <f t="shared" si="48"/>
        <v>0</v>
      </c>
      <c r="K245" s="877">
        <f t="shared" si="48"/>
        <v>0</v>
      </c>
      <c r="L245" s="877">
        <f t="shared" si="48"/>
        <v>0</v>
      </c>
      <c r="M245" s="877"/>
      <c r="N245" s="877">
        <f t="shared" si="48"/>
        <v>1.7123292723685563E-4</v>
      </c>
      <c r="O245" s="877">
        <f t="shared" si="48"/>
        <v>0</v>
      </c>
      <c r="P245" s="877">
        <f t="shared" si="48"/>
        <v>0</v>
      </c>
      <c r="Q245" s="877">
        <f t="shared" si="48"/>
        <v>4.7218079999999844E-5</v>
      </c>
      <c r="R245" s="877">
        <f t="shared" si="48"/>
        <v>0</v>
      </c>
      <c r="S245" s="877">
        <f t="shared" si="48"/>
        <v>0</v>
      </c>
      <c r="T245" s="877">
        <f t="shared" si="48"/>
        <v>0</v>
      </c>
      <c r="U245" s="877">
        <f t="shared" si="48"/>
        <v>1.6137444031393035E-3</v>
      </c>
      <c r="V245" s="877">
        <f t="shared" si="48"/>
        <v>0</v>
      </c>
      <c r="W245" s="886">
        <f t="shared" si="47"/>
        <v>0</v>
      </c>
      <c r="X245" s="877"/>
      <c r="Y245" s="879"/>
      <c r="Z245" s="877"/>
      <c r="AA245" s="877"/>
      <c r="AB245" s="877"/>
      <c r="AC245" s="877"/>
      <c r="AD245" s="886"/>
      <c r="AE245" s="877"/>
      <c r="AF245" s="879"/>
      <c r="AG245" s="877"/>
      <c r="AH245" s="877"/>
      <c r="AI245" s="877"/>
      <c r="AJ245" s="877"/>
      <c r="AK245" s="886"/>
      <c r="AL245" s="877"/>
      <c r="AM245" s="879"/>
      <c r="AN245" s="877"/>
      <c r="AO245" s="877"/>
      <c r="AP245" s="877"/>
      <c r="AQ245" s="877"/>
      <c r="AR245" s="886"/>
      <c r="AS245" s="877"/>
      <c r="AT245" s="879"/>
      <c r="AU245" s="877"/>
      <c r="AV245" s="877"/>
      <c r="AW245" s="877"/>
      <c r="AX245" s="877"/>
      <c r="AY245" s="886"/>
      <c r="AZ245" s="877"/>
      <c r="BA245" s="879"/>
      <c r="BB245" s="877"/>
      <c r="BC245" s="877"/>
      <c r="BD245" s="877"/>
      <c r="BE245" s="877"/>
      <c r="BF245" s="886"/>
      <c r="BG245" s="877"/>
      <c r="BH245" s="879"/>
      <c r="BI245" s="877"/>
      <c r="BJ245" s="877"/>
      <c r="BK245" s="877"/>
      <c r="BL245" s="877"/>
      <c r="BM245" s="886"/>
      <c r="BN245" s="877"/>
      <c r="BO245" s="879"/>
      <c r="BP245" s="877"/>
      <c r="BQ245" s="877"/>
      <c r="BR245" s="877"/>
      <c r="BS245" s="877"/>
      <c r="BT245" s="886"/>
      <c r="BU245" s="877"/>
      <c r="BV245" s="879"/>
      <c r="BW245" s="886"/>
    </row>
    <row r="246" spans="1:253" s="406" customFormat="1" ht="17.25">
      <c r="A246" s="18"/>
      <c r="B246" s="360"/>
      <c r="C246" s="83"/>
      <c r="D246" s="54"/>
      <c r="E246" s="1295" t="s">
        <v>320</v>
      </c>
      <c r="F246" s="928">
        <f t="shared" si="48"/>
        <v>2.3042271956663879E-3</v>
      </c>
      <c r="G246" s="877">
        <f t="shared" si="47"/>
        <v>3.536600254482635E-3</v>
      </c>
      <c r="H246" s="878">
        <f t="shared" si="47"/>
        <v>5.9604957255285831E-3</v>
      </c>
      <c r="I246" s="877">
        <f t="shared" si="47"/>
        <v>1.2023337440650375E-3</v>
      </c>
      <c r="J246" s="877">
        <f t="shared" si="47"/>
        <v>0</v>
      </c>
      <c r="K246" s="877">
        <f t="shared" si="47"/>
        <v>2.0947519960603524E-3</v>
      </c>
      <c r="L246" s="877">
        <f t="shared" si="47"/>
        <v>2.0947519960603527E-4</v>
      </c>
      <c r="M246" s="877"/>
      <c r="N246" s="877">
        <f t="shared" si="47"/>
        <v>1.0387010751209799E-5</v>
      </c>
      <c r="O246" s="877">
        <f t="shared" si="47"/>
        <v>0</v>
      </c>
      <c r="P246" s="877">
        <f t="shared" si="47"/>
        <v>0</v>
      </c>
      <c r="Q246" s="877">
        <f t="shared" si="47"/>
        <v>1.9652303999999982E-5</v>
      </c>
      <c r="R246" s="877">
        <f t="shared" si="47"/>
        <v>0</v>
      </c>
      <c r="S246" s="877">
        <f t="shared" si="47"/>
        <v>0</v>
      </c>
      <c r="T246" s="877">
        <f t="shared" si="47"/>
        <v>0</v>
      </c>
      <c r="U246" s="877">
        <f t="shared" si="47"/>
        <v>4.2102383981936133E-3</v>
      </c>
      <c r="V246" s="877">
        <f t="shared" si="47"/>
        <v>0</v>
      </c>
      <c r="W246" s="886">
        <f t="shared" si="47"/>
        <v>0</v>
      </c>
      <c r="X246" s="877"/>
      <c r="Y246" s="879"/>
      <c r="Z246" s="877"/>
      <c r="AA246" s="877"/>
      <c r="AB246" s="877"/>
      <c r="AC246" s="877"/>
      <c r="AD246" s="886"/>
      <c r="AE246" s="877"/>
      <c r="AF246" s="879"/>
      <c r="AG246" s="877"/>
      <c r="AH246" s="877"/>
      <c r="AI246" s="877"/>
      <c r="AJ246" s="877"/>
      <c r="AK246" s="886"/>
      <c r="AL246" s="877"/>
      <c r="AM246" s="879"/>
      <c r="AN246" s="877"/>
      <c r="AO246" s="877"/>
      <c r="AP246" s="877"/>
      <c r="AQ246" s="877"/>
      <c r="AR246" s="886"/>
      <c r="AS246" s="877"/>
      <c r="AT246" s="879"/>
      <c r="AU246" s="877"/>
      <c r="AV246" s="877"/>
      <c r="AW246" s="877"/>
      <c r="AX246" s="877"/>
      <c r="AY246" s="886"/>
      <c r="AZ246" s="877"/>
      <c r="BA246" s="879"/>
      <c r="BB246" s="877"/>
      <c r="BC246" s="877"/>
      <c r="BD246" s="877"/>
      <c r="BE246" s="877"/>
      <c r="BF246" s="886"/>
      <c r="BG246" s="877"/>
      <c r="BH246" s="879"/>
      <c r="BI246" s="877"/>
      <c r="BJ246" s="877"/>
      <c r="BK246" s="877"/>
      <c r="BL246" s="877"/>
      <c r="BM246" s="886"/>
      <c r="BN246" s="877"/>
      <c r="BO246" s="879"/>
      <c r="BP246" s="877"/>
      <c r="BQ246" s="877"/>
      <c r="BR246" s="877"/>
      <c r="BS246" s="877"/>
      <c r="BT246" s="886"/>
      <c r="BU246" s="877"/>
      <c r="BV246" s="879"/>
      <c r="BW246" s="886"/>
    </row>
    <row r="247" spans="1:253" s="502" customFormat="1" ht="17.25">
      <c r="A247" s="20" t="s">
        <v>142</v>
      </c>
      <c r="B247" s="93" t="s">
        <v>121</v>
      </c>
      <c r="C247" s="87">
        <f>'Input data plant-based products'!D140</f>
        <v>0.3346199434702003</v>
      </c>
      <c r="D247" s="54"/>
      <c r="E247" s="1293" t="s">
        <v>316</v>
      </c>
      <c r="F247" s="930">
        <f>SUMPRODUCT($CI$4:$CI$6,F248:F250)</f>
        <v>0.25553537765205842</v>
      </c>
      <c r="G247" s="872">
        <f>SUMPRODUCT($CI$4:$CI$6,G248:G250)</f>
        <v>1.4295819961136695</v>
      </c>
      <c r="H247" s="873">
        <f>SUMPRODUCT($CI$4:$CI$6,H248:H250)</f>
        <v>3.3964983761641485</v>
      </c>
      <c r="I247" s="872"/>
      <c r="J247" s="884"/>
      <c r="K247" s="884"/>
      <c r="L247" s="884"/>
      <c r="M247" s="884"/>
      <c r="N247" s="884"/>
      <c r="O247" s="884"/>
      <c r="P247" s="884"/>
      <c r="Q247" s="884"/>
      <c r="R247" s="884"/>
      <c r="S247" s="884"/>
      <c r="T247" s="884"/>
      <c r="U247" s="884"/>
      <c r="V247" s="884"/>
      <c r="W247" s="885"/>
      <c r="X247" s="877"/>
      <c r="Y247" s="879">
        <f>1/'Input data plant-based products'!E140*10^4</f>
        <v>7.1011919843568467</v>
      </c>
      <c r="Z247" s="877">
        <f>$Y247*'Input data plant-based products'!Z140</f>
        <v>7.1011919843568467</v>
      </c>
      <c r="AA247" s="877">
        <f>$Y247*'Input data plant-based products'!AA140</f>
        <v>8.4537999813771982</v>
      </c>
      <c r="AB247" s="877">
        <f>$Y247*'Input data plant-based products'!AB140</f>
        <v>8.4537999813771982</v>
      </c>
      <c r="AC247" s="877">
        <f>$Y247*'Input data plant-based products'!AC140</f>
        <v>13.045987625582093</v>
      </c>
      <c r="AD247" s="886">
        <f>$Y247*'Input data plant-based products'!AD140</f>
        <v>16.106157562447027</v>
      </c>
      <c r="AE247" s="877"/>
      <c r="AF247" s="879">
        <f>SUM('Input data plant-based products'!F140,'Input data plant-based products'!Q140)/'Input data plant-based products'!E140</f>
        <v>5.680953587485478E-2</v>
      </c>
      <c r="AG247" s="877">
        <f>$AF247*'Input data plant-based products'!Z140</f>
        <v>5.680953587485478E-2</v>
      </c>
      <c r="AH247" s="877">
        <f>$AF247*'Input data plant-based products'!AA140</f>
        <v>6.7630399851017597E-2</v>
      </c>
      <c r="AI247" s="877">
        <f>$AF247*'Input data plant-based products'!AB140</f>
        <v>6.7630399851017597E-2</v>
      </c>
      <c r="AJ247" s="877">
        <f>$AF247*'Input data plant-based products'!AC140</f>
        <v>0.10436790100465676</v>
      </c>
      <c r="AK247" s="886">
        <f>$AF247*'Input data plant-based products'!AD140</f>
        <v>0.12884926049957623</v>
      </c>
      <c r="AL247" s="877"/>
      <c r="AM247" s="879">
        <f>'Input data plant-based products'!R140/'Input data plant-based products'!E140</f>
        <v>3.5505959921784236E-2</v>
      </c>
      <c r="AN247" s="877">
        <f>$AM247*'Input data plant-based products'!Z140</f>
        <v>3.5505959921784236E-2</v>
      </c>
      <c r="AO247" s="877">
        <f>$AM247*'Input data plant-based products'!AA140</f>
        <v>4.2268999906885991E-2</v>
      </c>
      <c r="AP247" s="877">
        <f>$AM247*'Input data plant-based products'!AB140</f>
        <v>4.2268999906885991E-2</v>
      </c>
      <c r="AQ247" s="877">
        <f>$AM247*'Input data plant-based products'!AC140</f>
        <v>6.5229938127910475E-2</v>
      </c>
      <c r="AR247" s="886">
        <f>$AM247*'Input data plant-based products'!AD140</f>
        <v>8.0530787812235147E-2</v>
      </c>
      <c r="AS247" s="877"/>
      <c r="AT247" s="879">
        <f>'Input data plant-based products'!S140</f>
        <v>0.1814526380840128</v>
      </c>
      <c r="AU247" s="877">
        <f>$AT247*'Input data plant-based products'!Z140</f>
        <v>0.1814526380840128</v>
      </c>
      <c r="AV247" s="877">
        <f>$AT247*'Input data plant-based products'!AA140</f>
        <v>0.21601504533811047</v>
      </c>
      <c r="AW247" s="877">
        <f>$AT247*'Input data plant-based products'!AB140</f>
        <v>0.21601504533811047</v>
      </c>
      <c r="AX247" s="877">
        <f>$AT247*'Input data plant-based products'!AC140</f>
        <v>0.33335655144770127</v>
      </c>
      <c r="AY247" s="886">
        <f>$AT247*'Input data plant-based products'!AD140</f>
        <v>0.41155129808358182</v>
      </c>
      <c r="AZ247" s="877"/>
      <c r="BA247" s="879">
        <f>((SUM('Input data plant-based products'!U140:Y140)*Y247)/('Common input data'!$B$192/10^6))/$BB$3</f>
        <v>2.9329199740478488E-9</v>
      </c>
      <c r="BB247" s="877">
        <f>$BA247*'Input data plant-based products'!Z140</f>
        <v>2.9329199740478488E-9</v>
      </c>
      <c r="BC247" s="877">
        <f>$BA247*'Input data plant-based products'!AA140</f>
        <v>3.4915713976760102E-9</v>
      </c>
      <c r="BD247" s="877">
        <f>$BA247*'Input data plant-based products'!AB140</f>
        <v>3.4915713976760102E-9</v>
      </c>
      <c r="BE247" s="877">
        <f>$BA247*'Input data plant-based products'!AC140</f>
        <v>5.3882274655493979E-9</v>
      </c>
      <c r="BF247" s="886">
        <f>$BA247*'Input data plant-based products'!AD140</f>
        <v>6.6521326735177745E-9</v>
      </c>
      <c r="BG247" s="877"/>
      <c r="BH247" s="879">
        <f>'Input data plant-based products'!T140/'Input data plant-based products'!E140</f>
        <v>4.2188181579064024E-3</v>
      </c>
      <c r="BI247" s="877">
        <f>$BH247*'Input data plant-based products'!Z140</f>
        <v>4.2188181579064024E-3</v>
      </c>
      <c r="BJ247" s="877">
        <f>$BH247*'Input data plant-based products'!AA140</f>
        <v>5.0224025689361929E-3</v>
      </c>
      <c r="BK247" s="877">
        <f>$BH247*'Input data plant-based products'!AB140</f>
        <v>5.0224025689361929E-3</v>
      </c>
      <c r="BL247" s="877">
        <f>$BH247*'Input data plant-based products'!AC140</f>
        <v>7.750621248358321E-3</v>
      </c>
      <c r="BM247" s="886">
        <f>$BH247*'Input data plant-based products'!AD140</f>
        <v>9.5686682078497797E-3</v>
      </c>
      <c r="BN247" s="877"/>
      <c r="BO247" s="879">
        <f>('Input data plant-based products'!F140/'Input data plant-based products'!E140*'Common input data'!$B$195+'Input data plant-based products'!G140/'Input data plant-based products'!E140*'Common input data'!$B$196)/'Common input data'!$B$198</f>
        <v>1.4505595284627461E-3</v>
      </c>
      <c r="BP247" s="877">
        <f>$BO247*'Input data plant-based products'!Z140</f>
        <v>1.4505595284627461E-3</v>
      </c>
      <c r="BQ247" s="877">
        <f>$BO247*'Input data plant-based products'!AA140</f>
        <v>1.7268565815032693E-3</v>
      </c>
      <c r="BR247" s="877">
        <f>$BO247*'Input data plant-based products'!AB140</f>
        <v>1.7268565815032693E-3</v>
      </c>
      <c r="BS247" s="877">
        <f>$BO247*'Input data plant-based products'!AC140</f>
        <v>2.6649021319494889E-3</v>
      </c>
      <c r="BT247" s="886">
        <f>$BO247*'Input data plant-based products'!AD140</f>
        <v>3.2900026320364061E-3</v>
      </c>
      <c r="BU247" s="877"/>
      <c r="BV247" s="879">
        <f>('Common input data'!$C$202+'Common input data'!$B$219)*'Input data plant-based products'!AC140</f>
        <v>9.1403953556731317</v>
      </c>
      <c r="BW247" s="886">
        <f>('Common input data'!$C$202+'Common input data'!$B$219)*'Input data plant-based products'!AD140</f>
        <v>11.284438710707569</v>
      </c>
      <c r="BX247" s="406"/>
      <c r="BY247" s="406"/>
      <c r="BZ247" s="406"/>
      <c r="CA247" s="406"/>
      <c r="CB247" s="406"/>
      <c r="CC247" s="406"/>
      <c r="CD247" s="406"/>
      <c r="CE247" s="406"/>
      <c r="CF247" s="406"/>
      <c r="CG247" s="406"/>
      <c r="CH247" s="406"/>
      <c r="CI247" s="406"/>
      <c r="CJ247" s="406"/>
      <c r="CK247" s="406"/>
      <c r="CL247" s="406"/>
      <c r="CM247" s="406"/>
      <c r="CN247" s="406"/>
      <c r="CO247" s="406"/>
      <c r="CP247" s="406"/>
      <c r="CQ247" s="406"/>
      <c r="CR247" s="406"/>
      <c r="CS247" s="406"/>
      <c r="CT247" s="406"/>
      <c r="CU247" s="406"/>
      <c r="CV247" s="406"/>
      <c r="CW247" s="406"/>
      <c r="CX247" s="406"/>
      <c r="CY247" s="406"/>
      <c r="CZ247" s="406"/>
      <c r="DA247" s="406"/>
      <c r="DB247" s="406"/>
      <c r="DC247" s="406"/>
      <c r="DD247" s="406"/>
      <c r="DE247" s="406"/>
      <c r="DF247" s="406"/>
      <c r="DG247" s="406"/>
      <c r="DH247" s="406"/>
      <c r="DI247" s="406"/>
      <c r="DJ247" s="406"/>
      <c r="DK247" s="406"/>
      <c r="DL247" s="406"/>
      <c r="DM247" s="406"/>
      <c r="DN247" s="406"/>
      <c r="DO247" s="406"/>
      <c r="DP247" s="406"/>
      <c r="DQ247" s="406"/>
      <c r="DR247" s="406"/>
      <c r="DS247" s="406"/>
      <c r="DT247" s="406"/>
      <c r="DU247" s="406"/>
      <c r="DV247" s="406"/>
      <c r="DW247" s="406"/>
      <c r="DX247" s="406"/>
      <c r="DY247" s="406"/>
      <c r="DZ247" s="406"/>
      <c r="EA247" s="406"/>
      <c r="EB247" s="406"/>
      <c r="EC247" s="406"/>
      <c r="ED247" s="406"/>
      <c r="EE247" s="406"/>
      <c r="EF247" s="406"/>
      <c r="EG247" s="406"/>
      <c r="EH247" s="406"/>
      <c r="EI247" s="406"/>
      <c r="EJ247" s="406"/>
      <c r="EK247" s="406"/>
      <c r="EL247" s="406"/>
      <c r="EM247" s="406"/>
      <c r="EN247" s="406"/>
      <c r="EO247" s="406"/>
      <c r="EP247" s="406"/>
      <c r="EQ247" s="406"/>
      <c r="ER247" s="406"/>
      <c r="ES247" s="406"/>
      <c r="ET247" s="406"/>
      <c r="EU247" s="406"/>
      <c r="EV247" s="406"/>
      <c r="EW247" s="406"/>
      <c r="EX247" s="406"/>
      <c r="EY247" s="406"/>
      <c r="EZ247" s="406"/>
      <c r="FA247" s="406"/>
      <c r="FB247" s="406"/>
      <c r="FC247" s="406"/>
      <c r="FD247" s="406"/>
      <c r="FE247" s="406"/>
      <c r="FF247" s="406"/>
      <c r="FG247" s="406"/>
      <c r="FH247" s="406"/>
      <c r="FI247" s="406"/>
      <c r="FJ247" s="406"/>
      <c r="FK247" s="406"/>
      <c r="FL247" s="406"/>
      <c r="FM247" s="406"/>
      <c r="FN247" s="406"/>
      <c r="FO247" s="406"/>
      <c r="FP247" s="406"/>
      <c r="FQ247" s="406"/>
      <c r="FR247" s="406"/>
      <c r="FS247" s="406"/>
      <c r="FT247" s="406"/>
      <c r="FU247" s="406"/>
      <c r="FV247" s="406"/>
      <c r="FW247" s="406"/>
      <c r="FX247" s="406"/>
      <c r="FY247" s="406"/>
      <c r="FZ247" s="406"/>
      <c r="GA247" s="406"/>
      <c r="GB247" s="406"/>
      <c r="GC247" s="406"/>
      <c r="GD247" s="406"/>
      <c r="GE247" s="406"/>
      <c r="GF247" s="406"/>
      <c r="GG247" s="406"/>
      <c r="GH247" s="406"/>
      <c r="GI247" s="406"/>
      <c r="GJ247" s="406"/>
      <c r="GK247" s="406"/>
      <c r="GL247" s="406"/>
      <c r="GM247" s="406"/>
      <c r="GN247" s="406"/>
      <c r="GO247" s="406"/>
      <c r="GP247" s="406"/>
      <c r="GQ247" s="406"/>
      <c r="GR247" s="406"/>
      <c r="GS247" s="406"/>
      <c r="GT247" s="406"/>
      <c r="GU247" s="406"/>
      <c r="GV247" s="406"/>
      <c r="GW247" s="406"/>
      <c r="GX247" s="406"/>
      <c r="GY247" s="406"/>
      <c r="GZ247" s="406"/>
      <c r="HA247" s="406"/>
      <c r="HB247" s="406"/>
      <c r="HC247" s="406"/>
      <c r="HD247" s="406"/>
      <c r="HE247" s="406"/>
      <c r="HF247" s="406"/>
      <c r="HG247" s="406"/>
      <c r="HH247" s="406"/>
      <c r="HI247" s="406"/>
      <c r="HJ247" s="406"/>
      <c r="HK247" s="406"/>
      <c r="HL247" s="406"/>
      <c r="HM247" s="406"/>
      <c r="HN247" s="406"/>
      <c r="HO247" s="406"/>
      <c r="HP247" s="406"/>
      <c r="HQ247" s="406"/>
      <c r="HR247" s="406"/>
      <c r="HS247" s="406"/>
      <c r="HT247" s="406"/>
      <c r="HU247" s="406"/>
      <c r="HV247" s="406"/>
      <c r="HW247" s="406"/>
      <c r="HX247" s="406"/>
      <c r="HY247" s="406"/>
      <c r="HZ247" s="406"/>
      <c r="IA247" s="406"/>
      <c r="IB247" s="406"/>
      <c r="IC247" s="406"/>
      <c r="ID247" s="406"/>
      <c r="IE247" s="406"/>
      <c r="IF247" s="406"/>
      <c r="IG247" s="406"/>
      <c r="IH247" s="406"/>
      <c r="II247" s="406"/>
      <c r="IJ247" s="406"/>
      <c r="IK247" s="406"/>
      <c r="IL247" s="406"/>
      <c r="IM247" s="406"/>
      <c r="IN247" s="406"/>
      <c r="IO247" s="406"/>
      <c r="IP247" s="406"/>
      <c r="IQ247" s="406"/>
      <c r="IR247" s="406"/>
      <c r="IS247" s="406"/>
    </row>
    <row r="248" spans="1:253" s="406" customFormat="1" ht="17.25">
      <c r="A248" s="499"/>
      <c r="B248" s="55"/>
      <c r="C248" s="917"/>
      <c r="D248" s="5"/>
      <c r="E248" s="1294" t="s">
        <v>317</v>
      </c>
      <c r="F248" s="928">
        <f>IF(AND($G$2="No",$G$3="No"),SUM(K248:L248),IF(AND($G$2="Yes", $G$3="No"), (SUM(K248:L248)+S248), IF(AND($G$2="No", $G$3="Yes"),(SUM(K248:L248)+R248), (SUM(K248:L248)+S248+R248))))</f>
        <v>-9.1139048141381296E-2</v>
      </c>
      <c r="G248" s="877">
        <f>IF(AND($G$2="No",$G$3="No"),SUM(I248:Q248),IF(AND($G$2="Yes", $G$3="No"), (SUM(I248:Q248)+S248), IF(AND($G$2="No", $G$3="Yes"),(SUM(I248:Q248)+R248), (SUM(I248:Q248)+S248+R248))))</f>
        <v>0.91189916568241303</v>
      </c>
      <c r="H248" s="878">
        <f>SUM(U248:W248)/(1-'Common input data'!$F$140)</f>
        <v>2.4454349751661026</v>
      </c>
      <c r="I248" s="877">
        <f>('Input data plant-based products'!$F$140*('Common input data'!$D$93*'Common input data'!B86+'Common input data'!$D$94*'Common input data'!C86))/'Input data plant-based products'!$E$140</f>
        <v>0.23766492156864114</v>
      </c>
      <c r="J248" s="877">
        <f>'Common input data'!$B$98</f>
        <v>0.03</v>
      </c>
      <c r="K248" s="877">
        <v>0</v>
      </c>
      <c r="L248" s="877">
        <v>0</v>
      </c>
      <c r="M248" s="877"/>
      <c r="N248" s="877">
        <f>('Input data plant-based products'!$P$140*'Common input data'!$C$76*'Common input data'!H66)/'Input data plant-based products'!$E$140</f>
        <v>0.26567956575892882</v>
      </c>
      <c r="O248" s="877">
        <v>0</v>
      </c>
      <c r="P248" s="877">
        <f>'Input data plant-based products'!$C$309</f>
        <v>0.4</v>
      </c>
      <c r="Q248" s="877">
        <f>'Input data plant-based products'!C271*'Common input data'!D80+'Input data plant-based products'!D$271*3.6*'Common input data'!G66</f>
        <v>6.9693726496224365E-2</v>
      </c>
      <c r="R248" s="877">
        <f>'Common input data'!$F$19</f>
        <v>-9.1139048141381296E-2</v>
      </c>
      <c r="S248" s="877">
        <v>0</v>
      </c>
      <c r="T248" s="877">
        <f>'Input data plant-based products'!C$290</f>
        <v>0.1</v>
      </c>
      <c r="U248" s="877">
        <f>(G248+T248)*'Input data plant-based products'!$P$271</f>
        <v>1.2046418639076346</v>
      </c>
      <c r="V248" s="877">
        <f>'Common input data'!$B$105</f>
        <v>0.05</v>
      </c>
      <c r="W248" s="886">
        <f>'Common input data'!B123+'Common input data'!C123</f>
        <v>0.32999999999999996</v>
      </c>
      <c r="X248" s="877"/>
      <c r="Y248" s="879"/>
      <c r="Z248" s="877"/>
      <c r="AA248" s="877"/>
      <c r="AB248" s="877"/>
      <c r="AC248" s="877"/>
      <c r="AD248" s="886"/>
      <c r="AE248" s="877"/>
      <c r="AF248" s="879"/>
      <c r="AG248" s="877"/>
      <c r="AH248" s="877"/>
      <c r="AI248" s="877"/>
      <c r="AJ248" s="877"/>
      <c r="AK248" s="886"/>
      <c r="AL248" s="877"/>
      <c r="AM248" s="879"/>
      <c r="AN248" s="877"/>
      <c r="AO248" s="877"/>
      <c r="AP248" s="877"/>
      <c r="AQ248" s="877"/>
      <c r="AR248" s="886"/>
      <c r="AS248" s="877"/>
      <c r="AT248" s="879"/>
      <c r="AU248" s="877"/>
      <c r="AV248" s="877"/>
      <c r="AW248" s="877"/>
      <c r="AX248" s="877"/>
      <c r="AY248" s="886"/>
      <c r="AZ248" s="877"/>
      <c r="BA248" s="879"/>
      <c r="BB248" s="877"/>
      <c r="BC248" s="877"/>
      <c r="BD248" s="877"/>
      <c r="BE248" s="877"/>
      <c r="BF248" s="886"/>
      <c r="BG248" s="877"/>
      <c r="BH248" s="879"/>
      <c r="BI248" s="877"/>
      <c r="BJ248" s="877"/>
      <c r="BK248" s="877"/>
      <c r="BL248" s="877"/>
      <c r="BM248" s="886"/>
      <c r="BN248" s="877"/>
      <c r="BO248" s="879"/>
      <c r="BP248" s="877"/>
      <c r="BQ248" s="877"/>
      <c r="BR248" s="877"/>
      <c r="BS248" s="877"/>
      <c r="BT248" s="886"/>
      <c r="BU248" s="877"/>
      <c r="BV248" s="879"/>
      <c r="BW248" s="886"/>
    </row>
    <row r="249" spans="1:253" s="406" customFormat="1" ht="17.25">
      <c r="A249" s="18"/>
      <c r="B249" s="55"/>
      <c r="C249" s="595"/>
      <c r="D249" s="50"/>
      <c r="E249" s="1294" t="s">
        <v>367</v>
      </c>
      <c r="F249" s="928">
        <f>SUM(K249:L249)</f>
        <v>0</v>
      </c>
      <c r="G249" s="877">
        <f>SUM(I249:Q249)</f>
        <v>6.693733356161588E-4</v>
      </c>
      <c r="H249" s="878">
        <f>SUM(U249:W249)/(1-'Common input data'!$F$140)</f>
        <v>1.2297423126399153E-3</v>
      </c>
      <c r="I249" s="877">
        <f>('Input data plant-based products'!$F$140*('Common input data'!$D$93*'Common input data'!B87+'Common input data'!$D$94*'Common input data'!C87))/'Input data plant-based products'!$E$140</f>
        <v>5.0446816662152278E-4</v>
      </c>
      <c r="J249" s="877">
        <v>0</v>
      </c>
      <c r="K249" s="877">
        <v>0</v>
      </c>
      <c r="L249" s="877">
        <v>0</v>
      </c>
      <c r="M249" s="877"/>
      <c r="N249" s="877">
        <f>('Input data plant-based products'!$P$140*'Common input data'!$C$76*'Common input data'!H67)/'Input data plant-based products'!$E$140</f>
        <v>1.1768708899463616E-4</v>
      </c>
      <c r="O249" s="877">
        <v>0</v>
      </c>
      <c r="P249" s="877">
        <v>0</v>
      </c>
      <c r="Q249" s="877">
        <f>'Input data plant-based products'!D$271*3.6*'Common input data'!G67</f>
        <v>4.7218079999999844E-5</v>
      </c>
      <c r="R249" s="877">
        <v>0</v>
      </c>
      <c r="S249" s="877">
        <v>0</v>
      </c>
      <c r="T249" s="877">
        <v>0</v>
      </c>
      <c r="U249" s="877">
        <f>(G249+T249)*'Input data plant-based products'!$P$271</f>
        <v>7.9687301859066527E-4</v>
      </c>
      <c r="V249" s="877">
        <v>0</v>
      </c>
      <c r="W249" s="886">
        <v>0</v>
      </c>
      <c r="X249" s="877"/>
      <c r="Y249" s="879"/>
      <c r="Z249" s="877"/>
      <c r="AA249" s="877"/>
      <c r="AB249" s="877"/>
      <c r="AC249" s="877"/>
      <c r="AD249" s="886"/>
      <c r="AE249" s="877"/>
      <c r="AF249" s="879"/>
      <c r="AG249" s="877"/>
      <c r="AH249" s="877"/>
      <c r="AI249" s="877"/>
      <c r="AJ249" s="877"/>
      <c r="AK249" s="886"/>
      <c r="AL249" s="877"/>
      <c r="AM249" s="879"/>
      <c r="AN249" s="877"/>
      <c r="AO249" s="877"/>
      <c r="AP249" s="877"/>
      <c r="AQ249" s="877"/>
      <c r="AR249" s="886"/>
      <c r="AS249" s="877"/>
      <c r="AT249" s="879"/>
      <c r="AU249" s="877"/>
      <c r="AV249" s="877"/>
      <c r="AW249" s="877"/>
      <c r="AX249" s="877"/>
      <c r="AY249" s="886"/>
      <c r="AZ249" s="877"/>
      <c r="BA249" s="879"/>
      <c r="BB249" s="877"/>
      <c r="BC249" s="877"/>
      <c r="BD249" s="877"/>
      <c r="BE249" s="877"/>
      <c r="BF249" s="886"/>
      <c r="BG249" s="877"/>
      <c r="BH249" s="879"/>
      <c r="BI249" s="877"/>
      <c r="BJ249" s="877"/>
      <c r="BK249" s="877"/>
      <c r="BL249" s="877"/>
      <c r="BM249" s="886"/>
      <c r="BN249" s="877"/>
      <c r="BO249" s="879"/>
      <c r="BP249" s="877"/>
      <c r="BQ249" s="877"/>
      <c r="BR249" s="877"/>
      <c r="BS249" s="877"/>
      <c r="BT249" s="886"/>
      <c r="BU249" s="877"/>
      <c r="BV249" s="879"/>
      <c r="BW249" s="886"/>
    </row>
    <row r="250" spans="1:253" s="406" customFormat="1" ht="17.25">
      <c r="A250" s="359"/>
      <c r="B250" s="360"/>
      <c r="C250" s="83"/>
      <c r="D250" s="54"/>
      <c r="E250" s="1295" t="s">
        <v>320</v>
      </c>
      <c r="F250" s="928">
        <f>SUM(K250:L250)</f>
        <v>1.2698696915510613E-3</v>
      </c>
      <c r="G250" s="877">
        <f>SUM(I250:Q250)</f>
        <v>1.8300723456762642E-3</v>
      </c>
      <c r="H250" s="878">
        <f>SUM(U250:W250)/(1-'Common input data'!$F$140)</f>
        <v>3.362125855519297E-3</v>
      </c>
      <c r="I250" s="877">
        <f>('Input data plant-based products'!$F$140*('Common input data'!$D$93*'Common input data'!B88+'Common input data'!$D$94*'Common input data'!C88))/'Input data plant-based products'!$E$140</f>
        <v>5.3341143660902521E-4</v>
      </c>
      <c r="J250" s="877">
        <v>0</v>
      </c>
      <c r="K250" s="877">
        <f>(SUM('Input data plant-based products'!F140:H140)*'Input data plant-based products'!$B$257*44/28)/'Input data plant-based products'!E140</f>
        <v>1.1544269923191466E-3</v>
      </c>
      <c r="L250" s="877">
        <f>K250*'Input data plant-based products'!$B$261</f>
        <v>1.1544269923191466E-4</v>
      </c>
      <c r="M250" s="877"/>
      <c r="N250" s="877">
        <f>('Input data plant-based products'!$P$140*'Common input data'!$C$76*'Common input data'!H68)/'Input data plant-based products'!$E$140</f>
        <v>7.1389135161777514E-6</v>
      </c>
      <c r="O250" s="877">
        <v>0</v>
      </c>
      <c r="P250" s="877">
        <v>0</v>
      </c>
      <c r="Q250" s="877">
        <f>'Input data plant-based products'!D$271*3.6*'Common input data'!G68</f>
        <v>1.9652303999999982E-5</v>
      </c>
      <c r="R250" s="877">
        <v>0</v>
      </c>
      <c r="S250" s="877">
        <v>0</v>
      </c>
      <c r="T250" s="877">
        <v>0</v>
      </c>
      <c r="U250" s="877">
        <f>(G250+T250)*'Input data plant-based products'!$P$271</f>
        <v>2.1786575543765048E-3</v>
      </c>
      <c r="V250" s="877">
        <v>0</v>
      </c>
      <c r="W250" s="886">
        <v>0</v>
      </c>
      <c r="X250" s="877"/>
      <c r="Y250" s="879"/>
      <c r="Z250" s="877"/>
      <c r="AA250" s="877"/>
      <c r="AB250" s="877"/>
      <c r="AC250" s="877"/>
      <c r="AD250" s="886"/>
      <c r="AE250" s="877"/>
      <c r="AF250" s="879"/>
      <c r="AG250" s="877"/>
      <c r="AH250" s="877"/>
      <c r="AI250" s="877"/>
      <c r="AJ250" s="877"/>
      <c r="AK250" s="886"/>
      <c r="AL250" s="877"/>
      <c r="AM250" s="879"/>
      <c r="AN250" s="877"/>
      <c r="AO250" s="877"/>
      <c r="AP250" s="877"/>
      <c r="AQ250" s="877"/>
      <c r="AR250" s="886"/>
      <c r="AS250" s="877"/>
      <c r="AT250" s="879"/>
      <c r="AU250" s="877"/>
      <c r="AV250" s="877"/>
      <c r="AW250" s="877"/>
      <c r="AX250" s="877"/>
      <c r="AY250" s="886"/>
      <c r="AZ250" s="877"/>
      <c r="BA250" s="879"/>
      <c r="BB250" s="877"/>
      <c r="BC250" s="877"/>
      <c r="BD250" s="877"/>
      <c r="BE250" s="877"/>
      <c r="BF250" s="886"/>
      <c r="BG250" s="877"/>
      <c r="BH250" s="879"/>
      <c r="BI250" s="877"/>
      <c r="BJ250" s="877"/>
      <c r="BK250" s="877"/>
      <c r="BL250" s="877"/>
      <c r="BM250" s="886"/>
      <c r="BN250" s="877"/>
      <c r="BO250" s="879"/>
      <c r="BP250" s="877"/>
      <c r="BQ250" s="877"/>
      <c r="BR250" s="877"/>
      <c r="BS250" s="877"/>
      <c r="BT250" s="886"/>
      <c r="BU250" s="877"/>
      <c r="BV250" s="879"/>
      <c r="BW250" s="886"/>
    </row>
    <row r="251" spans="1:253" s="502" customFormat="1" ht="17.25">
      <c r="A251" s="20" t="s">
        <v>143</v>
      </c>
      <c r="B251" s="93" t="s">
        <v>121</v>
      </c>
      <c r="C251" s="87">
        <f>'Input data plant-based products'!D141</f>
        <v>0.10329858472884944</v>
      </c>
      <c r="D251" s="54"/>
      <c r="E251" s="1293" t="s">
        <v>316</v>
      </c>
      <c r="F251" s="930">
        <f>SUMPRODUCT($CI$4:$CI$6,F252:F254)</f>
        <v>0.23987586330556909</v>
      </c>
      <c r="G251" s="872">
        <f>SUMPRODUCT($CI$4:$CI$6,G252:G254)</f>
        <v>2.4039963335522616</v>
      </c>
      <c r="H251" s="873">
        <f>SUMPRODUCT($CI$4:$CI$6,H252:H254)</f>
        <v>5.1866481730457474</v>
      </c>
      <c r="I251" s="872"/>
      <c r="J251" s="884"/>
      <c r="K251" s="884"/>
      <c r="L251" s="884"/>
      <c r="M251" s="884"/>
      <c r="N251" s="884"/>
      <c r="O251" s="884"/>
      <c r="P251" s="884"/>
      <c r="Q251" s="884"/>
      <c r="R251" s="884"/>
      <c r="S251" s="884"/>
      <c r="T251" s="884"/>
      <c r="U251" s="884"/>
      <c r="V251" s="884"/>
      <c r="W251" s="885"/>
      <c r="X251" s="877"/>
      <c r="Y251" s="879">
        <f>1/'Input data plant-based products'!E141*10^4</f>
        <v>13.447573674009588</v>
      </c>
      <c r="Z251" s="877">
        <f>$Y251*'Input data plant-based products'!Z141</f>
        <v>13.447573674009588</v>
      </c>
      <c r="AA251" s="877">
        <f>$Y251*'Input data plant-based products'!AA141</f>
        <v>16.009016278582841</v>
      </c>
      <c r="AB251" s="877">
        <f>$Y251*'Input data plant-based products'!AB141</f>
        <v>16.009016278582841</v>
      </c>
      <c r="AC251" s="877">
        <f>$Y251*'Input data plant-based products'!AC141</f>
        <v>24.705272034850061</v>
      </c>
      <c r="AD251" s="886">
        <f>$Y251*'Input data plant-based products'!AD141</f>
        <v>30.5003358454939</v>
      </c>
      <c r="AE251" s="877"/>
      <c r="AF251" s="879">
        <f>SUM('Input data plant-based products'!F141,'Input data plant-based products'!Q141)/'Input data plant-based products'!E141</f>
        <v>0.16387879999999999</v>
      </c>
      <c r="AG251" s="877">
        <f>$AF251*'Input data plant-based products'!Z141</f>
        <v>0.16387879999999999</v>
      </c>
      <c r="AH251" s="877">
        <f>$AF251*'Input data plant-based products'!AA141</f>
        <v>0.1950938095238095</v>
      </c>
      <c r="AI251" s="877">
        <f>$AF251*'Input data plant-based products'!AB141</f>
        <v>0.1950938095238095</v>
      </c>
      <c r="AJ251" s="877">
        <f>$AF251*'Input data plant-based products'!AC141</f>
        <v>0.3010706937095825</v>
      </c>
      <c r="AK251" s="886">
        <f>$AF251*'Input data plant-based products'!AD141</f>
        <v>0.37169221445627471</v>
      </c>
      <c r="AL251" s="877"/>
      <c r="AM251" s="879">
        <f>'Input data plant-based products'!R141/'Input data plant-based products'!E141</f>
        <v>3.1403800000000003E-2</v>
      </c>
      <c r="AN251" s="877">
        <f>$AM251*'Input data plant-based products'!Z141</f>
        <v>3.1403800000000003E-2</v>
      </c>
      <c r="AO251" s="877">
        <f>$AM251*'Input data plant-based products'!AA141</f>
        <v>3.7385476190476191E-2</v>
      </c>
      <c r="AP251" s="877">
        <f>$AM251*'Input data plant-based products'!AB141</f>
        <v>3.7385476190476191E-2</v>
      </c>
      <c r="AQ251" s="877">
        <f>$AM251*'Input data plant-based products'!AC141</f>
        <v>5.7693636096413863E-2</v>
      </c>
      <c r="AR251" s="886">
        <f>$AM251*'Input data plant-based products'!AD141</f>
        <v>7.1226711230140571E-2</v>
      </c>
      <c r="AS251" s="877"/>
      <c r="AT251" s="879">
        <f>'Input data plant-based products'!S141</f>
        <v>0</v>
      </c>
      <c r="AU251" s="877">
        <f>$AT251*'Input data plant-based products'!Z141</f>
        <v>0</v>
      </c>
      <c r="AV251" s="877">
        <f>$AT251*'Input data plant-based products'!AA141</f>
        <v>0</v>
      </c>
      <c r="AW251" s="877">
        <f>$AT251*'Input data plant-based products'!AB141</f>
        <v>0</v>
      </c>
      <c r="AX251" s="877">
        <f>$AT251*'Input data plant-based products'!AC141</f>
        <v>0</v>
      </c>
      <c r="AY251" s="886">
        <f>$AT251*'Input data plant-based products'!AD141</f>
        <v>0</v>
      </c>
      <c r="AZ251" s="877"/>
      <c r="BA251" s="879">
        <f>((SUM('Input data plant-based products'!U141:Y141)*Y251)/('Common input data'!$B$192/10^6))/$BB$3</f>
        <v>1.2708048743357298E-8</v>
      </c>
      <c r="BB251" s="877">
        <f>$BA251*'Input data plant-based products'!Z141</f>
        <v>1.2708048743357298E-8</v>
      </c>
      <c r="BC251" s="877">
        <f>$BA251*'Input data plant-based products'!AA141</f>
        <v>1.5128629456377736E-8</v>
      </c>
      <c r="BD251" s="877">
        <f>$BA251*'Input data plant-based products'!AB141</f>
        <v>1.5128629456377736E-8</v>
      </c>
      <c r="BE251" s="877">
        <f>$BA251*'Input data plant-based products'!AC141</f>
        <v>2.3346650395644648E-8</v>
      </c>
      <c r="BF251" s="886">
        <f>$BA251*'Input data plant-based products'!AD141</f>
        <v>2.8823025179808208E-8</v>
      </c>
      <c r="BG251" s="877"/>
      <c r="BH251" s="879">
        <f>'Input data plant-based products'!T141/'Input data plant-based products'!E141</f>
        <v>4.3333333333333297E-3</v>
      </c>
      <c r="BI251" s="877">
        <f>$BH251*'Input data plant-based products'!Z141</f>
        <v>4.3333333333333297E-3</v>
      </c>
      <c r="BJ251" s="877">
        <f>$BH251*'Input data plant-based products'!AA141</f>
        <v>5.1587301587301543E-3</v>
      </c>
      <c r="BK251" s="877">
        <f>$BH251*'Input data plant-based products'!AB141</f>
        <v>5.1587301587301543E-3</v>
      </c>
      <c r="BL251" s="877">
        <f>$BH251*'Input data plant-based products'!AC141</f>
        <v>7.9610033313736936E-3</v>
      </c>
      <c r="BM251" s="886">
        <f>$BH251*'Input data plant-based products'!AD141</f>
        <v>9.8283991745354224E-3</v>
      </c>
      <c r="BN251" s="877"/>
      <c r="BO251" s="879">
        <f>('Input data plant-based products'!F141/'Input data plant-based products'!E141*'Common input data'!$B$195+'Input data plant-based products'!G141/'Input data plant-based products'!E141*'Common input data'!$B$196)/'Common input data'!$B$198</f>
        <v>4.1844375454272859E-3</v>
      </c>
      <c r="BP251" s="877">
        <f>$BO251*'Input data plant-based products'!Z141</f>
        <v>4.1844375454272859E-3</v>
      </c>
      <c r="BQ251" s="877">
        <f>$BO251*'Input data plant-based products'!AA141</f>
        <v>4.9814732683658167E-3</v>
      </c>
      <c r="BR251" s="877">
        <f>$BO251*'Input data plant-based products'!AB141</f>
        <v>4.9814732683658167E-3</v>
      </c>
      <c r="BS251" s="877">
        <f>$BO251*'Input data plant-based products'!AC141</f>
        <v>7.6874587474781101E-3</v>
      </c>
      <c r="BT251" s="886">
        <f>$BO251*'Input data plant-based products'!AD141</f>
        <v>9.4906898117013694E-3</v>
      </c>
      <c r="BU251" s="877"/>
      <c r="BV251" s="879">
        <f>('Common input data'!$C$202+'Common input data'!$B$219)*'Input data plant-based products'!AC141</f>
        <v>9.1403953556731317</v>
      </c>
      <c r="BW251" s="886">
        <f>('Common input data'!$C$202+'Common input data'!$B$219)*'Input data plant-based products'!AD141</f>
        <v>11.284438710707569</v>
      </c>
      <c r="BX251" s="406"/>
      <c r="BY251" s="406"/>
      <c r="BZ251" s="406"/>
      <c r="CA251" s="406"/>
      <c r="CB251" s="406"/>
      <c r="CC251" s="406"/>
      <c r="CD251" s="406"/>
      <c r="CE251" s="406"/>
      <c r="CF251" s="406"/>
      <c r="CG251" s="406"/>
      <c r="CH251" s="406"/>
      <c r="CI251" s="406"/>
      <c r="CJ251" s="406"/>
      <c r="CK251" s="406"/>
      <c r="CL251" s="406"/>
      <c r="CM251" s="406"/>
      <c r="CN251" s="406"/>
      <c r="CO251" s="406"/>
      <c r="CP251" s="406"/>
      <c r="CQ251" s="406"/>
      <c r="CR251" s="406"/>
      <c r="CS251" s="406"/>
      <c r="CT251" s="406"/>
      <c r="CU251" s="406"/>
      <c r="CV251" s="406"/>
      <c r="CW251" s="406"/>
      <c r="CX251" s="406"/>
      <c r="CY251" s="406"/>
      <c r="CZ251" s="406"/>
      <c r="DA251" s="406"/>
      <c r="DB251" s="406"/>
      <c r="DC251" s="406"/>
      <c r="DD251" s="406"/>
      <c r="DE251" s="406"/>
      <c r="DF251" s="406"/>
      <c r="DG251" s="406"/>
      <c r="DH251" s="406"/>
      <c r="DI251" s="406"/>
      <c r="DJ251" s="406"/>
      <c r="DK251" s="406"/>
      <c r="DL251" s="406"/>
      <c r="DM251" s="406"/>
      <c r="DN251" s="406"/>
      <c r="DO251" s="406"/>
      <c r="DP251" s="406"/>
      <c r="DQ251" s="406"/>
      <c r="DR251" s="406"/>
      <c r="DS251" s="406"/>
      <c r="DT251" s="406"/>
      <c r="DU251" s="406"/>
      <c r="DV251" s="406"/>
      <c r="DW251" s="406"/>
      <c r="DX251" s="406"/>
      <c r="DY251" s="406"/>
      <c r="DZ251" s="406"/>
      <c r="EA251" s="406"/>
      <c r="EB251" s="406"/>
      <c r="EC251" s="406"/>
      <c r="ED251" s="406"/>
      <c r="EE251" s="406"/>
      <c r="EF251" s="406"/>
      <c r="EG251" s="406"/>
      <c r="EH251" s="406"/>
      <c r="EI251" s="406"/>
      <c r="EJ251" s="406"/>
      <c r="EK251" s="406"/>
      <c r="EL251" s="406"/>
      <c r="EM251" s="406"/>
      <c r="EN251" s="406"/>
      <c r="EO251" s="406"/>
      <c r="EP251" s="406"/>
      <c r="EQ251" s="406"/>
      <c r="ER251" s="406"/>
      <c r="ES251" s="406"/>
      <c r="ET251" s="406"/>
      <c r="EU251" s="406"/>
      <c r="EV251" s="406"/>
      <c r="EW251" s="406"/>
      <c r="EX251" s="406"/>
      <c r="EY251" s="406"/>
      <c r="EZ251" s="406"/>
      <c r="FA251" s="406"/>
      <c r="FB251" s="406"/>
      <c r="FC251" s="406"/>
      <c r="FD251" s="406"/>
      <c r="FE251" s="406"/>
      <c r="FF251" s="406"/>
      <c r="FG251" s="406"/>
      <c r="FH251" s="406"/>
      <c r="FI251" s="406"/>
      <c r="FJ251" s="406"/>
      <c r="FK251" s="406"/>
      <c r="FL251" s="406"/>
      <c r="FM251" s="406"/>
      <c r="FN251" s="406"/>
      <c r="FO251" s="406"/>
      <c r="FP251" s="406"/>
      <c r="FQ251" s="406"/>
      <c r="FR251" s="406"/>
      <c r="FS251" s="406"/>
      <c r="FT251" s="406"/>
      <c r="FU251" s="406"/>
      <c r="FV251" s="406"/>
      <c r="FW251" s="406"/>
      <c r="FX251" s="406"/>
      <c r="FY251" s="406"/>
      <c r="FZ251" s="406"/>
      <c r="GA251" s="406"/>
      <c r="GB251" s="406"/>
      <c r="GC251" s="406"/>
      <c r="GD251" s="406"/>
      <c r="GE251" s="406"/>
      <c r="GF251" s="406"/>
      <c r="GG251" s="406"/>
      <c r="GH251" s="406"/>
      <c r="GI251" s="406"/>
      <c r="GJ251" s="406"/>
      <c r="GK251" s="406"/>
      <c r="GL251" s="406"/>
      <c r="GM251" s="406"/>
      <c r="GN251" s="406"/>
      <c r="GO251" s="406"/>
      <c r="GP251" s="406"/>
      <c r="GQ251" s="406"/>
      <c r="GR251" s="406"/>
      <c r="GS251" s="406"/>
      <c r="GT251" s="406"/>
      <c r="GU251" s="406"/>
      <c r="GV251" s="406"/>
      <c r="GW251" s="406"/>
      <c r="GX251" s="406"/>
      <c r="GY251" s="406"/>
      <c r="GZ251" s="406"/>
      <c r="HA251" s="406"/>
      <c r="HB251" s="406"/>
      <c r="HC251" s="406"/>
      <c r="HD251" s="406"/>
      <c r="HE251" s="406"/>
      <c r="HF251" s="406"/>
      <c r="HG251" s="406"/>
      <c r="HH251" s="406"/>
      <c r="HI251" s="406"/>
      <c r="HJ251" s="406"/>
      <c r="HK251" s="406"/>
      <c r="HL251" s="406"/>
      <c r="HM251" s="406"/>
      <c r="HN251" s="406"/>
      <c r="HO251" s="406"/>
      <c r="HP251" s="406"/>
      <c r="HQ251" s="406"/>
      <c r="HR251" s="406"/>
      <c r="HS251" s="406"/>
      <c r="HT251" s="406"/>
      <c r="HU251" s="406"/>
      <c r="HV251" s="406"/>
      <c r="HW251" s="406"/>
      <c r="HX251" s="406"/>
      <c r="HY251" s="406"/>
      <c r="HZ251" s="406"/>
      <c r="IA251" s="406"/>
      <c r="IB251" s="406"/>
      <c r="IC251" s="406"/>
      <c r="ID251" s="406"/>
      <c r="IE251" s="406"/>
      <c r="IF251" s="406"/>
      <c r="IG251" s="406"/>
      <c r="IH251" s="406"/>
      <c r="II251" s="406"/>
      <c r="IJ251" s="406"/>
      <c r="IK251" s="406"/>
      <c r="IL251" s="406"/>
      <c r="IM251" s="406"/>
      <c r="IN251" s="406"/>
      <c r="IO251" s="406"/>
      <c r="IP251" s="406"/>
      <c r="IQ251" s="406"/>
      <c r="IR251" s="406"/>
      <c r="IS251" s="406"/>
    </row>
    <row r="252" spans="1:253" s="406" customFormat="1" ht="17.25">
      <c r="A252" s="499"/>
      <c r="B252" s="55"/>
      <c r="C252" s="917"/>
      <c r="D252" s="5"/>
      <c r="E252" s="1294" t="s">
        <v>317</v>
      </c>
      <c r="F252" s="928">
        <f>IF(AND($G$2="No",$G$3="No"),SUM(K252:L252),IF(AND($G$2="Yes", $G$3="No"), (SUM(K252:L252)+S252), IF(AND($G$2="No", $G$3="Yes"),(SUM(K252:L252)+R252), (SUM(K252:L252)+S252+R252))))</f>
        <v>-9.1139048141381296E-2</v>
      </c>
      <c r="G252" s="877">
        <f>IF(AND($G$2="No",$G$3="No"),SUM(I252:Q252),IF(AND($G$2="Yes", $G$3="No"), (SUM(I252:Q252)+S252), IF(AND($G$2="No", $G$3="Yes"),(SUM(I252:Q252)+R252), (SUM(I252:Q252)+S252+R252))))</f>
        <v>1.5972671961142075</v>
      </c>
      <c r="H252" s="878">
        <f>SUM(U252:W252)/(1-'Common input data'!$F$140)</f>
        <v>3.7045620152009979</v>
      </c>
      <c r="I252" s="877">
        <f>('Input data plant-based products'!$F$141*('Common input data'!$D$93*'Common input data'!B86+'Common input data'!$D$94*'Common input data'!C86))/'Input data plant-based products'!$E$141</f>
        <v>0.68559338760594268</v>
      </c>
      <c r="J252" s="877">
        <f>'Common input data'!$B$98</f>
        <v>0.03</v>
      </c>
      <c r="K252" s="877">
        <v>0</v>
      </c>
      <c r="L252" s="877">
        <v>0</v>
      </c>
      <c r="M252" s="877"/>
      <c r="N252" s="877">
        <f>('Input data plant-based products'!$P$141*'Common input data'!$C$76*'Common input data'!H66)/'Input data plant-based products'!$E$141</f>
        <v>0.50311913015342213</v>
      </c>
      <c r="O252" s="877">
        <v>0</v>
      </c>
      <c r="P252" s="877">
        <f>'Input data plant-based products'!$C$309</f>
        <v>0.4</v>
      </c>
      <c r="Q252" s="877">
        <f>'Input data plant-based products'!C271*'Common input data'!D80+'Input data plant-based products'!D$271*3.6*'Common input data'!G66</f>
        <v>6.9693726496224365E-2</v>
      </c>
      <c r="R252" s="877">
        <f>'Common input data'!$F$19</f>
        <v>-9.1139048141381296E-2</v>
      </c>
      <c r="S252" s="877">
        <v>0</v>
      </c>
      <c r="T252" s="877">
        <f>'Input data plant-based products'!C$290</f>
        <v>0.1</v>
      </c>
      <c r="U252" s="877">
        <f>(G252+T252)*'Input data plant-based products'!$P$271</f>
        <v>2.0205561858502472</v>
      </c>
      <c r="V252" s="877">
        <f>'Common input data'!$B$105</f>
        <v>0.05</v>
      </c>
      <c r="W252" s="886">
        <f>'Common input data'!B123+'Common input data'!C123</f>
        <v>0.32999999999999996</v>
      </c>
      <c r="X252" s="877"/>
      <c r="Y252" s="879"/>
      <c r="Z252" s="877"/>
      <c r="AA252" s="877"/>
      <c r="AB252" s="877"/>
      <c r="AC252" s="877"/>
      <c r="AD252" s="886"/>
      <c r="AE252" s="877"/>
      <c r="AF252" s="879"/>
      <c r="AG252" s="877"/>
      <c r="AH252" s="877"/>
      <c r="AI252" s="877"/>
      <c r="AJ252" s="877"/>
      <c r="AK252" s="886"/>
      <c r="AL252" s="877"/>
      <c r="AM252" s="879"/>
      <c r="AN252" s="877"/>
      <c r="AO252" s="877"/>
      <c r="AP252" s="877"/>
      <c r="AQ252" s="877"/>
      <c r="AR252" s="886"/>
      <c r="AS252" s="877"/>
      <c r="AT252" s="879"/>
      <c r="AU252" s="877"/>
      <c r="AV252" s="877"/>
      <c r="AW252" s="877"/>
      <c r="AX252" s="877"/>
      <c r="AY252" s="886"/>
      <c r="AZ252" s="877"/>
      <c r="BA252" s="879"/>
      <c r="BB252" s="877"/>
      <c r="BC252" s="877"/>
      <c r="BD252" s="877"/>
      <c r="BE252" s="877"/>
      <c r="BF252" s="886"/>
      <c r="BG252" s="877"/>
      <c r="BH252" s="879"/>
      <c r="BI252" s="877"/>
      <c r="BJ252" s="877"/>
      <c r="BK252" s="877"/>
      <c r="BL252" s="877"/>
      <c r="BM252" s="886"/>
      <c r="BN252" s="877"/>
      <c r="BO252" s="879"/>
      <c r="BP252" s="877"/>
      <c r="BQ252" s="877"/>
      <c r="BR252" s="877"/>
      <c r="BS252" s="877"/>
      <c r="BT252" s="886"/>
      <c r="BU252" s="877"/>
      <c r="BV252" s="879"/>
      <c r="BW252" s="886"/>
    </row>
    <row r="253" spans="1:253" s="406" customFormat="1" ht="17.25">
      <c r="A253" s="18"/>
      <c r="B253" s="55"/>
      <c r="C253" s="595"/>
      <c r="D253" s="50"/>
      <c r="E253" s="1294" t="s">
        <v>367</v>
      </c>
      <c r="F253" s="928">
        <f>SUM(K253:L253)</f>
        <v>0</v>
      </c>
      <c r="G253" s="877">
        <f>SUM(I253:Q253)</f>
        <v>1.7253251568122984E-3</v>
      </c>
      <c r="H253" s="878">
        <f>SUM(U253:W253)/(1-'Common input data'!$F$140)</f>
        <v>3.1696890740966674E-3</v>
      </c>
      <c r="I253" s="877">
        <f>('Input data plant-based products'!$F$141*('Common input data'!$D$93*'Common input data'!B87+'Common input data'!$D$94*'Common input data'!C87))/'Input data plant-based products'!$E$141</f>
        <v>1.4552422671829572E-3</v>
      </c>
      <c r="J253" s="877">
        <v>0</v>
      </c>
      <c r="K253" s="877">
        <v>0</v>
      </c>
      <c r="L253" s="877">
        <v>0</v>
      </c>
      <c r="M253" s="877"/>
      <c r="N253" s="877">
        <f>('Input data plant-based products'!$P$141*'Common input data'!$C$76*'Common input data'!H67)/'Input data plant-based products'!$E$141</f>
        <v>2.2286480962934124E-4</v>
      </c>
      <c r="O253" s="877">
        <v>0</v>
      </c>
      <c r="P253" s="877">
        <v>0</v>
      </c>
      <c r="Q253" s="877">
        <f>'Input data plant-based products'!D$271*3.6*'Common input data'!G67</f>
        <v>4.7218079999999844E-5</v>
      </c>
      <c r="R253" s="877">
        <v>0</v>
      </c>
      <c r="S253" s="877">
        <v>0</v>
      </c>
      <c r="T253" s="877">
        <v>0</v>
      </c>
      <c r="U253" s="877">
        <f>(G253+T253)*'Input data plant-based products'!$P$271</f>
        <v>2.053958520014641E-3</v>
      </c>
      <c r="V253" s="877">
        <v>0</v>
      </c>
      <c r="W253" s="886">
        <v>0</v>
      </c>
      <c r="X253" s="877"/>
      <c r="Y253" s="879"/>
      <c r="Z253" s="877"/>
      <c r="AA253" s="877"/>
      <c r="AB253" s="877"/>
      <c r="AC253" s="877"/>
      <c r="AD253" s="886"/>
      <c r="AE253" s="877"/>
      <c r="AF253" s="879"/>
      <c r="AG253" s="877"/>
      <c r="AH253" s="877"/>
      <c r="AI253" s="877"/>
      <c r="AJ253" s="877"/>
      <c r="AK253" s="886"/>
      <c r="AL253" s="877"/>
      <c r="AM253" s="879"/>
      <c r="AN253" s="877"/>
      <c r="AO253" s="877"/>
      <c r="AP253" s="877"/>
      <c r="AQ253" s="877"/>
      <c r="AR253" s="886"/>
      <c r="AS253" s="877"/>
      <c r="AT253" s="879"/>
      <c r="AU253" s="877"/>
      <c r="AV253" s="877"/>
      <c r="AW253" s="877"/>
      <c r="AX253" s="877"/>
      <c r="AY253" s="886"/>
      <c r="AZ253" s="877"/>
      <c r="BA253" s="879"/>
      <c r="BB253" s="877"/>
      <c r="BC253" s="877"/>
      <c r="BD253" s="877"/>
      <c r="BE253" s="877"/>
      <c r="BF253" s="886"/>
      <c r="BG253" s="877"/>
      <c r="BH253" s="879"/>
      <c r="BI253" s="877"/>
      <c r="BJ253" s="877"/>
      <c r="BK253" s="877"/>
      <c r="BL253" s="877"/>
      <c r="BM253" s="886"/>
      <c r="BN253" s="877"/>
      <c r="BO253" s="879"/>
      <c r="BP253" s="877"/>
      <c r="BQ253" s="877"/>
      <c r="BR253" s="877"/>
      <c r="BS253" s="877"/>
      <c r="BT253" s="886"/>
      <c r="BU253" s="877"/>
      <c r="BV253" s="879"/>
      <c r="BW253" s="886"/>
    </row>
    <row r="254" spans="1:253" s="406" customFormat="1" ht="17.25">
      <c r="A254" s="359"/>
      <c r="B254" s="360"/>
      <c r="C254" s="83"/>
      <c r="D254" s="54"/>
      <c r="E254" s="1295" t="s">
        <v>320</v>
      </c>
      <c r="F254" s="928">
        <f>SUM(K254:L254)</f>
        <v>1.2125088331390124E-3</v>
      </c>
      <c r="G254" s="877">
        <f>SUM(I254:Q254)</f>
        <v>2.7844152315169312E-3</v>
      </c>
      <c r="H254" s="878">
        <f>SUM(U254:W254)/(1-'Common input data'!$F$140)</f>
        <v>5.1154012924693754E-3</v>
      </c>
      <c r="I254" s="877">
        <f>('Input data plant-based products'!$F$141*('Common input data'!$D$93*'Common input data'!B88+'Common input data'!$D$94*'Common input data'!C88))/'Input data plant-based products'!$E$141</f>
        <v>1.5387350871925527E-3</v>
      </c>
      <c r="J254" s="877">
        <v>0</v>
      </c>
      <c r="K254" s="877">
        <f>(SUM('Input data plant-based products'!F150:H150)*'Input data plant-based products'!$B$257*44/28)/'Input data plant-based products'!E141</f>
        <v>1.1022807573991022E-3</v>
      </c>
      <c r="L254" s="877">
        <f>K254*'Input data plant-based products'!$B$261</f>
        <v>1.1022807573991022E-4</v>
      </c>
      <c r="M254" s="877"/>
      <c r="N254" s="877">
        <f>('Input data plant-based products'!$P$141*'Common input data'!$C$76*'Common input data'!H68)/'Input data plant-based products'!$E$141</f>
        <v>1.3519007185365928E-5</v>
      </c>
      <c r="O254" s="877">
        <v>0</v>
      </c>
      <c r="P254" s="877">
        <v>0</v>
      </c>
      <c r="Q254" s="877">
        <f>'Input data plant-based products'!D$271*3.6*'Common input data'!G68</f>
        <v>1.9652303999999982E-5</v>
      </c>
      <c r="R254" s="877">
        <v>0</v>
      </c>
      <c r="S254" s="877">
        <v>0</v>
      </c>
      <c r="T254" s="877">
        <v>0</v>
      </c>
      <c r="U254" s="877">
        <f>(G254+T254)*'Input data plant-based products'!$P$271</f>
        <v>3.3147800375201561E-3</v>
      </c>
      <c r="V254" s="877">
        <v>0</v>
      </c>
      <c r="W254" s="886">
        <v>0</v>
      </c>
      <c r="X254" s="877"/>
      <c r="Y254" s="879"/>
      <c r="Z254" s="877"/>
      <c r="AA254" s="877"/>
      <c r="AB254" s="877"/>
      <c r="AC254" s="877"/>
      <c r="AD254" s="886"/>
      <c r="AE254" s="877"/>
      <c r="AF254" s="879"/>
      <c r="AG254" s="877"/>
      <c r="AH254" s="877"/>
      <c r="AI254" s="877"/>
      <c r="AJ254" s="877"/>
      <c r="AK254" s="886"/>
      <c r="AL254" s="877"/>
      <c r="AM254" s="879"/>
      <c r="AN254" s="877"/>
      <c r="AO254" s="877"/>
      <c r="AP254" s="877"/>
      <c r="AQ254" s="877"/>
      <c r="AR254" s="886"/>
      <c r="AS254" s="877"/>
      <c r="AT254" s="879"/>
      <c r="AU254" s="877"/>
      <c r="AV254" s="877"/>
      <c r="AW254" s="877"/>
      <c r="AX254" s="877"/>
      <c r="AY254" s="886"/>
      <c r="AZ254" s="877"/>
      <c r="BA254" s="879"/>
      <c r="BB254" s="877"/>
      <c r="BC254" s="877"/>
      <c r="BD254" s="877"/>
      <c r="BE254" s="877"/>
      <c r="BF254" s="886"/>
      <c r="BG254" s="877"/>
      <c r="BH254" s="879"/>
      <c r="BI254" s="877"/>
      <c r="BJ254" s="877"/>
      <c r="BK254" s="877"/>
      <c r="BL254" s="877"/>
      <c r="BM254" s="886"/>
      <c r="BN254" s="877"/>
      <c r="BO254" s="879"/>
      <c r="BP254" s="877"/>
      <c r="BQ254" s="877"/>
      <c r="BR254" s="877"/>
      <c r="BS254" s="877"/>
      <c r="BT254" s="886"/>
      <c r="BU254" s="877"/>
      <c r="BV254" s="879"/>
      <c r="BW254" s="886"/>
    </row>
    <row r="255" spans="1:253" s="502" customFormat="1" ht="17.25">
      <c r="A255" s="20" t="s">
        <v>134</v>
      </c>
      <c r="B255" s="93" t="s">
        <v>121</v>
      </c>
      <c r="C255" s="87">
        <f>'Input data plant-based products'!D142</f>
        <v>0.56208147180095025</v>
      </c>
      <c r="D255" s="54"/>
      <c r="E255" s="1293" t="s">
        <v>316</v>
      </c>
      <c r="F255" s="930">
        <f>SUMPRODUCT($CI$4:$CI$6,F256:F258)</f>
        <v>0.76079523505861857</v>
      </c>
      <c r="G255" s="872">
        <f>SUMPRODUCT($CI$4:$CI$6,G256:G258)</f>
        <v>2.8869983493753781</v>
      </c>
      <c r="H255" s="873">
        <f>SUMPRODUCT($CI$4:$CI$6,H256:H258)</f>
        <v>5.5381063943178397</v>
      </c>
      <c r="I255" s="884"/>
      <c r="J255" s="884"/>
      <c r="K255" s="884"/>
      <c r="L255" s="884"/>
      <c r="M255" s="884"/>
      <c r="N255" s="884"/>
      <c r="O255" s="884"/>
      <c r="P255" s="884"/>
      <c r="Q255" s="884"/>
      <c r="R255" s="884"/>
      <c r="S255" s="884"/>
      <c r="T255" s="884"/>
      <c r="U255" s="884"/>
      <c r="V255" s="884"/>
      <c r="W255" s="885"/>
      <c r="X255" s="877"/>
      <c r="Y255" s="879">
        <f>1/'Input data plant-based products'!E142*10^4</f>
        <v>11.683022899309853</v>
      </c>
      <c r="Z255" s="877">
        <f>$Y255*'Input data plant-based products'!Z142</f>
        <v>11.683022899309853</v>
      </c>
      <c r="AA255" s="877">
        <f>$Y255*'Input data plant-based products'!AA142</f>
        <v>13.908360594416491</v>
      </c>
      <c r="AB255" s="877">
        <f>$Y255*'Input data plant-based products'!AB142</f>
        <v>13.908360594416491</v>
      </c>
      <c r="AC255" s="877">
        <f>$Y255*'Input data plant-based products'!AC142</f>
        <v>19.084967059685617</v>
      </c>
      <c r="AD255" s="886">
        <f>$Y255*'Input data plant-based products'!AD142</f>
        <v>23.561687728006934</v>
      </c>
      <c r="AE255" s="877"/>
      <c r="AF255" s="879">
        <f>SUM('Input data plant-based products'!F142,'Input data plant-based products'!Q142)/'Input data plant-based products'!E142</f>
        <v>0.16387879999999999</v>
      </c>
      <c r="AG255" s="877">
        <f>$AF255*'Input data plant-based products'!Z142</f>
        <v>0.16387879999999999</v>
      </c>
      <c r="AH255" s="877">
        <f>$AF255*'Input data plant-based products'!AA142</f>
        <v>0.1950938095238095</v>
      </c>
      <c r="AI255" s="877">
        <f>$AF255*'Input data plant-based products'!AB142</f>
        <v>0.1950938095238095</v>
      </c>
      <c r="AJ255" s="877">
        <f>$AF255*'Input data plant-based products'!AC142</f>
        <v>0.26770652824497709</v>
      </c>
      <c r="AK255" s="886">
        <f>$AF255*'Input data plant-based products'!AD142</f>
        <v>0.33050188672219394</v>
      </c>
      <c r="AL255" s="877"/>
      <c r="AM255" s="879">
        <f>'Input data plant-based products'!R142/'Input data plant-based products'!E142</f>
        <v>3.1403800000000003E-2</v>
      </c>
      <c r="AN255" s="877">
        <f>$AM255*'Input data plant-based products'!Z142</f>
        <v>3.1403800000000003E-2</v>
      </c>
      <c r="AO255" s="877">
        <f>$AM255*'Input data plant-based products'!AA142</f>
        <v>3.7385476190476191E-2</v>
      </c>
      <c r="AP255" s="877">
        <f>$AM255*'Input data plant-based products'!AB142</f>
        <v>3.7385476190476191E-2</v>
      </c>
      <c r="AQ255" s="877">
        <f>$AM255*'Input data plant-based products'!AC142</f>
        <v>5.1300121014430253E-2</v>
      </c>
      <c r="AR255" s="886">
        <f>$AM255*'Input data plant-based products'!AD142</f>
        <v>6.3333482733864507E-2</v>
      </c>
      <c r="AS255" s="877"/>
      <c r="AT255" s="879">
        <f>'Input data plant-based products'!S142</f>
        <v>0.11647985293983218</v>
      </c>
      <c r="AU255" s="877">
        <f>$AT255*'Input data plant-based products'!Z142</f>
        <v>0.11647985293983218</v>
      </c>
      <c r="AV255" s="877">
        <f>$AT255*'Input data plant-based products'!AA142</f>
        <v>0.1386664915950383</v>
      </c>
      <c r="AW255" s="877">
        <f>$AT255*'Input data plant-based products'!AB142</f>
        <v>0.1386664915950383</v>
      </c>
      <c r="AX255" s="877">
        <f>$AT255*'Input data plant-based products'!AC142</f>
        <v>0.19027730884658639</v>
      </c>
      <c r="AY255" s="886">
        <f>$AT255*'Input data plant-based products'!AD142</f>
        <v>0.23491025783529185</v>
      </c>
      <c r="AZ255" s="877"/>
      <c r="BA255" s="879">
        <f>((SUM('Input data plant-based products'!U142:Y142)*Y255)/('Common input data'!$B$192/10^6))/$BB$3</f>
        <v>4.8252985265188101E-9</v>
      </c>
      <c r="BB255" s="877">
        <f>$BA255*'Input data plant-based products'!Z142</f>
        <v>4.8252985265188101E-9</v>
      </c>
      <c r="BC255" s="877">
        <f>$BA255*'Input data plant-based products'!AA142</f>
        <v>5.744403007760488E-9</v>
      </c>
      <c r="BD255" s="877">
        <f>$BA255*'Input data plant-based products'!AB142</f>
        <v>5.744403007760488E-9</v>
      </c>
      <c r="BE255" s="877">
        <f>$BA255*'Input data plant-based products'!AC142</f>
        <v>7.8824345570016019E-9</v>
      </c>
      <c r="BF255" s="886">
        <f>$BA255*'Input data plant-based products'!AD142</f>
        <v>9.7314006876562996E-9</v>
      </c>
      <c r="BG255" s="877"/>
      <c r="BH255" s="879">
        <f>'Input data plant-based products'!T142/'Input data plant-based products'!E142</f>
        <v>4.247557692092418E-3</v>
      </c>
      <c r="BI255" s="877">
        <f>$BH255*'Input data plant-based products'!Z142</f>
        <v>4.247557692092418E-3</v>
      </c>
      <c r="BJ255" s="877">
        <f>$BH255*'Input data plant-based products'!AA142</f>
        <v>5.0566163001100218E-3</v>
      </c>
      <c r="BK255" s="877">
        <f>$BH255*'Input data plant-based products'!AB142</f>
        <v>5.0566163001100218E-3</v>
      </c>
      <c r="BL255" s="877">
        <f>$BH255*'Input data plant-based products'!AC142</f>
        <v>6.9386578573330327E-3</v>
      </c>
      <c r="BM255" s="886">
        <f>$BH255*'Input data plant-based products'!AD142</f>
        <v>8.5662442683123868E-3</v>
      </c>
      <c r="BN255" s="877"/>
      <c r="BO255" s="879">
        <f>('Input data plant-based products'!F142/'Input data plant-based products'!E142*'Common input data'!$B$195+'Input data plant-based products'!G142/'Input data plant-based products'!E142*'Common input data'!$B$196)/'Common input data'!$B$198</f>
        <v>4.1844375454272859E-3</v>
      </c>
      <c r="BP255" s="877">
        <f>$BO255*'Input data plant-based products'!Z142</f>
        <v>4.1844375454272859E-3</v>
      </c>
      <c r="BQ255" s="877">
        <f>$BO255*'Input data plant-based products'!AA142</f>
        <v>4.9814732683658167E-3</v>
      </c>
      <c r="BR255" s="877">
        <f>$BO255*'Input data plant-based products'!AB142</f>
        <v>4.9814732683658167E-3</v>
      </c>
      <c r="BS255" s="877">
        <f>$BO255*'Input data plant-based products'!AC142</f>
        <v>6.835547050285164E-3</v>
      </c>
      <c r="BT255" s="886">
        <f>$BO255*'Input data plant-based products'!AD142</f>
        <v>8.4389469756606973E-3</v>
      </c>
      <c r="BU255" s="877"/>
      <c r="BV255" s="879">
        <f>('Common input data'!$C$202+'Common input data'!$B$228)*'Input data plant-based products'!AC142</f>
        <v>9.2336216371760109</v>
      </c>
      <c r="BW255" s="886">
        <f>('Common input data'!$C$202+'Common input data'!$B$228)*'Input data plant-based products'!AD142</f>
        <v>11.399532885402483</v>
      </c>
      <c r="BX255" s="406"/>
      <c r="BY255" s="406"/>
      <c r="BZ255" s="406"/>
      <c r="CA255" s="406"/>
      <c r="CB255" s="406"/>
      <c r="CC255" s="406"/>
      <c r="CD255" s="406"/>
      <c r="CE255" s="406"/>
      <c r="CF255" s="406"/>
      <c r="CG255" s="406"/>
      <c r="CH255" s="406"/>
      <c r="CI255" s="406"/>
      <c r="CJ255" s="406"/>
      <c r="CK255" s="406"/>
      <c r="CL255" s="406"/>
      <c r="CM255" s="406"/>
      <c r="CN255" s="406"/>
      <c r="CO255" s="406"/>
      <c r="CP255" s="406"/>
      <c r="CQ255" s="406"/>
      <c r="CR255" s="406"/>
      <c r="CS255" s="406"/>
      <c r="CT255" s="406"/>
      <c r="CU255" s="406"/>
      <c r="CV255" s="406"/>
      <c r="CW255" s="406"/>
      <c r="CX255" s="406"/>
      <c r="CY255" s="406"/>
      <c r="CZ255" s="406"/>
      <c r="DA255" s="406"/>
      <c r="DB255" s="406"/>
      <c r="DC255" s="406"/>
      <c r="DD255" s="406"/>
      <c r="DE255" s="406"/>
      <c r="DF255" s="406"/>
      <c r="DG255" s="406"/>
      <c r="DH255" s="406"/>
      <c r="DI255" s="406"/>
      <c r="DJ255" s="406"/>
      <c r="DK255" s="406"/>
      <c r="DL255" s="406"/>
      <c r="DM255" s="406"/>
      <c r="DN255" s="406"/>
      <c r="DO255" s="406"/>
      <c r="DP255" s="406"/>
      <c r="DQ255" s="406"/>
      <c r="DR255" s="406"/>
      <c r="DS255" s="406"/>
      <c r="DT255" s="406"/>
      <c r="DU255" s="406"/>
      <c r="DV255" s="406"/>
      <c r="DW255" s="406"/>
      <c r="DX255" s="406"/>
      <c r="DY255" s="406"/>
      <c r="DZ255" s="406"/>
      <c r="EA255" s="406"/>
      <c r="EB255" s="406"/>
      <c r="EC255" s="406"/>
      <c r="ED255" s="406"/>
      <c r="EE255" s="406"/>
      <c r="EF255" s="406"/>
      <c r="EG255" s="406"/>
      <c r="EH255" s="406"/>
      <c r="EI255" s="406"/>
      <c r="EJ255" s="406"/>
      <c r="EK255" s="406"/>
      <c r="EL255" s="406"/>
      <c r="EM255" s="406"/>
      <c r="EN255" s="406"/>
      <c r="EO255" s="406"/>
      <c r="EP255" s="406"/>
      <c r="EQ255" s="406"/>
      <c r="ER255" s="406"/>
      <c r="ES255" s="406"/>
      <c r="ET255" s="406"/>
      <c r="EU255" s="406"/>
      <c r="EV255" s="406"/>
      <c r="EW255" s="406"/>
      <c r="EX255" s="406"/>
      <c r="EY255" s="406"/>
      <c r="EZ255" s="406"/>
      <c r="FA255" s="406"/>
      <c r="FB255" s="406"/>
      <c r="FC255" s="406"/>
      <c r="FD255" s="406"/>
      <c r="FE255" s="406"/>
      <c r="FF255" s="406"/>
      <c r="FG255" s="406"/>
      <c r="FH255" s="406"/>
      <c r="FI255" s="406"/>
      <c r="FJ255" s="406"/>
      <c r="FK255" s="406"/>
      <c r="FL255" s="406"/>
      <c r="FM255" s="406"/>
      <c r="FN255" s="406"/>
      <c r="FO255" s="406"/>
      <c r="FP255" s="406"/>
      <c r="FQ255" s="406"/>
      <c r="FR255" s="406"/>
      <c r="FS255" s="406"/>
      <c r="FT255" s="406"/>
      <c r="FU255" s="406"/>
      <c r="FV255" s="406"/>
      <c r="FW255" s="406"/>
      <c r="FX255" s="406"/>
      <c r="FY255" s="406"/>
      <c r="FZ255" s="406"/>
      <c r="GA255" s="406"/>
      <c r="GB255" s="406"/>
      <c r="GC255" s="406"/>
      <c r="GD255" s="406"/>
      <c r="GE255" s="406"/>
      <c r="GF255" s="406"/>
      <c r="GG255" s="406"/>
      <c r="GH255" s="406"/>
      <c r="GI255" s="406"/>
      <c r="GJ255" s="406"/>
      <c r="GK255" s="406"/>
      <c r="GL255" s="406"/>
      <c r="GM255" s="406"/>
      <c r="GN255" s="406"/>
      <c r="GO255" s="406"/>
      <c r="GP255" s="406"/>
      <c r="GQ255" s="406"/>
      <c r="GR255" s="406"/>
      <c r="GS255" s="406"/>
      <c r="GT255" s="406"/>
      <c r="GU255" s="406"/>
      <c r="GV255" s="406"/>
      <c r="GW255" s="406"/>
      <c r="GX255" s="406"/>
      <c r="GY255" s="406"/>
      <c r="GZ255" s="406"/>
      <c r="HA255" s="406"/>
      <c r="HB255" s="406"/>
      <c r="HC255" s="406"/>
      <c r="HD255" s="406"/>
      <c r="HE255" s="406"/>
      <c r="HF255" s="406"/>
      <c r="HG255" s="406"/>
      <c r="HH255" s="406"/>
      <c r="HI255" s="406"/>
      <c r="HJ255" s="406"/>
      <c r="HK255" s="406"/>
      <c r="HL255" s="406"/>
      <c r="HM255" s="406"/>
      <c r="HN255" s="406"/>
      <c r="HO255" s="406"/>
      <c r="HP255" s="406"/>
      <c r="HQ255" s="406"/>
      <c r="HR255" s="406"/>
      <c r="HS255" s="406"/>
      <c r="HT255" s="406"/>
      <c r="HU255" s="406"/>
      <c r="HV255" s="406"/>
      <c r="HW255" s="406"/>
      <c r="HX255" s="406"/>
      <c r="HY255" s="406"/>
      <c r="HZ255" s="406"/>
      <c r="IA255" s="406"/>
      <c r="IB255" s="406"/>
      <c r="IC255" s="406"/>
      <c r="ID255" s="406"/>
      <c r="IE255" s="406"/>
      <c r="IF255" s="406"/>
      <c r="IG255" s="406"/>
      <c r="IH255" s="406"/>
      <c r="II255" s="406"/>
      <c r="IJ255" s="406"/>
      <c r="IK255" s="406"/>
      <c r="IL255" s="406"/>
      <c r="IM255" s="406"/>
      <c r="IN255" s="406"/>
      <c r="IO255" s="406"/>
      <c r="IP255" s="406"/>
      <c r="IQ255" s="406"/>
      <c r="IR255" s="406"/>
      <c r="IS255" s="406"/>
    </row>
    <row r="256" spans="1:253" s="406" customFormat="1" ht="17.25">
      <c r="A256" s="68"/>
      <c r="B256" s="55"/>
      <c r="C256" s="917"/>
      <c r="D256" s="5"/>
      <c r="E256" s="1294" t="s">
        <v>317</v>
      </c>
      <c r="F256" s="928">
        <f>IF(AND($G$2="No",$G$3="No"),SUM(K256:L256),IF(AND($G$2="Yes", $G$3="No"), (SUM(K256:L256)+S256), IF(AND($G$2="No", $G$3="Yes"),(SUM(K256:L256)+R256), (SUM(K256:L256)+S256+R256))))</f>
        <v>-9.1139048141381296E-2</v>
      </c>
      <c r="G256" s="877">
        <f>IF(AND($G$2="No",$G$3="No"),SUM(I256:Q256),IF(AND($G$2="Yes", $G$3="No"), (SUM(I256:Q256)+S256), IF(AND($G$2="No", $G$3="Yes"),(SUM(I256:Q256)+R256), (SUM(I256:Q256)+S256+R256))))</f>
        <v>1.5606237002752268</v>
      </c>
      <c r="H256" s="878">
        <f>SUM(U256:W256)/(1-'Common input data'!$I$140)</f>
        <v>3.3713883535294569</v>
      </c>
      <c r="I256" s="877">
        <f>('Input data plant-based products'!$F$142*('Common input data'!$D$93*'Common input data'!B86+'Common input data'!$D$94*'Common input data'!C86))/'Input data plant-based products'!$E$142</f>
        <v>0.68559338760594279</v>
      </c>
      <c r="J256" s="877">
        <f>'Common input data'!$B$98</f>
        <v>0.03</v>
      </c>
      <c r="K256" s="877">
        <v>0</v>
      </c>
      <c r="L256" s="877">
        <v>0</v>
      </c>
      <c r="M256" s="877"/>
      <c r="N256" s="877">
        <f>('Input data plant-based products'!$P$142*'Common input data'!$C$76*'Common input data'!H66)/'Input data plant-based products'!$E$142</f>
        <v>0.43710132854848965</v>
      </c>
      <c r="O256" s="877">
        <v>0</v>
      </c>
      <c r="P256" s="877">
        <f>'Input data plant-based products'!$C$309</f>
        <v>0.4</v>
      </c>
      <c r="Q256" s="877">
        <f>'Input data plant-based products'!C271*'Common input data'!K80+'Input data plant-based products'!D$271*3.6*'Common input data'!G66</f>
        <v>9.9068032262175754E-2</v>
      </c>
      <c r="R256" s="877">
        <f>'Common input data'!$F$19</f>
        <v>-9.1139048141381296E-2</v>
      </c>
      <c r="S256" s="877">
        <v>0</v>
      </c>
      <c r="T256" s="877">
        <f>'Input data plant-based products'!C$290</f>
        <v>0.1</v>
      </c>
      <c r="U256" s="877">
        <f>(G256+T256)*'Input data plant-based products'!$P$271</f>
        <v>1.9769329765181272</v>
      </c>
      <c r="V256" s="877">
        <f>'Common input data'!$B$105</f>
        <v>0.05</v>
      </c>
      <c r="W256" s="886">
        <f>'Common input data'!B128+'Common input data'!C128</f>
        <v>0.43000000000000005</v>
      </c>
      <c r="X256" s="877"/>
      <c r="Y256" s="879"/>
      <c r="Z256" s="877"/>
      <c r="AA256" s="877"/>
      <c r="AB256" s="877"/>
      <c r="AC256" s="877"/>
      <c r="AD256" s="886"/>
      <c r="AE256" s="877"/>
      <c r="AF256" s="879"/>
      <c r="AG256" s="877"/>
      <c r="AH256" s="877"/>
      <c r="AI256" s="877"/>
      <c r="AJ256" s="877"/>
      <c r="AK256" s="886"/>
      <c r="AL256" s="877"/>
      <c r="AM256" s="879"/>
      <c r="AN256" s="877"/>
      <c r="AO256" s="877"/>
      <c r="AP256" s="877"/>
      <c r="AQ256" s="877"/>
      <c r="AR256" s="886"/>
      <c r="AS256" s="877"/>
      <c r="AT256" s="879"/>
      <c r="AU256" s="877"/>
      <c r="AV256" s="877"/>
      <c r="AW256" s="877"/>
      <c r="AX256" s="877"/>
      <c r="AY256" s="886"/>
      <c r="AZ256" s="877"/>
      <c r="BA256" s="879"/>
      <c r="BB256" s="877"/>
      <c r="BC256" s="877"/>
      <c r="BD256" s="877"/>
      <c r="BE256" s="877"/>
      <c r="BF256" s="886"/>
      <c r="BG256" s="877"/>
      <c r="BH256" s="879"/>
      <c r="BI256" s="877"/>
      <c r="BJ256" s="877"/>
      <c r="BK256" s="877"/>
      <c r="BL256" s="877"/>
      <c r="BM256" s="886"/>
      <c r="BN256" s="877"/>
      <c r="BO256" s="879"/>
      <c r="BP256" s="877"/>
      <c r="BQ256" s="877"/>
      <c r="BR256" s="877"/>
      <c r="BS256" s="877"/>
      <c r="BT256" s="886"/>
      <c r="BU256" s="877"/>
      <c r="BV256" s="879"/>
      <c r="BW256" s="886"/>
    </row>
    <row r="257" spans="1:75" s="406" customFormat="1" ht="17.25">
      <c r="A257" s="68"/>
      <c r="B257" s="55"/>
      <c r="C257" s="595"/>
      <c r="D257" s="50"/>
      <c r="E257" s="1294" t="s">
        <v>367</v>
      </c>
      <c r="F257" s="928">
        <f>SUM(K257:L257)</f>
        <v>0</v>
      </c>
      <c r="G257" s="877">
        <f>SUM(I257:Q257)</f>
        <v>1.6960814968021048E-3</v>
      </c>
      <c r="H257" s="878">
        <f>SUM(U257:W257)/(1-'Common input data'!$I$140)</f>
        <v>2.7706578833225264E-3</v>
      </c>
      <c r="I257" s="877">
        <f>('Input data plant-based products'!$F$142*('Common input data'!$D$93*'Common input data'!B87+'Common input data'!$D$94*'Common input data'!C87))/'Input data plant-based products'!$E$142</f>
        <v>1.455242267182957E-3</v>
      </c>
      <c r="J257" s="877">
        <v>0</v>
      </c>
      <c r="K257" s="877">
        <v>0</v>
      </c>
      <c r="L257" s="877">
        <v>0</v>
      </c>
      <c r="M257" s="877"/>
      <c r="N257" s="877">
        <f>('Input data plant-based products'!$P$142*'Common input data'!$C$76*'Common input data'!H67)/'Input data plant-based products'!$E$142</f>
        <v>1.9362114961914788E-4</v>
      </c>
      <c r="O257" s="877">
        <v>0</v>
      </c>
      <c r="P257" s="877">
        <v>0</v>
      </c>
      <c r="Q257" s="877">
        <f>'Input data plant-based products'!D$271*3.6*'Common input data'!G67</f>
        <v>4.7218079999999844E-5</v>
      </c>
      <c r="R257" s="877">
        <v>0</v>
      </c>
      <c r="S257" s="877">
        <v>0</v>
      </c>
      <c r="T257" s="877">
        <v>0</v>
      </c>
      <c r="U257" s="877">
        <f>(G257+T257)*'Input data plant-based products'!$P$271</f>
        <v>2.0191446390501245E-3</v>
      </c>
      <c r="V257" s="877">
        <v>0</v>
      </c>
      <c r="W257" s="886">
        <v>0</v>
      </c>
      <c r="X257" s="877"/>
      <c r="Y257" s="879"/>
      <c r="Z257" s="877"/>
      <c r="AA257" s="877"/>
      <c r="AB257" s="877"/>
      <c r="AC257" s="877"/>
      <c r="AD257" s="886"/>
      <c r="AE257" s="877"/>
      <c r="AF257" s="879"/>
      <c r="AG257" s="877"/>
      <c r="AH257" s="877"/>
      <c r="AI257" s="877"/>
      <c r="AJ257" s="877"/>
      <c r="AK257" s="886"/>
      <c r="AL257" s="877"/>
      <c r="AM257" s="879"/>
      <c r="AN257" s="877"/>
      <c r="AO257" s="877"/>
      <c r="AP257" s="877"/>
      <c r="AQ257" s="877"/>
      <c r="AR257" s="886"/>
      <c r="AS257" s="877"/>
      <c r="AT257" s="879"/>
      <c r="AU257" s="877"/>
      <c r="AV257" s="877"/>
      <c r="AW257" s="877"/>
      <c r="AX257" s="877"/>
      <c r="AY257" s="886"/>
      <c r="AZ257" s="877"/>
      <c r="BA257" s="879"/>
      <c r="BB257" s="877"/>
      <c r="BC257" s="877"/>
      <c r="BD257" s="877"/>
      <c r="BE257" s="877"/>
      <c r="BF257" s="886"/>
      <c r="BG257" s="877"/>
      <c r="BH257" s="879"/>
      <c r="BI257" s="877"/>
      <c r="BJ257" s="877"/>
      <c r="BK257" s="877"/>
      <c r="BL257" s="877"/>
      <c r="BM257" s="886"/>
      <c r="BN257" s="877"/>
      <c r="BO257" s="879"/>
      <c r="BP257" s="877"/>
      <c r="BQ257" s="877"/>
      <c r="BR257" s="877"/>
      <c r="BS257" s="877"/>
      <c r="BT257" s="886"/>
      <c r="BU257" s="877"/>
      <c r="BV257" s="879"/>
      <c r="BW257" s="886"/>
    </row>
    <row r="258" spans="1:75" s="406" customFormat="1" ht="17.25">
      <c r="A258" s="359"/>
      <c r="B258" s="360"/>
      <c r="C258" s="83"/>
      <c r="D258" s="54"/>
      <c r="E258" s="1295" t="s">
        <v>320</v>
      </c>
      <c r="F258" s="928">
        <f>SUM(K258:L258)</f>
        <v>3.1206383999999995E-3</v>
      </c>
      <c r="G258" s="877">
        <f>SUM(I258:Q258)</f>
        <v>4.6907708743095036E-3</v>
      </c>
      <c r="H258" s="878">
        <f>SUM(U258:W258)/(1-'Common input data'!$I$140)</f>
        <v>7.6626750107643762E-3</v>
      </c>
      <c r="I258" s="877">
        <f>('Input data plant-based products'!$F$142*('Common input data'!$D$93*'Common input data'!B88+'Common input data'!$D$94*'Common input data'!C88))/'Input data plant-based products'!$E$142</f>
        <v>1.5387350871925529E-3</v>
      </c>
      <c r="J258" s="877">
        <v>0</v>
      </c>
      <c r="K258" s="877">
        <f>(SUM('Input data plant-based products'!F142:H142)*'Input data plant-based products'!$B$257*44/28)/'Input data plant-based products'!E142</f>
        <v>2.8369439999999997E-3</v>
      </c>
      <c r="L258" s="877">
        <f>K258*'Input data plant-based products'!$B$261</f>
        <v>2.836944E-4</v>
      </c>
      <c r="M258" s="877"/>
      <c r="N258" s="877">
        <f>('Input data plant-based products'!$P$142*'Common input data'!$C$76*'Common input data'!H68)/'Input data plant-based products'!$E$142</f>
        <v>1.1745083116950986E-5</v>
      </c>
      <c r="O258" s="877">
        <v>0</v>
      </c>
      <c r="P258" s="877">
        <v>0</v>
      </c>
      <c r="Q258" s="877">
        <f>'Input data plant-based products'!D$271*3.6*'Common input data'!G68</f>
        <v>1.9652303999999982E-5</v>
      </c>
      <c r="R258" s="877">
        <v>0</v>
      </c>
      <c r="S258" s="877">
        <v>0</v>
      </c>
      <c r="T258" s="877">
        <v>0</v>
      </c>
      <c r="U258" s="877">
        <f>(G258+T258)*'Input data plant-based products'!$P$271</f>
        <v>5.5842510408446473E-3</v>
      </c>
      <c r="V258" s="877">
        <v>0</v>
      </c>
      <c r="W258" s="886">
        <v>0</v>
      </c>
      <c r="X258" s="877"/>
      <c r="Y258" s="879"/>
      <c r="Z258" s="877"/>
      <c r="AA258" s="877"/>
      <c r="AB258" s="877"/>
      <c r="AC258" s="877"/>
      <c r="AD258" s="886"/>
      <c r="AE258" s="877"/>
      <c r="AF258" s="879"/>
      <c r="AG258" s="877"/>
      <c r="AH258" s="877"/>
      <c r="AI258" s="877"/>
      <c r="AJ258" s="877"/>
      <c r="AK258" s="886"/>
      <c r="AL258" s="877"/>
      <c r="AM258" s="879"/>
      <c r="AN258" s="877"/>
      <c r="AO258" s="877"/>
      <c r="AP258" s="877"/>
      <c r="AQ258" s="877"/>
      <c r="AR258" s="886"/>
      <c r="AS258" s="877"/>
      <c r="AT258" s="879"/>
      <c r="AU258" s="877"/>
      <c r="AV258" s="877"/>
      <c r="AW258" s="877"/>
      <c r="AX258" s="877"/>
      <c r="AY258" s="886"/>
      <c r="AZ258" s="877"/>
      <c r="BA258" s="879"/>
      <c r="BB258" s="877"/>
      <c r="BC258" s="877"/>
      <c r="BD258" s="877"/>
      <c r="BE258" s="877"/>
      <c r="BF258" s="886"/>
      <c r="BG258" s="877"/>
      <c r="BH258" s="879"/>
      <c r="BI258" s="877"/>
      <c r="BJ258" s="877"/>
      <c r="BK258" s="877"/>
      <c r="BL258" s="877"/>
      <c r="BM258" s="886"/>
      <c r="BN258" s="877"/>
      <c r="BO258" s="879"/>
      <c r="BP258" s="877"/>
      <c r="BQ258" s="877"/>
      <c r="BR258" s="877"/>
      <c r="BS258" s="877"/>
      <c r="BT258" s="886"/>
      <c r="BU258" s="877"/>
      <c r="BV258" s="879"/>
      <c r="BW258" s="886"/>
    </row>
    <row r="259" spans="1:75" s="406" customFormat="1" ht="17.25">
      <c r="A259" s="350" t="s">
        <v>144</v>
      </c>
      <c r="B259" s="351"/>
      <c r="C259" s="902"/>
      <c r="D259" s="54"/>
      <c r="E259" s="1296"/>
      <c r="F259" s="969" t="s">
        <v>531</v>
      </c>
      <c r="G259" s="892" t="s">
        <v>531</v>
      </c>
      <c r="H259" s="970" t="s">
        <v>531</v>
      </c>
      <c r="I259" s="892"/>
      <c r="J259" s="892"/>
      <c r="K259" s="892"/>
      <c r="L259" s="892"/>
      <c r="M259" s="892"/>
      <c r="N259" s="892"/>
      <c r="O259" s="892"/>
      <c r="P259" s="892"/>
      <c r="Q259" s="892"/>
      <c r="R259" s="892"/>
      <c r="S259" s="892"/>
      <c r="T259" s="892"/>
      <c r="U259" s="892"/>
      <c r="V259" s="892"/>
      <c r="W259" s="1291"/>
      <c r="X259" s="877"/>
      <c r="Y259" s="879"/>
      <c r="Z259" s="877"/>
      <c r="AA259" s="877"/>
      <c r="AB259" s="877"/>
      <c r="AC259" s="877"/>
      <c r="AD259" s="886"/>
      <c r="AE259" s="877"/>
      <c r="AF259" s="879"/>
      <c r="AG259" s="877"/>
      <c r="AH259" s="877"/>
      <c r="AI259" s="877"/>
      <c r="AJ259" s="877"/>
      <c r="AK259" s="886"/>
      <c r="AL259" s="877"/>
      <c r="AM259" s="879"/>
      <c r="AN259" s="877"/>
      <c r="AO259" s="877"/>
      <c r="AP259" s="877"/>
      <c r="AQ259" s="877"/>
      <c r="AR259" s="886"/>
      <c r="AS259" s="877"/>
      <c r="AT259" s="879"/>
      <c r="AU259" s="877"/>
      <c r="AV259" s="877"/>
      <c r="AW259" s="877"/>
      <c r="AX259" s="877"/>
      <c r="AY259" s="886"/>
      <c r="AZ259" s="877"/>
      <c r="BA259" s="879"/>
      <c r="BB259" s="877"/>
      <c r="BC259" s="877"/>
      <c r="BD259" s="877"/>
      <c r="BE259" s="877"/>
      <c r="BF259" s="886"/>
      <c r="BG259" s="877"/>
      <c r="BH259" s="879"/>
      <c r="BI259" s="877"/>
      <c r="BJ259" s="877"/>
      <c r="BK259" s="877"/>
      <c r="BL259" s="877"/>
      <c r="BM259" s="886"/>
      <c r="BN259" s="877"/>
      <c r="BO259" s="879"/>
      <c r="BP259" s="877"/>
      <c r="BQ259" s="877"/>
      <c r="BR259" s="877"/>
      <c r="BS259" s="877"/>
      <c r="BT259" s="886"/>
      <c r="BU259" s="877"/>
      <c r="BV259" s="879"/>
      <c r="BW259" s="886"/>
    </row>
    <row r="260" spans="1:75" s="406" customFormat="1" ht="17.25">
      <c r="A260" s="20" t="s">
        <v>120</v>
      </c>
      <c r="B260" s="93"/>
      <c r="C260" s="903">
        <f>SUM(C264:C275)</f>
        <v>1</v>
      </c>
      <c r="D260" s="26"/>
      <c r="E260" s="1293" t="s">
        <v>316</v>
      </c>
      <c r="F260" s="930">
        <f>IF($G$1="GWP100 without fb",F261+F262*'Common input data'!$C$6+F263*'Common input data'!$E$6,IF($G$1="GWP100 with fb",F261+F262*'Common input data'!$C$7+F263*'Common input data'!$E$7,IF($G$1="GTP100 without fb",F261+F262*'Common input data'!$C$8+F263*'Common input data'!$E$8,IF($G$1="GTP100 with fb",F261+F262*'Common input data'!$C$9+F263*'Common input data'!$E$9,F261+F262*'Common input data'!$C$10+F263*'Common input data'!$E$10))))</f>
        <v>4.770226255549102</v>
      </c>
      <c r="G260" s="872">
        <f>IF($G$1="GWP100 without fb",G261+G262*'Common input data'!$C$6+G263*'Common input data'!$E$6,IF($G$1="GWP100 with fb",G261+G262*'Common input data'!$C$7+G263*'Common input data'!$E$7,IF($G$1="GTP100 without fb",G261+G262*'Common input data'!$C$8+G263*'Common input data'!$E$8,IF($G$1="GTP100 with fb",G261+G262*'Common input data'!$C$9+G263*'Common input data'!$E$9,G261+G262*'Common input data'!$C$10+G263*'Common input data'!$E$10))))</f>
        <v>4.7902262555491015</v>
      </c>
      <c r="H260" s="873">
        <f>IF($G$1="GWP100 without fb",H261+H262*'Common input data'!$C$6+H263*'Common input data'!$E$6,IF($G$1="GWP100 with fb",H261+H262*'Common input data'!$C$7+H263*'Common input data'!$E$7,IF($G$1="GTP100 without fb",H261+H262*'Common input data'!$C$8+H263*'Common input data'!$E$8,IF($G$1="GTP100 with fb",H261+H262*'Common input data'!$C$9+H263*'Common input data'!$E$9,H261+H262*'Common input data'!$C$10+H263*'Common input data'!$E$10))))</f>
        <v>6.9719011134334972</v>
      </c>
      <c r="I260" s="884"/>
      <c r="J260" s="884"/>
      <c r="K260" s="884"/>
      <c r="L260" s="884"/>
      <c r="M260" s="884"/>
      <c r="N260" s="884"/>
      <c r="O260" s="884"/>
      <c r="P260" s="884"/>
      <c r="Q260" s="884"/>
      <c r="R260" s="884"/>
      <c r="S260" s="884"/>
      <c r="T260" s="884"/>
      <c r="U260" s="884"/>
      <c r="V260" s="884"/>
      <c r="W260" s="885"/>
      <c r="X260" s="877"/>
      <c r="Y260" s="883">
        <f>Y264*C264+Y268*$C$268+Y272*$C$272</f>
        <v>7.3467532801399411</v>
      </c>
      <c r="Z260" s="884">
        <f t="shared" ref="Z260:BT260" si="49">Z264*D264+Z268*$C$268+Z272*$C$272</f>
        <v>3.5412401615722091</v>
      </c>
      <c r="AA260" s="884" t="e">
        <f t="shared" si="49"/>
        <v>#VALUE!</v>
      </c>
      <c r="AB260" s="884">
        <f t="shared" si="49"/>
        <v>51.374892297441079</v>
      </c>
      <c r="AC260" s="884">
        <f t="shared" si="49"/>
        <v>64.037713139750693</v>
      </c>
      <c r="AD260" s="885">
        <f t="shared" si="49"/>
        <v>106.15582518913477</v>
      </c>
      <c r="AE260" s="877"/>
      <c r="AF260" s="883">
        <f t="shared" si="49"/>
        <v>2.2276120737156083E-2</v>
      </c>
      <c r="AG260" s="884">
        <f t="shared" si="49"/>
        <v>2.2276120737156083E-2</v>
      </c>
      <c r="AH260" s="884">
        <f t="shared" si="49"/>
        <v>2.2276120737156083E-2</v>
      </c>
      <c r="AI260" s="884">
        <f t="shared" si="49"/>
        <v>2.2276120737156083E-2</v>
      </c>
      <c r="AJ260" s="884">
        <f t="shared" si="49"/>
        <v>3.0567156179203143E-2</v>
      </c>
      <c r="AK260" s="885">
        <f t="shared" si="49"/>
        <v>3.7737229850868068E-2</v>
      </c>
      <c r="AL260" s="877"/>
      <c r="AM260" s="883">
        <f t="shared" si="49"/>
        <v>3.8367920990979472E-3</v>
      </c>
      <c r="AN260" s="884">
        <f t="shared" si="49"/>
        <v>3.8367920990979472E-3</v>
      </c>
      <c r="AO260" s="884">
        <f t="shared" si="49"/>
        <v>3.8367920990979472E-3</v>
      </c>
      <c r="AP260" s="884">
        <f t="shared" si="49"/>
        <v>3.8367920990979472E-3</v>
      </c>
      <c r="AQ260" s="884">
        <f t="shared" si="49"/>
        <v>5.2648225740956518E-3</v>
      </c>
      <c r="AR260" s="885">
        <f t="shared" si="49"/>
        <v>6.4997809556736428E-3</v>
      </c>
      <c r="AS260" s="877"/>
      <c r="AT260" s="883">
        <f t="shared" si="49"/>
        <v>0.62603666912792533</v>
      </c>
      <c r="AU260" s="884">
        <f t="shared" si="49"/>
        <v>8.0497977164087011</v>
      </c>
      <c r="AV260" s="884">
        <f t="shared" si="49"/>
        <v>8.0497977164087011</v>
      </c>
      <c r="AW260" s="884">
        <f t="shared" si="49"/>
        <v>8.0497977164087011</v>
      </c>
      <c r="AX260" s="884">
        <f t="shared" si="49"/>
        <v>10.007916109038733</v>
      </c>
      <c r="AY260" s="885">
        <f t="shared" si="49"/>
        <v>14.980128047839242</v>
      </c>
      <c r="AZ260" s="877"/>
      <c r="BA260" s="883">
        <f t="shared" si="49"/>
        <v>1.499995668319372E-9</v>
      </c>
      <c r="BB260" s="884">
        <f t="shared" si="49"/>
        <v>1.6880346306972216E-9</v>
      </c>
      <c r="BC260" s="884">
        <f t="shared" si="49"/>
        <v>1.6880346306972216E-9</v>
      </c>
      <c r="BD260" s="884">
        <f t="shared" si="49"/>
        <v>1.6880346306972216E-9</v>
      </c>
      <c r="BE260" s="884">
        <f t="shared" si="49"/>
        <v>2.290019745406266E-9</v>
      </c>
      <c r="BF260" s="885">
        <f t="shared" si="49"/>
        <v>2.8936661813579551E-9</v>
      </c>
      <c r="BG260" s="877"/>
      <c r="BH260" s="883">
        <f t="shared" si="49"/>
        <v>3.1763896503152486E-3</v>
      </c>
      <c r="BI260" s="884">
        <f t="shared" si="49"/>
        <v>3.6217758995843148E-3</v>
      </c>
      <c r="BJ260" s="884">
        <f t="shared" si="49"/>
        <v>3.6217758995843148E-3</v>
      </c>
      <c r="BK260" s="884">
        <f t="shared" si="49"/>
        <v>3.6217758995843148E-3</v>
      </c>
      <c r="BL260" s="884">
        <f t="shared" si="49"/>
        <v>4.9075061600267885E-3</v>
      </c>
      <c r="BM260" s="885">
        <f t="shared" si="49"/>
        <v>6.2161162092670297E-3</v>
      </c>
      <c r="BN260" s="877"/>
      <c r="BO260" s="883">
        <f t="shared" si="49"/>
        <v>5.6879252215068254E-4</v>
      </c>
      <c r="BP260" s="884">
        <f t="shared" si="49"/>
        <v>3.0330248567100619E-3</v>
      </c>
      <c r="BQ260" s="884">
        <f t="shared" si="49"/>
        <v>3.0330248567100619E-3</v>
      </c>
      <c r="BR260" s="884">
        <f t="shared" si="49"/>
        <v>3.0330248567100619E-3</v>
      </c>
      <c r="BS260" s="884">
        <f t="shared" si="49"/>
        <v>3.8173568819174996E-3</v>
      </c>
      <c r="BT260" s="885">
        <f t="shared" si="49"/>
        <v>5.5840173894382969E-3</v>
      </c>
      <c r="BU260" s="877"/>
      <c r="BV260" s="883">
        <f>BV264*BD264+BV268*$C$268+BV272*$C$272</f>
        <v>4.6042942518044798</v>
      </c>
      <c r="BW260" s="885">
        <f>BW264*BE264+BW268*$C$268+BW272*$C$272</f>
        <v>5.6843138958960235</v>
      </c>
    </row>
    <row r="261" spans="1:75" s="406" customFormat="1" ht="17.25">
      <c r="A261" s="499"/>
      <c r="B261" s="55"/>
      <c r="C261" s="917"/>
      <c r="D261" s="5"/>
      <c r="E261" s="1294" t="s">
        <v>317</v>
      </c>
      <c r="F261" s="928">
        <f>F265*$C$264+F269*$C$268+F273*$C$272</f>
        <v>4.0736053011720728</v>
      </c>
      <c r="G261" s="877">
        <f>G265*$C$264+G269*$C$268+G273*$C$272</f>
        <v>4.0936053011720723</v>
      </c>
      <c r="H261" s="878">
        <f t="shared" ref="G261:W263" si="50">H265*$C$264+H269*$C$268+H273*$C$272</f>
        <v>6.061824656283668</v>
      </c>
      <c r="I261" s="877">
        <f t="shared" si="50"/>
        <v>0</v>
      </c>
      <c r="J261" s="877">
        <f t="shared" si="50"/>
        <v>0</v>
      </c>
      <c r="K261" s="877">
        <f t="shared" si="50"/>
        <v>0</v>
      </c>
      <c r="L261" s="877">
        <f t="shared" si="50"/>
        <v>0</v>
      </c>
      <c r="M261" s="877"/>
      <c r="N261" s="877">
        <f t="shared" si="50"/>
        <v>0</v>
      </c>
      <c r="O261" s="877">
        <f t="shared" si="50"/>
        <v>0</v>
      </c>
      <c r="P261" s="877">
        <f t="shared" si="50"/>
        <v>0.02</v>
      </c>
      <c r="Q261" s="877">
        <f t="shared" si="50"/>
        <v>0</v>
      </c>
      <c r="R261" s="877">
        <f t="shared" si="50"/>
        <v>-9.1139048141381296E-2</v>
      </c>
      <c r="S261" s="877">
        <f t="shared" si="50"/>
        <v>0</v>
      </c>
      <c r="T261" s="877">
        <f t="shared" si="50"/>
        <v>0</v>
      </c>
      <c r="U261" s="877">
        <f t="shared" si="50"/>
        <v>4.0936053011720723</v>
      </c>
      <c r="V261" s="877">
        <f t="shared" si="50"/>
        <v>5.000000000000001E-2</v>
      </c>
      <c r="W261" s="886">
        <f t="shared" si="50"/>
        <v>0.47089632728000003</v>
      </c>
      <c r="X261" s="877"/>
      <c r="Y261" s="879"/>
      <c r="Z261" s="877"/>
      <c r="AA261" s="877"/>
      <c r="AB261" s="877"/>
      <c r="AC261" s="877"/>
      <c r="AD261" s="886"/>
      <c r="AE261" s="877"/>
      <c r="AF261" s="879"/>
      <c r="AG261" s="877"/>
      <c r="AH261" s="877"/>
      <c r="AI261" s="877"/>
      <c r="AJ261" s="877"/>
      <c r="AK261" s="886"/>
      <c r="AL261" s="877"/>
      <c r="AM261" s="879"/>
      <c r="AN261" s="877"/>
      <c r="AO261" s="877"/>
      <c r="AP261" s="877"/>
      <c r="AQ261" s="877"/>
      <c r="AR261" s="886"/>
      <c r="AS261" s="877"/>
      <c r="AT261" s="879"/>
      <c r="AU261" s="877"/>
      <c r="AV261" s="877"/>
      <c r="AW261" s="877"/>
      <c r="AX261" s="877"/>
      <c r="AY261" s="886"/>
      <c r="AZ261" s="877"/>
      <c r="BA261" s="879"/>
      <c r="BB261" s="877"/>
      <c r="BC261" s="877"/>
      <c r="BD261" s="877"/>
      <c r="BE261" s="877"/>
      <c r="BF261" s="886"/>
      <c r="BG261" s="877"/>
      <c r="BH261" s="879"/>
      <c r="BI261" s="877"/>
      <c r="BJ261" s="877"/>
      <c r="BK261" s="877"/>
      <c r="BL261" s="877"/>
      <c r="BM261" s="886"/>
      <c r="BN261" s="877"/>
      <c r="BO261" s="879"/>
      <c r="BP261" s="877"/>
      <c r="BQ261" s="877"/>
      <c r="BR261" s="877"/>
      <c r="BS261" s="877"/>
      <c r="BT261" s="886"/>
      <c r="BU261" s="877"/>
      <c r="BV261" s="879"/>
      <c r="BW261" s="886"/>
    </row>
    <row r="262" spans="1:75" s="406" customFormat="1" ht="17.25">
      <c r="A262" s="499"/>
      <c r="B262" s="55"/>
      <c r="C262" s="595"/>
      <c r="D262" s="50"/>
      <c r="E262" s="1294" t="s">
        <v>367</v>
      </c>
      <c r="F262" s="928">
        <f t="shared" ref="F262:V263" si="51">F266*$C$264+F270*$C$268+F274*$C$272</f>
        <v>1.6029160671173111E-2</v>
      </c>
      <c r="G262" s="877">
        <f t="shared" si="51"/>
        <v>1.6029160671173111E-2</v>
      </c>
      <c r="H262" s="878">
        <f t="shared" si="51"/>
        <v>2.065148650443668E-2</v>
      </c>
      <c r="I262" s="877">
        <f t="shared" si="51"/>
        <v>0</v>
      </c>
      <c r="J262" s="877">
        <f t="shared" si="51"/>
        <v>0</v>
      </c>
      <c r="K262" s="877">
        <f t="shared" si="51"/>
        <v>0</v>
      </c>
      <c r="L262" s="877">
        <f t="shared" si="51"/>
        <v>0</v>
      </c>
      <c r="M262" s="877"/>
      <c r="N262" s="877">
        <f t="shared" si="51"/>
        <v>0</v>
      </c>
      <c r="O262" s="877">
        <f t="shared" si="51"/>
        <v>0</v>
      </c>
      <c r="P262" s="877">
        <f t="shared" si="51"/>
        <v>0</v>
      </c>
      <c r="Q262" s="877">
        <f t="shared" si="51"/>
        <v>0</v>
      </c>
      <c r="R262" s="877">
        <f t="shared" si="51"/>
        <v>0</v>
      </c>
      <c r="S262" s="877">
        <f t="shared" si="51"/>
        <v>0</v>
      </c>
      <c r="T262" s="877">
        <f t="shared" si="51"/>
        <v>0</v>
      </c>
      <c r="U262" s="877">
        <f t="shared" si="51"/>
        <v>1.6029160671173111E-2</v>
      </c>
      <c r="V262" s="877">
        <f t="shared" si="51"/>
        <v>0</v>
      </c>
      <c r="W262" s="886">
        <f t="shared" si="50"/>
        <v>0</v>
      </c>
      <c r="X262" s="877"/>
      <c r="Y262" s="879"/>
      <c r="Z262" s="877"/>
      <c r="AA262" s="877"/>
      <c r="AB262" s="877"/>
      <c r="AC262" s="877"/>
      <c r="AD262" s="886"/>
      <c r="AE262" s="877"/>
      <c r="AF262" s="879"/>
      <c r="AG262" s="877"/>
      <c r="AH262" s="877"/>
      <c r="AI262" s="877"/>
      <c r="AJ262" s="877"/>
      <c r="AK262" s="886"/>
      <c r="AL262" s="877"/>
      <c r="AM262" s="879"/>
      <c r="AN262" s="877"/>
      <c r="AO262" s="877"/>
      <c r="AP262" s="877"/>
      <c r="AQ262" s="877"/>
      <c r="AR262" s="886"/>
      <c r="AS262" s="877"/>
      <c r="AT262" s="879"/>
      <c r="AU262" s="877"/>
      <c r="AV262" s="877"/>
      <c r="AW262" s="877"/>
      <c r="AX262" s="877"/>
      <c r="AY262" s="886"/>
      <c r="AZ262" s="877"/>
      <c r="BA262" s="879"/>
      <c r="BB262" s="877"/>
      <c r="BC262" s="877"/>
      <c r="BD262" s="877"/>
      <c r="BE262" s="877"/>
      <c r="BF262" s="886"/>
      <c r="BG262" s="877"/>
      <c r="BH262" s="879"/>
      <c r="BI262" s="877"/>
      <c r="BJ262" s="877"/>
      <c r="BK262" s="877"/>
      <c r="BL262" s="877"/>
      <c r="BM262" s="886"/>
      <c r="BN262" s="877"/>
      <c r="BO262" s="879"/>
      <c r="BP262" s="877"/>
      <c r="BQ262" s="877"/>
      <c r="BR262" s="877"/>
      <c r="BS262" s="877"/>
      <c r="BT262" s="886"/>
      <c r="BU262" s="877"/>
      <c r="BV262" s="879"/>
      <c r="BW262" s="886"/>
    </row>
    <row r="263" spans="1:75" s="406" customFormat="1" ht="17.25">
      <c r="A263" s="18"/>
      <c r="B263" s="360"/>
      <c r="C263" s="83"/>
      <c r="D263" s="54"/>
      <c r="E263" s="1295" t="s">
        <v>320</v>
      </c>
      <c r="F263" s="928">
        <f t="shared" si="51"/>
        <v>1.5058895287672067E-3</v>
      </c>
      <c r="G263" s="877">
        <f t="shared" si="50"/>
        <v>1.5058895287672067E-3</v>
      </c>
      <c r="H263" s="878">
        <f t="shared" si="50"/>
        <v>1.9865302585607737E-3</v>
      </c>
      <c r="I263" s="877">
        <f t="shared" si="50"/>
        <v>0</v>
      </c>
      <c r="J263" s="877">
        <f t="shared" si="50"/>
        <v>0</v>
      </c>
      <c r="K263" s="877">
        <f t="shared" si="50"/>
        <v>0</v>
      </c>
      <c r="L263" s="877">
        <f t="shared" si="50"/>
        <v>0</v>
      </c>
      <c r="M263" s="877"/>
      <c r="N263" s="877">
        <f t="shared" si="50"/>
        <v>0</v>
      </c>
      <c r="O263" s="877">
        <f t="shared" si="50"/>
        <v>0</v>
      </c>
      <c r="P263" s="877">
        <f t="shared" si="50"/>
        <v>0</v>
      </c>
      <c r="Q263" s="877">
        <f t="shared" si="50"/>
        <v>0</v>
      </c>
      <c r="R263" s="877">
        <f t="shared" si="50"/>
        <v>0</v>
      </c>
      <c r="S263" s="877">
        <f t="shared" si="50"/>
        <v>0</v>
      </c>
      <c r="T263" s="877">
        <f t="shared" si="50"/>
        <v>0</v>
      </c>
      <c r="U263" s="877">
        <f t="shared" si="50"/>
        <v>1.5058895287672067E-3</v>
      </c>
      <c r="V263" s="877">
        <f t="shared" si="50"/>
        <v>0</v>
      </c>
      <c r="W263" s="886">
        <f t="shared" si="50"/>
        <v>0</v>
      </c>
      <c r="X263" s="877"/>
      <c r="Y263" s="879"/>
      <c r="Z263" s="877"/>
      <c r="AA263" s="877"/>
      <c r="AB263" s="877"/>
      <c r="AC263" s="877"/>
      <c r="AD263" s="886"/>
      <c r="AE263" s="877"/>
      <c r="AF263" s="879"/>
      <c r="AG263" s="877"/>
      <c r="AH263" s="877"/>
      <c r="AI263" s="877"/>
      <c r="AJ263" s="877"/>
      <c r="AK263" s="886"/>
      <c r="AL263" s="877"/>
      <c r="AM263" s="879"/>
      <c r="AN263" s="877"/>
      <c r="AO263" s="877"/>
      <c r="AP263" s="877"/>
      <c r="AQ263" s="877"/>
      <c r="AR263" s="886"/>
      <c r="AS263" s="877"/>
      <c r="AT263" s="879"/>
      <c r="AU263" s="877"/>
      <c r="AV263" s="877"/>
      <c r="AW263" s="877"/>
      <c r="AX263" s="877"/>
      <c r="AY263" s="886"/>
      <c r="AZ263" s="877"/>
      <c r="BA263" s="879"/>
      <c r="BB263" s="877"/>
      <c r="BC263" s="877"/>
      <c r="BD263" s="877"/>
      <c r="BE263" s="877"/>
      <c r="BF263" s="886"/>
      <c r="BG263" s="877"/>
      <c r="BH263" s="879"/>
      <c r="BI263" s="877"/>
      <c r="BJ263" s="877"/>
      <c r="BK263" s="877"/>
      <c r="BL263" s="877"/>
      <c r="BM263" s="886"/>
      <c r="BN263" s="877"/>
      <c r="BO263" s="879"/>
      <c r="BP263" s="877"/>
      <c r="BQ263" s="877"/>
      <c r="BR263" s="877"/>
      <c r="BS263" s="877"/>
      <c r="BT263" s="886"/>
      <c r="BU263" s="877"/>
      <c r="BV263" s="879"/>
      <c r="BW263" s="886"/>
    </row>
    <row r="264" spans="1:75" s="406" customFormat="1" ht="17.25">
      <c r="A264" s="20" t="s">
        <v>145</v>
      </c>
      <c r="B264" s="93" t="s">
        <v>121</v>
      </c>
      <c r="C264" s="87">
        <f>'Input data plant-based products'!D162</f>
        <v>0.4089632728</v>
      </c>
      <c r="D264" s="54"/>
      <c r="E264" s="1293" t="s">
        <v>316</v>
      </c>
      <c r="F264" s="930">
        <f>SUMPRODUCT($CI$4:$CI$6,F265:F267)</f>
        <v>5.1404912604332846</v>
      </c>
      <c r="G264" s="872">
        <f>SUMPRODUCT($CI$4:$CI$6,G265:G267)</f>
        <v>5.1604912604332842</v>
      </c>
      <c r="H264" s="873">
        <f>SUMPRODUCT($CI$4:$CI$6,H265:H267)</f>
        <v>7.0744494484290703</v>
      </c>
      <c r="I264" s="884"/>
      <c r="J264" s="884"/>
      <c r="K264" s="884"/>
      <c r="L264" s="884"/>
      <c r="M264" s="884"/>
      <c r="N264" s="884"/>
      <c r="O264" s="884"/>
      <c r="P264" s="884"/>
      <c r="Q264" s="884"/>
      <c r="R264" s="884"/>
      <c r="S264" s="884"/>
      <c r="T264" s="884"/>
      <c r="U264" s="884"/>
      <c r="V264" s="884"/>
      <c r="W264" s="885"/>
      <c r="X264" s="877"/>
      <c r="Y264" s="879">
        <f>1/'Input data plant-based products'!E162*10^4</f>
        <v>9.305268643105725</v>
      </c>
      <c r="Z264" s="877">
        <f>$Y264*'Input data plant-based products'!Z162</f>
        <v>9.305268643105725</v>
      </c>
      <c r="AA264" s="877">
        <f>$Y264*'Input data plant-based products'!AA162</f>
        <v>9.305268643105725</v>
      </c>
      <c r="AB264" s="877">
        <f>$Y264*'Input data plant-based products'!AB162</f>
        <v>9.305268643105725</v>
      </c>
      <c r="AC264" s="877">
        <f>$Y264*'Input data plant-based products'!AC162</f>
        <v>11.467599136234009</v>
      </c>
      <c r="AD264" s="886">
        <f>$Y264*'Input data plant-based products'!AD162</f>
        <v>14.157529797819764</v>
      </c>
      <c r="AE264" s="877"/>
      <c r="AF264" s="879">
        <f>SUM('Input data plant-based products'!F162,'Input data plant-based products'!AE162)/'Input data plant-based products'!E162</f>
        <v>0.12096849236037444</v>
      </c>
      <c r="AG264" s="877">
        <f>$AF264*'Input data plant-based products'!Z162</f>
        <v>0.12096849236037444</v>
      </c>
      <c r="AH264" s="877">
        <f>$AF264*'Input data plant-based products'!AA162</f>
        <v>0.12096849236037444</v>
      </c>
      <c r="AI264" s="877">
        <f>$AF264*'Input data plant-based products'!AB162</f>
        <v>0.12096849236037444</v>
      </c>
      <c r="AJ264" s="877">
        <f>$AF264*'Input data plant-based products'!AC162</f>
        <v>0.14907878877104214</v>
      </c>
      <c r="AK264" s="886">
        <f>$AF264*'Input data plant-based products'!AD162</f>
        <v>0.18404788737165695</v>
      </c>
      <c r="AL264" s="877"/>
      <c r="AM264" s="879">
        <f>'Input data plant-based products'!R162/'Input data plant-based products'!E162</f>
        <v>4.6526343215528627E-2</v>
      </c>
      <c r="AN264" s="877">
        <f>$AM264*'Input data plant-based products'!Z162</f>
        <v>4.6526343215528627E-2</v>
      </c>
      <c r="AO264" s="877">
        <f>$AM264*'Input data plant-based products'!AA162</f>
        <v>4.6526343215528627E-2</v>
      </c>
      <c r="AP264" s="877">
        <f>$AM264*'Input data plant-based products'!AB162</f>
        <v>4.6526343215528627E-2</v>
      </c>
      <c r="AQ264" s="877">
        <f>$AM264*'Input data plant-based products'!AC162</f>
        <v>5.7337995681170054E-2</v>
      </c>
      <c r="AR264" s="886">
        <f>$AM264*'Input data plant-based products'!AD162</f>
        <v>7.0787648989098825E-2</v>
      </c>
      <c r="AS264" s="877"/>
      <c r="AT264" s="879">
        <f>'Input data plant-based products'!S162</f>
        <v>0.79780190470707602</v>
      </c>
      <c r="AU264" s="877">
        <f>$AT264*'Input data plant-based products'!Z162</f>
        <v>0.79780190470707602</v>
      </c>
      <c r="AV264" s="877">
        <f>$AT264*'Input data plant-based products'!AA162</f>
        <v>0.79780190470707602</v>
      </c>
      <c r="AW264" s="877">
        <f>$AT264*'Input data plant-based products'!AB162</f>
        <v>0.79780190470707602</v>
      </c>
      <c r="AX264" s="877">
        <f>$AT264*'Input data plant-based products'!AC162</f>
        <v>0.98319272491752441</v>
      </c>
      <c r="AY264" s="886">
        <f>$AT264*'Input data plant-based products'!AD162</f>
        <v>1.213818178910524</v>
      </c>
      <c r="AZ264" s="877"/>
      <c r="BA264" s="879">
        <f>((SUM('Input data plant-based products'!U162:Y162)*Y264)/('Common input data'!$B$192/10^6))/$BB$3</f>
        <v>1.5544457792998441E-9</v>
      </c>
      <c r="BB264" s="877">
        <f>$BA264*'Input data plant-based products'!Z162</f>
        <v>1.5544457792998441E-9</v>
      </c>
      <c r="BC264" s="877">
        <f>$BA264*'Input data plant-based products'!AA162</f>
        <v>1.5544457792998441E-9</v>
      </c>
      <c r="BD264" s="877">
        <f>$BA264*'Input data plant-based products'!AB162</f>
        <v>1.5544457792998441E-9</v>
      </c>
      <c r="BE264" s="877">
        <f>$BA264*'Input data plant-based products'!AC162</f>
        <v>1.915663239795726E-9</v>
      </c>
      <c r="BF264" s="886">
        <f>$BA264*'Input data plant-based products'!AD162</f>
        <v>2.3650163454268226E-9</v>
      </c>
      <c r="BG264" s="877"/>
      <c r="BH264" s="879">
        <f>'Input data plant-based products'!T162/'Input data plant-based products'!E162</f>
        <v>9.5727757327899055E-3</v>
      </c>
      <c r="BI264" s="877">
        <f>$BH264*'Input data plant-based products'!Z162</f>
        <v>9.5727757327899055E-3</v>
      </c>
      <c r="BJ264" s="877">
        <f>$BH264*'Input data plant-based products'!AA162</f>
        <v>9.5727757327899055E-3</v>
      </c>
      <c r="BK264" s="877">
        <f>$BH264*'Input data plant-based products'!AB162</f>
        <v>9.5727757327899055E-3</v>
      </c>
      <c r="BL264" s="877">
        <f>$BH264*'Input data plant-based products'!AC162</f>
        <v>1.1797268723244979E-2</v>
      </c>
      <c r="BM264" s="886">
        <f>$BH264*'Input data plant-based products'!AD162</f>
        <v>1.4564529287956764E-2</v>
      </c>
      <c r="BN264" s="877"/>
      <c r="BO264" s="879">
        <f>('Input data plant-based products'!F162/'Input data plant-based products'!E162*'Common input data'!$B$195+'Input data plant-based products'!G162/'Input data plant-based products'!E162*'Common input data'!$B$196)/'Common input data'!$B$198</f>
        <v>3.0887772014835638E-3</v>
      </c>
      <c r="BP264" s="877">
        <f>$BO264*'Input data plant-based products'!Z162</f>
        <v>3.0887772014835638E-3</v>
      </c>
      <c r="BQ264" s="877">
        <f>$BO264*'Input data plant-based products'!AA162</f>
        <v>3.0887772014835638E-3</v>
      </c>
      <c r="BR264" s="877">
        <f>$BO264*'Input data plant-based products'!AB162</f>
        <v>3.0887772014835638E-3</v>
      </c>
      <c r="BS264" s="877">
        <f>$BO264*'Input data plant-based products'!AC162</f>
        <v>3.8065380083352604E-3</v>
      </c>
      <c r="BT264" s="886">
        <f>$BO264*'Input data plant-based products'!AD162</f>
        <v>4.699429639920075E-3</v>
      </c>
      <c r="BU264" s="877"/>
      <c r="BV264" s="879">
        <f>('Common input data'!$B$223+'Common input data'!$C$223)*'Input data plant-based products'!AC162</f>
        <v>10.717366656807648</v>
      </c>
      <c r="BW264" s="886">
        <f>('Common input data'!$B$223+'Common input data'!$C$223)*'Input data plant-based products'!AD162</f>
        <v>13.231316860256356</v>
      </c>
    </row>
    <row r="265" spans="1:75" s="406" customFormat="1" ht="17.25">
      <c r="A265" s="499"/>
      <c r="B265" s="55"/>
      <c r="C265" s="917"/>
      <c r="D265" s="5"/>
      <c r="E265" s="1294" t="s">
        <v>317</v>
      </c>
      <c r="F265" s="928">
        <f>IF(AND($G$2="No",$G$3="No"),SUM(L265:M265),IF(AND($G$2="Yes", $G$3="No"), (SUM(L265:M265)+S265), IF(AND($G$2="No", $G$3="Yes"),(SUM(L265:M265)+R265), (SUM(L265:M265)+S265+R265))))</f>
        <v>4.1248401118586191</v>
      </c>
      <c r="G265" s="877">
        <f>IF(AND($G$2="No",$G$3="No"),SUM(I265:Q265),IF(AND($G$2="Yes", $G$3="No"), (SUM(I265:Q265)+S265), IF(AND($G$2="No", $G$3="Yes"),(SUM(I265:Q265)+R265), (SUM(I265:Q265)+S265+R265))))</f>
        <v>4.1448401118586187</v>
      </c>
      <c r="H265" s="878">
        <f>SUM(U265:W265)/(1-'Common input data'!$E$140)</f>
        <v>5.8227843239902128</v>
      </c>
      <c r="I265" s="877"/>
      <c r="J265" s="877"/>
      <c r="K265" s="877"/>
      <c r="L265" s="877"/>
      <c r="M265" s="877">
        <v>4.2159791600000007</v>
      </c>
      <c r="N265" s="877"/>
      <c r="O265" s="877"/>
      <c r="P265" s="877">
        <f>'Input data plant-based products'!G309</f>
        <v>0.02</v>
      </c>
      <c r="Q265" s="877"/>
      <c r="R265" s="877">
        <f>'Common input data'!$F$19</f>
        <v>-9.1139048141381296E-2</v>
      </c>
      <c r="S265" s="877"/>
      <c r="T265" s="877"/>
      <c r="U265" s="877">
        <f t="shared" ref="U265:U275" si="52">G265+T265</f>
        <v>4.1448401118586187</v>
      </c>
      <c r="V265" s="877">
        <f>'Common input data'!$B$107</f>
        <v>0.05</v>
      </c>
      <c r="W265" s="886">
        <f>'Common input data'!$B$126+'Common input data'!$C$126</f>
        <v>0.53</v>
      </c>
      <c r="X265" s="877"/>
      <c r="Y265" s="879"/>
      <c r="Z265" s="877"/>
      <c r="AA265" s="877"/>
      <c r="AB265" s="877"/>
      <c r="AC265" s="877"/>
      <c r="AD265" s="886"/>
      <c r="AE265" s="877"/>
      <c r="AF265" s="879"/>
      <c r="AG265" s="877"/>
      <c r="AH265" s="877"/>
      <c r="AI265" s="877"/>
      <c r="AJ265" s="877"/>
      <c r="AK265" s="886"/>
      <c r="AL265" s="877"/>
      <c r="AM265" s="879"/>
      <c r="AN265" s="877"/>
      <c r="AO265" s="877"/>
      <c r="AP265" s="877"/>
      <c r="AQ265" s="877"/>
      <c r="AR265" s="886"/>
      <c r="AS265" s="877"/>
      <c r="AT265" s="879"/>
      <c r="AU265" s="877"/>
      <c r="AV265" s="877"/>
      <c r="AW265" s="877"/>
      <c r="AX265" s="877"/>
      <c r="AY265" s="886"/>
      <c r="AZ265" s="877"/>
      <c r="BA265" s="879"/>
      <c r="BB265" s="877"/>
      <c r="BC265" s="877"/>
      <c r="BD265" s="877"/>
      <c r="BE265" s="877"/>
      <c r="BF265" s="886"/>
      <c r="BG265" s="877"/>
      <c r="BH265" s="879"/>
      <c r="BI265" s="877"/>
      <c r="BJ265" s="877"/>
      <c r="BK265" s="877"/>
      <c r="BL265" s="877"/>
      <c r="BM265" s="886"/>
      <c r="BN265" s="877"/>
      <c r="BO265" s="879"/>
      <c r="BP265" s="877"/>
      <c r="BQ265" s="877"/>
      <c r="BR265" s="877"/>
      <c r="BS265" s="877"/>
      <c r="BT265" s="886"/>
      <c r="BU265" s="877"/>
      <c r="BV265" s="879"/>
      <c r="BW265" s="886"/>
    </row>
    <row r="266" spans="1:75" s="406" customFormat="1" ht="17.25">
      <c r="A266" s="18"/>
      <c r="B266" s="55"/>
      <c r="C266" s="595"/>
      <c r="D266" s="50"/>
      <c r="E266" s="1294" t="s">
        <v>367</v>
      </c>
      <c r="F266" s="928">
        <f>IF(AND($G$2="No",$G$3="No"),SUM(L266:M266),IF(AND($G$2="Yes", $G$3="No"), (SUM(L266:M266)+S266), IF(AND($G$2="No", $G$3="Yes"),(SUM(L266:M266)+R266), (SUM(L266:M266)+S266+R266))))</f>
        <v>2.3498257801127999E-2</v>
      </c>
      <c r="G266" s="877">
        <f>SUM(I266:Q266)</f>
        <v>2.3498257801127999E-2</v>
      </c>
      <c r="H266" s="878">
        <f>SUM(U266:W266)/(1-'Common input data'!$E$140)</f>
        <v>2.8958712660366752E-2</v>
      </c>
      <c r="I266" s="877"/>
      <c r="J266" s="877"/>
      <c r="K266" s="877"/>
      <c r="L266" s="877"/>
      <c r="M266" s="877">
        <v>2.3498257801127999E-2</v>
      </c>
      <c r="N266" s="877"/>
      <c r="O266" s="877"/>
      <c r="P266" s="877"/>
      <c r="Q266" s="877"/>
      <c r="R266" s="877"/>
      <c r="S266" s="877"/>
      <c r="T266" s="877"/>
      <c r="U266" s="877">
        <f t="shared" si="52"/>
        <v>2.3498257801127999E-2</v>
      </c>
      <c r="V266" s="877"/>
      <c r="W266" s="886"/>
      <c r="X266" s="877"/>
      <c r="Y266" s="879"/>
      <c r="Z266" s="877"/>
      <c r="AA266" s="877"/>
      <c r="AB266" s="877"/>
      <c r="AC266" s="877"/>
      <c r="AD266" s="886"/>
      <c r="AE266" s="877"/>
      <c r="AF266" s="879"/>
      <c r="AG266" s="877"/>
      <c r="AH266" s="877"/>
      <c r="AI266" s="877"/>
      <c r="AJ266" s="877"/>
      <c r="AK266" s="886"/>
      <c r="AL266" s="877"/>
      <c r="AM266" s="879"/>
      <c r="AN266" s="877"/>
      <c r="AO266" s="877"/>
      <c r="AP266" s="877"/>
      <c r="AQ266" s="877"/>
      <c r="AR266" s="886"/>
      <c r="AS266" s="877"/>
      <c r="AT266" s="879"/>
      <c r="AU266" s="877"/>
      <c r="AV266" s="877"/>
      <c r="AW266" s="877"/>
      <c r="AX266" s="877"/>
      <c r="AY266" s="886"/>
      <c r="AZ266" s="877"/>
      <c r="BA266" s="879"/>
      <c r="BB266" s="877"/>
      <c r="BC266" s="877"/>
      <c r="BD266" s="877"/>
      <c r="BE266" s="877"/>
      <c r="BF266" s="886"/>
      <c r="BG266" s="877"/>
      <c r="BH266" s="879"/>
      <c r="BI266" s="877"/>
      <c r="BJ266" s="877"/>
      <c r="BK266" s="877"/>
      <c r="BL266" s="877"/>
      <c r="BM266" s="886"/>
      <c r="BN266" s="877"/>
      <c r="BO266" s="879"/>
      <c r="BP266" s="877"/>
      <c r="BQ266" s="877"/>
      <c r="BR266" s="877"/>
      <c r="BS266" s="877"/>
      <c r="BT266" s="886"/>
      <c r="BU266" s="877"/>
      <c r="BV266" s="879"/>
      <c r="BW266" s="886"/>
    </row>
    <row r="267" spans="1:75" s="406" customFormat="1" ht="17.25">
      <c r="A267" s="359"/>
      <c r="B267" s="360"/>
      <c r="C267" s="83"/>
      <c r="D267" s="54"/>
      <c r="E267" s="1295" t="s">
        <v>320</v>
      </c>
      <c r="F267" s="928">
        <f>IF(AND($G$2="No",$G$3="No"),SUM(L267:M267),IF(AND($G$2="Yes", $G$3="No"), (SUM(L267:M267)+S267), IF(AND($G$2="No", $G$3="Yes"),(SUM(L267:M267)+R267), (SUM(L267:M267)+S267+R267))))</f>
        <v>1.3963303587699999E-3</v>
      </c>
      <c r="G267" s="877">
        <f>SUM(I267:Q267)</f>
        <v>1.3963303587699999E-3</v>
      </c>
      <c r="H267" s="878">
        <f>SUM(U267:W267)/(1-'Common input data'!$E$140)</f>
        <v>1.7208054308020307E-3</v>
      </c>
      <c r="I267" s="877"/>
      <c r="J267" s="877"/>
      <c r="K267" s="877"/>
      <c r="L267" s="877"/>
      <c r="M267" s="877">
        <v>1.3963303587699999E-3</v>
      </c>
      <c r="N267" s="877"/>
      <c r="O267" s="877"/>
      <c r="P267" s="877"/>
      <c r="Q267" s="877"/>
      <c r="R267" s="877"/>
      <c r="S267" s="877"/>
      <c r="T267" s="877"/>
      <c r="U267" s="877">
        <f t="shared" si="52"/>
        <v>1.3963303587699999E-3</v>
      </c>
      <c r="V267" s="877"/>
      <c r="W267" s="886"/>
      <c r="X267" s="877"/>
      <c r="Y267" s="879"/>
      <c r="Z267" s="877"/>
      <c r="AA267" s="877"/>
      <c r="AB267" s="877"/>
      <c r="AC267" s="877"/>
      <c r="AD267" s="886"/>
      <c r="AE267" s="877"/>
      <c r="AF267" s="879"/>
      <c r="AG267" s="877"/>
      <c r="AH267" s="877"/>
      <c r="AI267" s="877"/>
      <c r="AJ267" s="877"/>
      <c r="AK267" s="886"/>
      <c r="AL267" s="877"/>
      <c r="AM267" s="879"/>
      <c r="AN267" s="877"/>
      <c r="AO267" s="877"/>
      <c r="AP267" s="877"/>
      <c r="AQ267" s="877"/>
      <c r="AR267" s="886"/>
      <c r="AS267" s="877"/>
      <c r="AT267" s="879"/>
      <c r="AU267" s="877"/>
      <c r="AV267" s="877"/>
      <c r="AW267" s="877"/>
      <c r="AX267" s="877"/>
      <c r="AY267" s="886"/>
      <c r="AZ267" s="877"/>
      <c r="BA267" s="879"/>
      <c r="BB267" s="877"/>
      <c r="BC267" s="877"/>
      <c r="BD267" s="877"/>
      <c r="BE267" s="877"/>
      <c r="BF267" s="886"/>
      <c r="BG267" s="877"/>
      <c r="BH267" s="879"/>
      <c r="BI267" s="877"/>
      <c r="BJ267" s="877"/>
      <c r="BK267" s="877"/>
      <c r="BL267" s="877"/>
      <c r="BM267" s="886"/>
      <c r="BN267" s="877"/>
      <c r="BO267" s="879"/>
      <c r="BP267" s="877"/>
      <c r="BQ267" s="877"/>
      <c r="BR267" s="877"/>
      <c r="BS267" s="877"/>
      <c r="BT267" s="886"/>
      <c r="BU267" s="877"/>
      <c r="BV267" s="879"/>
      <c r="BW267" s="886"/>
    </row>
    <row r="268" spans="1:75" s="406" customFormat="1" ht="17.25">
      <c r="A268" s="20" t="s">
        <v>146</v>
      </c>
      <c r="B268" s="93" t="s">
        <v>121</v>
      </c>
      <c r="C268" s="87">
        <f>'Input data plant-based products'!D163</f>
        <v>0.2190860208</v>
      </c>
      <c r="D268" s="54"/>
      <c r="E268" s="1293" t="s">
        <v>316</v>
      </c>
      <c r="F268" s="930">
        <f>SUMPRODUCT($CI$4:$CI$6,F269:F271)</f>
        <v>4.76320374254502</v>
      </c>
      <c r="G268" s="872">
        <f>SUMPRODUCT($CI$4:$CI$6,G269:G271)</f>
        <v>4.7832037425450196</v>
      </c>
      <c r="H268" s="873">
        <f>SUMPRODUCT($CI$4:$CI$6,H269:H271)</f>
        <v>7.2221358781286273</v>
      </c>
      <c r="I268" s="884"/>
      <c r="J268" s="884"/>
      <c r="K268" s="884"/>
      <c r="L268" s="884"/>
      <c r="M268" s="884"/>
      <c r="N268" s="884"/>
      <c r="O268" s="884"/>
      <c r="P268" s="884"/>
      <c r="Q268" s="884"/>
      <c r="R268" s="884"/>
      <c r="S268" s="884"/>
      <c r="T268" s="884"/>
      <c r="U268" s="884"/>
      <c r="V268" s="884"/>
      <c r="W268" s="885"/>
      <c r="X268" s="877"/>
      <c r="Y268" s="879">
        <f>1/'Input data plant-based products'!E163*10^4</f>
        <v>4.7101381012491288</v>
      </c>
      <c r="Z268" s="877">
        <f>$Y268*'Input data plant-based products'!Z163</f>
        <v>4.7101381012491288</v>
      </c>
      <c r="AA268" s="877">
        <f>$Y268*'Input data plant-based products'!AA163</f>
        <v>4.7101381012491288</v>
      </c>
      <c r="AB268" s="877">
        <f>$Y268*'Input data plant-based products'!AB163</f>
        <v>4.7101381012491288</v>
      </c>
      <c r="AC268" s="877">
        <f>$Y268*'Input data plant-based products'!AC163</f>
        <v>6.4632225990025907</v>
      </c>
      <c r="AD268" s="886">
        <f>$Y268*'Input data plant-based products'!AD163</f>
        <v>7.9792871592624568</v>
      </c>
      <c r="AE268" s="877"/>
      <c r="AF268" s="879">
        <f>SUM('Input data plant-based products'!F163,'Input data plant-based products'!AE163)/'Input data plant-based products'!E163</f>
        <v>3.7689909462459002E-2</v>
      </c>
      <c r="AG268" s="877">
        <f>$AF268*'Input data plant-based products'!Z163</f>
        <v>3.7689909462459002E-2</v>
      </c>
      <c r="AH268" s="877">
        <f>$AF268*'Input data plant-based products'!AA163</f>
        <v>3.7689909462459002E-2</v>
      </c>
      <c r="AI268" s="877">
        <f>$AF268*'Input data plant-based products'!AB163</f>
        <v>3.7689909462459002E-2</v>
      </c>
      <c r="AJ268" s="877">
        <f>$AF268*'Input data plant-based products'!AC163</f>
        <v>5.171786248210522E-2</v>
      </c>
      <c r="AK268" s="886">
        <f>$AF268*'Input data plant-based products'!AD163</f>
        <v>6.3849212940870634E-2</v>
      </c>
      <c r="AL268" s="877"/>
      <c r="AM268" s="879">
        <f>'Input data plant-based products'!R163/'Input data plant-based products'!E163</f>
        <v>6.4916305916800001E-3</v>
      </c>
      <c r="AN268" s="877">
        <f>$AM268*'Input data plant-based products'!Z163</f>
        <v>6.4916305916800001E-3</v>
      </c>
      <c r="AO268" s="877">
        <f>$AM268*'Input data plant-based products'!AA163</f>
        <v>6.4916305916800001E-3</v>
      </c>
      <c r="AP268" s="877">
        <f>$AM268*'Input data plant-based products'!AB163</f>
        <v>6.4916305916800001E-3</v>
      </c>
      <c r="AQ268" s="877">
        <f>$AM268*'Input data plant-based products'!AC163</f>
        <v>8.9077756623305339E-3</v>
      </c>
      <c r="AR268" s="886">
        <f>$AM268*'Input data plant-based products'!AD163</f>
        <v>1.0997253904111768E-2</v>
      </c>
      <c r="AS268" s="877"/>
      <c r="AT268" s="879">
        <f>'Input data plant-based products'!S163</f>
        <v>1.3324813293756299</v>
      </c>
      <c r="AU268" s="877">
        <f>$AT268*'Input data plant-based products'!Z163</f>
        <v>1.3324813293756299</v>
      </c>
      <c r="AV268" s="877">
        <f>$AT268*'Input data plant-based products'!AA163</f>
        <v>1.3324813293756299</v>
      </c>
      <c r="AW268" s="877">
        <f>$AT268*'Input data plant-based products'!AB163</f>
        <v>1.3324813293756299</v>
      </c>
      <c r="AX268" s="877">
        <f>$AT268*'Input data plant-based products'!AC163</f>
        <v>1.8284227034629092</v>
      </c>
      <c r="AY268" s="886">
        <f>$AT268*'Input data plant-based products'!AD163</f>
        <v>2.2573119795838386</v>
      </c>
      <c r="AZ268" s="877"/>
      <c r="BA268" s="879">
        <f>((SUM('Input data plant-based products'!U163:Y163)*Y268)/('Common input data'!$B$192/10^6))/$BB$3</f>
        <v>2.6581089038683044E-9</v>
      </c>
      <c r="BB268" s="877">
        <f>$BA268*'Input data plant-based products'!Z163</f>
        <v>2.6581089038683044E-9</v>
      </c>
      <c r="BC268" s="877">
        <f>$BA268*'Input data plant-based products'!AA163</f>
        <v>2.6581089038683044E-9</v>
      </c>
      <c r="BD268" s="877">
        <f>$BA268*'Input data plant-based products'!AB163</f>
        <v>2.6581089038683044E-9</v>
      </c>
      <c r="BE268" s="877">
        <f>$BA268*'Input data plant-based products'!AC163</f>
        <v>3.647440726533158E-9</v>
      </c>
      <c r="BF268" s="886">
        <f>$BA268*'Input data plant-based products'!AD163</f>
        <v>4.5030132426335281E-9</v>
      </c>
      <c r="BG268" s="877"/>
      <c r="BH268" s="879">
        <f>'Input data plant-based products'!T163/'Input data plant-based products'!E163</f>
        <v>5.2402597564932636E-3</v>
      </c>
      <c r="BI268" s="877">
        <f>$BH268*'Input data plant-based products'!Z163</f>
        <v>5.2402597564932636E-3</v>
      </c>
      <c r="BJ268" s="877">
        <f>$BH268*'Input data plant-based products'!AA163</f>
        <v>5.2402597564932636E-3</v>
      </c>
      <c r="BK268" s="877">
        <f>$BH268*'Input data plant-based products'!AB163</f>
        <v>5.2402597564932636E-3</v>
      </c>
      <c r="BL268" s="877">
        <f>$BH268*'Input data plant-based products'!AC163</f>
        <v>7.1906522812630533E-3</v>
      </c>
      <c r="BM268" s="886">
        <f>$BH268*'Input data plant-based products'!AD163</f>
        <v>8.8773484953864855E-3</v>
      </c>
      <c r="BN268" s="877"/>
      <c r="BO268" s="879">
        <f>('Input data plant-based products'!F163/'Input data plant-based products'!E163*'Common input data'!$B$195+'Input data plant-based products'!G163/'Input data plant-based products'!E163*'Common input data'!$B$196)/'Common input data'!$B$198</f>
        <v>9.6236409003769014E-4</v>
      </c>
      <c r="BP268" s="877">
        <f>$BO268*'Input data plant-based products'!Z163</f>
        <v>9.6236409003769014E-4</v>
      </c>
      <c r="BQ268" s="877">
        <f>$BO268*'Input data plant-based products'!AA163</f>
        <v>9.6236409003769014E-4</v>
      </c>
      <c r="BR268" s="877">
        <f>$BO268*'Input data plant-based products'!AB163</f>
        <v>9.6236409003769014E-4</v>
      </c>
      <c r="BS268" s="877">
        <f>$BO268*'Input data plant-based products'!AC163</f>
        <v>1.3205500988496763E-3</v>
      </c>
      <c r="BT268" s="886">
        <f>$BO268*'Input data plant-based products'!AD163</f>
        <v>1.6303087640119457E-3</v>
      </c>
      <c r="BU268" s="877"/>
      <c r="BV268" s="879">
        <f>('Common input data'!$B$222+'Common input data'!$C$222)*'Input data plant-based products'!AC163</f>
        <v>7.847851144409681</v>
      </c>
      <c r="BW268" s="886">
        <f>('Common input data'!$B$222+'Common input data'!$C$222)*'Input data plant-based products'!AD163</f>
        <v>9.6887051165551608</v>
      </c>
    </row>
    <row r="269" spans="1:75" s="406" customFormat="1" ht="17.25">
      <c r="A269" s="499"/>
      <c r="B269" s="55"/>
      <c r="C269" s="917"/>
      <c r="D269" s="5"/>
      <c r="E269" s="1294" t="s">
        <v>317</v>
      </c>
      <c r="F269" s="928">
        <f>IF(AND($G$2="No",$G$3="No"),SUM(L269:M269),IF(AND($G$2="Yes", $G$3="No"), (SUM(L269:M269)+S269), IF(AND($G$2="No", $G$3="Yes"),(SUM(L269:M269)+R269), (SUM(L269:M269)+S269+R269))))</f>
        <v>4.0381537718586182</v>
      </c>
      <c r="G269" s="877">
        <f>IF(AND($G$2="No",$G$3="No"),SUM(I269:Q269),IF(AND($G$2="Yes", $G$3="No"), (SUM(I269:Q269)+S269), IF(AND($G$2="No", $G$3="Yes"),(SUM(I269:Q269)+R269), (SUM(I269:Q269)+S269+R269))))</f>
        <v>4.0581537718586178</v>
      </c>
      <c r="H269" s="878">
        <f>SUM(U269:W269)/(1-'Common input data'!$H$140)</f>
        <v>6.227226757586334</v>
      </c>
      <c r="I269" s="877"/>
      <c r="J269" s="877"/>
      <c r="K269" s="877"/>
      <c r="L269" s="877"/>
      <c r="M269" s="877">
        <v>4.1292928199999999</v>
      </c>
      <c r="N269" s="877"/>
      <c r="O269" s="877"/>
      <c r="P269" s="877">
        <f>'Input data plant-based products'!G309</f>
        <v>0.02</v>
      </c>
      <c r="Q269" s="877"/>
      <c r="R269" s="877">
        <f>'Common input data'!$F$19</f>
        <v>-9.1139048141381296E-2</v>
      </c>
      <c r="S269" s="877"/>
      <c r="T269" s="877"/>
      <c r="U269" s="877">
        <f t="shared" si="52"/>
        <v>4.0581537718586178</v>
      </c>
      <c r="V269" s="877">
        <f>'Common input data'!$B$107</f>
        <v>0.05</v>
      </c>
      <c r="W269" s="886">
        <f>'Common input data'!$B$125+'Common input data'!$C$125</f>
        <v>0.43000000000000005</v>
      </c>
      <c r="X269" s="877"/>
      <c r="Y269" s="879"/>
      <c r="Z269" s="877"/>
      <c r="AA269" s="877"/>
      <c r="AB269" s="877"/>
      <c r="AC269" s="877"/>
      <c r="AD269" s="886"/>
      <c r="AE269" s="877"/>
      <c r="AF269" s="879"/>
      <c r="AG269" s="877"/>
      <c r="AH269" s="877"/>
      <c r="AI269" s="877"/>
      <c r="AJ269" s="877"/>
      <c r="AK269" s="886"/>
      <c r="AL269" s="877"/>
      <c r="AM269" s="879"/>
      <c r="AN269" s="877"/>
      <c r="AO269" s="877"/>
      <c r="AP269" s="877"/>
      <c r="AQ269" s="877"/>
      <c r="AR269" s="886"/>
      <c r="AS269" s="877"/>
      <c r="AT269" s="879"/>
      <c r="AU269" s="877"/>
      <c r="AV269" s="877"/>
      <c r="AW269" s="877"/>
      <c r="AX269" s="877"/>
      <c r="AY269" s="886"/>
      <c r="AZ269" s="877"/>
      <c r="BA269" s="879"/>
      <c r="BB269" s="877"/>
      <c r="BC269" s="877"/>
      <c r="BD269" s="877"/>
      <c r="BE269" s="877"/>
      <c r="BF269" s="886"/>
      <c r="BG269" s="877"/>
      <c r="BH269" s="879"/>
      <c r="BI269" s="877"/>
      <c r="BJ269" s="877"/>
      <c r="BK269" s="877"/>
      <c r="BL269" s="877"/>
      <c r="BM269" s="886"/>
      <c r="BN269" s="877"/>
      <c r="BO269" s="879"/>
      <c r="BP269" s="877"/>
      <c r="BQ269" s="877"/>
      <c r="BR269" s="877"/>
      <c r="BS269" s="877"/>
      <c r="BT269" s="886"/>
      <c r="BU269" s="877"/>
      <c r="BV269" s="879"/>
      <c r="BW269" s="886"/>
    </row>
    <row r="270" spans="1:75" s="406" customFormat="1" ht="17.25">
      <c r="A270" s="18"/>
      <c r="B270" s="55"/>
      <c r="C270" s="595"/>
      <c r="D270" s="50"/>
      <c r="E270" s="1294" t="s">
        <v>367</v>
      </c>
      <c r="F270" s="928">
        <f>IF(AND($G$2="No",$G$3="No"),SUM(L270:M270),IF(AND($G$2="Yes", $G$3="No"), (SUM(L270:M270)+S270), IF(AND($G$2="No", $G$3="Yes"),(SUM(L270:M270)+R270), (SUM(L270:M270)+S270+R270))))</f>
        <v>1.0860976924626E-2</v>
      </c>
      <c r="G270" s="877">
        <f>SUM(I270:Q270)</f>
        <v>1.0860976924626E-2</v>
      </c>
      <c r="H270" s="878">
        <f>SUM(U270:W270)/(1-'Common input data'!$H$140)</f>
        <v>1.4903365888119545E-2</v>
      </c>
      <c r="I270" s="877"/>
      <c r="J270" s="877"/>
      <c r="K270" s="877"/>
      <c r="L270" s="877"/>
      <c r="M270" s="877">
        <v>1.0860976924626E-2</v>
      </c>
      <c r="N270" s="877"/>
      <c r="O270" s="877"/>
      <c r="P270" s="877"/>
      <c r="Q270" s="877"/>
      <c r="R270" s="877"/>
      <c r="S270" s="877"/>
      <c r="T270" s="877"/>
      <c r="U270" s="877">
        <f t="shared" si="52"/>
        <v>1.0860976924626E-2</v>
      </c>
      <c r="V270" s="877"/>
      <c r="W270" s="886"/>
      <c r="X270" s="877"/>
      <c r="Y270" s="879"/>
      <c r="Z270" s="877"/>
      <c r="AA270" s="877"/>
      <c r="AB270" s="877"/>
      <c r="AC270" s="877"/>
      <c r="AD270" s="886"/>
      <c r="AE270" s="877"/>
      <c r="AF270" s="879"/>
      <c r="AG270" s="877"/>
      <c r="AH270" s="877"/>
      <c r="AI270" s="877"/>
      <c r="AJ270" s="877"/>
      <c r="AK270" s="886"/>
      <c r="AL270" s="877"/>
      <c r="AM270" s="879"/>
      <c r="AN270" s="877"/>
      <c r="AO270" s="877"/>
      <c r="AP270" s="877"/>
      <c r="AQ270" s="877"/>
      <c r="AR270" s="886"/>
      <c r="AS270" s="877"/>
      <c r="AT270" s="879"/>
      <c r="AU270" s="877"/>
      <c r="AV270" s="877"/>
      <c r="AW270" s="877"/>
      <c r="AX270" s="877"/>
      <c r="AY270" s="886"/>
      <c r="AZ270" s="877"/>
      <c r="BA270" s="879"/>
      <c r="BB270" s="877"/>
      <c r="BC270" s="877"/>
      <c r="BD270" s="877"/>
      <c r="BE270" s="877"/>
      <c r="BF270" s="886"/>
      <c r="BG270" s="877"/>
      <c r="BH270" s="879"/>
      <c r="BI270" s="877"/>
      <c r="BJ270" s="877"/>
      <c r="BK270" s="877"/>
      <c r="BL270" s="877"/>
      <c r="BM270" s="886"/>
      <c r="BN270" s="877"/>
      <c r="BO270" s="879"/>
      <c r="BP270" s="877"/>
      <c r="BQ270" s="877"/>
      <c r="BR270" s="877"/>
      <c r="BS270" s="877"/>
      <c r="BT270" s="886"/>
      <c r="BU270" s="877"/>
      <c r="BV270" s="879"/>
      <c r="BW270" s="886"/>
    </row>
    <row r="271" spans="1:75" s="406" customFormat="1" ht="17.25">
      <c r="A271" s="359"/>
      <c r="B271" s="360"/>
      <c r="C271" s="83"/>
      <c r="D271" s="54"/>
      <c r="E271" s="1295" t="s">
        <v>320</v>
      </c>
      <c r="F271" s="928">
        <f>IF(AND($G$2="No",$G$3="No"),SUM(L271:M271),IF(AND($G$2="Yes", $G$3="No"), (SUM(L271:M271)+S271), IF(AND($G$2="No", $G$3="Yes"),(SUM(L271:M271)+R271), (SUM(L271:M271)+S271+R271))))</f>
        <v>1.5816981454999997E-3</v>
      </c>
      <c r="G271" s="877">
        <f>SUM(I271:Q271)</f>
        <v>1.5816981454999997E-3</v>
      </c>
      <c r="H271" s="878">
        <f>SUM(U271:W271)/(1-'Common input data'!$H$140)</f>
        <v>2.1703964892419996E-3</v>
      </c>
      <c r="I271" s="877"/>
      <c r="J271" s="877"/>
      <c r="K271" s="877"/>
      <c r="L271" s="877"/>
      <c r="M271" s="877">
        <v>1.5816981454999997E-3</v>
      </c>
      <c r="N271" s="877"/>
      <c r="O271" s="877"/>
      <c r="P271" s="877"/>
      <c r="Q271" s="877"/>
      <c r="R271" s="877"/>
      <c r="S271" s="877"/>
      <c r="T271" s="877"/>
      <c r="U271" s="877">
        <f t="shared" si="52"/>
        <v>1.5816981454999997E-3</v>
      </c>
      <c r="V271" s="877"/>
      <c r="W271" s="886"/>
      <c r="X271" s="877"/>
      <c r="Y271" s="879"/>
      <c r="Z271" s="877"/>
      <c r="AA271" s="877"/>
      <c r="AB271" s="877"/>
      <c r="AC271" s="877"/>
      <c r="AD271" s="886"/>
      <c r="AE271" s="877"/>
      <c r="AF271" s="879"/>
      <c r="AG271" s="877"/>
      <c r="AH271" s="877"/>
      <c r="AI271" s="877"/>
      <c r="AJ271" s="877"/>
      <c r="AK271" s="886"/>
      <c r="AL271" s="877"/>
      <c r="AM271" s="879"/>
      <c r="AN271" s="877"/>
      <c r="AO271" s="877"/>
      <c r="AP271" s="877"/>
      <c r="AQ271" s="877"/>
      <c r="AR271" s="886"/>
      <c r="AS271" s="877"/>
      <c r="AT271" s="879"/>
      <c r="AU271" s="877"/>
      <c r="AV271" s="877"/>
      <c r="AW271" s="877"/>
      <c r="AX271" s="877"/>
      <c r="AY271" s="886"/>
      <c r="AZ271" s="877"/>
      <c r="BA271" s="879"/>
      <c r="BB271" s="877"/>
      <c r="BC271" s="877"/>
      <c r="BD271" s="877"/>
      <c r="BE271" s="877"/>
      <c r="BF271" s="886"/>
      <c r="BG271" s="877"/>
      <c r="BH271" s="879"/>
      <c r="BI271" s="877"/>
      <c r="BJ271" s="877"/>
      <c r="BK271" s="877"/>
      <c r="BL271" s="877"/>
      <c r="BM271" s="886"/>
      <c r="BN271" s="877"/>
      <c r="BO271" s="879"/>
      <c r="BP271" s="877"/>
      <c r="BQ271" s="877"/>
      <c r="BR271" s="877"/>
      <c r="BS271" s="877"/>
      <c r="BT271" s="886"/>
      <c r="BU271" s="877"/>
      <c r="BV271" s="879"/>
      <c r="BW271" s="886"/>
    </row>
    <row r="272" spans="1:75" s="406" customFormat="1" ht="17.25">
      <c r="A272" s="20" t="s">
        <v>134</v>
      </c>
      <c r="B272" s="93" t="s">
        <v>121</v>
      </c>
      <c r="C272" s="87">
        <f>'Input data plant-based products'!D164</f>
        <v>0.37195070640000005</v>
      </c>
      <c r="D272" s="54"/>
      <c r="E272" s="1293" t="s">
        <v>316</v>
      </c>
      <c r="F272" s="930">
        <f>SUMPRODUCT($CI$4:$CI$6,F273:F275)</f>
        <v>4.76320374254502</v>
      </c>
      <c r="G272" s="872">
        <f>SUMPRODUCT($CI$4:$CI$6,G273:G275)</f>
        <v>4.7832037425450196</v>
      </c>
      <c r="H272" s="873">
        <f>SUMPRODUCT($CI$4:$CI$6,H273:H275)</f>
        <v>7.2221358781286273</v>
      </c>
      <c r="I272" s="884"/>
      <c r="J272" s="884"/>
      <c r="K272" s="884"/>
      <c r="L272" s="884"/>
      <c r="M272" s="884"/>
      <c r="N272" s="884"/>
      <c r="O272" s="884"/>
      <c r="P272" s="884"/>
      <c r="Q272" s="884"/>
      <c r="R272" s="884"/>
      <c r="S272" s="884"/>
      <c r="T272" s="884"/>
      <c r="U272" s="884"/>
      <c r="V272" s="884"/>
      <c r="W272" s="885"/>
      <c r="X272" s="877"/>
      <c r="Y272" s="879">
        <f>1/'Input data plant-based products'!E164*10^4</f>
        <v>6.7463637099603311</v>
      </c>
      <c r="Z272" s="877">
        <f>$Y272*'Input data plant-based products'!Z164</f>
        <v>6.7463637099603311</v>
      </c>
      <c r="AA272" s="877">
        <f>$Y272*'Input data plant-based products'!AA164</f>
        <v>6.7463637099603311</v>
      </c>
      <c r="AB272" s="877">
        <f>$Y272*'Input data plant-based products'!AB164</f>
        <v>6.7463637099603311</v>
      </c>
      <c r="AC272" s="877">
        <f>$Y272*'Input data plant-based products'!AC164</f>
        <v>9.2573188840775149</v>
      </c>
      <c r="AD272" s="886">
        <f>$Y272*'Input data plant-based products'!AD164</f>
        <v>11.428788745774709</v>
      </c>
      <c r="AE272" s="877"/>
      <c r="AF272" s="879">
        <f>SUM('Input data plant-based products'!F164,'Input data plant-based products'!AE164)/'Input data plant-based products'!E164</f>
        <v>3.7689909462459002E-2</v>
      </c>
      <c r="AG272" s="877">
        <f>$AF272*'Input data plant-based products'!Z164</f>
        <v>3.7689909462459002E-2</v>
      </c>
      <c r="AH272" s="877">
        <f>$AF272*'Input data plant-based products'!AA164</f>
        <v>3.7689909462459002E-2</v>
      </c>
      <c r="AI272" s="877">
        <f>$AF272*'Input data plant-based products'!AB164</f>
        <v>3.7689909462459002E-2</v>
      </c>
      <c r="AJ272" s="877">
        <f>$AF272*'Input data plant-based products'!AC164</f>
        <v>5.171786248210522E-2</v>
      </c>
      <c r="AK272" s="886">
        <f>$AF272*'Input data plant-based products'!AD164</f>
        <v>6.3849212940870634E-2</v>
      </c>
      <c r="AL272" s="877"/>
      <c r="AM272" s="879">
        <f>'Input data plant-based products'!R164/'Input data plant-based products'!E164</f>
        <v>6.4916305916800001E-3</v>
      </c>
      <c r="AN272" s="877">
        <f>$AM272*'Input data plant-based products'!Z164</f>
        <v>6.4916305916800001E-3</v>
      </c>
      <c r="AO272" s="877">
        <f>$AM272*'Input data plant-based products'!AA164</f>
        <v>6.4916305916800001E-3</v>
      </c>
      <c r="AP272" s="877">
        <f>$AM272*'Input data plant-based products'!AB164</f>
        <v>6.4916305916800001E-3</v>
      </c>
      <c r="AQ272" s="877">
        <f>$AM272*'Input data plant-based products'!AC164</f>
        <v>8.9077756623305339E-3</v>
      </c>
      <c r="AR272" s="886">
        <f>$AM272*'Input data plant-based products'!AD164</f>
        <v>1.0997253904111768E-2</v>
      </c>
      <c r="AS272" s="877"/>
      <c r="AT272" s="879">
        <f>'Input data plant-based products'!S164</f>
        <v>0.89826052521438204</v>
      </c>
      <c r="AU272" s="877">
        <f>$AT272*'Input data plant-based products'!Z164</f>
        <v>0.89826052521438204</v>
      </c>
      <c r="AV272" s="877">
        <f>$AT272*'Input data plant-based products'!AA164</f>
        <v>0.89826052521438204</v>
      </c>
      <c r="AW272" s="877">
        <f>$AT272*'Input data plant-based products'!AB164</f>
        <v>0.89826052521438204</v>
      </c>
      <c r="AX272" s="877">
        <f>$AT272*'Input data plant-based products'!AC164</f>
        <v>1.2325875805675146</v>
      </c>
      <c r="AY272" s="886">
        <f>$AT272*'Input data plant-based products'!AD164</f>
        <v>1.5217130624290303</v>
      </c>
      <c r="AZ272" s="877"/>
      <c r="BA272" s="879">
        <f>((SUM('Input data plant-based products'!U164:Y164)*Y272)/('Common input data'!$B$192/10^6))/$BB$3</f>
        <v>2.4671042423857466E-9</v>
      </c>
      <c r="BB272" s="877">
        <f>$BA272*'Input data plant-based products'!Z164</f>
        <v>2.4671042423857466E-9</v>
      </c>
      <c r="BC272" s="877">
        <f>$BA272*'Input data plant-based products'!AA164</f>
        <v>2.4671042423857466E-9</v>
      </c>
      <c r="BD272" s="877">
        <f>$BA272*'Input data plant-based products'!AB164</f>
        <v>2.4671042423857466E-9</v>
      </c>
      <c r="BE272" s="877">
        <f>$BA272*'Input data plant-based products'!AC164</f>
        <v>3.3853453021375301E-9</v>
      </c>
      <c r="BF272" s="886">
        <f>$BA272*'Input data plant-based products'!AD164</f>
        <v>4.1794386446142342E-9</v>
      </c>
      <c r="BG272" s="877"/>
      <c r="BH272" s="879">
        <f>'Input data plant-based products'!T164/'Input data plant-based products'!E164</f>
        <v>5.4532010758583738E-3</v>
      </c>
      <c r="BI272" s="877">
        <f>$BH272*'Input data plant-based products'!Z164</f>
        <v>5.4532010758583738E-3</v>
      </c>
      <c r="BJ272" s="877">
        <f>$BH272*'Input data plant-based products'!AA164</f>
        <v>5.4532010758583738E-3</v>
      </c>
      <c r="BK272" s="877">
        <f>$BH272*'Input data plant-based products'!AB164</f>
        <v>5.4532010758583738E-3</v>
      </c>
      <c r="BL272" s="877">
        <f>$BH272*'Input data plant-based products'!AC164</f>
        <v>7.4828490529918945E-3</v>
      </c>
      <c r="BM272" s="886">
        <f>$BH272*'Input data plant-based products'!AD164</f>
        <v>9.2380852506072763E-3</v>
      </c>
      <c r="BN272" s="877"/>
      <c r="BO272" s="879">
        <f>('Input data plant-based products'!F164/'Input data plant-based products'!E164*'Common input data'!$B$195+'Input data plant-based products'!G164/'Input data plant-based products'!E164*'Common input data'!$B$196)/'Common input data'!$B$198</f>
        <v>9.6236409003769014E-4</v>
      </c>
      <c r="BP272" s="877">
        <f>$BO272*'Input data plant-based products'!Z164</f>
        <v>9.6236409003769014E-4</v>
      </c>
      <c r="BQ272" s="877">
        <f>$BO272*'Input data plant-based products'!AA164</f>
        <v>9.6236409003769014E-4</v>
      </c>
      <c r="BR272" s="877">
        <f>$BO272*'Input data plant-based products'!AB164</f>
        <v>9.6236409003769014E-4</v>
      </c>
      <c r="BS272" s="877">
        <f>$BO272*'Input data plant-based products'!AC164</f>
        <v>1.3205500988496763E-3</v>
      </c>
      <c r="BT272" s="886">
        <f>$BO272*'Input data plant-based products'!AD164</f>
        <v>1.6303087640119457E-3</v>
      </c>
      <c r="BU272" s="877"/>
      <c r="BV272" s="879">
        <f>('Common input data'!$B$228+'Common input data'!$C$228)*'Input data plant-based products'!AC164</f>
        <v>7.7562421752278485</v>
      </c>
      <c r="BW272" s="886">
        <f>('Common input data'!$B$228+'Common input data'!$C$228)*'Input data plant-based products'!AD164</f>
        <v>9.5756076237380832</v>
      </c>
    </row>
    <row r="273" spans="1:75" s="406" customFormat="1" ht="17.25">
      <c r="A273" s="68"/>
      <c r="B273" s="55"/>
      <c r="C273" s="917"/>
      <c r="D273" s="5"/>
      <c r="E273" s="1294" t="s">
        <v>317</v>
      </c>
      <c r="F273" s="928">
        <f>IF(AND($G$2="No",$G$3="No"),SUM(L273:M273),IF(AND($G$2="Yes", $G$3="No"), (SUM(L273:M273)+S273), IF(AND($G$2="No", $G$3="Yes"),(SUM(L273:M273)+R273), (SUM(L273:M273)+S273+R273))))</f>
        <v>4.0381537718586182</v>
      </c>
      <c r="G273" s="877">
        <f>IF(AND($G$2="No",$G$3="No"),SUM(I273:Q273),IF(AND($G$2="Yes", $G$3="No"), (SUM(I273:Q273)+S273), IF(AND($G$2="No", $G$3="Yes"),(SUM(I273:Q273)+R273), (SUM(I273:Q273)+S273+R273))))</f>
        <v>4.0581537718586178</v>
      </c>
      <c r="H273" s="878">
        <f>SUM(U273:W273)/(1-'Common input data'!$I$140)</f>
        <v>6.227226757586334</v>
      </c>
      <c r="I273" s="877"/>
      <c r="J273" s="877"/>
      <c r="K273" s="877"/>
      <c r="L273" s="877"/>
      <c r="M273" s="877">
        <v>4.1292928199999999</v>
      </c>
      <c r="N273" s="877"/>
      <c r="O273" s="877"/>
      <c r="P273" s="877">
        <f>'Input data plant-based products'!G309</f>
        <v>0.02</v>
      </c>
      <c r="Q273" s="877"/>
      <c r="R273" s="877">
        <f>'Common input data'!$F$19</f>
        <v>-9.1139048141381296E-2</v>
      </c>
      <c r="S273" s="877"/>
      <c r="T273" s="877"/>
      <c r="U273" s="877">
        <f t="shared" si="52"/>
        <v>4.0581537718586178</v>
      </c>
      <c r="V273" s="877">
        <f>'Common input data'!$B$107</f>
        <v>0.05</v>
      </c>
      <c r="W273" s="886">
        <f>'Common input data'!$B$125+'Common input data'!$C$125</f>
        <v>0.43000000000000005</v>
      </c>
      <c r="X273" s="877"/>
      <c r="Y273" s="879"/>
      <c r="Z273" s="877"/>
      <c r="AA273" s="877"/>
      <c r="AB273" s="877"/>
      <c r="AC273" s="877"/>
      <c r="AD273" s="886"/>
      <c r="AE273" s="877"/>
      <c r="AF273" s="879"/>
      <c r="AG273" s="877"/>
      <c r="AH273" s="877"/>
      <c r="AI273" s="877"/>
      <c r="AJ273" s="877"/>
      <c r="AK273" s="886"/>
      <c r="AL273" s="877"/>
      <c r="AM273" s="879"/>
      <c r="AN273" s="877"/>
      <c r="AO273" s="877"/>
      <c r="AP273" s="877"/>
      <c r="AQ273" s="877"/>
      <c r="AR273" s="886"/>
      <c r="AS273" s="877"/>
      <c r="AT273" s="879"/>
      <c r="AU273" s="877"/>
      <c r="AV273" s="877"/>
      <c r="AW273" s="877"/>
      <c r="AX273" s="877"/>
      <c r="AY273" s="886"/>
      <c r="AZ273" s="877"/>
      <c r="BA273" s="879"/>
      <c r="BB273" s="877"/>
      <c r="BC273" s="877"/>
      <c r="BD273" s="877"/>
      <c r="BE273" s="877"/>
      <c r="BF273" s="886"/>
      <c r="BG273" s="877"/>
      <c r="BH273" s="879"/>
      <c r="BI273" s="877"/>
      <c r="BJ273" s="877"/>
      <c r="BK273" s="877"/>
      <c r="BL273" s="877"/>
      <c r="BM273" s="886"/>
      <c r="BN273" s="877"/>
      <c r="BO273" s="879"/>
      <c r="BP273" s="877"/>
      <c r="BQ273" s="877"/>
      <c r="BR273" s="877"/>
      <c r="BS273" s="877"/>
      <c r="BT273" s="886"/>
      <c r="BU273" s="877"/>
      <c r="BV273" s="879"/>
      <c r="BW273" s="886"/>
    </row>
    <row r="274" spans="1:75" s="406" customFormat="1" ht="17.25">
      <c r="A274" s="68"/>
      <c r="B274" s="55"/>
      <c r="C274" s="595"/>
      <c r="D274" s="50"/>
      <c r="E274" s="1294" t="s">
        <v>367</v>
      </c>
      <c r="F274" s="928">
        <f>IF(AND($G$2="No",$G$3="No"),SUM(L274:M274),IF(AND($G$2="Yes", $G$3="No"), (SUM(L274:M274)+S274), IF(AND($G$2="No", $G$3="Yes"),(SUM(L274:M274)+R274), (SUM(L274:M274)+S274+R274))))</f>
        <v>1.0860976924626E-2</v>
      </c>
      <c r="G274" s="877">
        <f>SUM(I274:Q274)</f>
        <v>1.0860976924626E-2</v>
      </c>
      <c r="H274" s="878">
        <f>SUM(U274:W274)/(1-'Common input data'!$I$140)</f>
        <v>1.4903365888119545E-2</v>
      </c>
      <c r="I274" s="877"/>
      <c r="J274" s="877"/>
      <c r="K274" s="877"/>
      <c r="L274" s="877"/>
      <c r="M274" s="877">
        <v>1.0860976924626E-2</v>
      </c>
      <c r="N274" s="877"/>
      <c r="O274" s="877"/>
      <c r="P274" s="877"/>
      <c r="Q274" s="877"/>
      <c r="R274" s="877"/>
      <c r="S274" s="877"/>
      <c r="T274" s="877"/>
      <c r="U274" s="877">
        <f t="shared" si="52"/>
        <v>1.0860976924626E-2</v>
      </c>
      <c r="V274" s="877"/>
      <c r="W274" s="886"/>
      <c r="X274" s="877"/>
      <c r="Y274" s="879"/>
      <c r="Z274" s="877"/>
      <c r="AA274" s="877"/>
      <c r="AB274" s="877"/>
      <c r="AC274" s="877"/>
      <c r="AD274" s="886"/>
      <c r="AE274" s="877"/>
      <c r="AF274" s="879"/>
      <c r="AG274" s="877"/>
      <c r="AH274" s="877"/>
      <c r="AI274" s="877"/>
      <c r="AJ274" s="877"/>
      <c r="AK274" s="886"/>
      <c r="AL274" s="877"/>
      <c r="AM274" s="879"/>
      <c r="AN274" s="877"/>
      <c r="AO274" s="877"/>
      <c r="AP274" s="877"/>
      <c r="AQ274" s="877"/>
      <c r="AR274" s="886"/>
      <c r="AS274" s="877"/>
      <c r="AT274" s="879"/>
      <c r="AU274" s="877"/>
      <c r="AV274" s="877"/>
      <c r="AW274" s="877"/>
      <c r="AX274" s="877"/>
      <c r="AY274" s="886"/>
      <c r="AZ274" s="877"/>
      <c r="BA274" s="879"/>
      <c r="BB274" s="877"/>
      <c r="BC274" s="877"/>
      <c r="BD274" s="877"/>
      <c r="BE274" s="877"/>
      <c r="BF274" s="886"/>
      <c r="BG274" s="877"/>
      <c r="BH274" s="879"/>
      <c r="BI274" s="877"/>
      <c r="BJ274" s="877"/>
      <c r="BK274" s="877"/>
      <c r="BL274" s="877"/>
      <c r="BM274" s="886"/>
      <c r="BN274" s="877"/>
      <c r="BO274" s="879"/>
      <c r="BP274" s="877"/>
      <c r="BQ274" s="877"/>
      <c r="BR274" s="877"/>
      <c r="BS274" s="877"/>
      <c r="BT274" s="886"/>
      <c r="BU274" s="877"/>
      <c r="BV274" s="879"/>
      <c r="BW274" s="886"/>
    </row>
    <row r="275" spans="1:75" s="406" customFormat="1" ht="17.25">
      <c r="A275" s="359"/>
      <c r="B275" s="360"/>
      <c r="C275" s="83"/>
      <c r="D275" s="54"/>
      <c r="E275" s="1295" t="s">
        <v>320</v>
      </c>
      <c r="F275" s="928">
        <f>IF(AND($G$2="No",$G$3="No"),SUM(L275:M275),IF(AND($G$2="Yes", $G$3="No"), (SUM(L275:M275)+S275), IF(AND($G$2="No", $G$3="Yes"),(SUM(L275:M275)+R275), (SUM(L275:M275)+S275+R275))))</f>
        <v>1.5816981454999997E-3</v>
      </c>
      <c r="G275" s="877">
        <f>SUM(I275:Q275)</f>
        <v>1.5816981454999997E-3</v>
      </c>
      <c r="H275" s="878">
        <f>SUM(U275:W275)/(1-'Common input data'!$I$140)</f>
        <v>2.1703964892419996E-3</v>
      </c>
      <c r="I275" s="877"/>
      <c r="J275" s="877"/>
      <c r="K275" s="877"/>
      <c r="L275" s="877"/>
      <c r="M275" s="877">
        <v>1.5816981454999997E-3</v>
      </c>
      <c r="N275" s="877"/>
      <c r="O275" s="877"/>
      <c r="P275" s="877"/>
      <c r="Q275" s="877"/>
      <c r="R275" s="877"/>
      <c r="S275" s="877"/>
      <c r="T275" s="877"/>
      <c r="U275" s="877">
        <f t="shared" si="52"/>
        <v>1.5816981454999997E-3</v>
      </c>
      <c r="V275" s="877"/>
      <c r="W275" s="886"/>
      <c r="X275" s="877"/>
      <c r="Y275" s="879"/>
      <c r="Z275" s="877"/>
      <c r="AA275" s="877"/>
      <c r="AB275" s="877"/>
      <c r="AC275" s="877"/>
      <c r="AD275" s="886"/>
      <c r="AE275" s="877"/>
      <c r="AF275" s="879"/>
      <c r="AG275" s="877"/>
      <c r="AH275" s="877"/>
      <c r="AI275" s="877"/>
      <c r="AJ275" s="877"/>
      <c r="AK275" s="886"/>
      <c r="AL275" s="877"/>
      <c r="AM275" s="879"/>
      <c r="AN275" s="877"/>
      <c r="AO275" s="877"/>
      <c r="AP275" s="877"/>
      <c r="AQ275" s="877"/>
      <c r="AR275" s="886"/>
      <c r="AS275" s="877"/>
      <c r="AT275" s="879"/>
      <c r="AU275" s="877"/>
      <c r="AV275" s="877"/>
      <c r="AW275" s="877"/>
      <c r="AX275" s="877"/>
      <c r="AY275" s="886"/>
      <c r="AZ275" s="877"/>
      <c r="BA275" s="879"/>
      <c r="BB275" s="877"/>
      <c r="BC275" s="877"/>
      <c r="BD275" s="877"/>
      <c r="BE275" s="877"/>
      <c r="BF275" s="886"/>
      <c r="BG275" s="877"/>
      <c r="BH275" s="879"/>
      <c r="BI275" s="877"/>
      <c r="BJ275" s="877"/>
      <c r="BK275" s="877"/>
      <c r="BL275" s="877"/>
      <c r="BM275" s="886"/>
      <c r="BN275" s="877"/>
      <c r="BO275" s="879"/>
      <c r="BP275" s="877"/>
      <c r="BQ275" s="877"/>
      <c r="BR275" s="877"/>
      <c r="BS275" s="877"/>
      <c r="BT275" s="886"/>
      <c r="BU275" s="877"/>
      <c r="BV275" s="879"/>
      <c r="BW275" s="886"/>
    </row>
    <row r="276" spans="1:75">
      <c r="A276" s="350" t="s">
        <v>147</v>
      </c>
      <c r="B276" s="351"/>
      <c r="C276" s="902"/>
      <c r="D276" s="54"/>
      <c r="E276" s="1303"/>
      <c r="F276" s="969" t="s">
        <v>532</v>
      </c>
      <c r="G276" s="892" t="s">
        <v>532</v>
      </c>
      <c r="H276" s="892" t="s">
        <v>532</v>
      </c>
      <c r="I276" s="1289"/>
      <c r="J276" s="889"/>
      <c r="K276" s="889"/>
      <c r="L276" s="889"/>
      <c r="M276" s="889"/>
      <c r="N276" s="889"/>
      <c r="O276" s="1305"/>
      <c r="P276" s="889"/>
      <c r="Q276" s="889"/>
      <c r="R276" s="889"/>
      <c r="S276" s="889"/>
      <c r="T276" s="889"/>
      <c r="U276" s="889"/>
      <c r="V276" s="889"/>
      <c r="W276" s="960"/>
      <c r="Y276" s="879"/>
      <c r="AD276" s="886"/>
      <c r="AF276" s="879"/>
      <c r="AK276" s="886"/>
      <c r="AM276" s="879"/>
      <c r="AR276" s="886"/>
      <c r="AT276" s="879"/>
      <c r="AY276" s="886"/>
      <c r="BA276" s="879"/>
      <c r="BF276" s="886"/>
      <c r="BG276" s="877"/>
      <c r="BH276" s="879"/>
      <c r="BI276" s="877"/>
      <c r="BJ276" s="877"/>
      <c r="BK276" s="877"/>
      <c r="BL276" s="877"/>
      <c r="BM276" s="886"/>
      <c r="BN276" s="877"/>
      <c r="BO276" s="879"/>
      <c r="BP276" s="877"/>
      <c r="BQ276" s="877"/>
      <c r="BR276" s="877"/>
      <c r="BS276" s="877"/>
      <c r="BT276" s="886"/>
      <c r="BU276" s="877"/>
      <c r="BV276" s="879"/>
      <c r="BW276" s="886"/>
    </row>
    <row r="277" spans="1:75">
      <c r="A277" s="20" t="s">
        <v>120</v>
      </c>
      <c r="B277" s="93" t="s">
        <v>121</v>
      </c>
      <c r="C277" s="903">
        <f>SUM(C281:C296)</f>
        <v>1</v>
      </c>
      <c r="D277" s="50"/>
      <c r="E277" s="1293" t="s">
        <v>316</v>
      </c>
      <c r="F277" s="930">
        <f>SUMPRODUCT($CI$4:$CI$6,F278:F280)</f>
        <v>-5.8553201852382664E-2</v>
      </c>
      <c r="G277" s="872">
        <f>SUMPRODUCT($CI$4:$CI$6,G278:G280)</f>
        <v>0.15283938349919957</v>
      </c>
      <c r="H277" s="873">
        <f>SUMPRODUCT($CI$4:$CI$6,H278:H280)</f>
        <v>0.71149865452157401</v>
      </c>
      <c r="I277" s="872"/>
      <c r="J277" s="884"/>
      <c r="K277" s="884"/>
      <c r="L277" s="884"/>
      <c r="M277" s="884"/>
      <c r="N277" s="884"/>
      <c r="O277" s="884"/>
      <c r="P277" s="884"/>
      <c r="Q277" s="884"/>
      <c r="R277" s="884"/>
      <c r="S277" s="884"/>
      <c r="T277" s="884"/>
      <c r="U277" s="884"/>
      <c r="V277" s="884"/>
      <c r="W277" s="885"/>
      <c r="Y277" s="883">
        <f>Y281*$C$281+Y285*$C$285+Y289*$C$289+Y293*$C$293</f>
        <v>1.1123633546694969</v>
      </c>
      <c r="Z277" s="884">
        <f t="shared" ref="Z277:BW277" si="53">Z281*$C$281+Z285*$C$285+Z289*$C$289+Z293*$C$293</f>
        <v>1.1123633546694969</v>
      </c>
      <c r="AA277" s="884">
        <f t="shared" si="53"/>
        <v>1.1123633546694969</v>
      </c>
      <c r="AB277" s="884">
        <f t="shared" si="53"/>
        <v>1.1123633546694969</v>
      </c>
      <c r="AC277" s="884">
        <f t="shared" si="53"/>
        <v>1.4332156108859206</v>
      </c>
      <c r="AD277" s="885">
        <f t="shared" si="53"/>
        <v>1.7694019887480499</v>
      </c>
      <c r="AF277" s="883">
        <f t="shared" si="53"/>
        <v>2E-3</v>
      </c>
      <c r="AG277" s="884">
        <f t="shared" si="53"/>
        <v>2E-3</v>
      </c>
      <c r="AH277" s="884">
        <f t="shared" si="53"/>
        <v>2E-3</v>
      </c>
      <c r="AI277" s="884">
        <f t="shared" si="53"/>
        <v>2E-3</v>
      </c>
      <c r="AJ277" s="884">
        <f t="shared" si="53"/>
        <v>2.6347210442478446E-3</v>
      </c>
      <c r="AK277" s="885">
        <f t="shared" si="53"/>
        <v>3.2527420299356107E-3</v>
      </c>
      <c r="AM277" s="883">
        <f t="shared" si="53"/>
        <v>1.33E-3</v>
      </c>
      <c r="AN277" s="884">
        <f t="shared" si="53"/>
        <v>1.33E-3</v>
      </c>
      <c r="AO277" s="884">
        <f t="shared" si="53"/>
        <v>1.33E-3</v>
      </c>
      <c r="AP277" s="884">
        <f t="shared" si="53"/>
        <v>1.33E-3</v>
      </c>
      <c r="AQ277" s="884">
        <f t="shared" si="53"/>
        <v>1.7520894944248167E-3</v>
      </c>
      <c r="AR277" s="885">
        <f t="shared" si="53"/>
        <v>2.1630734499071807E-3</v>
      </c>
      <c r="AT277" s="883">
        <f t="shared" si="53"/>
        <v>8.6590360136408903E-2</v>
      </c>
      <c r="AU277" s="884">
        <f t="shared" si="53"/>
        <v>8.6590360136408903E-2</v>
      </c>
      <c r="AV277" s="884">
        <f t="shared" si="53"/>
        <v>8.6590360136408903E-2</v>
      </c>
      <c r="AW277" s="884">
        <f t="shared" si="53"/>
        <v>8.6590360136408903E-2</v>
      </c>
      <c r="AX277" s="884">
        <f t="shared" si="53"/>
        <v>0.11822817296744918</v>
      </c>
      <c r="AY277" s="885">
        <f t="shared" si="53"/>
        <v>0.14596070736722122</v>
      </c>
      <c r="BA277" s="883">
        <f t="shared" si="53"/>
        <v>3.9626068630763233E-10</v>
      </c>
      <c r="BB277" s="884">
        <f t="shared" si="53"/>
        <v>3.9626068630763233E-10</v>
      </c>
      <c r="BC277" s="884">
        <f t="shared" si="53"/>
        <v>3.9626068630763233E-10</v>
      </c>
      <c r="BD277" s="884">
        <f t="shared" si="53"/>
        <v>3.9626068630763233E-10</v>
      </c>
      <c r="BE277" s="884">
        <f t="shared" si="53"/>
        <v>5.1407559042783068E-10</v>
      </c>
      <c r="BF277" s="885">
        <f t="shared" si="53"/>
        <v>6.3466122275040823E-10</v>
      </c>
      <c r="BG277" s="877"/>
      <c r="BH277" s="883">
        <f t="shared" si="53"/>
        <v>9.6489332963376482E-4</v>
      </c>
      <c r="BI277" s="884">
        <f t="shared" si="53"/>
        <v>9.6489332963376482E-4</v>
      </c>
      <c r="BJ277" s="884">
        <f t="shared" si="53"/>
        <v>9.6489332963376482E-4</v>
      </c>
      <c r="BK277" s="884">
        <f t="shared" si="53"/>
        <v>9.6489332963376482E-4</v>
      </c>
      <c r="BL277" s="884">
        <f t="shared" si="53"/>
        <v>1.2064892799615731E-3</v>
      </c>
      <c r="BM277" s="885">
        <f t="shared" si="53"/>
        <v>1.4894929382241642E-3</v>
      </c>
      <c r="BN277" s="877"/>
      <c r="BO277" s="883">
        <f t="shared" si="53"/>
        <v>5.1067466266866572E-5</v>
      </c>
      <c r="BP277" s="884">
        <f t="shared" si="53"/>
        <v>5.1067466266866572E-5</v>
      </c>
      <c r="BQ277" s="884">
        <f t="shared" si="53"/>
        <v>5.1067466266866572E-5</v>
      </c>
      <c r="BR277" s="884">
        <f t="shared" si="53"/>
        <v>5.1067466266866572E-5</v>
      </c>
      <c r="BS277" s="884">
        <f t="shared" si="53"/>
        <v>6.7274264024865129E-5</v>
      </c>
      <c r="BT277" s="885">
        <f t="shared" si="53"/>
        <v>8.3054646944277929E-5</v>
      </c>
      <c r="BU277" s="877"/>
      <c r="BV277" s="883">
        <f t="shared" si="53"/>
        <v>0.33362697223686599</v>
      </c>
      <c r="BW277" s="885">
        <f t="shared" si="53"/>
        <v>0.41188515090971101</v>
      </c>
    </row>
    <row r="278" spans="1:75">
      <c r="A278" s="499"/>
      <c r="B278" s="55"/>
      <c r="C278" s="917"/>
      <c r="E278" s="1294" t="s">
        <v>317</v>
      </c>
      <c r="F278" s="928">
        <f t="shared" ref="F278:H280" si="54">F282*$C$281+F286*$C$285+$C$289*F290+$C$293*F294</f>
        <v>-9.1139048141381296E-2</v>
      </c>
      <c r="G278" s="877">
        <f t="shared" si="54"/>
        <v>0.11793694576756789</v>
      </c>
      <c r="H278" s="878">
        <f t="shared" si="54"/>
        <v>0.66632340709166926</v>
      </c>
      <c r="M278" s="877">
        <f>M282*$C$281+M286*$C$285+$C$289*M290+$C$293*M294</f>
        <v>0.16863536165655002</v>
      </c>
      <c r="R278" s="877">
        <f t="shared" ref="R278:W280" si="55">R282*$C$281+R286*$C$285+$C$289*R290+$C$293*R294</f>
        <v>-9.1139048141381296E-2</v>
      </c>
      <c r="S278" s="877">
        <f t="shared" si="55"/>
        <v>0</v>
      </c>
      <c r="T278" s="877">
        <f t="shared" si="55"/>
        <v>0</v>
      </c>
      <c r="U278" s="877">
        <f t="shared" si="55"/>
        <v>0.11793694576756789</v>
      </c>
      <c r="V278" s="877">
        <f t="shared" si="55"/>
        <v>0.05</v>
      </c>
      <c r="W278" s="886">
        <f t="shared" si="55"/>
        <v>0.33889230383240299</v>
      </c>
      <c r="Y278" s="879"/>
      <c r="AD278" s="886"/>
      <c r="AF278" s="879"/>
      <c r="AK278" s="886"/>
      <c r="AM278" s="879"/>
      <c r="AR278" s="886"/>
      <c r="AT278" s="879"/>
      <c r="AY278" s="886"/>
      <c r="BA278" s="879"/>
      <c r="BF278" s="886"/>
      <c r="BG278" s="877"/>
      <c r="BH278" s="879"/>
      <c r="BI278" s="877"/>
      <c r="BJ278" s="877"/>
      <c r="BK278" s="877"/>
      <c r="BL278" s="877"/>
      <c r="BM278" s="886"/>
      <c r="BN278" s="877"/>
      <c r="BO278" s="879"/>
      <c r="BP278" s="877"/>
      <c r="BQ278" s="877"/>
      <c r="BR278" s="877"/>
      <c r="BS278" s="877"/>
      <c r="BT278" s="886"/>
      <c r="BU278" s="877"/>
      <c r="BV278" s="879"/>
      <c r="BW278" s="886"/>
    </row>
    <row r="279" spans="1:75">
      <c r="A279" s="499"/>
      <c r="B279" s="55"/>
      <c r="C279" s="595"/>
      <c r="D279" s="50"/>
      <c r="E279" s="1294" t="s">
        <v>367</v>
      </c>
      <c r="F279" s="928">
        <f t="shared" si="54"/>
        <v>4.5399229217232107E-4</v>
      </c>
      <c r="G279" s="877">
        <f t="shared" si="54"/>
        <v>4.5399229217232107E-4</v>
      </c>
      <c r="H279" s="878">
        <f t="shared" si="54"/>
        <v>5.8761552095162059E-4</v>
      </c>
      <c r="M279" s="877">
        <f>M283*$C$281+M287*$C$285+$C$289*M291+$C$293*M295</f>
        <v>4.5399229217232107E-4</v>
      </c>
      <c r="R279" s="877">
        <f t="shared" si="55"/>
        <v>0</v>
      </c>
      <c r="S279" s="877">
        <f t="shared" si="55"/>
        <v>0</v>
      </c>
      <c r="T279" s="877">
        <f t="shared" si="55"/>
        <v>0</v>
      </c>
      <c r="U279" s="877">
        <f t="shared" si="55"/>
        <v>4.5399229217232107E-4</v>
      </c>
      <c r="V279" s="877">
        <f t="shared" si="55"/>
        <v>0</v>
      </c>
      <c r="W279" s="886">
        <f t="shared" si="55"/>
        <v>0</v>
      </c>
      <c r="Y279" s="879"/>
      <c r="AD279" s="886"/>
      <c r="AF279" s="879"/>
      <c r="AK279" s="886"/>
      <c r="AM279" s="879"/>
      <c r="AR279" s="886"/>
      <c r="AT279" s="879"/>
      <c r="AY279" s="886"/>
      <c r="BA279" s="879"/>
      <c r="BF279" s="886"/>
      <c r="BG279" s="877"/>
      <c r="BH279" s="879"/>
      <c r="BI279" s="877"/>
      <c r="BJ279" s="877"/>
      <c r="BK279" s="877"/>
      <c r="BL279" s="877"/>
      <c r="BM279" s="886"/>
      <c r="BN279" s="877"/>
      <c r="BO279" s="879"/>
      <c r="BP279" s="877"/>
      <c r="BQ279" s="877"/>
      <c r="BR279" s="877"/>
      <c r="BS279" s="877"/>
      <c r="BT279" s="886"/>
      <c r="BU279" s="877"/>
      <c r="BV279" s="879"/>
      <c r="BW279" s="886"/>
    </row>
    <row r="280" spans="1:75">
      <c r="A280" s="18"/>
      <c r="B280" s="360"/>
      <c r="C280" s="83"/>
      <c r="D280" s="54"/>
      <c r="E280" s="1295" t="s">
        <v>320</v>
      </c>
      <c r="F280" s="928">
        <f t="shared" si="54"/>
        <v>7.4461737730204986E-5</v>
      </c>
      <c r="G280" s="877">
        <f t="shared" si="54"/>
        <v>8.29474206702528E-5</v>
      </c>
      <c r="H280" s="878">
        <f t="shared" si="54"/>
        <v>1.0736127605938124E-4</v>
      </c>
      <c r="M280" s="877">
        <f>M284*$C$281+M288*$C$285+$C$289*M292+$C$293*M296</f>
        <v>8.29474206702528E-5</v>
      </c>
      <c r="R280" s="877">
        <f t="shared" si="55"/>
        <v>0</v>
      </c>
      <c r="S280" s="877">
        <f t="shared" si="55"/>
        <v>0</v>
      </c>
      <c r="T280" s="877">
        <f t="shared" si="55"/>
        <v>0</v>
      </c>
      <c r="U280" s="877">
        <f t="shared" si="55"/>
        <v>8.29474206702528E-5</v>
      </c>
      <c r="V280" s="877">
        <f t="shared" si="55"/>
        <v>0</v>
      </c>
      <c r="W280" s="886">
        <f t="shared" si="55"/>
        <v>0</v>
      </c>
      <c r="Y280" s="879"/>
      <c r="AD280" s="886"/>
      <c r="AF280" s="879"/>
      <c r="AK280" s="886"/>
      <c r="AM280" s="879"/>
      <c r="AR280" s="886"/>
      <c r="AT280" s="879"/>
      <c r="AY280" s="886"/>
      <c r="BA280" s="879"/>
      <c r="BF280" s="886"/>
      <c r="BG280" s="877"/>
      <c r="BH280" s="879"/>
      <c r="BI280" s="877"/>
      <c r="BJ280" s="877"/>
      <c r="BK280" s="877"/>
      <c r="BL280" s="877"/>
      <c r="BM280" s="886"/>
      <c r="BN280" s="877"/>
      <c r="BO280" s="879"/>
      <c r="BP280" s="877"/>
      <c r="BQ280" s="877"/>
      <c r="BR280" s="877"/>
      <c r="BS280" s="877"/>
      <c r="BT280" s="886"/>
      <c r="BU280" s="877"/>
      <c r="BV280" s="879"/>
      <c r="BW280" s="886"/>
    </row>
    <row r="281" spans="1:75">
      <c r="A281" s="20" t="s">
        <v>130</v>
      </c>
      <c r="B281" s="93" t="s">
        <v>121</v>
      </c>
      <c r="C281" s="87">
        <v>0.1023019506993665</v>
      </c>
      <c r="D281" s="54"/>
      <c r="E281" s="1293" t="s">
        <v>316</v>
      </c>
      <c r="F281" s="930">
        <f>SUMPRODUCT($CI$4:$CI$6,F282:F284)</f>
        <v>-7.8881256252728627E-2</v>
      </c>
      <c r="G281" s="872">
        <f>SUMPRODUCT($CI$4:$CI$6,G282:G284)</f>
        <v>0.16239875124680039</v>
      </c>
      <c r="H281" s="873">
        <f>SUMPRODUCT($CI$4:$CI$6,H282:H284)</f>
        <v>0.52798514291299725</v>
      </c>
      <c r="I281" s="884"/>
      <c r="J281" s="884"/>
      <c r="K281" s="884"/>
      <c r="L281" s="884"/>
      <c r="M281" s="884"/>
      <c r="N281" s="884"/>
      <c r="O281" s="884"/>
      <c r="P281" s="884"/>
      <c r="Q281" s="884"/>
      <c r="R281" s="884"/>
      <c r="S281" s="884"/>
      <c r="T281" s="884"/>
      <c r="U281" s="884"/>
      <c r="V281" s="884"/>
      <c r="W281" s="885"/>
      <c r="Y281" s="879">
        <f>1/'Input data plant-based products'!E154*10^4</f>
        <v>1.5133538342332744</v>
      </c>
      <c r="Z281" s="877">
        <f>$Y281*'Input data plant-based products'!Z154</f>
        <v>1.5133538342332744</v>
      </c>
      <c r="AA281" s="877">
        <f>$Y281*'Input data plant-based products'!AA154</f>
        <v>1.5133538342332744</v>
      </c>
      <c r="AB281" s="877">
        <f>$Y281*'Input data plant-based products'!AB154</f>
        <v>1.5133538342332744</v>
      </c>
      <c r="AC281" s="877">
        <f>$Y281*'Input data plant-based products'!AC154</f>
        <v>1.8061270249830224</v>
      </c>
      <c r="AD281" s="886">
        <f>$Y281*'Input data plant-based products'!AD154</f>
        <v>2.2297864505963236</v>
      </c>
      <c r="AF281" s="879">
        <f>SUM('Input data plant-based products'!F154,'Input data plant-based products'!AE154)/'Input data plant-based products'!E154</f>
        <v>2E-3</v>
      </c>
      <c r="AG281" s="877">
        <f>$AF281*'Input data plant-based products'!Z154</f>
        <v>2E-3</v>
      </c>
      <c r="AH281" s="877">
        <f>$AF281*'Input data plant-based products'!AA154</f>
        <v>2E-3</v>
      </c>
      <c r="AI281" s="877">
        <f>$AF281*'Input data plant-based products'!AB154</f>
        <v>2E-3</v>
      </c>
      <c r="AJ281" s="877">
        <f>$AF281*'Input data plant-based products'!AC154</f>
        <v>2.386919680152763E-3</v>
      </c>
      <c r="AK281" s="886">
        <f>$AF281*'Input data plant-based products'!AD154</f>
        <v>2.9468144199416824E-3</v>
      </c>
      <c r="AM281" s="879">
        <f>'Input data plant-based products'!R154/'Input data plant-based products'!E154</f>
        <v>1.33E-3</v>
      </c>
      <c r="AN281" s="877">
        <f>$AM281*'Input data plant-based products'!Z154</f>
        <v>1.33E-3</v>
      </c>
      <c r="AO281" s="877">
        <f>$AM281*'Input data plant-based products'!AA154</f>
        <v>1.33E-3</v>
      </c>
      <c r="AP281" s="877">
        <f>$AM281*'Input data plant-based products'!AB154</f>
        <v>1.33E-3</v>
      </c>
      <c r="AQ281" s="877">
        <f>$AM281*'Input data plant-based products'!AC154</f>
        <v>1.5873015873015873E-3</v>
      </c>
      <c r="AR281" s="886">
        <f>$AM281*'Input data plant-based products'!AD154</f>
        <v>1.9596315892612187E-3</v>
      </c>
      <c r="AT281" s="879">
        <f>'Input data plant-based products'!S154</f>
        <v>3.2299318900888899E-2</v>
      </c>
      <c r="AU281" s="877">
        <f>$AT281*'Input data plant-based products'!Z154</f>
        <v>3.2299318900888899E-2</v>
      </c>
      <c r="AV281" s="877">
        <f>$AT281*'Input data plant-based products'!AA154</f>
        <v>3.2299318900888899E-2</v>
      </c>
      <c r="AW281" s="877">
        <f>$AT281*'Input data plant-based products'!AB154</f>
        <v>3.2299318900888899E-2</v>
      </c>
      <c r="AX281" s="877">
        <f>$AT281*'Input data plant-based products'!AC154</f>
        <v>3.8547939970030906E-2</v>
      </c>
      <c r="AY281" s="886">
        <f>$AT281*'Input data plant-based products'!AD154</f>
        <v>4.7590049345717166E-2</v>
      </c>
      <c r="BA281" s="879">
        <f>((SUM('Input data plant-based products'!U154:Y154)*Y281)/('Common input data'!$B$192/10^6))/$BB$3</f>
        <v>1.5434482120264547E-9</v>
      </c>
      <c r="BB281" s="877">
        <f>$BA281*'Input data plant-based products'!Z154</f>
        <v>1.5434482120264547E-9</v>
      </c>
      <c r="BC281" s="877">
        <f>$BA281*'Input data plant-based products'!AA154</f>
        <v>1.5434482120264547E-9</v>
      </c>
      <c r="BD281" s="877">
        <f>$BA281*'Input data plant-based products'!AB154</f>
        <v>1.5434482120264547E-9</v>
      </c>
      <c r="BE281" s="877">
        <f>$BA281*'Input data plant-based products'!AC154</f>
        <v>1.8420434562912694E-9</v>
      </c>
      <c r="BF281" s="886">
        <f>$BA281*'Input data plant-based products'!AD154</f>
        <v>2.2741277238163819E-9</v>
      </c>
      <c r="BG281" s="877"/>
      <c r="BH281" s="879">
        <f>'Input data plant-based products'!T154/'Input data plant-based products'!E154</f>
        <v>4.1768565824838369E-4</v>
      </c>
      <c r="BI281" s="877">
        <f>$BH281*'Input data plant-based products'!Z154</f>
        <v>4.1768565824838369E-4</v>
      </c>
      <c r="BJ281" s="877">
        <f>$BH281*'Input data plant-based products'!AA154</f>
        <v>4.1768565824838369E-4</v>
      </c>
      <c r="BK281" s="877">
        <f>$BH281*'Input data plant-based products'!AB154</f>
        <v>4.1768565824838369E-4</v>
      </c>
      <c r="BL281" s="877">
        <f>$BH281*'Input data plant-based products'!AC154</f>
        <v>4.9849105889531408E-4</v>
      </c>
      <c r="BM281" s="886">
        <f>$BH281*'Input data plant-based products'!AD154</f>
        <v>6.1542106036458519E-4</v>
      </c>
      <c r="BN281" s="877"/>
      <c r="BO281" s="879">
        <f>('Input data plant-based products'!F154/'Input data plant-based products'!E154*'Common input data'!$B$195+'Input data plant-based products'!G154/'Input data plant-based products'!E154*'Common input data'!$B$196)/'Common input data'!$B$198</f>
        <v>5.1067466266866565E-5</v>
      </c>
      <c r="BP281" s="877">
        <f>$BO281*'Input data plant-based products'!Z154</f>
        <v>5.1067466266866565E-5</v>
      </c>
      <c r="BQ281" s="877">
        <f>$BO281*'Input data plant-based products'!AA154</f>
        <v>5.1067466266866565E-5</v>
      </c>
      <c r="BR281" s="877">
        <f>$BO281*'Input data plant-based products'!AB154</f>
        <v>5.1067466266866565E-5</v>
      </c>
      <c r="BS281" s="877">
        <f>$BO281*'Input data plant-based products'!AC154</f>
        <v>6.094697012396057E-5</v>
      </c>
      <c r="BT281" s="886">
        <f>$BO281*'Input data plant-based products'!AD154</f>
        <v>7.5243172992543912E-5</v>
      </c>
      <c r="BU281" s="877"/>
      <c r="BV281" s="879">
        <f>('Common input data'!$B$210+'Common input data'!$C$202)*'Input data plant-based products'!AC214</f>
        <v>0</v>
      </c>
      <c r="BW281" s="886">
        <f>('Common input data'!$B$210+'Common input data'!$C$202)*'Input data plant-based products'!AD214</f>
        <v>0</v>
      </c>
    </row>
    <row r="282" spans="1:75">
      <c r="A282" s="499"/>
      <c r="B282" s="55"/>
      <c r="C282" s="917"/>
      <c r="E282" s="1294" t="s">
        <v>317</v>
      </c>
      <c r="F282" s="928">
        <f>IF(AND($G$2="No",$G$3="No"),SUM(K282:M282),IF(AND($G$2="Yes", $G$3="No"), SUM(K282:L282)+S282, IF(AND($G$2="No", $G$3="Yes"),SUM(K282:L282)+R282, SUM(K282:L282)+S282+R282)))</f>
        <v>-9.1139048141381296E-2</v>
      </c>
      <c r="G282" s="877">
        <f>IF(AND($G$2="No",$G$3="No"),SUM(I282:Q282),IF(AND($G$2="Yes", $G$3="No"), SUM(I282:Q282)+S282, IF(AND($G$2="No", $G$3="Yes"),SUM(I282:Q282)+R282, SUM(I282:Q282)+S282+R282)))</f>
        <v>0.12749631351516871</v>
      </c>
      <c r="H282" s="878">
        <f>SUM(U282:W282)/(1-'Common input data'!$B$140)</f>
        <v>0.4863304851595282</v>
      </c>
      <c r="M282" s="877">
        <v>0.16863536165654999</v>
      </c>
      <c r="P282" s="877">
        <f>'Input data plant-based products'!$F$309</f>
        <v>0.05</v>
      </c>
      <c r="R282" s="877">
        <f>'Common input data'!$F$19</f>
        <v>-9.1139048141381296E-2</v>
      </c>
      <c r="S282" s="877">
        <v>0</v>
      </c>
      <c r="T282" s="877">
        <v>0</v>
      </c>
      <c r="U282" s="877">
        <f>SUM(L282:T282)</f>
        <v>0.12749631351516871</v>
      </c>
      <c r="V282" s="877">
        <f>'Common input data'!$B$105</f>
        <v>0.05</v>
      </c>
      <c r="W282" s="886">
        <f>'Common input data'!$B$117+'Common input data'!$C$117</f>
        <v>0.23</v>
      </c>
      <c r="Y282" s="879"/>
      <c r="AD282" s="886"/>
      <c r="AF282" s="879"/>
      <c r="AK282" s="886"/>
      <c r="AM282" s="879"/>
      <c r="AR282" s="886"/>
      <c r="AT282" s="879"/>
      <c r="AY282" s="886"/>
      <c r="BA282" s="879"/>
      <c r="BF282" s="886"/>
      <c r="BG282" s="877"/>
      <c r="BH282" s="879"/>
      <c r="BI282" s="877"/>
      <c r="BJ282" s="877"/>
      <c r="BK282" s="877"/>
      <c r="BL282" s="877"/>
      <c r="BM282" s="886"/>
      <c r="BN282" s="877"/>
      <c r="BO282" s="879"/>
      <c r="BP282" s="877"/>
      <c r="BQ282" s="877"/>
      <c r="BR282" s="877"/>
      <c r="BS282" s="877"/>
      <c r="BT282" s="886"/>
      <c r="BU282" s="877"/>
      <c r="BV282" s="879"/>
      <c r="BW282" s="886"/>
    </row>
    <row r="283" spans="1:75">
      <c r="A283" s="499"/>
      <c r="B283" s="55"/>
      <c r="C283" s="595"/>
      <c r="D283" s="50"/>
      <c r="E283" s="1294" t="s">
        <v>367</v>
      </c>
      <c r="F283" s="928">
        <f>SUM(K283:M283)</f>
        <v>4.5399229217232102E-4</v>
      </c>
      <c r="G283" s="877">
        <f>SUM(I283:Q283)</f>
        <v>4.5399229217232102E-4</v>
      </c>
      <c r="H283" s="878">
        <f>SUM(U283:W283)/(1-'Common input data'!$B$140)</f>
        <v>5.4182156841188814E-4</v>
      </c>
      <c r="M283" s="877">
        <v>4.5399229217232102E-4</v>
      </c>
      <c r="R283" s="877">
        <v>0</v>
      </c>
      <c r="S283" s="877">
        <v>0</v>
      </c>
      <c r="T283" s="877">
        <v>0</v>
      </c>
      <c r="U283" s="877">
        <f>SUM(L283:T283)</f>
        <v>4.5399229217232102E-4</v>
      </c>
      <c r="V283" s="877">
        <v>0</v>
      </c>
      <c r="W283" s="886">
        <v>0</v>
      </c>
      <c r="Y283" s="879"/>
      <c r="AD283" s="886"/>
      <c r="AF283" s="879"/>
      <c r="AK283" s="886"/>
      <c r="AM283" s="879"/>
      <c r="AR283" s="886"/>
      <c r="AT283" s="879"/>
      <c r="AY283" s="886"/>
      <c r="BA283" s="879"/>
      <c r="BF283" s="886"/>
      <c r="BG283" s="877"/>
      <c r="BH283" s="879"/>
      <c r="BI283" s="877"/>
      <c r="BJ283" s="877"/>
      <c r="BK283" s="877"/>
      <c r="BL283" s="877"/>
      <c r="BM283" s="886"/>
      <c r="BN283" s="877"/>
      <c r="BO283" s="879"/>
      <c r="BP283" s="877"/>
      <c r="BQ283" s="877"/>
      <c r="BR283" s="877"/>
      <c r="BS283" s="877"/>
      <c r="BT283" s="886"/>
      <c r="BU283" s="877"/>
      <c r="BV283" s="879"/>
      <c r="BW283" s="886"/>
    </row>
    <row r="284" spans="1:75">
      <c r="A284" s="18"/>
      <c r="B284" s="360"/>
      <c r="C284" s="83"/>
      <c r="D284" s="54"/>
      <c r="E284" s="1295" t="s">
        <v>320</v>
      </c>
      <c r="F284" s="928">
        <f>SUM(K284:L284)</f>
        <v>0</v>
      </c>
      <c r="G284" s="877">
        <f>SUM(I284:Q284)</f>
        <v>8.29474206702528E-5</v>
      </c>
      <c r="H284" s="878">
        <f>SUM(U284:W284)/(1-'Common input data'!$B$140)</f>
        <v>9.8994415407868241E-5</v>
      </c>
      <c r="M284" s="877">
        <v>8.29474206702528E-5</v>
      </c>
      <c r="R284" s="877">
        <v>0</v>
      </c>
      <c r="S284" s="877">
        <v>0</v>
      </c>
      <c r="T284" s="877">
        <v>0</v>
      </c>
      <c r="U284" s="877">
        <f>SUM(L284:T284)</f>
        <v>8.29474206702528E-5</v>
      </c>
      <c r="V284" s="877">
        <v>0</v>
      </c>
      <c r="W284" s="886">
        <v>0</v>
      </c>
      <c r="Y284" s="879"/>
      <c r="AD284" s="886"/>
      <c r="AF284" s="879"/>
      <c r="AK284" s="886"/>
      <c r="AM284" s="879"/>
      <c r="AR284" s="886"/>
      <c r="AT284" s="879"/>
      <c r="AY284" s="886"/>
      <c r="BA284" s="879"/>
      <c r="BF284" s="886"/>
      <c r="BG284" s="877"/>
      <c r="BH284" s="879"/>
      <c r="BI284" s="877"/>
      <c r="BJ284" s="877"/>
      <c r="BK284" s="877"/>
      <c r="BL284" s="877"/>
      <c r="BM284" s="886"/>
      <c r="BN284" s="877"/>
      <c r="BO284" s="879"/>
      <c r="BP284" s="877"/>
      <c r="BQ284" s="877"/>
      <c r="BR284" s="877"/>
      <c r="BS284" s="877"/>
      <c r="BT284" s="886"/>
      <c r="BU284" s="877"/>
      <c r="BV284" s="879"/>
      <c r="BW284" s="886"/>
    </row>
    <row r="285" spans="1:75">
      <c r="A285" s="20" t="s">
        <v>148</v>
      </c>
      <c r="B285" s="93" t="s">
        <v>121</v>
      </c>
      <c r="C285" s="87">
        <v>0.19118735495201655</v>
      </c>
      <c r="D285" s="54"/>
      <c r="E285" s="1293" t="s">
        <v>316</v>
      </c>
      <c r="F285" s="930">
        <f>SUMPRODUCT($CI$4:$CI$6,F286:F288)</f>
        <v>-5.6236610409749616E-2</v>
      </c>
      <c r="G285" s="872">
        <f>SUMPRODUCT($CI$4:$CI$6,G286:G288)</f>
        <v>0.11239875124680038</v>
      </c>
      <c r="H285" s="873">
        <f>SUMPRODUCT($CI$4:$CI$6,H286:H288)</f>
        <v>0.34896616690154003</v>
      </c>
      <c r="I285" s="884"/>
      <c r="J285" s="884"/>
      <c r="K285" s="884"/>
      <c r="L285" s="884"/>
      <c r="M285" s="884"/>
      <c r="N285" s="884"/>
      <c r="O285" s="884"/>
      <c r="P285" s="884"/>
      <c r="Q285" s="884"/>
      <c r="R285" s="884"/>
      <c r="S285" s="884"/>
      <c r="T285" s="884"/>
      <c r="U285" s="884"/>
      <c r="V285" s="884"/>
      <c r="W285" s="885"/>
      <c r="Y285" s="879">
        <f>1/'Input data plant-based products'!E155*10^4</f>
        <v>1.7918963280460447</v>
      </c>
      <c r="Z285" s="877">
        <f>$Y285*'Input data plant-based products'!Z155</f>
        <v>1.7918963280460447</v>
      </c>
      <c r="AA285" s="877">
        <f>$Y285*'Input data plant-based products'!AA155</f>
        <v>1.7918963280460447</v>
      </c>
      <c r="AB285" s="877">
        <f>$Y285*'Input data plant-based products'!AB155</f>
        <v>1.7918963280460447</v>
      </c>
      <c r="AC285" s="877">
        <f>$Y285*'Input data plant-based products'!AC155</f>
        <v>2.1162796769251284</v>
      </c>
      <c r="AD285" s="886">
        <f>$Y285*'Input data plant-based products'!AD155</f>
        <v>2.6126909591668248</v>
      </c>
      <c r="AF285" s="879">
        <f>SUM('Input data plant-based products'!F155,'Input data plant-based products'!AE155)/'Input data plant-based products'!E155</f>
        <v>2E-3</v>
      </c>
      <c r="AG285" s="877">
        <f>$AF285*'Input data plant-based products'!Z155</f>
        <v>2E-3</v>
      </c>
      <c r="AH285" s="877">
        <f>$AF285*'Input data plant-based products'!AA155</f>
        <v>2E-3</v>
      </c>
      <c r="AI285" s="877">
        <f>$AF285*'Input data plant-based products'!AB155</f>
        <v>2E-3</v>
      </c>
      <c r="AJ285" s="877">
        <f>$AF285*'Input data plant-based products'!AC155</f>
        <v>2.362055933484505E-3</v>
      </c>
      <c r="AK285" s="886">
        <f>$AF285*'Input data plant-based products'!AD155</f>
        <v>2.9161184364006232E-3</v>
      </c>
      <c r="AM285" s="879">
        <f>'Input data plant-based products'!R155/'Input data plant-based products'!E155</f>
        <v>1.33E-3</v>
      </c>
      <c r="AN285" s="877">
        <f>$AM285*'Input data plant-based products'!Z155</f>
        <v>1.33E-3</v>
      </c>
      <c r="AO285" s="877">
        <f>$AM285*'Input data plant-based products'!AA155</f>
        <v>1.33E-3</v>
      </c>
      <c r="AP285" s="877">
        <f>$AM285*'Input data plant-based products'!AB155</f>
        <v>1.33E-3</v>
      </c>
      <c r="AQ285" s="877">
        <f>$AM285*'Input data plant-based products'!AC155</f>
        <v>1.5707671957671959E-3</v>
      </c>
      <c r="AR285" s="886">
        <f>$AM285*'Input data plant-based products'!AD155</f>
        <v>1.9392187602064145E-3</v>
      </c>
      <c r="AT285" s="879">
        <f>'Input data plant-based products'!S155</f>
        <v>0</v>
      </c>
      <c r="AU285" s="877">
        <f>$AT285*'Input data plant-based products'!Z155</f>
        <v>0</v>
      </c>
      <c r="AV285" s="877">
        <f>$AT285*'Input data plant-based products'!AA155</f>
        <v>0</v>
      </c>
      <c r="AW285" s="877">
        <f>$AT285*'Input data plant-based products'!AB155</f>
        <v>0</v>
      </c>
      <c r="AX285" s="877">
        <f>$AT285*'Input data plant-based products'!AC155</f>
        <v>0</v>
      </c>
      <c r="AY285" s="886">
        <f>$AT285*'Input data plant-based products'!AD155</f>
        <v>0</v>
      </c>
      <c r="BA285" s="879">
        <f>((SUM('Input data plant-based products'!U155:Y155)*Y285)/('Common input data'!$B$192/10^6))/$BB$3</f>
        <v>3.9651125051823592E-11</v>
      </c>
      <c r="BB285" s="877">
        <f>$BA285*'Input data plant-based products'!Z155</f>
        <v>3.9651125051823592E-11</v>
      </c>
      <c r="BC285" s="877">
        <f>$BA285*'Input data plant-based products'!AA155</f>
        <v>3.9651125051823592E-11</v>
      </c>
      <c r="BD285" s="877">
        <f>$BA285*'Input data plant-based products'!AB155</f>
        <v>3.9651125051823592E-11</v>
      </c>
      <c r="BE285" s="877">
        <f>$BA285*'Input data plant-based products'!AC155</f>
        <v>4.6829087598998011E-11</v>
      </c>
      <c r="BF285" s="886">
        <f>$BA285*'Input data plant-based products'!AD155</f>
        <v>5.7813688393824698E-11</v>
      </c>
      <c r="BG285" s="877"/>
      <c r="BH285" s="879">
        <f>'Input data plant-based products'!T155/'Input data plant-based products'!E155</f>
        <v>3.0068020384612626E-3</v>
      </c>
      <c r="BI285" s="877">
        <f>$BH285*'Input data plant-based products'!Z155</f>
        <v>3.0068020384612626E-3</v>
      </c>
      <c r="BJ285" s="877">
        <f>$BH285*'Input data plant-based products'!AA155</f>
        <v>3.0068020384612626E-3</v>
      </c>
      <c r="BK285" s="877">
        <f>$BH285*'Input data plant-based products'!AB155</f>
        <v>3.0068020384612626E-3</v>
      </c>
      <c r="BL285" s="877">
        <f>$BH285*'Input data plant-based products'!AC155</f>
        <v>3.5511172978803652E-3</v>
      </c>
      <c r="BM285" s="886">
        <f>$BH285*'Input data plant-based products'!AD155</f>
        <v>4.384095429481932E-3</v>
      </c>
      <c r="BN285" s="877"/>
      <c r="BO285" s="879">
        <f>('Input data plant-based products'!F155/'Input data plant-based products'!E155*'Common input data'!$B$195+'Input data plant-based products'!G155/'Input data plant-based products'!E155*'Common input data'!$B$196)/'Common input data'!$B$198</f>
        <v>5.1067466266866565E-5</v>
      </c>
      <c r="BP285" s="877">
        <f>$BO285*'Input data plant-based products'!Z155</f>
        <v>5.1067466266866565E-5</v>
      </c>
      <c r="BQ285" s="877">
        <f>$BO285*'Input data plant-based products'!AA155</f>
        <v>5.1067466266866565E-5</v>
      </c>
      <c r="BR285" s="877">
        <f>$BO285*'Input data plant-based products'!AB155</f>
        <v>5.1067466266866565E-5</v>
      </c>
      <c r="BS285" s="877">
        <f>$BO285*'Input data plant-based products'!AC155</f>
        <v>6.0312105851835985E-5</v>
      </c>
      <c r="BT285" s="886">
        <f>$BO285*'Input data plant-based products'!AD155</f>
        <v>7.4459389940538246E-5</v>
      </c>
      <c r="BU285" s="877"/>
      <c r="BV285" s="879">
        <f>('Common input data'!$C$202+'Common input data'!$B$208)*'Input data plant-based products'!AC215</f>
        <v>1.1049382716049381</v>
      </c>
      <c r="BW285" s="886">
        <f>('Common input data'!$C$202+'Common input data'!$B$208)*'Input data plant-based products'!AD215</f>
        <v>1.3641213229690592</v>
      </c>
    </row>
    <row r="286" spans="1:75">
      <c r="A286" s="499"/>
      <c r="B286" s="55"/>
      <c r="C286" s="917"/>
      <c r="E286" s="1294" t="s">
        <v>317</v>
      </c>
      <c r="F286" s="928">
        <f>IF(AND($G$2="No",$G$3="No"),SUM(K286:M286),IF(AND($G$2="Yes", $G$3="No"), SUM(K286:L286)+S286, IF(AND($G$2="No", $G$3="Yes"),SUM(K286:L286)+R286, SUM(K286:L286)+S286+R286)))</f>
        <v>-9.1139048141381296E-2</v>
      </c>
      <c r="G286" s="877">
        <f>IF(AND($G$2="No",$G$3="No"),SUM(I286:Q286),IF(AND($G$2="Yes", $G$3="No"), SUM(I286:Q286)+S286, IF(AND($G$2="No", $G$3="Yes"),SUM(I286:Q286)+R286, SUM(I286:Q286)+S286+R286)))</f>
        <v>7.7496313515168697E-2</v>
      </c>
      <c r="H286" s="878">
        <f>SUM(U286:W286)/(1-'Common input data'!$B$140)</f>
        <v>0.30731150914807104</v>
      </c>
      <c r="M286" s="877">
        <v>0.16863536165654999</v>
      </c>
      <c r="R286" s="877">
        <f>'Common input data'!$F$19</f>
        <v>-9.1139048141381296E-2</v>
      </c>
      <c r="S286" s="877">
        <v>0</v>
      </c>
      <c r="T286" s="877">
        <v>0</v>
      </c>
      <c r="U286" s="877">
        <f>G286+T286</f>
        <v>7.7496313515168697E-2</v>
      </c>
      <c r="V286" s="877">
        <f>'Common input data'!$B$105</f>
        <v>0.05</v>
      </c>
      <c r="W286" s="886">
        <f>'Common input data'!$B$116+'Common input data'!$C$116</f>
        <v>0.13</v>
      </c>
      <c r="Y286" s="879"/>
      <c r="AD286" s="886"/>
      <c r="AF286" s="879"/>
      <c r="AK286" s="886"/>
      <c r="AM286" s="879"/>
      <c r="AR286" s="886"/>
      <c r="AT286" s="879"/>
      <c r="AY286" s="886"/>
      <c r="BA286" s="879"/>
      <c r="BF286" s="886"/>
      <c r="BG286" s="877"/>
      <c r="BH286" s="879"/>
      <c r="BI286" s="877"/>
      <c r="BJ286" s="877"/>
      <c r="BK286" s="877"/>
      <c r="BL286" s="877"/>
      <c r="BM286" s="886"/>
      <c r="BN286" s="877"/>
      <c r="BO286" s="879"/>
      <c r="BP286" s="877"/>
      <c r="BQ286" s="877"/>
      <c r="BR286" s="877"/>
      <c r="BS286" s="877"/>
      <c r="BT286" s="886"/>
      <c r="BU286" s="877"/>
      <c r="BV286" s="879"/>
      <c r="BW286" s="886"/>
    </row>
    <row r="287" spans="1:75">
      <c r="A287" s="499"/>
      <c r="B287" s="55"/>
      <c r="C287" s="595"/>
      <c r="D287" s="50"/>
      <c r="E287" s="1294" t="s">
        <v>367</v>
      </c>
      <c r="F287" s="928">
        <f>SUM(K287:M287)</f>
        <v>4.5399229217232102E-4</v>
      </c>
      <c r="G287" s="877">
        <f>SUM(I287:Q287)</f>
        <v>4.5399229217232102E-4</v>
      </c>
      <c r="H287" s="878">
        <f>SUM(U287:W287)/(1-'Common input data'!$B$140)</f>
        <v>5.4182156841188814E-4</v>
      </c>
      <c r="M287" s="877">
        <v>4.5399229217232102E-4</v>
      </c>
      <c r="R287" s="877">
        <v>0</v>
      </c>
      <c r="S287" s="877">
        <v>0</v>
      </c>
      <c r="T287" s="877">
        <v>0</v>
      </c>
      <c r="U287" s="877">
        <f>G287+T287</f>
        <v>4.5399229217232102E-4</v>
      </c>
      <c r="V287" s="877">
        <v>0</v>
      </c>
      <c r="W287" s="886">
        <v>0</v>
      </c>
      <c r="Y287" s="879"/>
      <c r="AD287" s="886"/>
      <c r="AF287" s="879"/>
      <c r="AK287" s="886"/>
      <c r="AM287" s="879"/>
      <c r="AR287" s="886"/>
      <c r="AT287" s="879"/>
      <c r="AY287" s="886"/>
      <c r="BA287" s="879"/>
      <c r="BF287" s="886"/>
      <c r="BG287" s="877"/>
      <c r="BH287" s="879"/>
      <c r="BI287" s="877"/>
      <c r="BJ287" s="877"/>
      <c r="BK287" s="877"/>
      <c r="BL287" s="877"/>
      <c r="BM287" s="886"/>
      <c r="BN287" s="877"/>
      <c r="BO287" s="879"/>
      <c r="BP287" s="877"/>
      <c r="BQ287" s="877"/>
      <c r="BR287" s="877"/>
      <c r="BS287" s="877"/>
      <c r="BT287" s="886"/>
      <c r="BU287" s="877"/>
      <c r="BV287" s="879"/>
      <c r="BW287" s="886"/>
    </row>
    <row r="288" spans="1:75">
      <c r="A288" s="18"/>
      <c r="B288" s="360"/>
      <c r="C288" s="83"/>
      <c r="D288" s="54"/>
      <c r="E288" s="1295" t="s">
        <v>320</v>
      </c>
      <c r="F288" s="928">
        <f>SUM(K288:M288)</f>
        <v>8.29474206702528E-5</v>
      </c>
      <c r="G288" s="877">
        <f>SUM(I288:Q288)</f>
        <v>8.29474206702528E-5</v>
      </c>
      <c r="H288" s="878">
        <f>SUM(U288:W288)/(1-'Common input data'!$B$140)</f>
        <v>9.8994415407868241E-5</v>
      </c>
      <c r="M288" s="877">
        <v>8.29474206702528E-5</v>
      </c>
      <c r="R288" s="877">
        <v>0</v>
      </c>
      <c r="S288" s="877">
        <v>0</v>
      </c>
      <c r="T288" s="877">
        <v>0</v>
      </c>
      <c r="U288" s="877">
        <f>G288+T288</f>
        <v>8.29474206702528E-5</v>
      </c>
      <c r="V288" s="877">
        <v>0</v>
      </c>
      <c r="W288" s="886">
        <v>0</v>
      </c>
      <c r="Y288" s="879"/>
      <c r="AD288" s="886"/>
      <c r="AF288" s="879"/>
      <c r="AK288" s="886"/>
      <c r="AM288" s="879"/>
      <c r="AR288" s="886"/>
      <c r="AT288" s="879"/>
      <c r="AY288" s="886"/>
      <c r="BA288" s="879"/>
      <c r="BF288" s="886"/>
      <c r="BG288" s="877"/>
      <c r="BH288" s="879"/>
      <c r="BI288" s="877"/>
      <c r="BJ288" s="877"/>
      <c r="BK288" s="877"/>
      <c r="BL288" s="877"/>
      <c r="BM288" s="886"/>
      <c r="BN288" s="877"/>
      <c r="BO288" s="879"/>
      <c r="BP288" s="877"/>
      <c r="BQ288" s="877"/>
      <c r="BR288" s="877"/>
      <c r="BS288" s="877"/>
      <c r="BT288" s="886"/>
      <c r="BU288" s="877"/>
      <c r="BV288" s="879"/>
      <c r="BW288" s="886"/>
    </row>
    <row r="289" spans="1:75">
      <c r="A289" s="20" t="s">
        <v>149</v>
      </c>
      <c r="B289" s="93" t="s">
        <v>121</v>
      </c>
      <c r="C289" s="87">
        <v>0.13291099542118801</v>
      </c>
      <c r="D289" s="54"/>
      <c r="E289" s="1293" t="s">
        <v>316</v>
      </c>
      <c r="F289" s="930">
        <f>SUMPRODUCT($CI$4:$CI$6,F290:F292)</f>
        <v>-5.6236610409749616E-2</v>
      </c>
      <c r="G289" s="872">
        <f>SUMPRODUCT($CI$4:$CI$6,G290:G292)</f>
        <v>0.16239875124680039</v>
      </c>
      <c r="H289" s="873">
        <f>SUMPRODUCT($CI$4:$CI$6,H290:H292)</f>
        <v>0.64058809434854536</v>
      </c>
      <c r="I289" s="884"/>
      <c r="J289" s="884"/>
      <c r="K289" s="884"/>
      <c r="L289" s="884"/>
      <c r="M289" s="884"/>
      <c r="N289" s="884"/>
      <c r="O289" s="884"/>
      <c r="P289" s="884"/>
      <c r="Q289" s="884"/>
      <c r="R289" s="884"/>
      <c r="S289" s="884"/>
      <c r="T289" s="884"/>
      <c r="U289" s="884"/>
      <c r="V289" s="884"/>
      <c r="W289" s="885"/>
      <c r="Y289" s="879">
        <f>1/'Input data plant-based products'!E156*10^4</f>
        <v>0.58028807821354833</v>
      </c>
      <c r="Z289" s="877">
        <f>$Y289*'Input data plant-based products'!Z156</f>
        <v>0.58028807821354833</v>
      </c>
      <c r="AA289" s="877">
        <f>$Y289*'Input data plant-based products'!AA156</f>
        <v>0.58028807821354833</v>
      </c>
      <c r="AB289" s="877">
        <f>$Y289*'Input data plant-based products'!AB156</f>
        <v>0.58028807821354833</v>
      </c>
      <c r="AC289" s="877">
        <f>$Y289*'Input data plant-based products'!AC156</f>
        <v>0.79626774001529754</v>
      </c>
      <c r="AD289" s="886">
        <f>$Y289*'Input data plant-based products'!AD156</f>
        <v>0.98304659261147842</v>
      </c>
      <c r="AF289" s="879">
        <f>SUM('Input data plant-based products'!F156,'Input data plant-based products'!AE156)/'Input data plant-based products'!E156</f>
        <v>2E-3</v>
      </c>
      <c r="AG289" s="877">
        <f>$AF289*'Input data plant-based products'!Z156</f>
        <v>2E-3</v>
      </c>
      <c r="AH289" s="877">
        <f>$AF289*'Input data plant-based products'!AA156</f>
        <v>2E-3</v>
      </c>
      <c r="AI289" s="877">
        <f>$AF289*'Input data plant-based products'!AB156</f>
        <v>2E-3</v>
      </c>
      <c r="AJ289" s="877">
        <f>$AF289*'Input data plant-based products'!AC156</f>
        <v>2.744387727098084E-3</v>
      </c>
      <c r="AK289" s="886">
        <f>$AF289*'Input data plant-based products'!AD156</f>
        <v>3.3881329964173873E-3</v>
      </c>
      <c r="AM289" s="879">
        <f>'Input data plant-based products'!R156/'Input data plant-based products'!E156</f>
        <v>1.33E-3</v>
      </c>
      <c r="AN289" s="877">
        <f>$AM289*'Input data plant-based products'!Z156</f>
        <v>1.33E-3</v>
      </c>
      <c r="AO289" s="877">
        <f>$AM289*'Input data plant-based products'!AA156</f>
        <v>1.33E-3</v>
      </c>
      <c r="AP289" s="877">
        <f>$AM289*'Input data plant-based products'!AB156</f>
        <v>1.33E-3</v>
      </c>
      <c r="AQ289" s="877">
        <f>$AM289*'Input data plant-based products'!AC156</f>
        <v>1.8250178385202259E-3</v>
      </c>
      <c r="AR289" s="886">
        <f>$AM289*'Input data plant-based products'!AD156</f>
        <v>2.2531084426175626E-3</v>
      </c>
      <c r="AT289" s="879">
        <f>'Input data plant-based products'!S156</f>
        <v>0.20963124867163901</v>
      </c>
      <c r="AU289" s="877">
        <f>$AT289*'Input data plant-based products'!Z156</f>
        <v>0.20963124867163901</v>
      </c>
      <c r="AV289" s="877">
        <f>$AT289*'Input data plant-based products'!AA156</f>
        <v>0.20963124867163901</v>
      </c>
      <c r="AW289" s="877">
        <f>$AT289*'Input data plant-based products'!AB156</f>
        <v>0.20963124867163901</v>
      </c>
      <c r="AX289" s="877">
        <f>$AT289*'Input data plant-based products'!AC156</f>
        <v>0.28765471303534634</v>
      </c>
      <c r="AY289" s="886">
        <f>$AT289*'Input data plant-based products'!AD156</f>
        <v>0.35512927535227939</v>
      </c>
      <c r="BA289" s="879">
        <f>((SUM('Input data plant-based products'!U156:Y156)*Y289)/('Common input data'!$B$192/10^6))/$BB$3</f>
        <v>9.9520065091296766E-11</v>
      </c>
      <c r="BB289" s="877">
        <f>$BA289*'Input data plant-based products'!Z156</f>
        <v>9.9520065091296766E-11</v>
      </c>
      <c r="BC289" s="877">
        <f>$BA289*'Input data plant-based products'!AA156</f>
        <v>9.9520065091296766E-11</v>
      </c>
      <c r="BD289" s="877">
        <f>$BA289*'Input data plant-based products'!AB156</f>
        <v>9.9520065091296766E-11</v>
      </c>
      <c r="BE289" s="877">
        <f>$BA289*'Input data plant-based products'!AC156</f>
        <v>1.3656082261827864E-10</v>
      </c>
      <c r="BF289" s="886">
        <f>$BA289*'Input data plant-based products'!AD156</f>
        <v>1.6859360817071436E-10</v>
      </c>
      <c r="BG289" s="877"/>
      <c r="BH289" s="879">
        <f>'Input data plant-based products'!T156/'Input data plant-based products'!E156</f>
        <v>5.0170140464532215E-4</v>
      </c>
      <c r="BI289" s="877">
        <f>$BH289*'Input data plant-based products'!Z156</f>
        <v>5.0170140464532215E-4</v>
      </c>
      <c r="BJ289" s="877">
        <f>$BH289*'Input data plant-based products'!AA156</f>
        <v>5.0170140464532215E-4</v>
      </c>
      <c r="BK289" s="877">
        <f>$BH289*'Input data plant-based products'!AB156</f>
        <v>5.0170140464532215E-4</v>
      </c>
      <c r="BL289" s="877">
        <f>$BH289*'Input data plant-based products'!AC156</f>
        <v>6.884315887882459E-4</v>
      </c>
      <c r="BM289" s="886">
        <f>$BH289*'Input data plant-based products'!AD156</f>
        <v>8.4991554171388374E-4</v>
      </c>
      <c r="BN289" s="877"/>
      <c r="BO289" s="879">
        <f>('Input data plant-based products'!F156/'Input data plant-based products'!E156*'Common input data'!$B$195+'Input data plant-based products'!G156/'Input data plant-based products'!E156*'Common input data'!$B$196)/'Common input data'!$B$198</f>
        <v>5.1067466266866565E-5</v>
      </c>
      <c r="BP289" s="877">
        <f>$BO289*'Input data plant-based products'!Z156</f>
        <v>5.1067466266866565E-5</v>
      </c>
      <c r="BQ289" s="877">
        <f>$BO289*'Input data plant-based products'!AA156</f>
        <v>5.1067466266866565E-5</v>
      </c>
      <c r="BR289" s="877">
        <f>$BO289*'Input data plant-based products'!AB156</f>
        <v>5.1067466266866565E-5</v>
      </c>
      <c r="BS289" s="877">
        <f>$BO289*'Input data plant-based products'!AC156</f>
        <v>7.0074463838392005E-5</v>
      </c>
      <c r="BT289" s="886">
        <f>$BO289*'Input data plant-based products'!AD156</f>
        <v>8.6511683751101229E-5</v>
      </c>
      <c r="BU289" s="877"/>
      <c r="BV289" s="879">
        <f>('Common input data'!$C$202+'Common input data'!$B$209)*'Input data plant-based products'!AC216</f>
        <v>0.92074208244140732</v>
      </c>
      <c r="BW289" s="886">
        <f>('Common input data'!$C$202+'Common input data'!$B$209)*'Input data plant-based products'!AD216</f>
        <v>1.1367186202980335</v>
      </c>
    </row>
    <row r="290" spans="1:75">
      <c r="A290" s="18"/>
      <c r="B290" s="55"/>
      <c r="C290" s="917"/>
      <c r="E290" s="1294" t="s">
        <v>317</v>
      </c>
      <c r="F290" s="928">
        <f>IF(AND($G$2="No",$G$3="No"),SUM(K290:M290),IF(AND($G$2="Yes", $G$3="No"), SUM(K290:L290)+S290, IF(AND($G$2="No", $G$3="Yes"),SUM(K290:L290)+R290, SUM(K290:L290)+S290+R290)))</f>
        <v>-9.1139048141381296E-2</v>
      </c>
      <c r="G290" s="877">
        <f>IF(AND($G$2="No",$G$3="No"),SUM(I290:Q290),IF(AND($G$2="Yes", $G$3="No"), SUM(I290:Q290)+S290, IF(AND($G$2="No", $G$3="Yes"),SUM(I290:Q290)+R290, SUM(I290:Q290)+S290+R290)))</f>
        <v>0.12749631351516871</v>
      </c>
      <c r="H290" s="878">
        <f>SUM(U290:W290)/(1-'Common input data'!$C$140)</f>
        <v>0.59936733928000829</v>
      </c>
      <c r="M290" s="877">
        <v>0.16863536165654999</v>
      </c>
      <c r="P290" s="877">
        <f>'Input data plant-based products'!$F$309</f>
        <v>0.05</v>
      </c>
      <c r="R290" s="877">
        <f>'Common input data'!$F$19</f>
        <v>-9.1139048141381296E-2</v>
      </c>
      <c r="S290" s="877">
        <v>0</v>
      </c>
      <c r="T290" s="877">
        <v>0</v>
      </c>
      <c r="U290" s="877">
        <f>G290+T290</f>
        <v>0.12749631351516871</v>
      </c>
      <c r="V290" s="877">
        <f>'Common input data'!$B$105</f>
        <v>0.05</v>
      </c>
      <c r="W290" s="886">
        <f>'Common input data'!$B$123+'Common input data'!$C$123</f>
        <v>0.32999999999999996</v>
      </c>
      <c r="Y290" s="879"/>
      <c r="AD290" s="886"/>
      <c r="AF290" s="879"/>
      <c r="AK290" s="886"/>
      <c r="AM290" s="879"/>
      <c r="AR290" s="886"/>
      <c r="AT290" s="879"/>
      <c r="AY290" s="886"/>
      <c r="BA290" s="879"/>
      <c r="BF290" s="886"/>
      <c r="BG290" s="877"/>
      <c r="BH290" s="879"/>
      <c r="BI290" s="877"/>
      <c r="BJ290" s="877"/>
      <c r="BK290" s="877"/>
      <c r="BL290" s="877"/>
      <c r="BM290" s="886"/>
      <c r="BN290" s="877"/>
      <c r="BO290" s="879"/>
      <c r="BP290" s="877"/>
      <c r="BQ290" s="877"/>
      <c r="BR290" s="877"/>
      <c r="BS290" s="877"/>
      <c r="BT290" s="886"/>
      <c r="BU290" s="877"/>
      <c r="BV290" s="879"/>
      <c r="BW290" s="886"/>
    </row>
    <row r="291" spans="1:75">
      <c r="A291" s="18"/>
      <c r="B291" s="55"/>
      <c r="C291" s="595"/>
      <c r="D291" s="50"/>
      <c r="E291" s="1294" t="s">
        <v>367</v>
      </c>
      <c r="F291" s="928">
        <f>SUM(K291:M291)</f>
        <v>4.5399229217232102E-4</v>
      </c>
      <c r="G291" s="877">
        <f>SUM(I291:Q291)</f>
        <v>4.5399229217232102E-4</v>
      </c>
      <c r="H291" s="878">
        <f>SUM(U291:W291)/(1-'Common input data'!$C$140)</f>
        <v>5.3617759374093086E-4</v>
      </c>
      <c r="M291" s="877">
        <v>4.5399229217232102E-4</v>
      </c>
      <c r="R291" s="877">
        <v>0</v>
      </c>
      <c r="S291" s="877">
        <v>0</v>
      </c>
      <c r="T291" s="877">
        <v>0</v>
      </c>
      <c r="U291" s="877">
        <f>G291+T291</f>
        <v>4.5399229217232102E-4</v>
      </c>
      <c r="V291" s="877">
        <v>0</v>
      </c>
      <c r="W291" s="886">
        <v>0</v>
      </c>
      <c r="Y291" s="879"/>
      <c r="AD291" s="886"/>
      <c r="AF291" s="879"/>
      <c r="AK291" s="886"/>
      <c r="AM291" s="879"/>
      <c r="AR291" s="886"/>
      <c r="AT291" s="879"/>
      <c r="AY291" s="886"/>
      <c r="BA291" s="879"/>
      <c r="BF291" s="886"/>
      <c r="BG291" s="877"/>
      <c r="BH291" s="879"/>
      <c r="BI291" s="877"/>
      <c r="BJ291" s="877"/>
      <c r="BK291" s="877"/>
      <c r="BL291" s="877"/>
      <c r="BM291" s="886"/>
      <c r="BN291" s="877"/>
      <c r="BO291" s="879"/>
      <c r="BP291" s="877"/>
      <c r="BQ291" s="877"/>
      <c r="BR291" s="877"/>
      <c r="BS291" s="877"/>
      <c r="BT291" s="886"/>
      <c r="BU291" s="877"/>
      <c r="BV291" s="879"/>
      <c r="BW291" s="886"/>
    </row>
    <row r="292" spans="1:75">
      <c r="A292" s="18"/>
      <c r="B292" s="360"/>
      <c r="C292" s="83"/>
      <c r="D292" s="54"/>
      <c r="E292" s="1295" t="s">
        <v>320</v>
      </c>
      <c r="F292" s="928">
        <f>SUM(K292:M292)</f>
        <v>8.29474206702528E-5</v>
      </c>
      <c r="G292" s="877">
        <f>SUM(I292:Q292)</f>
        <v>8.29474206702528E-5</v>
      </c>
      <c r="H292" s="878">
        <f>SUM(U292:W292)/(1-'Common input data'!$C$140)</f>
        <v>9.796322358070294E-5</v>
      </c>
      <c r="M292" s="877">
        <v>8.29474206702528E-5</v>
      </c>
      <c r="R292" s="877">
        <v>0</v>
      </c>
      <c r="S292" s="877">
        <v>0</v>
      </c>
      <c r="T292" s="877">
        <v>0</v>
      </c>
      <c r="U292" s="877">
        <f>G292+T292</f>
        <v>8.29474206702528E-5</v>
      </c>
      <c r="V292" s="877">
        <v>0</v>
      </c>
      <c r="W292" s="886">
        <v>0</v>
      </c>
      <c r="Y292" s="879"/>
      <c r="AD292" s="886"/>
      <c r="AF292" s="879"/>
      <c r="AK292" s="886"/>
      <c r="AM292" s="879"/>
      <c r="AR292" s="886"/>
      <c r="AT292" s="879"/>
      <c r="AY292" s="886"/>
      <c r="BA292" s="879"/>
      <c r="BF292" s="886"/>
      <c r="BG292" s="877"/>
      <c r="BH292" s="879"/>
      <c r="BI292" s="877"/>
      <c r="BJ292" s="877"/>
      <c r="BK292" s="877"/>
      <c r="BL292" s="877"/>
      <c r="BM292" s="886"/>
      <c r="BN292" s="877"/>
      <c r="BO292" s="879"/>
      <c r="BP292" s="877"/>
      <c r="BQ292" s="877"/>
      <c r="BR292" s="877"/>
      <c r="BS292" s="877"/>
      <c r="BT292" s="886"/>
      <c r="BU292" s="877"/>
      <c r="BV292" s="879"/>
      <c r="BW292" s="886"/>
    </row>
    <row r="293" spans="1:75">
      <c r="A293" s="20" t="s">
        <v>134</v>
      </c>
      <c r="B293" s="93" t="s">
        <v>121</v>
      </c>
      <c r="C293" s="87">
        <v>0.57359969892742901</v>
      </c>
      <c r="D293" s="54"/>
      <c r="E293" s="1293" t="s">
        <v>316</v>
      </c>
      <c r="F293" s="930">
        <f>SUMPRODUCT($CI$4:$CI$6,F294:F296)</f>
        <v>-5.6236610409749616E-2</v>
      </c>
      <c r="G293" s="872">
        <f>SUMPRODUCT($CI$4:$CI$6,G294:G296)</f>
        <v>0.16239875124680039</v>
      </c>
      <c r="H293" s="873">
        <f>SUMPRODUCT($CI$4:$CI$6,H294:H296)</f>
        <v>0.88149562441242713</v>
      </c>
      <c r="I293" s="884"/>
      <c r="J293" s="884"/>
      <c r="K293" s="884"/>
      <c r="L293" s="884"/>
      <c r="M293" s="884"/>
      <c r="N293" s="884"/>
      <c r="O293" s="884"/>
      <c r="P293" s="884"/>
      <c r="Q293" s="884"/>
      <c r="R293" s="884"/>
      <c r="S293" s="884"/>
      <c r="T293" s="884"/>
      <c r="U293" s="884"/>
      <c r="V293" s="884"/>
      <c r="W293" s="885"/>
      <c r="Y293" s="879">
        <f>1/'Input data plant-based products'!E157*10^4</f>
        <v>0.9376394738717384</v>
      </c>
      <c r="Z293" s="877">
        <f>$Y293*'Input data plant-based products'!Z157</f>
        <v>0.9376394738717384</v>
      </c>
      <c r="AA293" s="877">
        <f>$Y293*'Input data plant-based products'!AA157</f>
        <v>0.9376394738717384</v>
      </c>
      <c r="AB293" s="877">
        <f>$Y293*'Input data plant-based products'!AB157</f>
        <v>0.9376394738717384</v>
      </c>
      <c r="AC293" s="877">
        <f>$Y293*'Input data plant-based products'!AC157</f>
        <v>1.2866231322681518</v>
      </c>
      <c r="AD293" s="886">
        <f>$Y293*'Input data plant-based products'!AD157</f>
        <v>1.5884236200841377</v>
      </c>
      <c r="AF293" s="879">
        <f>SUM('Input data plant-based products'!F157,'Input data plant-based products'!AE157)/'Input data plant-based products'!E157</f>
        <v>2E-3</v>
      </c>
      <c r="AG293" s="877">
        <f>$AF293*'Input data plant-based products'!Z157</f>
        <v>2E-3</v>
      </c>
      <c r="AH293" s="877">
        <f>$AF293*'Input data plant-based products'!AA157</f>
        <v>2E-3</v>
      </c>
      <c r="AI293" s="877">
        <f>$AF293*'Input data plant-based products'!AB157</f>
        <v>2E-3</v>
      </c>
      <c r="AJ293" s="877">
        <f>$AF293*'Input data plant-based products'!AC157</f>
        <v>2.744387727098084E-3</v>
      </c>
      <c r="AK293" s="886">
        <f>$AF293*'Input data plant-based products'!AD157</f>
        <v>3.3881329964173873E-3</v>
      </c>
      <c r="AM293" s="879">
        <f>'Input data plant-based products'!R157/'Input data plant-based products'!E157</f>
        <v>1.33E-3</v>
      </c>
      <c r="AN293" s="877">
        <f>$AM293*'Input data plant-based products'!Z157</f>
        <v>1.33E-3</v>
      </c>
      <c r="AO293" s="877">
        <f>$AM293*'Input data plant-based products'!AA157</f>
        <v>1.33E-3</v>
      </c>
      <c r="AP293" s="877">
        <f>$AM293*'Input data plant-based products'!AB157</f>
        <v>1.33E-3</v>
      </c>
      <c r="AQ293" s="877">
        <f>$AM293*'Input data plant-based products'!AC157</f>
        <v>1.8250178385202259E-3</v>
      </c>
      <c r="AR293" s="886">
        <f>$AM293*'Input data plant-based products'!AD157</f>
        <v>2.2531084426175626E-3</v>
      </c>
      <c r="AT293" s="879">
        <f>'Input data plant-based products'!S157</f>
        <v>9.6624490873843796E-2</v>
      </c>
      <c r="AU293" s="877">
        <f>$AT293*'Input data plant-based products'!Z157</f>
        <v>9.6624490873843796E-2</v>
      </c>
      <c r="AV293" s="877">
        <f>$AT293*'Input data plant-based products'!AA157</f>
        <v>9.6624490873843796E-2</v>
      </c>
      <c r="AW293" s="877">
        <f>$AT293*'Input data plant-based products'!AB157</f>
        <v>9.6624490873843796E-2</v>
      </c>
      <c r="AX293" s="877">
        <f>$AT293*'Input data plant-based products'!AC157</f>
        <v>0.13258753344563887</v>
      </c>
      <c r="AY293" s="886">
        <f>$AT293*'Input data plant-based products'!AD157</f>
        <v>0.16368831289585045</v>
      </c>
      <c r="BA293" s="879">
        <f>((SUM('Input data plant-based products'!U157:Y157)*Y293)/('Common input data'!$B$192/10^6))/$BB$3</f>
        <v>3.7927986919359568E-10</v>
      </c>
      <c r="BB293" s="877">
        <f>$BA293*'Input data plant-based products'!Z157</f>
        <v>3.7927986919359568E-10</v>
      </c>
      <c r="BC293" s="877">
        <f>$BA293*'Input data plant-based products'!AA157</f>
        <v>3.7927986919359568E-10</v>
      </c>
      <c r="BD293" s="877">
        <f>$BA293*'Input data plant-based products'!AB157</f>
        <v>3.7927986919359568E-10</v>
      </c>
      <c r="BE293" s="877">
        <f>$BA293*'Input data plant-based products'!AC157</f>
        <v>5.2044550907513531E-10</v>
      </c>
      <c r="BF293" s="886">
        <f>$BA293*'Input data plant-based products'!AD157</f>
        <v>6.4252531984584599E-10</v>
      </c>
      <c r="BG293" s="877"/>
      <c r="BH293" s="879">
        <f>'Input data plant-based products'!T157/'Input data plant-based products'!E157</f>
        <v>4.8922464716626612E-4</v>
      </c>
      <c r="BI293" s="877">
        <f>$BH293*'Input data plant-based products'!Z157</f>
        <v>4.8922464716626612E-4</v>
      </c>
      <c r="BJ293" s="877">
        <f>$BH293*'Input data plant-based products'!AA157</f>
        <v>4.8922464716626612E-4</v>
      </c>
      <c r="BK293" s="877">
        <f>$BH293*'Input data plant-based products'!AB157</f>
        <v>4.8922464716626612E-4</v>
      </c>
      <c r="BL293" s="877">
        <f>$BH293*'Input data plant-based products'!AC157</f>
        <v>6.7131105873849558E-4</v>
      </c>
      <c r="BM293" s="886">
        <f>$BH293*'Input data plant-based products'!AD157</f>
        <v>8.2877908486234022E-4</v>
      </c>
      <c r="BN293" s="877"/>
      <c r="BO293" s="879">
        <f>('Input data plant-based products'!F157/'Input data plant-based products'!E157*'Common input data'!$B$195+'Input data plant-based products'!G157/'Input data plant-based products'!E157*'Common input data'!$B$196)/'Common input data'!$B$198</f>
        <v>5.1067466266866565E-5</v>
      </c>
      <c r="BP293" s="877">
        <f>$BO293*'Input data plant-based products'!Z157</f>
        <v>5.1067466266866565E-5</v>
      </c>
      <c r="BQ293" s="877">
        <f>$BO293*'Input data plant-based products'!AA157</f>
        <v>5.1067466266866565E-5</v>
      </c>
      <c r="BR293" s="877">
        <f>$BO293*'Input data plant-based products'!AB157</f>
        <v>5.1067466266866565E-5</v>
      </c>
      <c r="BS293" s="877">
        <f>$BO293*'Input data plant-based products'!AC157</f>
        <v>7.0074463838392005E-5</v>
      </c>
      <c r="BT293" s="886">
        <f>$BO293*'Input data plant-based products'!AD157</f>
        <v>8.6511683751101229E-5</v>
      </c>
      <c r="BU293" s="877"/>
      <c r="BV293" s="879">
        <f>('Common input data'!$C$202+'Common input data'!$B$214)*'Input data plant-based products'!AC217</f>
        <v>0</v>
      </c>
      <c r="BW293" s="886">
        <f>('Common input data'!$C$202+'Common input data'!$B$214)*'Input data plant-based products'!AD217</f>
        <v>0</v>
      </c>
    </row>
    <row r="294" spans="1:75">
      <c r="A294" s="68"/>
      <c r="B294" s="55"/>
      <c r="C294" s="917"/>
      <c r="E294" s="1294" t="s">
        <v>317</v>
      </c>
      <c r="F294" s="928">
        <f>IF(AND($G$2="No",$G$3="No"),SUM(K294:M294),IF(AND($G$2="Yes", $G$3="No"), SUM(K294:L294)+S294, IF(AND($G$2="No", $G$3="Yes"),SUM(K294:L294)+R294, SUM(K294:L294)+S294+R294)))</f>
        <v>-9.1139048141381296E-2</v>
      </c>
      <c r="G294" s="877">
        <f>IF(AND($G$2="No",$G$3="No"),SUM(I294:Q294),IF(AND($G$2="Yes", $G$3="No"), SUM(I294:Q294)+S294, IF(AND($G$2="No", $G$3="Yes"),SUM(I294:Q294)+R294, SUM(I294:Q294)+S294+R294)))</f>
        <v>0.12749631351516871</v>
      </c>
      <c r="H294" s="878">
        <f>SUM(U294:W294)/(1-'Common input data'!$I$140)</f>
        <v>0.83360271353417958</v>
      </c>
      <c r="M294" s="877">
        <v>0.16863536165654999</v>
      </c>
      <c r="P294" s="877">
        <f>'Input data plant-based products'!$F$309</f>
        <v>0.05</v>
      </c>
      <c r="R294" s="877">
        <f>'Common input data'!$F$19</f>
        <v>-9.1139048141381296E-2</v>
      </c>
      <c r="S294" s="877">
        <v>0</v>
      </c>
      <c r="T294" s="877">
        <v>0</v>
      </c>
      <c r="U294" s="877">
        <f>G294+T294</f>
        <v>0.12749631351516871</v>
      </c>
      <c r="V294" s="877">
        <f>'Common input data'!$B$105</f>
        <v>0.05</v>
      </c>
      <c r="W294" s="886">
        <f>'Common input data'!$B$128+'Common input data'!$C$128</f>
        <v>0.43000000000000005</v>
      </c>
      <c r="Y294" s="879"/>
      <c r="AD294" s="886"/>
      <c r="AF294" s="879"/>
      <c r="AK294" s="886"/>
      <c r="AM294" s="879"/>
      <c r="AR294" s="886"/>
      <c r="AT294" s="879"/>
      <c r="AY294" s="886"/>
      <c r="BA294" s="879"/>
      <c r="BF294" s="886"/>
      <c r="BG294" s="877"/>
      <c r="BH294" s="879"/>
      <c r="BI294" s="877"/>
      <c r="BJ294" s="877"/>
      <c r="BK294" s="877"/>
      <c r="BL294" s="877"/>
      <c r="BM294" s="886"/>
      <c r="BN294" s="877"/>
      <c r="BO294" s="879"/>
      <c r="BP294" s="877"/>
      <c r="BQ294" s="877"/>
      <c r="BR294" s="877"/>
      <c r="BS294" s="877"/>
      <c r="BT294" s="886"/>
      <c r="BU294" s="877"/>
      <c r="BV294" s="879"/>
      <c r="BW294" s="886"/>
    </row>
    <row r="295" spans="1:75">
      <c r="A295" s="18"/>
      <c r="B295" s="55"/>
      <c r="C295" s="595"/>
      <c r="D295" s="50"/>
      <c r="E295" s="1294" t="s">
        <v>367</v>
      </c>
      <c r="F295" s="928">
        <f>SUM(K295:M295)</f>
        <v>4.5399229217232102E-4</v>
      </c>
      <c r="G295" s="877">
        <f>SUM(I295:Q295)</f>
        <v>4.5399229217232102E-4</v>
      </c>
      <c r="H295" s="878">
        <f>SUM(U295:W295)/(1-'Common input data'!$I$140)</f>
        <v>6.2296543741742266E-4</v>
      </c>
      <c r="M295" s="877">
        <v>4.5399229217232102E-4</v>
      </c>
      <c r="R295" s="877">
        <v>0</v>
      </c>
      <c r="S295" s="877">
        <v>0</v>
      </c>
      <c r="T295" s="877">
        <v>0</v>
      </c>
      <c r="U295" s="877">
        <f>G295+T295</f>
        <v>4.5399229217232102E-4</v>
      </c>
      <c r="V295" s="877">
        <v>0</v>
      </c>
      <c r="W295" s="886">
        <v>0</v>
      </c>
      <c r="Y295" s="879"/>
      <c r="AD295" s="886"/>
      <c r="AF295" s="879"/>
      <c r="AK295" s="886"/>
      <c r="AM295" s="879"/>
      <c r="AR295" s="886"/>
      <c r="AT295" s="879"/>
      <c r="AY295" s="886"/>
      <c r="BA295" s="879"/>
      <c r="BF295" s="886"/>
      <c r="BG295" s="877"/>
      <c r="BH295" s="879"/>
      <c r="BI295" s="877"/>
      <c r="BJ295" s="877"/>
      <c r="BK295" s="877"/>
      <c r="BL295" s="877"/>
      <c r="BM295" s="886"/>
      <c r="BN295" s="877"/>
      <c r="BO295" s="879"/>
      <c r="BP295" s="877"/>
      <c r="BQ295" s="877"/>
      <c r="BR295" s="877"/>
      <c r="BS295" s="877"/>
      <c r="BT295" s="886"/>
      <c r="BU295" s="877"/>
      <c r="BV295" s="879"/>
      <c r="BW295" s="886"/>
    </row>
    <row r="296" spans="1:75">
      <c r="A296" s="359"/>
      <c r="B296" s="360"/>
      <c r="C296" s="83"/>
      <c r="D296" s="54"/>
      <c r="E296" s="1295" t="s">
        <v>320</v>
      </c>
      <c r="F296" s="928">
        <f>SUM(K296:M296)</f>
        <v>8.29474206702528E-5</v>
      </c>
      <c r="G296" s="877">
        <f>SUM(I296:Q296)</f>
        <v>8.29474206702528E-5</v>
      </c>
      <c r="H296" s="878">
        <f>SUM(U296:W296)/(1-'Common input data'!$I$140)</f>
        <v>1.1381994164094186E-4</v>
      </c>
      <c r="M296" s="877">
        <v>8.29474206702528E-5</v>
      </c>
      <c r="R296" s="877">
        <v>0</v>
      </c>
      <c r="S296" s="877">
        <v>0</v>
      </c>
      <c r="T296" s="877">
        <v>0</v>
      </c>
      <c r="U296" s="877">
        <f>G296+T296</f>
        <v>8.29474206702528E-5</v>
      </c>
      <c r="V296" s="877">
        <v>0</v>
      </c>
      <c r="W296" s="886">
        <v>0</v>
      </c>
      <c r="Y296" s="879"/>
      <c r="AD296" s="886"/>
      <c r="AF296" s="879"/>
      <c r="AK296" s="886"/>
      <c r="AM296" s="879"/>
      <c r="AR296" s="886"/>
      <c r="AT296" s="879"/>
      <c r="AY296" s="886"/>
      <c r="BA296" s="879"/>
      <c r="BF296" s="886"/>
      <c r="BG296" s="877"/>
      <c r="BH296" s="879"/>
      <c r="BI296" s="877"/>
      <c r="BJ296" s="877"/>
      <c r="BK296" s="877"/>
      <c r="BL296" s="877"/>
      <c r="BM296" s="886"/>
      <c r="BN296" s="877"/>
      <c r="BO296" s="879"/>
      <c r="BP296" s="877"/>
      <c r="BQ296" s="877"/>
      <c r="BR296" s="877"/>
      <c r="BS296" s="877"/>
      <c r="BT296" s="886"/>
      <c r="BU296" s="877"/>
      <c r="BV296" s="879"/>
      <c r="BW296" s="886"/>
    </row>
    <row r="297" spans="1:75">
      <c r="A297" s="1197" t="s">
        <v>533</v>
      </c>
      <c r="B297" s="363"/>
      <c r="C297" s="770"/>
      <c r="D297" s="54"/>
      <c r="E297" s="1296"/>
      <c r="F297" s="969" t="s">
        <v>534</v>
      </c>
      <c r="G297" s="892" t="s">
        <v>534</v>
      </c>
      <c r="H297" s="892" t="s">
        <v>534</v>
      </c>
      <c r="I297" s="1289"/>
      <c r="J297" s="889"/>
      <c r="K297" s="889"/>
      <c r="L297" s="889"/>
      <c r="M297" s="889"/>
      <c r="N297" s="889"/>
      <c r="O297" s="1305"/>
      <c r="P297" s="889"/>
      <c r="Q297" s="889"/>
      <c r="R297" s="889"/>
      <c r="S297" s="889"/>
      <c r="T297" s="889"/>
      <c r="U297" s="889"/>
      <c r="V297" s="889"/>
      <c r="W297" s="960"/>
      <c r="Y297" s="879"/>
      <c r="AD297" s="886"/>
      <c r="AF297" s="879"/>
      <c r="AK297" s="886"/>
      <c r="AM297" s="879"/>
      <c r="AR297" s="886"/>
      <c r="AT297" s="879"/>
      <c r="AY297" s="886"/>
      <c r="BA297" s="879"/>
      <c r="BF297" s="886"/>
      <c r="BG297" s="877"/>
      <c r="BH297" s="879"/>
      <c r="BI297" s="877"/>
      <c r="BJ297" s="877"/>
      <c r="BK297" s="877"/>
      <c r="BL297" s="877"/>
      <c r="BM297" s="886"/>
      <c r="BN297" s="877"/>
      <c r="BO297" s="879"/>
      <c r="BP297" s="877"/>
      <c r="BQ297" s="877"/>
      <c r="BR297" s="877"/>
      <c r="BS297" s="877"/>
      <c r="BT297" s="886"/>
      <c r="BU297" s="877"/>
      <c r="BV297" s="879"/>
      <c r="BW297" s="886"/>
    </row>
    <row r="298" spans="1:75">
      <c r="A298" s="20" t="s">
        <v>120</v>
      </c>
      <c r="B298" s="93" t="s">
        <v>121</v>
      </c>
      <c r="C298" s="903">
        <f>SUM(C302:C309)</f>
        <v>1</v>
      </c>
      <c r="D298" s="50"/>
      <c r="E298" s="1293" t="s">
        <v>316</v>
      </c>
      <c r="F298" s="926">
        <f>SUMPRODUCT($CI$4:$CI$6,F299:F301)</f>
        <v>-2.5364900346652686</v>
      </c>
      <c r="G298" s="874">
        <f>SUMPRODUCT($CI$4:$CI$6,G299:G301)</f>
        <v>0</v>
      </c>
      <c r="H298" s="927">
        <f>SUMPRODUCT($CI$4:$CI$6,H299:H301)</f>
        <v>0</v>
      </c>
      <c r="I298" s="872"/>
      <c r="J298" s="884"/>
      <c r="K298" s="884"/>
      <c r="L298" s="884"/>
      <c r="M298" s="884"/>
      <c r="N298" s="884"/>
      <c r="O298" s="884"/>
      <c r="P298" s="884"/>
      <c r="Q298" s="884"/>
      <c r="R298" s="884"/>
      <c r="S298" s="884"/>
      <c r="T298" s="884"/>
      <c r="U298" s="884"/>
      <c r="V298" s="884"/>
      <c r="W298" s="885"/>
      <c r="Y298" s="883">
        <f>Y302*$C$302+Y306*$C$306</f>
        <v>1.3411526506591025</v>
      </c>
      <c r="Z298" s="884">
        <f t="shared" ref="Z298:BW298" si="56">Z302*$C$302+Z306*$C$306</f>
        <v>1.3411526506591025</v>
      </c>
      <c r="AA298" s="884">
        <f t="shared" si="56"/>
        <v>1.3411526506591025</v>
      </c>
      <c r="AB298" s="884">
        <f t="shared" si="56"/>
        <v>1.3411526506591025</v>
      </c>
      <c r="AC298" s="884">
        <f t="shared" si="56"/>
        <v>1.8485386203360841</v>
      </c>
      <c r="AD298" s="885">
        <f t="shared" si="56"/>
        <v>2.2821464448593627</v>
      </c>
      <c r="AF298" s="883">
        <f t="shared" si="56"/>
        <v>1.072922120527282E-2</v>
      </c>
      <c r="AG298" s="884">
        <f t="shared" si="56"/>
        <v>1.072922120527282E-2</v>
      </c>
      <c r="AH298" s="884">
        <f t="shared" si="56"/>
        <v>1.072922120527282E-2</v>
      </c>
      <c r="AI298" s="884">
        <f t="shared" si="56"/>
        <v>1.072922120527282E-2</v>
      </c>
      <c r="AJ298" s="884">
        <f t="shared" si="56"/>
        <v>1.4788308962688674E-2</v>
      </c>
      <c r="AK298" s="885">
        <f t="shared" si="56"/>
        <v>1.82571715588749E-2</v>
      </c>
      <c r="AM298" s="883">
        <f t="shared" si="56"/>
        <v>1.072922120527282E-2</v>
      </c>
      <c r="AN298" s="884">
        <f t="shared" si="56"/>
        <v>1.072922120527282E-2</v>
      </c>
      <c r="AO298" s="884">
        <f t="shared" si="56"/>
        <v>1.072922120527282E-2</v>
      </c>
      <c r="AP298" s="884">
        <f t="shared" si="56"/>
        <v>1.072922120527282E-2</v>
      </c>
      <c r="AQ298" s="884">
        <f t="shared" si="56"/>
        <v>1.4788308962688674E-2</v>
      </c>
      <c r="AR298" s="885">
        <f t="shared" si="56"/>
        <v>1.82571715588749E-2</v>
      </c>
      <c r="AT298" s="883">
        <f t="shared" si="56"/>
        <v>2.550982361497783E-2</v>
      </c>
      <c r="AU298" s="884">
        <f t="shared" si="56"/>
        <v>2.550982361497783E-2</v>
      </c>
      <c r="AV298" s="884">
        <f t="shared" si="56"/>
        <v>2.550982361497783E-2</v>
      </c>
      <c r="AW298" s="884">
        <f t="shared" si="56"/>
        <v>2.550982361497783E-2</v>
      </c>
      <c r="AX298" s="884">
        <f t="shared" si="56"/>
        <v>3.5218573013410942E-2</v>
      </c>
      <c r="AY298" s="885">
        <f t="shared" si="56"/>
        <v>4.3479719769643127E-2</v>
      </c>
      <c r="BA298" s="883">
        <f t="shared" si="56"/>
        <v>2.1107802720408922E-8</v>
      </c>
      <c r="BB298" s="884">
        <f t="shared" si="56"/>
        <v>2.1107802720408922E-8</v>
      </c>
      <c r="BC298" s="884">
        <f t="shared" si="56"/>
        <v>2.1107802720408922E-8</v>
      </c>
      <c r="BD298" s="884">
        <f t="shared" si="56"/>
        <v>2.1107802720408922E-8</v>
      </c>
      <c r="BE298" s="884">
        <f t="shared" si="56"/>
        <v>2.9093323940369855E-8</v>
      </c>
      <c r="BF298" s="885">
        <f t="shared" si="56"/>
        <v>3.5917683876999814E-8</v>
      </c>
      <c r="BG298" s="877"/>
      <c r="BH298" s="883">
        <f t="shared" si="56"/>
        <v>0</v>
      </c>
      <c r="BI298" s="884">
        <f t="shared" si="56"/>
        <v>0</v>
      </c>
      <c r="BJ298" s="884">
        <f t="shared" si="56"/>
        <v>0</v>
      </c>
      <c r="BK298" s="884">
        <f t="shared" si="56"/>
        <v>0</v>
      </c>
      <c r="BL298" s="884">
        <f t="shared" si="56"/>
        <v>0</v>
      </c>
      <c r="BM298" s="885">
        <f t="shared" si="56"/>
        <v>0</v>
      </c>
      <c r="BN298" s="877"/>
      <c r="BO298" s="883">
        <f t="shared" si="56"/>
        <v>2.7395707098500961E-4</v>
      </c>
      <c r="BP298" s="884">
        <f t="shared" si="56"/>
        <v>2.7395707098500961E-4</v>
      </c>
      <c r="BQ298" s="884">
        <f t="shared" si="56"/>
        <v>2.7395707098500961E-4</v>
      </c>
      <c r="BR298" s="884">
        <f t="shared" si="56"/>
        <v>2.7395707098500961E-4</v>
      </c>
      <c r="BS298" s="884">
        <f t="shared" si="56"/>
        <v>3.7760073454805223E-4</v>
      </c>
      <c r="BT298" s="885">
        <f t="shared" si="56"/>
        <v>4.6617374635561995E-4</v>
      </c>
      <c r="BU298" s="877"/>
      <c r="BV298" s="883">
        <f t="shared" si="56"/>
        <v>0.78615586585511388</v>
      </c>
      <c r="BW298" s="885">
        <f t="shared" si="56"/>
        <v>0.97056279735199236</v>
      </c>
    </row>
    <row r="299" spans="1:75">
      <c r="A299" s="499"/>
      <c r="B299" s="55"/>
      <c r="C299" s="917"/>
      <c r="E299" s="1294" t="s">
        <v>317</v>
      </c>
      <c r="F299" s="928">
        <f>F303*$C$281+F307*$C$285+$C$289*F311+$C$293*F315</f>
        <v>-0.12470334779240644</v>
      </c>
      <c r="G299" s="877">
        <f>G303*$C$302+G307*$C$306</f>
        <v>0</v>
      </c>
      <c r="H299" s="878">
        <f t="shared" ref="H299:W301" si="57">H303*$C$302+H307*$C$306</f>
        <v>0</v>
      </c>
      <c r="I299" s="877">
        <f t="shared" si="57"/>
        <v>0</v>
      </c>
      <c r="J299" s="877">
        <f t="shared" si="57"/>
        <v>0</v>
      </c>
      <c r="K299" s="877">
        <f t="shared" si="57"/>
        <v>0</v>
      </c>
      <c r="L299" s="877">
        <f t="shared" si="57"/>
        <v>0</v>
      </c>
      <c r="M299" s="877">
        <f t="shared" si="57"/>
        <v>0</v>
      </c>
      <c r="N299" s="877">
        <f t="shared" si="57"/>
        <v>0</v>
      </c>
      <c r="O299" s="877">
        <f t="shared" si="57"/>
        <v>0</v>
      </c>
      <c r="P299" s="877">
        <f t="shared" si="57"/>
        <v>0</v>
      </c>
      <c r="Q299" s="877">
        <f t="shared" si="57"/>
        <v>0</v>
      </c>
      <c r="R299" s="877">
        <f t="shared" si="57"/>
        <v>0</v>
      </c>
      <c r="S299" s="877">
        <f t="shared" si="57"/>
        <v>0</v>
      </c>
      <c r="T299" s="877">
        <f t="shared" si="57"/>
        <v>0</v>
      </c>
      <c r="U299" s="877">
        <f t="shared" si="57"/>
        <v>0</v>
      </c>
      <c r="V299" s="877">
        <f t="shared" si="57"/>
        <v>0</v>
      </c>
      <c r="W299" s="886">
        <f t="shared" si="57"/>
        <v>0</v>
      </c>
      <c r="Y299" s="879"/>
      <c r="AD299" s="886"/>
      <c r="AF299" s="879"/>
      <c r="AK299" s="886"/>
      <c r="AM299" s="879"/>
      <c r="AR299" s="886"/>
      <c r="AT299" s="879"/>
      <c r="AY299" s="886"/>
      <c r="BA299" s="879"/>
      <c r="BF299" s="886"/>
      <c r="BG299" s="877"/>
      <c r="BH299" s="879"/>
      <c r="BI299" s="877"/>
      <c r="BJ299" s="877"/>
      <c r="BK299" s="877"/>
      <c r="BL299" s="877"/>
      <c r="BM299" s="886"/>
      <c r="BN299" s="877"/>
      <c r="BO299" s="879"/>
      <c r="BP299" s="877"/>
      <c r="BQ299" s="877"/>
      <c r="BR299" s="877"/>
      <c r="BS299" s="877"/>
      <c r="BT299" s="886"/>
      <c r="BU299" s="877"/>
      <c r="BV299" s="879"/>
      <c r="BW299" s="886"/>
    </row>
    <row r="300" spans="1:75">
      <c r="A300" s="499"/>
      <c r="B300" s="55"/>
      <c r="C300" s="595"/>
      <c r="D300" s="50"/>
      <c r="E300" s="1294" t="s">
        <v>367</v>
      </c>
      <c r="F300" s="928">
        <f>F304*$C$281+F308*$C$285+$C$289*F312+$C$293*F316</f>
        <v>-5.799187326725655E-2</v>
      </c>
      <c r="G300" s="877">
        <f t="shared" ref="G300:V301" si="58">G304*$C$302+G308*$C$306</f>
        <v>0</v>
      </c>
      <c r="H300" s="878">
        <f t="shared" si="58"/>
        <v>0</v>
      </c>
      <c r="I300" s="877">
        <f t="shared" si="58"/>
        <v>0</v>
      </c>
      <c r="J300" s="877">
        <f t="shared" si="58"/>
        <v>0</v>
      </c>
      <c r="K300" s="877">
        <f t="shared" si="58"/>
        <v>0</v>
      </c>
      <c r="L300" s="877">
        <f t="shared" si="58"/>
        <v>0</v>
      </c>
      <c r="M300" s="877">
        <f t="shared" si="58"/>
        <v>0</v>
      </c>
      <c r="N300" s="877">
        <f t="shared" si="58"/>
        <v>0</v>
      </c>
      <c r="O300" s="877">
        <f t="shared" si="58"/>
        <v>0</v>
      </c>
      <c r="P300" s="877">
        <f t="shared" si="58"/>
        <v>0</v>
      </c>
      <c r="Q300" s="877">
        <f t="shared" si="58"/>
        <v>0</v>
      </c>
      <c r="R300" s="877">
        <f t="shared" si="58"/>
        <v>0</v>
      </c>
      <c r="S300" s="877">
        <f t="shared" si="58"/>
        <v>0</v>
      </c>
      <c r="T300" s="877">
        <f t="shared" si="58"/>
        <v>0</v>
      </c>
      <c r="U300" s="877">
        <f t="shared" si="58"/>
        <v>0</v>
      </c>
      <c r="V300" s="877">
        <f t="shared" si="58"/>
        <v>0</v>
      </c>
      <c r="W300" s="886">
        <f t="shared" si="57"/>
        <v>0</v>
      </c>
      <c r="Y300" s="879"/>
      <c r="AD300" s="886"/>
      <c r="AF300" s="879"/>
      <c r="AK300" s="886"/>
      <c r="AM300" s="879"/>
      <c r="AR300" s="886"/>
      <c r="AT300" s="879"/>
      <c r="AY300" s="886"/>
      <c r="BA300" s="879"/>
      <c r="BF300" s="886"/>
      <c r="BG300" s="877"/>
      <c r="BH300" s="879"/>
      <c r="BI300" s="877"/>
      <c r="BJ300" s="877"/>
      <c r="BK300" s="877"/>
      <c r="BL300" s="877"/>
      <c r="BM300" s="886"/>
      <c r="BN300" s="877"/>
      <c r="BO300" s="879"/>
      <c r="BP300" s="877"/>
      <c r="BQ300" s="877"/>
      <c r="BR300" s="877"/>
      <c r="BS300" s="877"/>
      <c r="BT300" s="886"/>
      <c r="BU300" s="877"/>
      <c r="BV300" s="879"/>
      <c r="BW300" s="886"/>
    </row>
    <row r="301" spans="1:75">
      <c r="A301" s="18"/>
      <c r="B301" s="360"/>
      <c r="C301" s="83"/>
      <c r="D301" s="54"/>
      <c r="E301" s="1295" t="s">
        <v>320</v>
      </c>
      <c r="F301" s="928">
        <f>F305*$C$281+F309*$C$285+$C$289*F313+$C$293*F317</f>
        <v>-3.0989234749338283E-3</v>
      </c>
      <c r="G301" s="877">
        <f t="shared" si="58"/>
        <v>0</v>
      </c>
      <c r="H301" s="878">
        <f t="shared" si="57"/>
        <v>0</v>
      </c>
      <c r="I301" s="877">
        <f t="shared" si="57"/>
        <v>0</v>
      </c>
      <c r="J301" s="877">
        <f t="shared" si="57"/>
        <v>0</v>
      </c>
      <c r="K301" s="877">
        <f t="shared" si="57"/>
        <v>0</v>
      </c>
      <c r="L301" s="877">
        <f t="shared" si="57"/>
        <v>0</v>
      </c>
      <c r="M301" s="877">
        <f t="shared" si="57"/>
        <v>0</v>
      </c>
      <c r="N301" s="877">
        <f t="shared" si="57"/>
        <v>0</v>
      </c>
      <c r="O301" s="877">
        <f t="shared" si="57"/>
        <v>0</v>
      </c>
      <c r="P301" s="877">
        <f t="shared" si="57"/>
        <v>0</v>
      </c>
      <c r="Q301" s="877">
        <f t="shared" si="57"/>
        <v>0</v>
      </c>
      <c r="R301" s="877">
        <f t="shared" si="57"/>
        <v>0</v>
      </c>
      <c r="S301" s="877">
        <f t="shared" si="57"/>
        <v>0</v>
      </c>
      <c r="T301" s="877">
        <f t="shared" si="57"/>
        <v>0</v>
      </c>
      <c r="U301" s="877">
        <f t="shared" si="57"/>
        <v>0</v>
      </c>
      <c r="V301" s="877">
        <f t="shared" si="57"/>
        <v>0</v>
      </c>
      <c r="W301" s="886">
        <f t="shared" si="57"/>
        <v>0</v>
      </c>
      <c r="Y301" s="879"/>
      <c r="AD301" s="886"/>
      <c r="AF301" s="879"/>
      <c r="AK301" s="886"/>
      <c r="AM301" s="879"/>
      <c r="AR301" s="886"/>
      <c r="AT301" s="879"/>
      <c r="AY301" s="886"/>
      <c r="BA301" s="879"/>
      <c r="BF301" s="886"/>
      <c r="BG301" s="877"/>
      <c r="BH301" s="879"/>
      <c r="BI301" s="877"/>
      <c r="BJ301" s="877"/>
      <c r="BK301" s="877"/>
      <c r="BL301" s="877"/>
      <c r="BM301" s="886"/>
      <c r="BN301" s="877"/>
      <c r="BO301" s="879"/>
      <c r="BP301" s="877"/>
      <c r="BQ301" s="877"/>
      <c r="BR301" s="877"/>
      <c r="BS301" s="877"/>
      <c r="BT301" s="886"/>
      <c r="BU301" s="877"/>
      <c r="BV301" s="879"/>
      <c r="BW301" s="886"/>
    </row>
    <row r="302" spans="1:75">
      <c r="A302" s="20" t="s">
        <v>133</v>
      </c>
      <c r="B302" s="93" t="s">
        <v>121</v>
      </c>
      <c r="C302" s="87">
        <v>0.1</v>
      </c>
      <c r="D302" s="54"/>
      <c r="E302" s="1293" t="s">
        <v>316</v>
      </c>
      <c r="F302" s="930">
        <f>SUMPRODUCT($CI$4:$CI$6,F303:F305)</f>
        <v>0</v>
      </c>
      <c r="G302" s="872">
        <f>SUMPRODUCT($CI$4:$CI$6,G303:G305)</f>
        <v>0</v>
      </c>
      <c r="H302" s="873">
        <f>SUMPRODUCT($CI$4:$CI$6,H303:H305)</f>
        <v>0</v>
      </c>
      <c r="I302" s="884"/>
      <c r="J302" s="884"/>
      <c r="K302" s="884"/>
      <c r="L302" s="884"/>
      <c r="M302" s="884"/>
      <c r="N302" s="884"/>
      <c r="O302" s="884"/>
      <c r="P302" s="884"/>
      <c r="Q302" s="884"/>
      <c r="R302" s="884"/>
      <c r="S302" s="884"/>
      <c r="T302" s="884"/>
      <c r="U302" s="884"/>
      <c r="V302" s="884"/>
      <c r="W302" s="885"/>
      <c r="Y302" s="879">
        <f>1/'Input data plant-based products'!E215*10^4</f>
        <v>0.48049202383240436</v>
      </c>
      <c r="Z302" s="877">
        <f>$Y302*'Input data plant-based products'!Z215</f>
        <v>0.48049202383240436</v>
      </c>
      <c r="AA302" s="877">
        <f>$Y302*'Input data plant-based products'!AA215</f>
        <v>0.48049202383240436</v>
      </c>
      <c r="AB302" s="877">
        <f>$Y302*'Input data plant-based products'!AB215</f>
        <v>0.48049202383240436</v>
      </c>
      <c r="AC302" s="877">
        <f>$Y302*'Input data plant-based products'!AC215</f>
        <v>0.74150003677840171</v>
      </c>
      <c r="AD302" s="886">
        <f>$Y302*'Input data plant-based products'!AD215</f>
        <v>0.91543214417086627</v>
      </c>
      <c r="AF302" s="879">
        <f>SUM('Input data plant-based products'!F215,'Input data plant-based products'!AE215)/'Input data plant-based products'!E215</f>
        <v>3.843936190659235E-3</v>
      </c>
      <c r="AG302" s="877">
        <f>$AF302*'Input data plant-based products'!Z215</f>
        <v>3.843936190659235E-3</v>
      </c>
      <c r="AH302" s="877">
        <f>$AF302*'Input data plant-based products'!AA215</f>
        <v>3.843936190659235E-3</v>
      </c>
      <c r="AI302" s="877">
        <f>$AF302*'Input data plant-based products'!AB215</f>
        <v>3.843936190659235E-3</v>
      </c>
      <c r="AJ302" s="877">
        <f>$AF302*'Input data plant-based products'!AC215</f>
        <v>5.9320002942272135E-3</v>
      </c>
      <c r="AK302" s="886">
        <f>$AF302*'Input data plant-based products'!AD215</f>
        <v>7.3234571533669296E-3</v>
      </c>
      <c r="AM302" s="879">
        <f>'Input data plant-based products'!R215/'Input data plant-based products'!E215</f>
        <v>3.843936190659235E-3</v>
      </c>
      <c r="AN302" s="877">
        <f>$AM302*'Input data plant-based products'!Z215</f>
        <v>3.843936190659235E-3</v>
      </c>
      <c r="AO302" s="877">
        <f>$AM302*'Input data plant-based products'!AA215</f>
        <v>3.843936190659235E-3</v>
      </c>
      <c r="AP302" s="877">
        <f>$AM302*'Input data plant-based products'!AB215</f>
        <v>3.843936190659235E-3</v>
      </c>
      <c r="AQ302" s="877">
        <f>$AM302*'Input data plant-based products'!AC215</f>
        <v>5.9320002942272135E-3</v>
      </c>
      <c r="AR302" s="886">
        <f>$AM302*'Input data plant-based products'!AD215</f>
        <v>7.3234571533669296E-3</v>
      </c>
      <c r="AT302" s="879">
        <f>'Input data plant-based products'!S215</f>
        <v>1.25221951424644E-2</v>
      </c>
      <c r="AU302" s="877">
        <f>$AT302*'Input data plant-based products'!Z215</f>
        <v>1.25221951424644E-2</v>
      </c>
      <c r="AV302" s="877">
        <f>$AT302*'Input data plant-based products'!AA215</f>
        <v>1.25221951424644E-2</v>
      </c>
      <c r="AW302" s="877">
        <f>$AT302*'Input data plant-based products'!AB215</f>
        <v>1.25221951424644E-2</v>
      </c>
      <c r="AX302" s="877">
        <f>$AT302*'Input data plant-based products'!AC215</f>
        <v>1.9324375219852464E-2</v>
      </c>
      <c r="AY302" s="886">
        <f>$AT302*'Input data plant-based products'!AD215</f>
        <v>2.3857253357842549E-2</v>
      </c>
      <c r="BA302" s="879">
        <f>((SUM('Input data plant-based products'!U215:Y215)*Y302)/('Common input data'!$B$192/10^6))/$BB$3</f>
        <v>7.5622494149343227E-9</v>
      </c>
      <c r="BB302" s="877">
        <f>$BA302*'Input data plant-based products'!Z215</f>
        <v>7.5622494149343227E-9</v>
      </c>
      <c r="BC302" s="877">
        <f>$BA302*'Input data plant-based products'!AA215</f>
        <v>7.5622494149343227E-9</v>
      </c>
      <c r="BD302" s="877">
        <f>$BA302*'Input data plant-based products'!AB215</f>
        <v>7.5622494149343227E-9</v>
      </c>
      <c r="BE302" s="877">
        <f>$BA302*'Input data plant-based products'!AC215</f>
        <v>1.1670137986009756E-8</v>
      </c>
      <c r="BF302" s="886">
        <f>$BA302*'Input data plant-based products'!AD215</f>
        <v>1.440757776050587E-8</v>
      </c>
      <c r="BG302" s="877"/>
      <c r="BH302" s="879">
        <f>'Input data plant-based products'!T215/'Input data plant-based products'!E215</f>
        <v>0</v>
      </c>
      <c r="BI302" s="877">
        <f>$BH302*'Input data plant-based products'!Z215</f>
        <v>0</v>
      </c>
      <c r="BJ302" s="877">
        <f>$BH302*'Input data plant-based products'!AA215</f>
        <v>0</v>
      </c>
      <c r="BK302" s="877">
        <f>$BH302*'Input data plant-based products'!AB215</f>
        <v>0</v>
      </c>
      <c r="BL302" s="877">
        <f>$BH302*'Input data plant-based products'!AC215</f>
        <v>0</v>
      </c>
      <c r="BM302" s="886">
        <f>$BH302*'Input data plant-based products'!AD215</f>
        <v>0</v>
      </c>
      <c r="BN302" s="877"/>
      <c r="BO302" s="879">
        <f>('Input data plant-based products'!F215/'Input data plant-based products'!E215*'Common input data'!$B$195+'Input data plant-based products'!G215/'Input data plant-based products'!E215*'Common input data'!$B$196)/'Common input data'!$B$198</f>
        <v>9.8150040874239025E-5</v>
      </c>
      <c r="BP302" s="877">
        <f>$BO302*'Input data plant-based products'!Z215</f>
        <v>9.8150040874239025E-5</v>
      </c>
      <c r="BQ302" s="877">
        <f>$BO302*'Input data plant-based products'!AA215</f>
        <v>9.8150040874239025E-5</v>
      </c>
      <c r="BR302" s="877">
        <f>$BO302*'Input data plant-based products'!AB215</f>
        <v>9.8150040874239025E-5</v>
      </c>
      <c r="BS302" s="877">
        <f>$BO302*'Input data plant-based products'!AC215</f>
        <v>1.5146611246024538E-4</v>
      </c>
      <c r="BT302" s="886">
        <f>$BO302*'Input data plant-based products'!AD215</f>
        <v>1.8699520056820418E-4</v>
      </c>
      <c r="BU302" s="877"/>
      <c r="BV302" s="879">
        <f>'Common input data'!$C$202*'Input data plant-based products'!AC235</f>
        <v>0.17090344909893782</v>
      </c>
      <c r="BW302" s="886">
        <f>'Common input data'!$C$202*'Input data plant-based products'!AD235</f>
        <v>0.21099191246782442</v>
      </c>
    </row>
    <row r="303" spans="1:75">
      <c r="A303" s="499"/>
      <c r="B303" s="55"/>
      <c r="C303" s="917"/>
      <c r="E303" s="1294" t="s">
        <v>317</v>
      </c>
      <c r="F303" s="928">
        <f>IF(AND($G$2="No",$G$3="No"),SUM(K303:L303),IF(AND($G$2="Yes", $G$3="No"), SUM(K303:L303)+S303, IF(AND($G$2="No", $G$3="Yes"),SUM(K303:L303)+R303, SUM(K303:L303)+S303+R303)))</f>
        <v>0</v>
      </c>
      <c r="G303" s="877">
        <f>IF(AND($G$2="No",$G$3="No"),SUM(I303:Q303),IF(AND($G$2="Yes", $G$3="No"), SUM(I303:Q303)+S303, IF(AND($G$2="No", $G$3="Yes"),SUM(I303:Q303)+R303, SUM(I303:Q303)+S303+R303)))</f>
        <v>0</v>
      </c>
      <c r="H303" s="878">
        <f>SUM(U303:W303)/(1-'Common input data'!$F$140)</f>
        <v>0</v>
      </c>
      <c r="U303" s="877">
        <f>G303+T303</f>
        <v>0</v>
      </c>
      <c r="W303" s="886"/>
      <c r="Y303" s="879"/>
      <c r="AD303" s="886"/>
      <c r="AF303" s="879"/>
      <c r="AK303" s="886"/>
      <c r="AM303" s="879"/>
      <c r="AR303" s="886"/>
      <c r="AT303" s="879"/>
      <c r="AY303" s="886"/>
      <c r="BA303" s="879"/>
      <c r="BF303" s="886"/>
      <c r="BG303" s="877"/>
      <c r="BH303" s="879"/>
      <c r="BI303" s="877"/>
      <c r="BJ303" s="877"/>
      <c r="BK303" s="877"/>
      <c r="BL303" s="877"/>
      <c r="BM303" s="886"/>
      <c r="BN303" s="877"/>
      <c r="BO303" s="879"/>
      <c r="BP303" s="877"/>
      <c r="BQ303" s="877"/>
      <c r="BR303" s="877"/>
      <c r="BS303" s="877"/>
      <c r="BT303" s="886"/>
      <c r="BU303" s="877"/>
      <c r="BV303" s="879"/>
      <c r="BW303" s="886"/>
    </row>
    <row r="304" spans="1:75">
      <c r="A304" s="499"/>
      <c r="B304" s="55"/>
      <c r="C304" s="595"/>
      <c r="D304" s="50"/>
      <c r="E304" s="1294" t="s">
        <v>367</v>
      </c>
      <c r="F304" s="928">
        <f>SUM(K304:M304)</f>
        <v>0</v>
      </c>
      <c r="G304" s="877">
        <f>SUM(I304:Q304)</f>
        <v>0</v>
      </c>
      <c r="H304" s="878">
        <f>SUM(U304:W304)/(1-'Common input data'!$F$140)</f>
        <v>0</v>
      </c>
      <c r="U304" s="877">
        <f>G304+T304</f>
        <v>0</v>
      </c>
      <c r="W304" s="886"/>
      <c r="Y304" s="879"/>
      <c r="AD304" s="886"/>
      <c r="AF304" s="879"/>
      <c r="AK304" s="886"/>
      <c r="AM304" s="879"/>
      <c r="AR304" s="886"/>
      <c r="AT304" s="879"/>
      <c r="AY304" s="886"/>
      <c r="BA304" s="879"/>
      <c r="BF304" s="886"/>
      <c r="BG304" s="877"/>
      <c r="BH304" s="879"/>
      <c r="BI304" s="877"/>
      <c r="BJ304" s="877"/>
      <c r="BK304" s="877"/>
      <c r="BL304" s="877"/>
      <c r="BM304" s="886"/>
      <c r="BN304" s="877"/>
      <c r="BO304" s="879"/>
      <c r="BP304" s="877"/>
      <c r="BQ304" s="877"/>
      <c r="BR304" s="877"/>
      <c r="BS304" s="877"/>
      <c r="BT304" s="886"/>
      <c r="BU304" s="877"/>
      <c r="BV304" s="879"/>
      <c r="BW304" s="886"/>
    </row>
    <row r="305" spans="1:75">
      <c r="A305" s="18"/>
      <c r="B305" s="360"/>
      <c r="C305" s="83"/>
      <c r="D305" s="54"/>
      <c r="E305" s="1295" t="s">
        <v>320</v>
      </c>
      <c r="F305" s="928">
        <f>SUM(K305:M305)</f>
        <v>0</v>
      </c>
      <c r="G305" s="877">
        <f>SUM(I305:Q305)</f>
        <v>0</v>
      </c>
      <c r="H305" s="878">
        <f>SUM(U305:W305)/(1-'Common input data'!$F$140)</f>
        <v>0</v>
      </c>
      <c r="U305" s="877">
        <f>G305+T305</f>
        <v>0</v>
      </c>
      <c r="W305" s="886"/>
      <c r="Y305" s="879"/>
      <c r="AD305" s="886"/>
      <c r="AF305" s="879"/>
      <c r="AK305" s="886"/>
      <c r="AM305" s="879"/>
      <c r="AR305" s="886"/>
      <c r="AT305" s="879"/>
      <c r="AY305" s="886"/>
      <c r="BA305" s="879"/>
      <c r="BF305" s="886"/>
      <c r="BG305" s="877"/>
      <c r="BH305" s="879"/>
      <c r="BI305" s="877"/>
      <c r="BJ305" s="877"/>
      <c r="BK305" s="877"/>
      <c r="BL305" s="877"/>
      <c r="BM305" s="886"/>
      <c r="BN305" s="877"/>
      <c r="BO305" s="879"/>
      <c r="BP305" s="877"/>
      <c r="BQ305" s="877"/>
      <c r="BR305" s="877"/>
      <c r="BS305" s="877"/>
      <c r="BT305" s="886"/>
      <c r="BU305" s="877"/>
      <c r="BV305" s="879"/>
      <c r="BW305" s="886"/>
    </row>
    <row r="306" spans="1:75">
      <c r="A306" s="20" t="s">
        <v>134</v>
      </c>
      <c r="B306" s="93" t="s">
        <v>121</v>
      </c>
      <c r="C306" s="87">
        <v>0.9</v>
      </c>
      <c r="D306" s="54"/>
      <c r="E306" s="1293" t="s">
        <v>316</v>
      </c>
      <c r="F306" s="930">
        <f>SUMPRODUCT($CI$4:$CI$6,F307:F309)</f>
        <v>0</v>
      </c>
      <c r="G306" s="872">
        <f>SUMPRODUCT($CI$4:$CI$6,G307:G309)</f>
        <v>0</v>
      </c>
      <c r="H306" s="873">
        <f>SUMPRODUCT($CI$4:$CI$6,H307:H309)</f>
        <v>0</v>
      </c>
      <c r="I306" s="884"/>
      <c r="J306" s="884"/>
      <c r="K306" s="884"/>
      <c r="L306" s="884"/>
      <c r="M306" s="884"/>
      <c r="N306" s="884"/>
      <c r="O306" s="884"/>
      <c r="P306" s="884"/>
      <c r="Q306" s="884"/>
      <c r="R306" s="884"/>
      <c r="S306" s="884"/>
      <c r="T306" s="884"/>
      <c r="U306" s="884"/>
      <c r="V306" s="884"/>
      <c r="W306" s="885"/>
      <c r="Y306" s="879">
        <f>1/'Input data plant-based products'!E216*10^4</f>
        <v>1.4367816091954022</v>
      </c>
      <c r="Z306" s="877">
        <f>$Y306*'Input data plant-based products'!Z216</f>
        <v>1.4367816091954022</v>
      </c>
      <c r="AA306" s="877">
        <f>$Y306*'Input data plant-based products'!AA216</f>
        <v>1.4367816091954022</v>
      </c>
      <c r="AB306" s="877">
        <f>$Y306*'Input data plant-based products'!AB216</f>
        <v>1.4367816091954022</v>
      </c>
      <c r="AC306" s="877">
        <f>$Y306*'Input data plant-based products'!AC216</f>
        <v>1.9715429073980488</v>
      </c>
      <c r="AD306" s="886">
        <f>$Y306*'Input data plant-based products'!AD216</f>
        <v>2.4340035893803069</v>
      </c>
      <c r="AF306" s="879">
        <f>SUM('Input data plant-based products'!F216,'Input data plant-based products'!AE216)/'Input data plant-based products'!E216</f>
        <v>1.1494252873563218E-2</v>
      </c>
      <c r="AG306" s="877">
        <f>$AF306*'Input data plant-based products'!Z216</f>
        <v>1.1494252873563218E-2</v>
      </c>
      <c r="AH306" s="877">
        <f>$AF306*'Input data plant-based products'!AA216</f>
        <v>1.1494252873563218E-2</v>
      </c>
      <c r="AI306" s="877">
        <f>$AF306*'Input data plant-based products'!AB216</f>
        <v>1.1494252873563218E-2</v>
      </c>
      <c r="AJ306" s="877">
        <f>$AF306*'Input data plant-based products'!AC216</f>
        <v>1.577234325918439E-2</v>
      </c>
      <c r="AK306" s="886">
        <f>$AF306*'Input data plant-based products'!AD216</f>
        <v>1.9472028715042455E-2</v>
      </c>
      <c r="AM306" s="879">
        <f>'Input data plant-based products'!R216/'Input data plant-based products'!E216</f>
        <v>1.1494252873563218E-2</v>
      </c>
      <c r="AN306" s="877">
        <f>$AM306*'Input data plant-based products'!Z216</f>
        <v>1.1494252873563218E-2</v>
      </c>
      <c r="AO306" s="877">
        <f>$AM306*'Input data plant-based products'!AA216</f>
        <v>1.1494252873563218E-2</v>
      </c>
      <c r="AP306" s="877">
        <f>$AM306*'Input data plant-based products'!AB216</f>
        <v>1.1494252873563218E-2</v>
      </c>
      <c r="AQ306" s="877">
        <f>$AM306*'Input data plant-based products'!AC216</f>
        <v>1.577234325918439E-2</v>
      </c>
      <c r="AR306" s="886">
        <f>$AM306*'Input data plant-based products'!AD216</f>
        <v>1.9472028715042455E-2</v>
      </c>
      <c r="AT306" s="879">
        <f>'Input data plant-based products'!S216</f>
        <v>2.6952893445257101E-2</v>
      </c>
      <c r="AU306" s="877">
        <f>$AT306*'Input data plant-based products'!Z216</f>
        <v>2.6952893445257101E-2</v>
      </c>
      <c r="AV306" s="877">
        <f>$AT306*'Input data plant-based products'!AA216</f>
        <v>2.6952893445257101E-2</v>
      </c>
      <c r="AW306" s="877">
        <f>$AT306*'Input data plant-based products'!AB216</f>
        <v>2.6952893445257101E-2</v>
      </c>
      <c r="AX306" s="877">
        <f>$AT306*'Input data plant-based products'!AC216</f>
        <v>3.6984594990472991E-2</v>
      </c>
      <c r="AY306" s="886">
        <f>$AT306*'Input data plant-based products'!AD216</f>
        <v>4.5659993815398751E-2</v>
      </c>
      <c r="BA306" s="879">
        <f>((SUM('Input data plant-based products'!U216:Y216)*Y306)/('Common input data'!$B$192/10^6))/$BB$3</f>
        <v>2.2612864198794988E-8</v>
      </c>
      <c r="BB306" s="877">
        <f>$BA306*'Input data plant-based products'!Z216</f>
        <v>2.2612864198794988E-8</v>
      </c>
      <c r="BC306" s="877">
        <f>$BA306*'Input data plant-based products'!AA216</f>
        <v>2.2612864198794988E-8</v>
      </c>
      <c r="BD306" s="877">
        <f>$BA306*'Input data plant-based products'!AB216</f>
        <v>2.2612864198794988E-8</v>
      </c>
      <c r="BE306" s="877">
        <f>$BA306*'Input data plant-based products'!AC216</f>
        <v>3.1029233490854307E-8</v>
      </c>
      <c r="BF306" s="886">
        <f>$BA306*'Input data plant-based products'!AD216</f>
        <v>3.8307695667721366E-8</v>
      </c>
      <c r="BG306" s="877"/>
      <c r="BH306" s="879">
        <f>'Input data plant-based products'!T216/'Input data plant-based products'!E216</f>
        <v>0</v>
      </c>
      <c r="BI306" s="877">
        <f>$BH306*'Input data plant-based products'!Z216</f>
        <v>0</v>
      </c>
      <c r="BJ306" s="877">
        <f>$BH306*'Input data plant-based products'!AA216</f>
        <v>0</v>
      </c>
      <c r="BK306" s="877">
        <f>$BH306*'Input data plant-based products'!AB216</f>
        <v>0</v>
      </c>
      <c r="BL306" s="877">
        <f>$BH306*'Input data plant-based products'!AC216</f>
        <v>0</v>
      </c>
      <c r="BM306" s="886">
        <f>$BH306*'Input data plant-based products'!AD216</f>
        <v>0</v>
      </c>
      <c r="BN306" s="877"/>
      <c r="BO306" s="879">
        <f>('Input data plant-based products'!F216/'Input data plant-based products'!E216*'Common input data'!$B$195+'Input data plant-based products'!G216/'Input data plant-based products'!E216*'Common input data'!$B$196)/'Common input data'!$B$198</f>
        <v>2.9349118544176188E-4</v>
      </c>
      <c r="BP306" s="877">
        <f>$BO306*'Input data plant-based products'!Z216</f>
        <v>2.9349118544176188E-4</v>
      </c>
      <c r="BQ306" s="877">
        <f>$BO306*'Input data plant-based products'!AA216</f>
        <v>2.9349118544176188E-4</v>
      </c>
      <c r="BR306" s="877">
        <f>$BO306*'Input data plant-based products'!AB216</f>
        <v>2.9349118544176188E-4</v>
      </c>
      <c r="BS306" s="877">
        <f>$BO306*'Input data plant-based products'!AC216</f>
        <v>4.0272680366891961E-4</v>
      </c>
      <c r="BT306" s="886">
        <f>$BO306*'Input data plant-based products'!AD216</f>
        <v>4.971935847764439E-4</v>
      </c>
      <c r="BU306" s="877"/>
      <c r="BV306" s="879">
        <f>('Common input data'!$C$202+'Common input data'!$B$208)*'Input data plant-based products'!AC236</f>
        <v>0.85451724549468899</v>
      </c>
      <c r="BW306" s="886">
        <f>('Common input data'!$C$202+'Common input data'!$B$208)*'Input data plant-based products'!AD236</f>
        <v>1.0549595623391221</v>
      </c>
    </row>
    <row r="307" spans="1:75">
      <c r="A307" s="499"/>
      <c r="B307" s="55"/>
      <c r="C307" s="917"/>
      <c r="E307" s="1294" t="s">
        <v>317</v>
      </c>
      <c r="F307" s="928">
        <f>IF(AND($G$2="No",$G$3="No"),SUM(K307:L307),IF(AND($G$2="Yes", $G$3="No"), SUM(K307:L307)+S307, IF(AND($G$2="No", $G$3="Yes"),SUM(K307:L307)+R307, SUM(K307:L307)+S307+R307)))</f>
        <v>0</v>
      </c>
      <c r="G307" s="877">
        <f>IF(AND($G$2="No",$G$3="No"),SUM(I307:Q307),IF(AND($G$2="Yes", $G$3="No"), SUM(I307:Q307)+S307, IF(AND($G$2="No", $G$3="Yes"),SUM(I307:Q307)+R307, SUM(I307:Q307)+S307+R307)))</f>
        <v>0</v>
      </c>
      <c r="H307" s="878">
        <f>SUM(U307:W307)/(1-'Common input data'!$I$140)</f>
        <v>0</v>
      </c>
      <c r="U307" s="877">
        <f>G307+T307</f>
        <v>0</v>
      </c>
      <c r="W307" s="886"/>
      <c r="Y307" s="879"/>
      <c r="AD307" s="886"/>
      <c r="AF307" s="879"/>
      <c r="AK307" s="886"/>
      <c r="AM307" s="879"/>
      <c r="AR307" s="886"/>
      <c r="AT307" s="879"/>
      <c r="AY307" s="886"/>
      <c r="BA307" s="879"/>
      <c r="BF307" s="886"/>
      <c r="BG307" s="877"/>
      <c r="BH307" s="879"/>
      <c r="BI307" s="877"/>
      <c r="BJ307" s="877"/>
      <c r="BK307" s="877"/>
      <c r="BL307" s="877"/>
      <c r="BM307" s="886"/>
      <c r="BN307" s="877"/>
      <c r="BO307" s="879"/>
      <c r="BP307" s="877"/>
      <c r="BQ307" s="877"/>
      <c r="BR307" s="877"/>
      <c r="BS307" s="877"/>
      <c r="BT307" s="886"/>
      <c r="BU307" s="877"/>
      <c r="BV307" s="879"/>
      <c r="BW307" s="886"/>
    </row>
    <row r="308" spans="1:75">
      <c r="A308" s="499"/>
      <c r="B308" s="55"/>
      <c r="C308" s="595"/>
      <c r="D308" s="50"/>
      <c r="E308" s="1294" t="s">
        <v>367</v>
      </c>
      <c r="F308" s="928">
        <f>SUM(K308:M308)</f>
        <v>0</v>
      </c>
      <c r="G308" s="877">
        <f>SUM(I308:Q308)</f>
        <v>0</v>
      </c>
      <c r="H308" s="878">
        <f>SUM(U308:W308)/(1-'Common input data'!$I$140)</f>
        <v>0</v>
      </c>
      <c r="U308" s="877">
        <f>G308+T308</f>
        <v>0</v>
      </c>
      <c r="W308" s="886"/>
      <c r="Y308" s="879"/>
      <c r="AD308" s="886"/>
      <c r="AF308" s="879"/>
      <c r="AK308" s="886"/>
      <c r="AM308" s="879"/>
      <c r="AR308" s="886"/>
      <c r="AT308" s="879"/>
      <c r="AY308" s="886"/>
      <c r="BA308" s="879"/>
      <c r="BF308" s="886"/>
      <c r="BG308" s="877"/>
      <c r="BH308" s="879"/>
      <c r="BI308" s="877"/>
      <c r="BJ308" s="877"/>
      <c r="BK308" s="877"/>
      <c r="BL308" s="877"/>
      <c r="BM308" s="886"/>
      <c r="BN308" s="877"/>
      <c r="BO308" s="879"/>
      <c r="BP308" s="877"/>
      <c r="BQ308" s="877"/>
      <c r="BR308" s="877"/>
      <c r="BS308" s="877"/>
      <c r="BT308" s="886"/>
      <c r="BU308" s="877"/>
      <c r="BV308" s="879"/>
      <c r="BW308" s="886"/>
    </row>
    <row r="309" spans="1:75">
      <c r="A309" s="18"/>
      <c r="B309" s="360"/>
      <c r="C309" s="83"/>
      <c r="D309" s="54"/>
      <c r="E309" s="1295" t="s">
        <v>320</v>
      </c>
      <c r="F309" s="928">
        <f>SUM(K309:M309)</f>
        <v>0</v>
      </c>
      <c r="G309" s="877">
        <f>SUM(I309:Q309)</f>
        <v>0</v>
      </c>
      <c r="H309" s="878">
        <f>SUM(U309:W309)/(1-'Common input data'!$I$140)</f>
        <v>0</v>
      </c>
      <c r="U309" s="877">
        <f>G309+T309</f>
        <v>0</v>
      </c>
      <c r="W309" s="886"/>
      <c r="Y309" s="879"/>
      <c r="AD309" s="886"/>
      <c r="AF309" s="879"/>
      <c r="AK309" s="886"/>
      <c r="AM309" s="879"/>
      <c r="AR309" s="886"/>
      <c r="AT309" s="879"/>
      <c r="AY309" s="886"/>
      <c r="BA309" s="879"/>
      <c r="BF309" s="886"/>
      <c r="BG309" s="877"/>
      <c r="BH309" s="879"/>
      <c r="BI309" s="877"/>
      <c r="BJ309" s="877"/>
      <c r="BK309" s="877"/>
      <c r="BL309" s="877"/>
      <c r="BM309" s="886"/>
      <c r="BN309" s="877"/>
      <c r="BO309" s="879"/>
      <c r="BP309" s="877"/>
      <c r="BQ309" s="877"/>
      <c r="BR309" s="877"/>
      <c r="BS309" s="877"/>
      <c r="BT309" s="886"/>
      <c r="BU309" s="877"/>
      <c r="BV309" s="879"/>
      <c r="BW309" s="886"/>
    </row>
    <row r="310" spans="1:75">
      <c r="A310" s="1197" t="s">
        <v>151</v>
      </c>
      <c r="B310" s="363"/>
      <c r="C310" s="770"/>
      <c r="D310" s="54"/>
      <c r="E310" s="1296"/>
      <c r="F310" s="969" t="s">
        <v>532</v>
      </c>
      <c r="G310" s="892" t="s">
        <v>532</v>
      </c>
      <c r="H310" s="970" t="s">
        <v>532</v>
      </c>
      <c r="I310" s="889"/>
      <c r="J310" s="889"/>
      <c r="K310" s="889"/>
      <c r="L310" s="889"/>
      <c r="M310" s="889"/>
      <c r="N310" s="889"/>
      <c r="O310" s="1305"/>
      <c r="P310" s="889"/>
      <c r="Q310" s="889"/>
      <c r="R310" s="889"/>
      <c r="S310" s="889"/>
      <c r="T310" s="889"/>
      <c r="U310" s="889"/>
      <c r="V310" s="889"/>
      <c r="W310" s="960"/>
      <c r="Y310" s="879"/>
      <c r="AD310" s="886"/>
      <c r="AF310" s="879"/>
      <c r="AK310" s="886"/>
      <c r="AM310" s="879"/>
      <c r="AR310" s="886"/>
      <c r="AT310" s="879"/>
      <c r="AY310" s="886"/>
      <c r="BA310" s="879"/>
      <c r="BF310" s="886"/>
      <c r="BG310" s="877"/>
      <c r="BH310" s="879"/>
      <c r="BI310" s="877"/>
      <c r="BJ310" s="877"/>
      <c r="BK310" s="877"/>
      <c r="BL310" s="877"/>
      <c r="BM310" s="886"/>
      <c r="BN310" s="877"/>
      <c r="BO310" s="879"/>
      <c r="BP310" s="877"/>
      <c r="BQ310" s="877"/>
      <c r="BR310" s="877"/>
      <c r="BS310" s="877"/>
      <c r="BT310" s="886"/>
      <c r="BU310" s="877"/>
      <c r="BV310" s="879"/>
      <c r="BW310" s="886"/>
    </row>
    <row r="311" spans="1:75">
      <c r="A311" s="20" t="s">
        <v>120</v>
      </c>
      <c r="B311" s="93" t="s">
        <v>121</v>
      </c>
      <c r="C311" s="903">
        <f>SUM(C315:C326)</f>
        <v>1</v>
      </c>
      <c r="D311" s="50"/>
      <c r="E311" s="1293" t="s">
        <v>316</v>
      </c>
      <c r="F311" s="930">
        <f>SUMPRODUCT($CI$4:$CI$6,F312:F314)</f>
        <v>-0.64317685206618458</v>
      </c>
      <c r="G311" s="872">
        <f>SUMPRODUCT($CI$4:$CI$6,G312:G314)</f>
        <v>0.21781270300018044</v>
      </c>
      <c r="H311" s="873">
        <f>SUMPRODUCT($CI$4:$CI$6,H312:H314)</f>
        <v>11.065775253200675</v>
      </c>
      <c r="I311" s="872"/>
      <c r="J311" s="884"/>
      <c r="K311" s="884"/>
      <c r="L311" s="884"/>
      <c r="M311" s="884"/>
      <c r="N311" s="884"/>
      <c r="O311" s="884"/>
      <c r="P311" s="884"/>
      <c r="Q311" s="884"/>
      <c r="R311" s="884"/>
      <c r="S311" s="884"/>
      <c r="T311" s="884"/>
      <c r="U311" s="884"/>
      <c r="V311" s="884"/>
      <c r="W311" s="885"/>
      <c r="Y311" s="883">
        <f>Y315*$C$315+Y319*$C$319+Y323*$C$323</f>
        <v>5.577439226793949</v>
      </c>
      <c r="Z311" s="884">
        <f t="shared" ref="Z311:BW311" si="59">Z315*$C$315+Z319*$C$319+Z323*$C$323</f>
        <v>5.1778432058042085</v>
      </c>
      <c r="AA311" s="884">
        <f t="shared" si="59"/>
        <v>15.163778508195207</v>
      </c>
      <c r="AB311" s="884">
        <f t="shared" si="59"/>
        <v>7.2480980855681949</v>
      </c>
      <c r="AC311" s="884">
        <f t="shared" si="59"/>
        <v>7.9077718829903274</v>
      </c>
      <c r="AD311" s="885">
        <f t="shared" si="59"/>
        <v>8.2372623781149237</v>
      </c>
      <c r="AF311" s="883">
        <f t="shared" si="59"/>
        <v>1.2541848895989088E-2</v>
      </c>
      <c r="AG311" s="884">
        <f t="shared" si="59"/>
        <v>1.1940470735720903E-2</v>
      </c>
      <c r="AH311" s="884">
        <f t="shared" si="59"/>
        <v>4.1898276642893896E-2</v>
      </c>
      <c r="AI311" s="884">
        <f t="shared" si="59"/>
        <v>1.8151235375012863E-2</v>
      </c>
      <c r="AJ311" s="884">
        <f t="shared" si="59"/>
        <v>1.9660910896621288E-2</v>
      </c>
      <c r="AK311" s="885">
        <f t="shared" si="59"/>
        <v>2.0480115517313841E-2</v>
      </c>
      <c r="AM311" s="883">
        <f t="shared" si="59"/>
        <v>1.7344113695388394E-2</v>
      </c>
      <c r="AN311" s="884">
        <f t="shared" si="59"/>
        <v>1.57588174714418E-2</v>
      </c>
      <c r="AO311" s="884">
        <f t="shared" si="59"/>
        <v>7.5674429285787784E-2</v>
      </c>
      <c r="AP311" s="884">
        <f t="shared" si="59"/>
        <v>2.8180346750025721E-2</v>
      </c>
      <c r="AQ311" s="884">
        <f t="shared" si="59"/>
        <v>3.0138739571879625E-2</v>
      </c>
      <c r="AR311" s="885">
        <f t="shared" si="59"/>
        <v>3.1394520387374607E-2</v>
      </c>
      <c r="AT311" s="883">
        <f t="shared" si="59"/>
        <v>0.15764430550724576</v>
      </c>
      <c r="AU311" s="884">
        <f t="shared" si="59"/>
        <v>0.15204881097088624</v>
      </c>
      <c r="AV311" s="884">
        <f t="shared" si="59"/>
        <v>0.45079731055779021</v>
      </c>
      <c r="AW311" s="884">
        <f t="shared" si="59"/>
        <v>0.2139844755193907</v>
      </c>
      <c r="AX311" s="884">
        <f t="shared" si="59"/>
        <v>0.23334677609972429</v>
      </c>
      <c r="AY311" s="885">
        <f t="shared" si="59"/>
        <v>0.24306955843721278</v>
      </c>
      <c r="BA311" s="883">
        <f t="shared" si="59"/>
        <v>5.1546412436327271E-9</v>
      </c>
      <c r="BB311" s="884">
        <f t="shared" si="59"/>
        <v>5.0592674473247582E-9</v>
      </c>
      <c r="BC311" s="884">
        <f t="shared" si="59"/>
        <v>6.7718667038025161E-9</v>
      </c>
      <c r="BD311" s="884">
        <f t="shared" si="59"/>
        <v>5.4143185126920983E-9</v>
      </c>
      <c r="BE311" s="884">
        <f t="shared" si="59"/>
        <v>6.0723273112206817E-9</v>
      </c>
      <c r="BF311" s="885">
        <f t="shared" si="59"/>
        <v>6.325340949188209E-9</v>
      </c>
      <c r="BG311" s="877"/>
      <c r="BH311" s="883">
        <f t="shared" si="59"/>
        <v>3.6919999999999998E-4</v>
      </c>
      <c r="BI311" s="884">
        <f t="shared" si="59"/>
        <v>3.6919999999999998E-4</v>
      </c>
      <c r="BJ311" s="884">
        <f t="shared" si="59"/>
        <v>2.0511111111111108E-3</v>
      </c>
      <c r="BK311" s="884">
        <f t="shared" si="59"/>
        <v>7.1788888888888868E-4</v>
      </c>
      <c r="BL311" s="884">
        <f t="shared" si="59"/>
        <v>7.6330557032311397E-4</v>
      </c>
      <c r="BM311" s="885">
        <f t="shared" si="59"/>
        <v>7.9510996908657716E-4</v>
      </c>
      <c r="BN311" s="877"/>
      <c r="BO311" s="883">
        <f t="shared" si="59"/>
        <v>3.2024022271003028E-4</v>
      </c>
      <c r="BP311" s="884">
        <f t="shared" si="59"/>
        <v>3.0488479325346731E-4</v>
      </c>
      <c r="BQ311" s="884">
        <f t="shared" si="59"/>
        <v>1.0698194145504136E-3</v>
      </c>
      <c r="BR311" s="884">
        <f t="shared" si="59"/>
        <v>4.6346880010771226E-4</v>
      </c>
      <c r="BS311" s="884">
        <f t="shared" si="59"/>
        <v>5.0201645199453846E-4</v>
      </c>
      <c r="BT311" s="885">
        <f t="shared" si="59"/>
        <v>5.2293380416097756E-4</v>
      </c>
      <c r="BU311" s="877"/>
      <c r="BV311" s="883">
        <f t="shared" si="59"/>
        <v>0</v>
      </c>
      <c r="BW311" s="885">
        <f t="shared" si="59"/>
        <v>0</v>
      </c>
    </row>
    <row r="312" spans="1:75">
      <c r="A312" s="499"/>
      <c r="B312" s="55"/>
      <c r="C312" s="917"/>
      <c r="E312" s="1294" t="s">
        <v>317</v>
      </c>
      <c r="F312" s="928">
        <f>F316*$C$281+F320*$C$285+$C$289*F324+$C$293*F328</f>
        <v>-4.2995259156089302E-2</v>
      </c>
      <c r="G312" s="877">
        <f t="shared" ref="G312:W312" si="60">G316*$C$281+G320*$C$285+$C$289*G324+$C$293*G328</f>
        <v>2.2416842607198458E-2</v>
      </c>
      <c r="H312" s="878">
        <f t="shared" si="60"/>
        <v>0.77019302200347872</v>
      </c>
      <c r="I312" s="877">
        <f t="shared" si="60"/>
        <v>2.6200927311106235E-3</v>
      </c>
      <c r="J312" s="877">
        <f t="shared" si="60"/>
        <v>1.2792009032177133E-2</v>
      </c>
      <c r="K312" s="877">
        <f t="shared" si="60"/>
        <v>0</v>
      </c>
      <c r="L312" s="877">
        <f t="shared" si="60"/>
        <v>0</v>
      </c>
      <c r="N312" s="877">
        <f t="shared" si="60"/>
        <v>0</v>
      </c>
      <c r="O312" s="877">
        <f t="shared" si="60"/>
        <v>0</v>
      </c>
      <c r="P312" s="877">
        <f t="shared" si="60"/>
        <v>2.1320015053628554E-2</v>
      </c>
      <c r="Q312" s="877">
        <f t="shared" si="60"/>
        <v>0</v>
      </c>
      <c r="R312" s="877">
        <f t="shared" si="60"/>
        <v>-3.8861717566952531E-2</v>
      </c>
      <c r="S312" s="877">
        <f t="shared" si="60"/>
        <v>0</v>
      </c>
      <c r="T312" s="877">
        <f t="shared" si="60"/>
        <v>0</v>
      </c>
      <c r="U312" s="877">
        <f t="shared" si="60"/>
        <v>-2.1296007500362234E-3</v>
      </c>
      <c r="V312" s="877">
        <f t="shared" si="60"/>
        <v>6.3960045160885659E-2</v>
      </c>
      <c r="W312" s="886">
        <f t="shared" si="60"/>
        <v>0.18335212946120558</v>
      </c>
      <c r="Y312" s="879"/>
      <c r="AD312" s="886"/>
      <c r="AF312" s="879"/>
      <c r="AK312" s="886"/>
      <c r="AM312" s="879"/>
      <c r="AR312" s="886"/>
      <c r="AT312" s="879"/>
      <c r="AY312" s="886"/>
      <c r="BA312" s="879"/>
      <c r="BF312" s="886"/>
      <c r="BG312" s="877"/>
      <c r="BH312" s="879"/>
      <c r="BI312" s="877"/>
      <c r="BJ312" s="877"/>
      <c r="BK312" s="877"/>
      <c r="BL312" s="877"/>
      <c r="BM312" s="886"/>
      <c r="BN312" s="877"/>
      <c r="BO312" s="879"/>
      <c r="BP312" s="877"/>
      <c r="BQ312" s="877"/>
      <c r="BR312" s="877"/>
      <c r="BS312" s="877"/>
      <c r="BT312" s="886"/>
      <c r="BU312" s="877"/>
      <c r="BV312" s="879"/>
      <c r="BW312" s="886"/>
    </row>
    <row r="313" spans="1:75">
      <c r="A313" s="499"/>
      <c r="B313" s="55"/>
      <c r="C313" s="595"/>
      <c r="D313" s="50"/>
      <c r="E313" s="1294" t="s">
        <v>367</v>
      </c>
      <c r="F313" s="928">
        <f t="shared" ref="F313:T313" si="61">F317*$C$281+F321*$C$285+$C$289*F325+$C$293*F329</f>
        <v>-2.3315779594558762E-2</v>
      </c>
      <c r="G313" s="877">
        <f t="shared" si="61"/>
        <v>5.4184551069927211E-3</v>
      </c>
      <c r="H313" s="878">
        <f t="shared" si="61"/>
        <v>0.37875637322175398</v>
      </c>
      <c r="I313" s="877">
        <f t="shared" si="61"/>
        <v>5.424975518003129E-5</v>
      </c>
      <c r="J313" s="877">
        <f t="shared" si="61"/>
        <v>0</v>
      </c>
      <c r="K313" s="877">
        <f>K317*$C$281+K321*$C$285+$C$289*K325+$C$293*M329</f>
        <v>2.8961550979870007E-2</v>
      </c>
      <c r="L313" s="877">
        <f t="shared" si="61"/>
        <v>0</v>
      </c>
      <c r="N313" s="877">
        <f t="shared" si="61"/>
        <v>0</v>
      </c>
      <c r="O313" s="877">
        <f t="shared" si="61"/>
        <v>0</v>
      </c>
      <c r="P313" s="877">
        <f t="shared" si="61"/>
        <v>2.8679984946371452E-2</v>
      </c>
      <c r="Q313" s="877">
        <f t="shared" si="61"/>
        <v>0</v>
      </c>
      <c r="R313" s="877">
        <f t="shared" si="61"/>
        <v>-5.2277330574428772E-2</v>
      </c>
      <c r="S313" s="877">
        <f t="shared" si="61"/>
        <v>0</v>
      </c>
      <c r="T313" s="877">
        <f t="shared" si="61"/>
        <v>0</v>
      </c>
      <c r="U313" s="877">
        <f>U317*$C$281+U321*$C$285+$C$289*U325+$C$293*U329</f>
        <v>5.4184551069927211E-3</v>
      </c>
      <c r="V313" s="877">
        <f>V317*$C$281+V321*$C$285+$C$289*V325+$C$293*V329</f>
        <v>2.8679984946371452E-2</v>
      </c>
      <c r="W313" s="886">
        <f>W317*$C$281+W321*$C$285+$C$289*W325+$C$293*W329</f>
        <v>0.23747027535595563</v>
      </c>
      <c r="Y313" s="879"/>
      <c r="AD313" s="886"/>
      <c r="AF313" s="879"/>
      <c r="AK313" s="886"/>
      <c r="AM313" s="879"/>
      <c r="AR313" s="886"/>
      <c r="AT313" s="879"/>
      <c r="AY313" s="886"/>
      <c r="BA313" s="879"/>
      <c r="BF313" s="886"/>
      <c r="BG313" s="877"/>
      <c r="BH313" s="879"/>
      <c r="BI313" s="877"/>
      <c r="BJ313" s="877"/>
      <c r="BK313" s="877"/>
      <c r="BL313" s="877"/>
      <c r="BM313" s="886"/>
      <c r="BN313" s="877"/>
      <c r="BO313" s="879"/>
      <c r="BP313" s="877"/>
      <c r="BQ313" s="877"/>
      <c r="BR313" s="877"/>
      <c r="BS313" s="877"/>
      <c r="BT313" s="886"/>
      <c r="BU313" s="877"/>
      <c r="BV313" s="879"/>
      <c r="BW313" s="886"/>
    </row>
    <row r="314" spans="1:75">
      <c r="A314" s="18"/>
      <c r="B314" s="360"/>
      <c r="C314" s="83"/>
      <c r="D314" s="54"/>
      <c r="E314" s="1295" t="s">
        <v>320</v>
      </c>
      <c r="F314" s="928">
        <f t="shared" ref="F314:W314" si="62">F318*$C$281+F322*$C$285+$C$289*F326+$C$293*F330</f>
        <v>1.0748885034062711E-4</v>
      </c>
      <c r="G314" s="877">
        <f t="shared" si="62"/>
        <v>1.798445879273938E-4</v>
      </c>
      <c r="H314" s="878">
        <f t="shared" si="62"/>
        <v>2.53333898204533E-4</v>
      </c>
      <c r="I314" s="877">
        <f t="shared" si="62"/>
        <v>7.2355737586766709E-5</v>
      </c>
      <c r="J314" s="877">
        <f t="shared" si="62"/>
        <v>0</v>
      </c>
      <c r="K314" s="877">
        <f>K318*$C$281+K322*$C$285+$C$289*K326+$C$293*M330</f>
        <v>1.0477428372641373E-4</v>
      </c>
      <c r="L314" s="877">
        <f t="shared" si="62"/>
        <v>2.7145666142133782E-6</v>
      </c>
      <c r="N314" s="877">
        <f t="shared" si="62"/>
        <v>0</v>
      </c>
      <c r="O314" s="877">
        <f t="shared" si="62"/>
        <v>0</v>
      </c>
      <c r="P314" s="877">
        <f t="shared" si="62"/>
        <v>0</v>
      </c>
      <c r="Q314" s="877">
        <f t="shared" si="62"/>
        <v>0</v>
      </c>
      <c r="R314" s="877">
        <f t="shared" si="62"/>
        <v>0</v>
      </c>
      <c r="S314" s="877">
        <f t="shared" si="62"/>
        <v>0</v>
      </c>
      <c r="T314" s="877">
        <f t="shared" si="62"/>
        <v>0</v>
      </c>
      <c r="U314" s="877">
        <f t="shared" si="62"/>
        <v>1.798445879273938E-4</v>
      </c>
      <c r="V314" s="877">
        <f t="shared" si="62"/>
        <v>0</v>
      </c>
      <c r="W314" s="886">
        <f t="shared" si="62"/>
        <v>0</v>
      </c>
      <c r="Y314" s="879"/>
      <c r="AD314" s="886"/>
      <c r="AF314" s="879"/>
      <c r="AK314" s="886"/>
      <c r="AM314" s="879"/>
      <c r="AR314" s="886"/>
      <c r="AT314" s="879"/>
      <c r="AY314" s="886"/>
      <c r="BA314" s="879"/>
      <c r="BF314" s="886"/>
      <c r="BG314" s="877"/>
      <c r="BH314" s="879"/>
      <c r="BI314" s="877"/>
      <c r="BJ314" s="877"/>
      <c r="BK314" s="877"/>
      <c r="BL314" s="877"/>
      <c r="BM314" s="886"/>
      <c r="BN314" s="877"/>
      <c r="BO314" s="879"/>
      <c r="BP314" s="877"/>
      <c r="BQ314" s="877"/>
      <c r="BR314" s="877"/>
      <c r="BS314" s="877"/>
      <c r="BT314" s="886"/>
      <c r="BU314" s="877"/>
      <c r="BV314" s="879"/>
      <c r="BW314" s="886"/>
    </row>
    <row r="315" spans="1:75">
      <c r="A315" s="20" t="s">
        <v>152</v>
      </c>
      <c r="B315" s="93" t="s">
        <v>121</v>
      </c>
      <c r="C315" s="87">
        <v>0.17</v>
      </c>
      <c r="D315" s="54"/>
      <c r="E315" s="1293" t="s">
        <v>316</v>
      </c>
      <c r="F315" s="930">
        <f>SUMPRODUCT($CI$4:$CI$6,F316:F318)</f>
        <v>-6.8371849263096432E-2</v>
      </c>
      <c r="G315" s="872">
        <f>SUMPRODUCT($CI$4:$CI$6,G316:G318)</f>
        <v>2.6839383708235808E-2</v>
      </c>
      <c r="H315" s="873">
        <f>SUMPRODUCT($CI$4:$CI$6,H316:H318)</f>
        <v>0.83270127848432385</v>
      </c>
      <c r="I315" s="884"/>
      <c r="J315" s="884"/>
      <c r="K315" s="884"/>
      <c r="L315" s="884"/>
      <c r="M315" s="884"/>
      <c r="N315" s="884"/>
      <c r="O315" s="884"/>
      <c r="P315" s="884"/>
      <c r="Q315" s="884"/>
      <c r="R315" s="884"/>
      <c r="S315" s="884"/>
      <c r="T315" s="884"/>
      <c r="U315" s="884"/>
      <c r="V315" s="884"/>
      <c r="W315" s="885"/>
      <c r="Y315" s="879">
        <f>1/'Input data plant-based products'!E188*10^4</f>
        <v>17.56358016017985</v>
      </c>
      <c r="Z315" s="877">
        <f>$Y315*'Input data plant-based products'!Z188</f>
        <v>17.56358016017985</v>
      </c>
      <c r="AA315" s="877">
        <f>$Y315*'Input data plant-based products'!AA188</f>
        <v>17.56358016017985</v>
      </c>
      <c r="AB315" s="877">
        <f>$Y315*'Input data plant-based products'!AB188</f>
        <v>17.56358016017985</v>
      </c>
      <c r="AC315" s="877">
        <f>$Y315*'Input data plant-based products'!AC188</f>
        <v>19.857835304217289</v>
      </c>
      <c r="AD315" s="886">
        <f>$Y315*'Input data plant-based products'!AD188</f>
        <v>20.685245108559677</v>
      </c>
      <c r="AF315" s="879">
        <f>SUM('Input data plant-based products'!F188,'Input data plant-based products'!AE188)/'Input data plant-based products'!E188</f>
        <v>3.1555100000000003E-2</v>
      </c>
      <c r="AG315" s="877">
        <f>$AF315*'Input data plant-based products'!Z188</f>
        <v>3.1555100000000003E-2</v>
      </c>
      <c r="AH315" s="877">
        <f>$AF315*'Input data plant-based products'!AA188</f>
        <v>3.1555100000000003E-2</v>
      </c>
      <c r="AI315" s="877">
        <f>$AF315*'Input data plant-based products'!AB188</f>
        <v>3.1555100000000003E-2</v>
      </c>
      <c r="AJ315" s="877">
        <f>$AF315*'Input data plant-based products'!AC188</f>
        <v>3.5677007369418388E-2</v>
      </c>
      <c r="AK315" s="886">
        <f>$AF315*'Input data plant-based products'!AD188</f>
        <v>3.7163549343144156E-2</v>
      </c>
      <c r="AM315" s="879">
        <f>'Input data plant-based products'!R188/'Input data plant-based products'!E188</f>
        <v>1.5332999999999999E-2</v>
      </c>
      <c r="AN315" s="877">
        <f>$AM315*'Input data plant-based products'!Z188</f>
        <v>1.5332999999999999E-2</v>
      </c>
      <c r="AO315" s="877">
        <f>$AM315*'Input data plant-based products'!AA188</f>
        <v>1.5332999999999999E-2</v>
      </c>
      <c r="AP315" s="877">
        <f>$AM315*'Input data plant-based products'!AB188</f>
        <v>1.5332999999999999E-2</v>
      </c>
      <c r="AQ315" s="877">
        <f>$AM315*'Input data plant-based products'!AC188</f>
        <v>1.733588402493708E-2</v>
      </c>
      <c r="AR315" s="886">
        <f>$AM315*'Input data plant-based products'!AD188</f>
        <v>1.8058212525976124E-2</v>
      </c>
      <c r="AT315" s="879">
        <f>'Input data plant-based products'!S188</f>
        <v>0.50864630610103301</v>
      </c>
      <c r="AU315" s="877">
        <f>$AT315*'Input data plant-based products'!Z188</f>
        <v>0.50864630610103301</v>
      </c>
      <c r="AV315" s="877">
        <f>$AT315*'Input data plant-based products'!AA188</f>
        <v>0.50864630610103301</v>
      </c>
      <c r="AW315" s="877">
        <f>$AT315*'Input data plant-based products'!AB188</f>
        <v>0.50864630610103301</v>
      </c>
      <c r="AX315" s="877">
        <f>$AT315*'Input data plant-based products'!AC188</f>
        <v>0.57508859142243229</v>
      </c>
      <c r="AY315" s="886">
        <f>$AT315*'Input data plant-based products'!AD188</f>
        <v>0.59905061606503363</v>
      </c>
      <c r="BA315" s="879">
        <f>((SUM('Input data plant-based products'!U188:Y188)*Y315)/('Common input data'!$B$192/10^6))/$BB$3</f>
        <v>2.7549006030418256E-8</v>
      </c>
      <c r="BB315" s="877">
        <f>$BA315*'Input data plant-based products'!Z188</f>
        <v>2.7549006030418256E-8</v>
      </c>
      <c r="BC315" s="877">
        <f>$BA315*'Input data plant-based products'!AA188</f>
        <v>2.7549006030418256E-8</v>
      </c>
      <c r="BD315" s="877">
        <f>$BA315*'Input data plant-based products'!AB188</f>
        <v>2.7549006030418256E-8</v>
      </c>
      <c r="BE315" s="877">
        <f>$BA315*'Input data plant-based products'!AC188</f>
        <v>3.1147614527204276E-8</v>
      </c>
      <c r="BF315" s="886">
        <f>$BA315*'Input data plant-based products'!AD188</f>
        <v>3.2445431799171118E-8</v>
      </c>
      <c r="BG315" s="877"/>
      <c r="BH315" s="879">
        <f>'Input data plant-based products'!T188/'Input data plant-based products'!E188</f>
        <v>0</v>
      </c>
      <c r="BI315" s="877">
        <f>$BH315*'Input data plant-based products'!Z188</f>
        <v>0</v>
      </c>
      <c r="BJ315" s="877">
        <f>$BH315*'Input data plant-based products'!AA188</f>
        <v>0</v>
      </c>
      <c r="BK315" s="877">
        <f>$BH315*'Input data plant-based products'!AB188</f>
        <v>0</v>
      </c>
      <c r="BL315" s="877">
        <f>$BH315*'Input data plant-based products'!AC188</f>
        <v>0</v>
      </c>
      <c r="BM315" s="886">
        <f>$BH315*'Input data plant-based products'!AD188</f>
        <v>0</v>
      </c>
      <c r="BN315" s="877"/>
      <c r="BO315" s="879">
        <f>('Input data plant-based products'!F188/'Input data plant-based products'!E188*'Common input data'!$B$195+'Input data plant-based products'!G188/'Input data plant-based products'!E188*'Common input data'!$B$196)/'Common input data'!$B$198</f>
        <v>8.0571950239880072E-4</v>
      </c>
      <c r="BP315" s="877">
        <f>$BO315*'Input data plant-based products'!Z188</f>
        <v>8.0571950239880072E-4</v>
      </c>
      <c r="BQ315" s="877">
        <f>$BO315*'Input data plant-based products'!AA188</f>
        <v>8.0571950239880072E-4</v>
      </c>
      <c r="BR315" s="877">
        <f>$BO315*'Input data plant-based products'!AB188</f>
        <v>8.0571950239880072E-4</v>
      </c>
      <c r="BS315" s="877">
        <f>$BO315*'Input data plant-based products'!AC188</f>
        <v>9.1096718517026166E-4</v>
      </c>
      <c r="BT315" s="886">
        <f>$BO315*'Input data plant-based products'!AD188</f>
        <v>9.4892415121902263E-4</v>
      </c>
      <c r="BU315" s="877"/>
      <c r="BV315" s="879">
        <f>'Common input data'!$C$202*'Input data plant-based products'!AC248</f>
        <v>0</v>
      </c>
      <c r="BW315" s="886">
        <f>'Common input data'!$C$202*'Input data plant-based products'!AD248</f>
        <v>0</v>
      </c>
    </row>
    <row r="316" spans="1:75">
      <c r="A316" s="499"/>
      <c r="B316" s="55"/>
      <c r="C316" s="917"/>
      <c r="E316" s="1294" t="s">
        <v>317</v>
      </c>
      <c r="F316" s="928">
        <f>IF(AND($G$2="No",$G$3="No"),SUM(K316:L316),IF(AND($G$2="Yes", $G$3="No"), SUM(K316:L316)+S316, IF(AND($G$2="No", $G$3="Yes"),SUM(K316:L316)+R316, SUM(K316:L316)+S316+R316)))</f>
        <v>-9.1139048141381296E-2</v>
      </c>
      <c r="G316" s="877">
        <f>IF(AND($G$2="No",$G$3="No"),SUM(I316:Q316),IF(AND($G$2="Yes", $G$3="No"), SUM(I316:Q316)+S316, IF(AND($G$2="No", $G$3="Yes"),SUM(I316:Q316)+R316, SUM(I316:Q316)+S316+R316)))</f>
        <v>-1.679465939495528E-3</v>
      </c>
      <c r="H316" s="878">
        <f>SUM(U316:W316)/(1-'Common input data'!$H$140)</f>
        <v>0.7935678880022291</v>
      </c>
      <c r="I316" s="877">
        <f>('Input data plant-based products'!$F$211*('Common input data'!$B$93*'Common input data'!B86+'Common input data'!$B$94*'Common input data'!C86))/'Input data plant-based products'!$E$211</f>
        <v>9.4595822018857731E-3</v>
      </c>
      <c r="J316" s="877">
        <f>'Common input data'!$B$98</f>
        <v>0.03</v>
      </c>
      <c r="K316" s="877">
        <v>0</v>
      </c>
      <c r="L316" s="877">
        <v>0</v>
      </c>
      <c r="N316" s="877">
        <f>('Input data plant-based products'!$P$211*'Common input data'!$C$76*'Common input data'!H66)/'Input data plant-based products'!$E$211</f>
        <v>0</v>
      </c>
      <c r="O316" s="877">
        <v>0</v>
      </c>
      <c r="P316" s="877">
        <f>'Input data plant-based products'!F$309</f>
        <v>0.05</v>
      </c>
      <c r="Q316" s="877">
        <v>0</v>
      </c>
      <c r="R316" s="877">
        <f>'Common input data'!$F$19</f>
        <v>-9.1139048141381296E-2</v>
      </c>
      <c r="S316" s="877">
        <v>0</v>
      </c>
      <c r="T316" s="877">
        <v>0</v>
      </c>
      <c r="U316" s="877">
        <f>G316+T316</f>
        <v>-1.679465939495528E-3</v>
      </c>
      <c r="V316" s="877">
        <f>'Common input data'!B$103</f>
        <v>0.15</v>
      </c>
      <c r="W316" s="886">
        <f>'Common input data'!B120+'Common input data'!C120</f>
        <v>0.43000000000000005</v>
      </c>
      <c r="Y316" s="879"/>
      <c r="AD316" s="886"/>
      <c r="AF316" s="879"/>
      <c r="AK316" s="886"/>
      <c r="AM316" s="879"/>
      <c r="AR316" s="886"/>
      <c r="AT316" s="879"/>
      <c r="AY316" s="886"/>
      <c r="BA316" s="879"/>
      <c r="BF316" s="886"/>
      <c r="BG316" s="877"/>
      <c r="BH316" s="879"/>
      <c r="BI316" s="877"/>
      <c r="BJ316" s="877"/>
      <c r="BK316" s="877"/>
      <c r="BL316" s="877"/>
      <c r="BM316" s="886"/>
      <c r="BN316" s="877"/>
      <c r="BO316" s="879"/>
      <c r="BP316" s="877"/>
      <c r="BQ316" s="877"/>
      <c r="BR316" s="877"/>
      <c r="BS316" s="877"/>
      <c r="BT316" s="886"/>
      <c r="BU316" s="877"/>
      <c r="BV316" s="879"/>
      <c r="BW316" s="886"/>
    </row>
    <row r="317" spans="1:75">
      <c r="A317" s="499"/>
      <c r="B317" s="55"/>
      <c r="C317" s="595"/>
      <c r="D317" s="50"/>
      <c r="E317" s="1294" t="s">
        <v>367</v>
      </c>
      <c r="F317" s="928">
        <f>SUM(K317:M317)</f>
        <v>0</v>
      </c>
      <c r="G317" s="877">
        <f>SUM(I317:Q317)</f>
        <v>1.19006216517935E-5</v>
      </c>
      <c r="H317" s="878">
        <f>SUM(U317:W317)/(1-'Common input data'!$H$140)</f>
        <v>1.6329960003009906E-5</v>
      </c>
      <c r="I317" s="877">
        <f>('Input data plant-based products'!$F$211*('Common input data'!$B$93*'Common input data'!B87+'Common input data'!$B$94*'Common input data'!C87))/'Input data plant-based products'!$E$211</f>
        <v>1.19006216517935E-5</v>
      </c>
      <c r="J317" s="877">
        <v>0</v>
      </c>
      <c r="K317" s="877">
        <v>0</v>
      </c>
      <c r="L317" s="877">
        <v>0</v>
      </c>
      <c r="N317" s="877">
        <f>('Input data plant-based products'!$P$211*'Common input data'!$C$76*'Common input data'!H67)/'Input data plant-based products'!$E$211</f>
        <v>0</v>
      </c>
      <c r="O317" s="877">
        <v>0</v>
      </c>
      <c r="P317" s="877">
        <v>0</v>
      </c>
      <c r="Q317" s="877">
        <v>0</v>
      </c>
      <c r="R317" s="877">
        <v>0</v>
      </c>
      <c r="S317" s="877">
        <v>0</v>
      </c>
      <c r="T317" s="877">
        <v>0</v>
      </c>
      <c r="U317" s="877">
        <f>G317+T317</f>
        <v>1.19006216517935E-5</v>
      </c>
      <c r="V317" s="877">
        <v>0</v>
      </c>
      <c r="W317" s="886">
        <v>0</v>
      </c>
      <c r="Y317" s="879"/>
      <c r="AD317" s="886"/>
      <c r="AF317" s="879"/>
      <c r="AK317" s="886"/>
      <c r="AM317" s="879"/>
      <c r="AR317" s="886"/>
      <c r="AT317" s="879"/>
      <c r="AY317" s="886"/>
      <c r="BA317" s="879"/>
      <c r="BF317" s="886"/>
      <c r="BG317" s="877"/>
      <c r="BH317" s="879"/>
      <c r="BI317" s="877"/>
      <c r="BJ317" s="877"/>
      <c r="BK317" s="877"/>
      <c r="BL317" s="877"/>
      <c r="BM317" s="886"/>
      <c r="BN317" s="877"/>
      <c r="BO317" s="879"/>
      <c r="BP317" s="877"/>
      <c r="BQ317" s="877"/>
      <c r="BR317" s="877"/>
      <c r="BS317" s="877"/>
      <c r="BT317" s="886"/>
      <c r="BU317" s="877"/>
      <c r="BV317" s="879"/>
      <c r="BW317" s="886"/>
    </row>
    <row r="318" spans="1:75">
      <c r="A318" s="18"/>
      <c r="B318" s="360"/>
      <c r="C318" s="83"/>
      <c r="D318" s="54"/>
      <c r="E318" s="1295" t="s">
        <v>320</v>
      </c>
      <c r="F318" s="928">
        <f>SUM(K318:M318)</f>
        <v>8.3396332887490345E-5</v>
      </c>
      <c r="G318" s="877">
        <f>SUM(I318:Q318)</f>
        <v>1.0328766616532203E-4</v>
      </c>
      <c r="H318" s="878">
        <f>SUM(U318:W318)/(1-'Common input data'!$H$140)</f>
        <v>1.417307016923569E-4</v>
      </c>
      <c r="I318" s="877">
        <f>('Input data plant-based products'!$F$211*('Common input data'!$B$93*'Common input data'!B88+'Common input data'!$B$94*'Common input data'!C88))/'Input data plant-based products'!$E$211</f>
        <v>1.989133327783168E-5</v>
      </c>
      <c r="J318" s="877">
        <v>0</v>
      </c>
      <c r="K318" s="877">
        <f>(SUM(('Input data plant-based products'!$F$211*'Input data plant-based products'!$B$258),(('Input data plant-based products'!$G$211+'Input data plant-based products'!$H$211)*'Input data plant-based products'!$B$259))*44/28)/'Input data plant-based products'!$E$211</f>
        <v>7.5814848079536681E-5</v>
      </c>
      <c r="L318" s="877">
        <f>K318*'Input data plant-based products'!$B$261</f>
        <v>7.5814848079536683E-6</v>
      </c>
      <c r="N318" s="877">
        <f>('Input data plant-based products'!$P$211*'Common input data'!$C$76*'Common input data'!H68)/'Input data plant-based products'!$E$211</f>
        <v>0</v>
      </c>
      <c r="O318" s="877">
        <v>0</v>
      </c>
      <c r="P318" s="877">
        <v>0</v>
      </c>
      <c r="Q318" s="877">
        <v>0</v>
      </c>
      <c r="R318" s="877">
        <v>0</v>
      </c>
      <c r="S318" s="877">
        <v>0</v>
      </c>
      <c r="T318" s="877">
        <v>0</v>
      </c>
      <c r="U318" s="877">
        <f>G318+T318</f>
        <v>1.0328766616532203E-4</v>
      </c>
      <c r="V318" s="877">
        <v>0</v>
      </c>
      <c r="W318" s="886">
        <v>0</v>
      </c>
      <c r="Y318" s="879"/>
      <c r="AD318" s="886"/>
      <c r="AF318" s="879"/>
      <c r="AK318" s="886"/>
      <c r="AM318" s="879"/>
      <c r="AR318" s="886"/>
      <c r="AT318" s="879"/>
      <c r="AY318" s="886"/>
      <c r="BA318" s="879"/>
      <c r="BF318" s="886"/>
      <c r="BG318" s="877"/>
      <c r="BH318" s="879"/>
      <c r="BI318" s="877"/>
      <c r="BJ318" s="877"/>
      <c r="BK318" s="877"/>
      <c r="BL318" s="877"/>
      <c r="BM318" s="886"/>
      <c r="BN318" s="877"/>
      <c r="BO318" s="879"/>
      <c r="BP318" s="877"/>
      <c r="BQ318" s="877"/>
      <c r="BR318" s="877"/>
      <c r="BS318" s="877"/>
      <c r="BT318" s="886"/>
      <c r="BU318" s="877"/>
      <c r="BV318" s="879"/>
      <c r="BW318" s="886"/>
    </row>
    <row r="319" spans="1:75">
      <c r="A319" s="20" t="s">
        <v>153</v>
      </c>
      <c r="B319" s="93" t="s">
        <v>121</v>
      </c>
      <c r="C319" s="87">
        <v>0.12</v>
      </c>
      <c r="D319" s="54"/>
      <c r="E319" s="1293" t="s">
        <v>316</v>
      </c>
      <c r="F319" s="930">
        <f>SUMPRODUCT($CI$4:$CI$6,F320:F322)</f>
        <v>-7.1181387622592462E-2</v>
      </c>
      <c r="G319" s="872">
        <f>SUMPRODUCT($CI$4:$CI$6,G320:G322)</f>
        <v>2.2152735092152615E-2</v>
      </c>
      <c r="H319" s="873">
        <f>SUMPRODUCT($CI$4:$CI$6,H320:H322)</f>
        <v>0.98030563303565765</v>
      </c>
      <c r="I319" s="884"/>
      <c r="J319" s="884"/>
      <c r="K319" s="884"/>
      <c r="L319" s="884"/>
      <c r="M319" s="884"/>
      <c r="N319" s="884"/>
      <c r="O319" s="884"/>
      <c r="P319" s="884"/>
      <c r="Q319" s="884"/>
      <c r="R319" s="884"/>
      <c r="S319" s="884"/>
      <c r="T319" s="884"/>
      <c r="U319" s="884"/>
      <c r="V319" s="884"/>
      <c r="W319" s="885"/>
      <c r="Y319" s="879">
        <f>1/'Input data plant-based products'!E189*10^4</f>
        <v>3.3299668415811698</v>
      </c>
      <c r="Z319" s="877">
        <f>$Y319*'Input data plant-based products'!Z189</f>
        <v>0</v>
      </c>
      <c r="AA319" s="877">
        <f>$Y319*'Input data plant-based products'!AA189</f>
        <v>0</v>
      </c>
      <c r="AB319" s="877">
        <f>$Y319*'Input data plant-based products'!AB189</f>
        <v>0</v>
      </c>
      <c r="AC319" s="877">
        <f>$Y319*'Input data plant-based products'!AC189</f>
        <v>0</v>
      </c>
      <c r="AD319" s="886">
        <f>$Y319*'Input data plant-based products'!AD189</f>
        <v>0</v>
      </c>
      <c r="AF319" s="879">
        <f>SUM('Input data plant-based products'!F189,'Input data plant-based products'!AE189)/'Input data plant-based products'!E189</f>
        <v>5.0114846689015566E-3</v>
      </c>
      <c r="AG319" s="877">
        <f>$AF319*'Input data plant-based products'!Z189</f>
        <v>0</v>
      </c>
      <c r="AH319" s="877">
        <f>$AF319*'Input data plant-based products'!AA189</f>
        <v>0</v>
      </c>
      <c r="AI319" s="877">
        <f>$AF319*'Input data plant-based products'!AB189</f>
        <v>0</v>
      </c>
      <c r="AJ319" s="877">
        <f>$AF319*'Input data plant-based products'!AC189</f>
        <v>0</v>
      </c>
      <c r="AK319" s="886">
        <f>$AF319*'Input data plant-based products'!AD189</f>
        <v>0</v>
      </c>
      <c r="AM319" s="879">
        <f>'Input data plant-based products'!R189/'Input data plant-based products'!E189</f>
        <v>1.321080186622161E-2</v>
      </c>
      <c r="AN319" s="877">
        <f>$AM319*'Input data plant-based products'!Z189</f>
        <v>0</v>
      </c>
      <c r="AO319" s="877">
        <f>$AM319*'Input data plant-based products'!AA189</f>
        <v>0</v>
      </c>
      <c r="AP319" s="877">
        <f>$AM319*'Input data plant-based products'!AB189</f>
        <v>0</v>
      </c>
      <c r="AQ319" s="877">
        <f>$AM319*'Input data plant-based products'!AC189</f>
        <v>0</v>
      </c>
      <c r="AR319" s="886">
        <f>$AM319*'Input data plant-based products'!AD189</f>
        <v>0</v>
      </c>
      <c r="AT319" s="879">
        <f>'Input data plant-based products'!S189</f>
        <v>4.6629121136329318E-2</v>
      </c>
      <c r="AU319" s="877">
        <f>$AT319*'Input data plant-based products'!Z189</f>
        <v>0</v>
      </c>
      <c r="AV319" s="877">
        <f>$AT319*'Input data plant-based products'!AA189</f>
        <v>0</v>
      </c>
      <c r="AW319" s="877">
        <f>$AT319*'Input data plant-based products'!AB189</f>
        <v>0</v>
      </c>
      <c r="AX319" s="877">
        <f>$AT319*'Input data plant-based products'!AC189</f>
        <v>0</v>
      </c>
      <c r="AY319" s="886">
        <f>$AT319*'Input data plant-based products'!AD189</f>
        <v>0</v>
      </c>
      <c r="BA319" s="879">
        <f>((SUM('Input data plant-based products'!U189:Y189)*Y319)/('Common input data'!$B$192/10^6))/$BB$3</f>
        <v>7.94781635899742E-10</v>
      </c>
      <c r="BB319" s="877">
        <f>$BA319*'Input data plant-based products'!Z189</f>
        <v>0</v>
      </c>
      <c r="BC319" s="877">
        <f>$BA319*'Input data plant-based products'!AA189</f>
        <v>0</v>
      </c>
      <c r="BD319" s="877">
        <f>$BA319*'Input data plant-based products'!AB189</f>
        <v>0</v>
      </c>
      <c r="BE319" s="877">
        <f>$BA319*'Input data plant-based products'!AC189</f>
        <v>0</v>
      </c>
      <c r="BF319" s="886">
        <f>$BA319*'Input data plant-based products'!AD189</f>
        <v>0</v>
      </c>
      <c r="BG319" s="877"/>
      <c r="BH319" s="879">
        <f>'Input data plant-based products'!T189/'Input data plant-based products'!E189</f>
        <v>0</v>
      </c>
      <c r="BI319" s="877">
        <f>$BH319*'Input data plant-based products'!Z189</f>
        <v>0</v>
      </c>
      <c r="BJ319" s="877">
        <f>$BH319*'Input data plant-based products'!AA189</f>
        <v>0</v>
      </c>
      <c r="BK319" s="877">
        <f>$BH319*'Input data plant-based products'!AB189</f>
        <v>0</v>
      </c>
      <c r="BL319" s="877">
        <f>$BH319*'Input data plant-based products'!AC189</f>
        <v>0</v>
      </c>
      <c r="BM319" s="886">
        <f>$BH319*'Input data plant-based products'!AD189</f>
        <v>0</v>
      </c>
      <c r="BN319" s="877"/>
      <c r="BO319" s="879">
        <f>('Input data plant-based products'!F189/'Input data plant-based products'!E189*'Common input data'!$B$195+'Input data plant-based products'!G189/'Input data plant-based products'!E189*'Common input data'!$B$196)/'Common input data'!$B$198</f>
        <v>1.2796191213802459E-4</v>
      </c>
      <c r="BP319" s="877">
        <f>$BO319*'Input data plant-based products'!Z189</f>
        <v>0</v>
      </c>
      <c r="BQ319" s="877">
        <f>$BO319*'Input data plant-based products'!AA189</f>
        <v>0</v>
      </c>
      <c r="BR319" s="877">
        <f>$BO319*'Input data plant-based products'!AB189</f>
        <v>0</v>
      </c>
      <c r="BS319" s="877">
        <f>$BO319*'Input data plant-based products'!AC189</f>
        <v>0</v>
      </c>
      <c r="BT319" s="886">
        <f>$BO319*'Input data plant-based products'!AD189</f>
        <v>0</v>
      </c>
      <c r="BU319" s="877"/>
      <c r="BV319" s="879">
        <f>('Common input data'!$C$202+'Common input data'!$B$208)*'Input data plant-based products'!AC249</f>
        <v>0</v>
      </c>
      <c r="BW319" s="886">
        <f>('Common input data'!$C$202+'Common input data'!$B$208)*'Input data plant-based products'!AD249</f>
        <v>0</v>
      </c>
    </row>
    <row r="320" spans="1:75">
      <c r="A320" s="499"/>
      <c r="B320" s="55"/>
      <c r="C320" s="917"/>
      <c r="E320" s="1294" t="s">
        <v>317</v>
      </c>
      <c r="F320" s="928">
        <f>IF(AND($G$2="No",$G$3="No"),SUM(K320:L320),IF(AND($G$2="Yes", $G$3="No"), SUM(K320:L320)+S320, IF(AND($G$2="No", $G$3="Yes"),SUM(K320:L320)+R320, SUM(K320:L320)+S320+R320)))</f>
        <v>-9.1139048141381296E-2</v>
      </c>
      <c r="G320" s="877">
        <f>IF(AND($G$2="No",$G$3="No"),SUM(I320:Q320),IF(AND($G$2="Yes", $G$3="No"), SUM(I320:Q320)+S320, IF(AND($G$2="No", $G$3="Yes"),SUM(I320:Q320)+R320, SUM(I320:Q320)+S320+R320)))</f>
        <v>-2.8468058131043417E-3</v>
      </c>
      <c r="H320" s="878">
        <f>SUM(U320:W320)/(1-'Common input data'!$G$140)</f>
        <v>0.93960633974260599</v>
      </c>
      <c r="I320" s="877">
        <f>('Input data plant-based products'!$F$212*('Common input data'!$B$93*'Common input data'!B86+'Common input data'!$B$94*'Common input data'!C86))/'Input data plant-based products'!$E$212</f>
        <v>8.2922423282769508E-3</v>
      </c>
      <c r="J320" s="877">
        <f>'Common input data'!$B$98</f>
        <v>0.03</v>
      </c>
      <c r="K320" s="877">
        <v>0</v>
      </c>
      <c r="L320" s="877">
        <v>0</v>
      </c>
      <c r="N320" s="877">
        <f>('Input data plant-based products'!$P$212*'Common input data'!$C$76*'Common input data'!H66)/'Input data plant-based products'!$E$212</f>
        <v>0</v>
      </c>
      <c r="O320" s="877">
        <v>0</v>
      </c>
      <c r="P320" s="877">
        <f>'Input data plant-based products'!F$309</f>
        <v>0.05</v>
      </c>
      <c r="Q320" s="877">
        <v>0</v>
      </c>
      <c r="R320" s="877">
        <f>'Common input data'!$F$19</f>
        <v>-9.1139048141381296E-2</v>
      </c>
      <c r="S320" s="877">
        <v>0</v>
      </c>
      <c r="T320" s="877">
        <v>0</v>
      </c>
      <c r="U320" s="877">
        <f>G320+T320</f>
        <v>-2.8468058131043417E-3</v>
      </c>
      <c r="V320" s="877">
        <f>'Common input data'!B$103</f>
        <v>0.15</v>
      </c>
      <c r="W320" s="886">
        <f>'Common input data'!B122+'Common input data'!C122</f>
        <v>0.43000000000000005</v>
      </c>
      <c r="Y320" s="879"/>
      <c r="AD320" s="886"/>
      <c r="AF320" s="879"/>
      <c r="AK320" s="886"/>
      <c r="AM320" s="879"/>
      <c r="AR320" s="886"/>
      <c r="AT320" s="879"/>
      <c r="AY320" s="886"/>
      <c r="BA320" s="879"/>
      <c r="BF320" s="886"/>
      <c r="BG320" s="877"/>
      <c r="BH320" s="879"/>
      <c r="BI320" s="877"/>
      <c r="BJ320" s="877"/>
      <c r="BK320" s="877"/>
      <c r="BL320" s="877"/>
      <c r="BM320" s="886"/>
      <c r="BN320" s="877"/>
      <c r="BO320" s="879"/>
      <c r="BP320" s="877"/>
      <c r="BQ320" s="877"/>
      <c r="BR320" s="877"/>
      <c r="BS320" s="877"/>
      <c r="BT320" s="886"/>
      <c r="BU320" s="877"/>
      <c r="BV320" s="879"/>
      <c r="BW320" s="886"/>
    </row>
    <row r="321" spans="1:75">
      <c r="A321" s="499"/>
      <c r="B321" s="55"/>
      <c r="C321" s="595"/>
      <c r="D321" s="50"/>
      <c r="E321" s="1294" t="s">
        <v>367</v>
      </c>
      <c r="F321" s="928">
        <f>SUM(K321:M321)</f>
        <v>0</v>
      </c>
      <c r="G321" s="877">
        <f>SUM(I321:Q321)</f>
        <v>1.0432050431798007E-5</v>
      </c>
      <c r="H321" s="878">
        <f>SUM(U321:W321)/(1-'Common input data'!$G$140)</f>
        <v>1.6983395086362243E-5</v>
      </c>
      <c r="I321" s="877">
        <f>('Input data plant-based products'!$F$212*('Common input data'!$B$93*'Common input data'!B87+'Common input data'!$B$94*'Common input data'!C87))/'Input data plant-based products'!$E$212</f>
        <v>1.0432050431798007E-5</v>
      </c>
      <c r="J321" s="877">
        <v>0</v>
      </c>
      <c r="K321" s="877">
        <v>0</v>
      </c>
      <c r="L321" s="877">
        <v>0</v>
      </c>
      <c r="N321" s="877">
        <f>('Input data plant-based products'!$P$155*'Common input data'!$C$76*'Common input data'!H101)/'Input data plant-based products'!$E$155</f>
        <v>0</v>
      </c>
      <c r="O321" s="877">
        <v>0</v>
      </c>
      <c r="P321" s="877">
        <v>0</v>
      </c>
      <c r="Q321" s="877">
        <v>0</v>
      </c>
      <c r="R321" s="877">
        <v>0</v>
      </c>
      <c r="S321" s="877">
        <v>0</v>
      </c>
      <c r="T321" s="877">
        <v>0</v>
      </c>
      <c r="U321" s="877">
        <f>G321+T321</f>
        <v>1.0432050431798007E-5</v>
      </c>
      <c r="V321" s="877">
        <v>0</v>
      </c>
      <c r="W321" s="886">
        <v>0</v>
      </c>
      <c r="Y321" s="879"/>
      <c r="AD321" s="886"/>
      <c r="AF321" s="879"/>
      <c r="AK321" s="886"/>
      <c r="AM321" s="879"/>
      <c r="AR321" s="886"/>
      <c r="AT321" s="879"/>
      <c r="AY321" s="886"/>
      <c r="BA321" s="879"/>
      <c r="BF321" s="886"/>
      <c r="BG321" s="877"/>
      <c r="BH321" s="879"/>
      <c r="BI321" s="877"/>
      <c r="BJ321" s="877"/>
      <c r="BK321" s="877"/>
      <c r="BL321" s="877"/>
      <c r="BM321" s="886"/>
      <c r="BN321" s="877"/>
      <c r="BO321" s="879"/>
      <c r="BP321" s="877"/>
      <c r="BQ321" s="877"/>
      <c r="BR321" s="877"/>
      <c r="BS321" s="877"/>
      <c r="BT321" s="886"/>
      <c r="BU321" s="877"/>
      <c r="BV321" s="879"/>
      <c r="BW321" s="886"/>
    </row>
    <row r="322" spans="1:75">
      <c r="A322" s="18"/>
      <c r="B322" s="360"/>
      <c r="C322" s="83"/>
      <c r="D322" s="54"/>
      <c r="E322" s="1295" t="s">
        <v>320</v>
      </c>
      <c r="F322" s="928">
        <f>SUM(K322:M322)</f>
        <v>7.3104983585307111E-5</v>
      </c>
      <c r="G322" s="877">
        <f>SUM(I322:Q322)</f>
        <v>9.0541668657869633E-5</v>
      </c>
      <c r="H322" s="878">
        <f>SUM(U322:W322)/(1-'Common input data'!$G$140)</f>
        <v>1.4740198397699574E-4</v>
      </c>
      <c r="I322" s="877">
        <f>('Input data plant-based products'!$F$212*('Common input data'!$B$93*'Common input data'!B88+'Common input data'!$B$94*'Common input data'!C88))/'Input data plant-based products'!$E$212</f>
        <v>1.7436685072562522E-5</v>
      </c>
      <c r="J322" s="877">
        <v>0</v>
      </c>
      <c r="K322" s="877">
        <f>(SUM(('Input data plant-based products'!$F$212*'Input data plant-based products'!$B$258),(('Input data plant-based products'!$G$212+'Input data plant-based products'!$H$212)*'Input data plant-based products'!$B$259))*44/28)/'Input data plant-based products'!$E$212</f>
        <v>6.6459075986642822E-5</v>
      </c>
      <c r="L322" s="877">
        <f>K322*'Input data plant-based products'!$B$261</f>
        <v>6.6459075986642822E-6</v>
      </c>
      <c r="N322" s="877">
        <f>('Input data plant-based products'!$P$155*'Common input data'!$C$76*'Common input data'!H102)/'Input data plant-based products'!$E$155</f>
        <v>0</v>
      </c>
      <c r="O322" s="877">
        <v>0</v>
      </c>
      <c r="P322" s="877">
        <v>0</v>
      </c>
      <c r="Q322" s="877">
        <v>0</v>
      </c>
      <c r="R322" s="877">
        <v>0</v>
      </c>
      <c r="S322" s="877">
        <v>0</v>
      </c>
      <c r="T322" s="877">
        <v>0</v>
      </c>
      <c r="U322" s="877">
        <f>G322+T322</f>
        <v>9.0541668657869633E-5</v>
      </c>
      <c r="V322" s="877">
        <v>0</v>
      </c>
      <c r="W322" s="886">
        <v>0</v>
      </c>
      <c r="Y322" s="879"/>
      <c r="AD322" s="886"/>
      <c r="AF322" s="879"/>
      <c r="AK322" s="886"/>
      <c r="AM322" s="879"/>
      <c r="AR322" s="886"/>
      <c r="AT322" s="879"/>
      <c r="AY322" s="886"/>
      <c r="BA322" s="879"/>
      <c r="BF322" s="886"/>
      <c r="BG322" s="877"/>
      <c r="BH322" s="879"/>
      <c r="BI322" s="877"/>
      <c r="BJ322" s="877"/>
      <c r="BK322" s="877"/>
      <c r="BL322" s="877"/>
      <c r="BM322" s="886"/>
      <c r="BN322" s="877"/>
      <c r="BO322" s="879"/>
      <c r="BP322" s="877"/>
      <c r="BQ322" s="877"/>
      <c r="BR322" s="877"/>
      <c r="BS322" s="877"/>
      <c r="BT322" s="886"/>
      <c r="BU322" s="877"/>
      <c r="BV322" s="879"/>
      <c r="BW322" s="886"/>
    </row>
    <row r="323" spans="1:75">
      <c r="A323" s="20" t="s">
        <v>134</v>
      </c>
      <c r="B323" s="93" t="s">
        <v>121</v>
      </c>
      <c r="C323" s="87">
        <v>0.71</v>
      </c>
      <c r="D323" s="54"/>
      <c r="E323" s="1293" t="s">
        <v>316</v>
      </c>
      <c r="F323" s="930">
        <f>SUMPRODUCT($CI$4:$CI$6,F324:F326)</f>
        <v>-7.6038248141381298E-2</v>
      </c>
      <c r="G323" s="872">
        <f>SUMPRODUCT($CI$4:$CI$6,G324:G326)</f>
        <v>0.15242575185861873</v>
      </c>
      <c r="H323" s="873">
        <f>SUMPRODUCT($CI$4:$CI$6,H324:H326)</f>
        <v>1.0050301222056901</v>
      </c>
      <c r="I323" s="884"/>
      <c r="J323" s="884"/>
      <c r="K323" s="884"/>
      <c r="L323" s="884"/>
      <c r="M323" s="884"/>
      <c r="N323" s="884"/>
      <c r="O323" s="884"/>
      <c r="P323" s="884"/>
      <c r="Q323" s="884"/>
      <c r="R323" s="884"/>
      <c r="S323" s="884"/>
      <c r="T323" s="884"/>
      <c r="U323" s="884"/>
      <c r="V323" s="884"/>
      <c r="W323" s="885"/>
      <c r="Y323" s="879">
        <f>1/'Input data plant-based products'!E190*10^4</f>
        <v>3.0873726458783577</v>
      </c>
      <c r="Z323" s="877">
        <f>$Y323*'Input data plant-based products'!Z190</f>
        <v>3.0873726458783577</v>
      </c>
      <c r="AA323" s="877">
        <f>$Y323*'Input data plant-based products'!AA190</f>
        <v>17.152070254879764</v>
      </c>
      <c r="AB323" s="877">
        <f>$Y323*'Input data plant-based products'!AB190</f>
        <v>6.0032245892079166</v>
      </c>
      <c r="AC323" s="877">
        <f>$Y323*'Input data plant-based products'!AC190</f>
        <v>6.3830139172864619</v>
      </c>
      <c r="AD323" s="886">
        <f>$Y323*'Input data plant-based products'!AD190</f>
        <v>6.6489728305067306</v>
      </c>
      <c r="AF323" s="879">
        <f>SUM('Input data plant-based products'!F190,'Input data plant-based products'!AE190)/'Input data plant-based products'!E190</f>
        <v>9.2621179376350723E-3</v>
      </c>
      <c r="AG323" s="877">
        <f>$AF323*'Input data plant-based products'!Z190</f>
        <v>9.2621179376350723E-3</v>
      </c>
      <c r="AH323" s="877">
        <f>$AF323*'Input data plant-based products'!AA190</f>
        <v>5.1456210764639292E-2</v>
      </c>
      <c r="AI323" s="877">
        <f>$AF323*'Input data plant-based products'!AB190</f>
        <v>1.800967376762375E-2</v>
      </c>
      <c r="AJ323" s="877">
        <f>$AF323*'Input data plant-based products'!AC190</f>
        <v>1.9149041751859382E-2</v>
      </c>
      <c r="AK323" s="886">
        <f>$AF323*'Input data plant-based products'!AD190</f>
        <v>1.994691849152019E-2</v>
      </c>
      <c r="AM323" s="879">
        <f>'Input data plant-based products'!R190/'Input data plant-based products'!E190</f>
        <v>1.8524235875270145E-2</v>
      </c>
      <c r="AN323" s="877">
        <f>$AM323*'Input data plant-based products'!Z190</f>
        <v>1.8524235875270145E-2</v>
      </c>
      <c r="AO323" s="877">
        <f>$AM323*'Input data plant-based products'!AA190</f>
        <v>0.10291242152927858</v>
      </c>
      <c r="AP323" s="877">
        <f>$AM323*'Input data plant-based products'!AB190</f>
        <v>3.6019347535247499E-2</v>
      </c>
      <c r="AQ323" s="877">
        <f>$AM323*'Input data plant-based products'!AC190</f>
        <v>3.8298083503718765E-2</v>
      </c>
      <c r="AR323" s="886">
        <f>$AM323*'Input data plant-based products'!AD190</f>
        <v>3.989383698304038E-2</v>
      </c>
      <c r="AT323" s="879">
        <f>'Input data plant-based products'!S190</f>
        <v>9.2364702723536099E-2</v>
      </c>
      <c r="AU323" s="877">
        <f>$AT323*'Input data plant-based products'!Z190</f>
        <v>9.2364702723536099E-2</v>
      </c>
      <c r="AV323" s="877">
        <f>$AT323*'Input data plant-based products'!AA190</f>
        <v>0.51313723735297834</v>
      </c>
      <c r="AW323" s="877">
        <f>$AT323*'Input data plant-based products'!AB190</f>
        <v>0.17959803307354238</v>
      </c>
      <c r="AX323" s="877">
        <f>$AT323*'Input data plant-based products'!AC190</f>
        <v>0.19096016275762084</v>
      </c>
      <c r="AY323" s="886">
        <f>$AT323*'Input data plant-based products'!AD190</f>
        <v>0.19891683620585504</v>
      </c>
      <c r="BA323" s="879">
        <f>((SUM('Input data plant-based products'!U190:Y190)*Y323)/('Common input data'!$B$192/10^6))/$BB$3</f>
        <v>5.2948791852627376E-10</v>
      </c>
      <c r="BB323" s="877">
        <f>$BA323*'Input data plant-based products'!Z190</f>
        <v>5.2948791852627376E-10</v>
      </c>
      <c r="BC323" s="877">
        <f>$BA323*'Input data plant-based products'!AA190</f>
        <v>2.9415995473681873E-9</v>
      </c>
      <c r="BD323" s="877">
        <f>$BA323*'Input data plant-based products'!AB190</f>
        <v>1.0295598415788655E-9</v>
      </c>
      <c r="BE323" s="877">
        <f>$BA323*'Input data plant-based products'!AC190</f>
        <v>1.0946941430928927E-9</v>
      </c>
      <c r="BF323" s="886">
        <f>$BA323*'Input data plant-based products'!AD190</f>
        <v>1.1403063990550965E-9</v>
      </c>
      <c r="BG323" s="877"/>
      <c r="BH323" s="879">
        <f>'Input data plant-based products'!T190/'Input data plant-based products'!E190</f>
        <v>5.1999999999999995E-4</v>
      </c>
      <c r="BI323" s="877">
        <f>$BH323*'Input data plant-based products'!Z190</f>
        <v>5.1999999999999995E-4</v>
      </c>
      <c r="BJ323" s="877">
        <f>$BH323*'Input data plant-based products'!AA190</f>
        <v>2.8888888888888883E-3</v>
      </c>
      <c r="BK323" s="877">
        <f>$BH323*'Input data plant-based products'!AB190</f>
        <v>1.0111111111111108E-3</v>
      </c>
      <c r="BL323" s="877">
        <f>$BH323*'Input data plant-based products'!AC190</f>
        <v>1.0750782680607239E-3</v>
      </c>
      <c r="BM323" s="886">
        <f>$BH323*'Input data plant-based products'!AD190</f>
        <v>1.1198731958965875E-3</v>
      </c>
      <c r="BN323" s="877"/>
      <c r="BO323" s="879">
        <f>('Input data plant-based products'!F190/'Input data plant-based products'!E190*'Common input data'!$B$195+'Input data plant-based products'!G190/'Input data plant-based products'!E190*'Common input data'!$B$196)/'Common input data'!$B$198</f>
        <v>2.3649644766995939E-4</v>
      </c>
      <c r="BP323" s="877">
        <f>$BO323*'Input data plant-based products'!Z190</f>
        <v>2.3649644766995939E-4</v>
      </c>
      <c r="BQ323" s="877">
        <f>$BO323*'Input data plant-based products'!AA190</f>
        <v>1.3138691537219966E-3</v>
      </c>
      <c r="BR323" s="877">
        <f>$BO323*'Input data plant-based products'!AB190</f>
        <v>4.5985420380269878E-4</v>
      </c>
      <c r="BS323" s="877">
        <f>$BO323*'Input data plant-based products'!AC190</f>
        <v>4.8894652185294929E-4</v>
      </c>
      <c r="BT323" s="886">
        <f>$BO323*'Input data plant-based products'!AD190</f>
        <v>5.0931929359682214E-4</v>
      </c>
      <c r="BU323" s="877"/>
      <c r="BV323" s="879">
        <f>('Common input data'!$C$202+'Common input data'!$B$209)*'Input data plant-based products'!AC250</f>
        <v>0</v>
      </c>
      <c r="BW323" s="886">
        <f>('Common input data'!$C$202+'Common input data'!$B$209)*'Input data plant-based products'!AD250</f>
        <v>0</v>
      </c>
    </row>
    <row r="324" spans="1:75">
      <c r="A324" s="18"/>
      <c r="B324" s="55"/>
      <c r="C324" s="917"/>
      <c r="E324" s="1294" t="s">
        <v>317</v>
      </c>
      <c r="F324" s="928">
        <f>IF(AND($G$2="No",$G$3="No"),SUM(K324:L324),IF(AND($G$2="Yes", $G$3="No"), SUM(K324:L324)+S324, IF(AND($G$2="No", $G$3="Yes"),SUM(K324:L324)+R324, SUM(K324:L324)+S324+R324)))</f>
        <v>-9.1139048141381296E-2</v>
      </c>
      <c r="G324" s="877">
        <f>IF(AND($G$2="No",$G$3="No"),SUM(I324:Q324),IF(AND($G$2="Yes", $G$3="No"), SUM(I324:Q324)+S324, IF(AND($G$2="No", $G$3="Yes"),SUM(I324:Q324)+R324, SUM(I324:Q324)+S324+R324)))</f>
        <v>-1.063504814138129E-2</v>
      </c>
      <c r="H324" s="878">
        <f>SUM(U324:W324)/(1-'Common input data'!$I$140)</f>
        <v>0.78127909306029242</v>
      </c>
      <c r="I324" s="877">
        <f>('Input data plant-based products'!$F$156*('Common input data'!$B$93*'Common input data'!B120+'Common input data'!$B$94*'Common input data'!C120))/'Input data plant-based products'!$E$156</f>
        <v>5.04E-4</v>
      </c>
      <c r="J324" s="877">
        <f>'Common input data'!$B$98</f>
        <v>0.03</v>
      </c>
      <c r="K324" s="877">
        <v>0</v>
      </c>
      <c r="L324" s="877">
        <v>0</v>
      </c>
      <c r="N324" s="877">
        <f>('Input data plant-based products'!$P$156*'Common input data'!$C$76*'Common input data'!H100)/'Input data plant-based products'!$E$156</f>
        <v>0</v>
      </c>
      <c r="O324" s="877">
        <v>0</v>
      </c>
      <c r="P324" s="877">
        <f>'Input data plant-based products'!F$309</f>
        <v>0.05</v>
      </c>
      <c r="Q324" s="877">
        <v>0</v>
      </c>
      <c r="R324" s="877">
        <f>'Common input data'!$F$19</f>
        <v>-9.1139048141381296E-2</v>
      </c>
      <c r="S324" s="877">
        <v>0</v>
      </c>
      <c r="T324" s="877">
        <v>0</v>
      </c>
      <c r="U324" s="877">
        <f>G324+T324</f>
        <v>-1.063504814138129E-2</v>
      </c>
      <c r="V324" s="877">
        <f>'Common input data'!B$103</f>
        <v>0.15</v>
      </c>
      <c r="W324" s="886">
        <f>'Common input data'!B128+'Common input data'!C128</f>
        <v>0.43000000000000005</v>
      </c>
      <c r="Y324" s="879"/>
      <c r="AD324" s="886"/>
      <c r="AF324" s="879"/>
      <c r="AK324" s="886"/>
      <c r="AM324" s="879"/>
      <c r="AR324" s="886"/>
      <c r="AT324" s="879"/>
      <c r="AY324" s="886"/>
      <c r="BA324" s="879"/>
      <c r="BF324" s="886"/>
      <c r="BG324" s="877"/>
      <c r="BH324" s="879"/>
      <c r="BI324" s="877"/>
      <c r="BJ324" s="877"/>
      <c r="BK324" s="877"/>
      <c r="BL324" s="877"/>
      <c r="BM324" s="886"/>
      <c r="BN324" s="877"/>
      <c r="BO324" s="879"/>
      <c r="BP324" s="877"/>
      <c r="BQ324" s="877"/>
      <c r="BR324" s="877"/>
      <c r="BS324" s="877"/>
      <c r="BT324" s="886"/>
      <c r="BU324" s="877"/>
      <c r="BV324" s="879"/>
      <c r="BW324" s="886"/>
    </row>
    <row r="325" spans="1:75">
      <c r="A325" s="18"/>
      <c r="B325" s="55"/>
      <c r="C325" s="595"/>
      <c r="D325" s="50"/>
      <c r="E325" s="1294" t="s">
        <v>367</v>
      </c>
      <c r="F325" s="928">
        <f>SUM(K325:M325)</f>
        <v>0</v>
      </c>
      <c r="G325" s="877">
        <f>SUM(I325:Q325)</f>
        <v>3.8400000000000001E-4</v>
      </c>
      <c r="H325" s="878">
        <f>SUM(U325:W325)/(1-'Common input data'!$I$140)</f>
        <v>5.2692244360283218E-4</v>
      </c>
      <c r="I325" s="877">
        <f>('Input data plant-based products'!$F$156*('Common input data'!$B$93*'Common input data'!B121+'Common input data'!$B$94*'Common input data'!C121))/'Input data plant-based products'!$E$156</f>
        <v>3.8400000000000001E-4</v>
      </c>
      <c r="J325" s="877">
        <v>0</v>
      </c>
      <c r="K325" s="877">
        <v>0</v>
      </c>
      <c r="L325" s="877">
        <v>0</v>
      </c>
      <c r="N325" s="877">
        <f>('Input data plant-based products'!$P$156*'Common input data'!$C$76*'Common input data'!H101)/'Input data plant-based products'!$E$156</f>
        <v>0</v>
      </c>
      <c r="O325" s="877">
        <v>0</v>
      </c>
      <c r="P325" s="877">
        <v>0</v>
      </c>
      <c r="Q325" s="877">
        <v>0</v>
      </c>
      <c r="R325" s="877">
        <v>0</v>
      </c>
      <c r="S325" s="877">
        <v>0</v>
      </c>
      <c r="T325" s="877">
        <v>0</v>
      </c>
      <c r="U325" s="877">
        <f>G325+T325</f>
        <v>3.8400000000000001E-4</v>
      </c>
      <c r="V325" s="877">
        <v>0</v>
      </c>
      <c r="W325" s="886">
        <v>0</v>
      </c>
      <c r="Y325" s="879"/>
      <c r="AD325" s="886"/>
      <c r="AF325" s="879"/>
      <c r="AK325" s="886"/>
      <c r="AM325" s="879"/>
      <c r="AR325" s="886"/>
      <c r="AT325" s="879"/>
      <c r="AY325" s="886"/>
      <c r="BA325" s="879"/>
      <c r="BF325" s="886"/>
      <c r="BG325" s="877"/>
      <c r="BH325" s="879"/>
      <c r="BI325" s="877"/>
      <c r="BJ325" s="877"/>
      <c r="BK325" s="877"/>
      <c r="BL325" s="877"/>
      <c r="BM325" s="886"/>
      <c r="BN325" s="877"/>
      <c r="BO325" s="879"/>
      <c r="BP325" s="877"/>
      <c r="BQ325" s="877"/>
      <c r="BR325" s="877"/>
      <c r="BS325" s="877"/>
      <c r="BT325" s="886"/>
      <c r="BU325" s="877"/>
      <c r="BV325" s="879"/>
      <c r="BW325" s="886"/>
    </row>
    <row r="326" spans="1:75">
      <c r="A326" s="18"/>
      <c r="B326" s="360"/>
      <c r="C326" s="83"/>
      <c r="D326" s="54"/>
      <c r="E326" s="1295" t="s">
        <v>320</v>
      </c>
      <c r="F326" s="928">
        <f>SUM(K326:M326)</f>
        <v>5.5314285714285719E-5</v>
      </c>
      <c r="G326" s="877">
        <f>SUM(I326:Q326)</f>
        <v>5.5931428571428577E-4</v>
      </c>
      <c r="H326" s="878">
        <f>SUM(U326:W326)/(1-'Common input data'!$I$140)</f>
        <v>7.6748763065245861E-4</v>
      </c>
      <c r="I326" s="877">
        <f>('Input data plant-based products'!$F$156*('Common input data'!$B$93*'Common input data'!B122+'Common input data'!$B$94*'Common input data'!C122))/'Input data plant-based products'!$E$156</f>
        <v>5.04E-4</v>
      </c>
      <c r="J326" s="877">
        <v>0</v>
      </c>
      <c r="K326" s="877">
        <f>(SUM(('Input data plant-based products'!$F$156*'Input data plant-based products'!$B$258),(('Input data plant-based products'!$G$156+'Input data plant-based products'!$H$156)*'Input data plant-based products'!$B$259))*44/28)/'Input data plant-based products'!$E$156</f>
        <v>5.0285714285714286E-5</v>
      </c>
      <c r="L326" s="877">
        <f>K326*'Input data plant-based products'!$B$261</f>
        <v>5.0285714285714293E-6</v>
      </c>
      <c r="N326" s="877">
        <f>('Input data plant-based products'!$P$156*'Common input data'!$C$76*'Common input data'!H102)/'Input data plant-based products'!$E$156</f>
        <v>0</v>
      </c>
      <c r="O326" s="877">
        <v>0</v>
      </c>
      <c r="P326" s="877">
        <v>0</v>
      </c>
      <c r="Q326" s="877">
        <v>0</v>
      </c>
      <c r="R326" s="877">
        <v>0</v>
      </c>
      <c r="S326" s="877">
        <v>0</v>
      </c>
      <c r="T326" s="877">
        <v>0</v>
      </c>
      <c r="U326" s="877">
        <f>G326+T326</f>
        <v>5.5931428571428577E-4</v>
      </c>
      <c r="V326" s="877">
        <v>0</v>
      </c>
      <c r="W326" s="886">
        <v>0</v>
      </c>
      <c r="Y326" s="879"/>
      <c r="AD326" s="886"/>
      <c r="AF326" s="879"/>
      <c r="AK326" s="886"/>
      <c r="AM326" s="879"/>
      <c r="AR326" s="886"/>
      <c r="AT326" s="879"/>
      <c r="AY326" s="886"/>
      <c r="BA326" s="879"/>
      <c r="BF326" s="886"/>
      <c r="BG326" s="877"/>
      <c r="BH326" s="879"/>
      <c r="BI326" s="877"/>
      <c r="BJ326" s="877"/>
      <c r="BK326" s="877"/>
      <c r="BL326" s="877"/>
      <c r="BM326" s="886"/>
      <c r="BN326" s="877"/>
      <c r="BO326" s="879"/>
      <c r="BP326" s="877"/>
      <c r="BQ326" s="877"/>
      <c r="BR326" s="877"/>
      <c r="BS326" s="877"/>
      <c r="BT326" s="886"/>
      <c r="BU326" s="877"/>
      <c r="BV326" s="879"/>
      <c r="BW326" s="886"/>
    </row>
    <row r="327" spans="1:75">
      <c r="A327" s="362" t="s">
        <v>154</v>
      </c>
      <c r="B327" s="363"/>
      <c r="C327" s="770"/>
      <c r="D327" s="54"/>
      <c r="E327" s="1296"/>
      <c r="F327" s="969" t="s">
        <v>535</v>
      </c>
      <c r="G327" s="892" t="s">
        <v>535</v>
      </c>
      <c r="H327" s="970" t="s">
        <v>535</v>
      </c>
      <c r="I327" s="892"/>
      <c r="J327" s="892"/>
      <c r="K327" s="892"/>
      <c r="L327" s="892"/>
      <c r="M327" s="892"/>
      <c r="N327" s="892"/>
      <c r="O327" s="892"/>
      <c r="P327" s="892"/>
      <c r="Q327" s="892"/>
      <c r="R327" s="892"/>
      <c r="S327" s="892"/>
      <c r="T327" s="892"/>
      <c r="U327" s="892"/>
      <c r="V327" s="892"/>
      <c r="W327" s="1291"/>
      <c r="Y327" s="879"/>
      <c r="AD327" s="886"/>
      <c r="AF327" s="879"/>
      <c r="AK327" s="886"/>
      <c r="AM327" s="879"/>
      <c r="AR327" s="886"/>
      <c r="AT327" s="879"/>
      <c r="AY327" s="886"/>
      <c r="BA327" s="879"/>
      <c r="BF327" s="886"/>
      <c r="BG327" s="877"/>
      <c r="BH327" s="879"/>
      <c r="BI327" s="877"/>
      <c r="BJ327" s="877"/>
      <c r="BK327" s="877"/>
      <c r="BL327" s="877"/>
      <c r="BM327" s="886"/>
      <c r="BN327" s="877"/>
      <c r="BO327" s="879"/>
      <c r="BP327" s="877"/>
      <c r="BQ327" s="877"/>
      <c r="BR327" s="877"/>
      <c r="BS327" s="877"/>
      <c r="BT327" s="886"/>
      <c r="BU327" s="877"/>
      <c r="BV327" s="879"/>
      <c r="BW327" s="886"/>
    </row>
    <row r="328" spans="1:75">
      <c r="A328" s="20" t="s">
        <v>120</v>
      </c>
      <c r="B328" s="93" t="s">
        <v>121</v>
      </c>
      <c r="C328" s="903">
        <f>SUM(C332:C339)</f>
        <v>1</v>
      </c>
      <c r="D328" s="50"/>
      <c r="E328" s="1293" t="s">
        <v>316</v>
      </c>
      <c r="F328" s="930">
        <f>SUMPRODUCT($CI$4:$CI$6,F329:F331)</f>
        <v>-7.2063175710622915E-3</v>
      </c>
      <c r="G328" s="872">
        <f>SUMPRODUCT($CI$4:$CI$6,G329:G331)</f>
        <v>4.2793682428937711E-2</v>
      </c>
      <c r="H328" s="873">
        <f>SUMPRODUCT($CI$4:$CI$6,H329:H331)</f>
        <v>0.70698789949650931</v>
      </c>
      <c r="I328" s="884"/>
      <c r="J328" s="884"/>
      <c r="K328" s="884"/>
      <c r="L328" s="884"/>
      <c r="M328" s="884"/>
      <c r="N328" s="884"/>
      <c r="O328" s="884"/>
      <c r="P328" s="884"/>
      <c r="Q328" s="884"/>
      <c r="R328" s="884"/>
      <c r="S328" s="884"/>
      <c r="T328" s="884"/>
      <c r="U328" s="884"/>
      <c r="V328" s="884"/>
      <c r="W328" s="885"/>
      <c r="Y328" s="883">
        <f>Y332*$C$332+Y336*$C$336</f>
        <v>0.35881586089949891</v>
      </c>
      <c r="Z328" s="884">
        <f t="shared" ref="Z328:BW328" si="63">Z332*$C$332+Z336*$C$336</f>
        <v>0.35881586089949891</v>
      </c>
      <c r="AA328" s="884">
        <f t="shared" si="63"/>
        <v>0.35881586089949891</v>
      </c>
      <c r="AB328" s="884">
        <f t="shared" si="63"/>
        <v>0.35881586089949891</v>
      </c>
      <c r="AC328" s="884">
        <f t="shared" si="63"/>
        <v>0.49634933376741797</v>
      </c>
      <c r="AD328" s="885">
        <f t="shared" si="63"/>
        <v>0.61277695526841713</v>
      </c>
      <c r="AF328" s="883">
        <f t="shared" si="63"/>
        <v>3.0338493823168114E-3</v>
      </c>
      <c r="AG328" s="884">
        <f t="shared" si="63"/>
        <v>3.0338493823168114E-3</v>
      </c>
      <c r="AH328" s="884">
        <f t="shared" si="63"/>
        <v>3.0338493823168114E-3</v>
      </c>
      <c r="AI328" s="884">
        <f t="shared" si="63"/>
        <v>3.0338493823168114E-3</v>
      </c>
      <c r="AJ328" s="884">
        <f t="shared" si="63"/>
        <v>4.2427177312883563E-3</v>
      </c>
      <c r="AK328" s="885">
        <f t="shared" si="63"/>
        <v>5.2379231250473529E-3</v>
      </c>
      <c r="AM328" s="883">
        <f t="shared" si="63"/>
        <v>1.4089846911584055E-3</v>
      </c>
      <c r="AN328" s="884">
        <f t="shared" si="63"/>
        <v>1.4089846911584055E-3</v>
      </c>
      <c r="AO328" s="884">
        <f t="shared" si="63"/>
        <v>1.4089846911584055E-3</v>
      </c>
      <c r="AP328" s="884">
        <f t="shared" si="63"/>
        <v>1.4089846911584055E-3</v>
      </c>
      <c r="AQ328" s="884">
        <f t="shared" si="63"/>
        <v>1.973244260012694E-3</v>
      </c>
      <c r="AR328" s="885">
        <f t="shared" si="63"/>
        <v>2.43610402470703E-3</v>
      </c>
      <c r="AT328" s="883">
        <f t="shared" si="63"/>
        <v>8.3759836137247377E-3</v>
      </c>
      <c r="AU328" s="884">
        <f t="shared" si="63"/>
        <v>8.3759836137247377E-3</v>
      </c>
      <c r="AV328" s="884">
        <f t="shared" si="63"/>
        <v>8.3759836137247377E-3</v>
      </c>
      <c r="AW328" s="884">
        <f t="shared" si="63"/>
        <v>8.3759836137247377E-3</v>
      </c>
      <c r="AX328" s="884">
        <f t="shared" si="63"/>
        <v>1.1644086010204318E-2</v>
      </c>
      <c r="AY328" s="885">
        <f t="shared" si="63"/>
        <v>1.4375414827412737E-2</v>
      </c>
      <c r="BA328" s="883">
        <f t="shared" si="63"/>
        <v>2.3028678828437572E-9</v>
      </c>
      <c r="BB328" s="884">
        <f t="shared" si="63"/>
        <v>2.3028678828437572E-9</v>
      </c>
      <c r="BC328" s="884">
        <f t="shared" si="63"/>
        <v>2.3028678828437572E-9</v>
      </c>
      <c r="BD328" s="884">
        <f t="shared" si="63"/>
        <v>2.3028678828437572E-9</v>
      </c>
      <c r="BE328" s="884">
        <f t="shared" si="63"/>
        <v>3.1855529923857923E-9</v>
      </c>
      <c r="BF328" s="885">
        <f t="shared" si="63"/>
        <v>3.9327814720812252E-9</v>
      </c>
      <c r="BG328" s="877"/>
      <c r="BH328" s="883">
        <f t="shared" si="63"/>
        <v>0</v>
      </c>
      <c r="BI328" s="884">
        <f t="shared" si="63"/>
        <v>0</v>
      </c>
      <c r="BJ328" s="884">
        <f t="shared" si="63"/>
        <v>0</v>
      </c>
      <c r="BK328" s="884">
        <f t="shared" si="63"/>
        <v>0</v>
      </c>
      <c r="BL328" s="884">
        <f t="shared" si="63"/>
        <v>0</v>
      </c>
      <c r="BM328" s="885">
        <f t="shared" si="63"/>
        <v>0</v>
      </c>
      <c r="BN328" s="877"/>
      <c r="BO328" s="883">
        <f t="shared" si="63"/>
        <v>7.7465500495108849E-5</v>
      </c>
      <c r="BP328" s="884">
        <f t="shared" si="63"/>
        <v>7.7465500495108849E-5</v>
      </c>
      <c r="BQ328" s="884">
        <f t="shared" si="63"/>
        <v>7.7465500495108849E-5</v>
      </c>
      <c r="BR328" s="884">
        <f t="shared" si="63"/>
        <v>7.7465500495108849E-5</v>
      </c>
      <c r="BS328" s="884">
        <f t="shared" si="63"/>
        <v>1.0833242231120238E-4</v>
      </c>
      <c r="BT328" s="885">
        <f t="shared" si="63"/>
        <v>1.3374373124839798E-4</v>
      </c>
      <c r="BU328" s="877"/>
      <c r="BV328" s="883">
        <f t="shared" si="63"/>
        <v>7.5731051555864539</v>
      </c>
      <c r="BW328" s="885">
        <f t="shared" si="63"/>
        <v>9.3495125377610542</v>
      </c>
    </row>
    <row r="329" spans="1:75">
      <c r="A329" s="499"/>
      <c r="B329" s="55"/>
      <c r="C329" s="917"/>
      <c r="E329" s="1294" t="s">
        <v>317</v>
      </c>
      <c r="F329" s="928">
        <f>F333*$C$332+F337*$C$336</f>
        <v>-4.0648172650991299E-2</v>
      </c>
      <c r="G329" s="877">
        <f>G333*$C$332+G337*$C$336</f>
        <v>9.3518273490087039E-3</v>
      </c>
      <c r="H329" s="878">
        <f>H333*$C$332+H337*$C$336</f>
        <v>0.66018413633447071</v>
      </c>
      <c r="I329" s="877">
        <f>I333*$C$332+I337*$C$336</f>
        <v>0</v>
      </c>
      <c r="J329" s="877">
        <f t="shared" ref="J329:W329" si="64">J333*$C$332+J337*$C$336</f>
        <v>0</v>
      </c>
      <c r="L329" s="877">
        <f t="shared" si="64"/>
        <v>0</v>
      </c>
      <c r="M329" s="877">
        <f>M333*$C$332+M337*$C$336</f>
        <v>5.0490875490389997E-2</v>
      </c>
      <c r="N329" s="877">
        <f t="shared" si="64"/>
        <v>0</v>
      </c>
      <c r="O329" s="877">
        <f t="shared" si="64"/>
        <v>0</v>
      </c>
      <c r="P329" s="877">
        <f t="shared" si="64"/>
        <v>0.05</v>
      </c>
      <c r="Q329" s="877">
        <f t="shared" si="64"/>
        <v>0</v>
      </c>
      <c r="R329" s="877">
        <f t="shared" si="64"/>
        <v>-9.1139048141381296E-2</v>
      </c>
      <c r="S329" s="877">
        <f t="shared" si="64"/>
        <v>0</v>
      </c>
      <c r="T329" s="877">
        <f t="shared" si="64"/>
        <v>0</v>
      </c>
      <c r="U329" s="877">
        <f t="shared" si="64"/>
        <v>9.3518273490087039E-3</v>
      </c>
      <c r="V329" s="877">
        <f t="shared" si="64"/>
        <v>0.05</v>
      </c>
      <c r="W329" s="886">
        <f t="shared" si="64"/>
        <v>0.41400000000000003</v>
      </c>
      <c r="Y329" s="879"/>
      <c r="AD329" s="886"/>
      <c r="AF329" s="879"/>
      <c r="AK329" s="886"/>
      <c r="AM329" s="879"/>
      <c r="AR329" s="886"/>
      <c r="AT329" s="879"/>
      <c r="AY329" s="886"/>
      <c r="BA329" s="879"/>
      <c r="BF329" s="886"/>
      <c r="BG329" s="877"/>
      <c r="BH329" s="879"/>
      <c r="BI329" s="877"/>
      <c r="BJ329" s="877"/>
      <c r="BK329" s="877"/>
      <c r="BL329" s="877"/>
      <c r="BM329" s="886"/>
      <c r="BN329" s="877"/>
      <c r="BO329" s="879"/>
      <c r="BP329" s="877"/>
      <c r="BQ329" s="877"/>
      <c r="BR329" s="877"/>
      <c r="BS329" s="877"/>
      <c r="BT329" s="886"/>
      <c r="BU329" s="877"/>
      <c r="BV329" s="879"/>
      <c r="BW329" s="886"/>
    </row>
    <row r="330" spans="1:75">
      <c r="A330" s="499"/>
      <c r="B330" s="55"/>
      <c r="C330" s="595"/>
      <c r="D330" s="50"/>
      <c r="E330" s="1294" t="s">
        <v>367</v>
      </c>
      <c r="F330" s="928">
        <f t="shared" ref="F330:H331" si="65">F334*$C$332+F338*$C$336</f>
        <v>1.3533587575000002E-4</v>
      </c>
      <c r="G330" s="877">
        <f t="shared" si="65"/>
        <v>1.3533587575000002E-4</v>
      </c>
      <c r="H330" s="878">
        <f t="shared" si="65"/>
        <v>1.8941019452391988E-4</v>
      </c>
      <c r="I330" s="877">
        <f t="shared" ref="I330:W331" si="66">I334*$C$332+I338*$C$336</f>
        <v>0</v>
      </c>
      <c r="J330" s="877">
        <f t="shared" si="66"/>
        <v>0</v>
      </c>
      <c r="L330" s="877">
        <f t="shared" si="66"/>
        <v>0</v>
      </c>
      <c r="M330" s="877">
        <f>M334*$C$332+M338*$C$336</f>
        <v>1.3533587575000002E-4</v>
      </c>
      <c r="N330" s="877">
        <f t="shared" si="66"/>
        <v>0</v>
      </c>
      <c r="O330" s="877">
        <f t="shared" si="66"/>
        <v>0</v>
      </c>
      <c r="P330" s="877">
        <f t="shared" si="66"/>
        <v>0</v>
      </c>
      <c r="Q330" s="877">
        <f t="shared" si="66"/>
        <v>0</v>
      </c>
      <c r="R330" s="877">
        <f t="shared" si="66"/>
        <v>0</v>
      </c>
      <c r="S330" s="877">
        <f t="shared" si="66"/>
        <v>0</v>
      </c>
      <c r="T330" s="877">
        <f t="shared" si="66"/>
        <v>0</v>
      </c>
      <c r="U330" s="877">
        <f t="shared" si="66"/>
        <v>1.3533587575000002E-4</v>
      </c>
      <c r="V330" s="877">
        <f t="shared" si="66"/>
        <v>0</v>
      </c>
      <c r="W330" s="886">
        <f t="shared" si="66"/>
        <v>0</v>
      </c>
      <c r="Y330" s="879"/>
      <c r="AD330" s="886"/>
      <c r="AF330" s="879"/>
      <c r="AK330" s="886"/>
      <c r="AM330" s="879"/>
      <c r="AR330" s="886"/>
      <c r="AT330" s="879"/>
      <c r="AY330" s="886"/>
      <c r="BA330" s="879"/>
      <c r="BF330" s="886"/>
      <c r="BG330" s="877"/>
      <c r="BH330" s="879"/>
      <c r="BI330" s="877"/>
      <c r="BJ330" s="877"/>
      <c r="BK330" s="877"/>
      <c r="BL330" s="877"/>
      <c r="BM330" s="886"/>
      <c r="BN330" s="877"/>
      <c r="BO330" s="879"/>
      <c r="BP330" s="877"/>
      <c r="BQ330" s="877"/>
      <c r="BR330" s="877"/>
      <c r="BS330" s="877"/>
      <c r="BT330" s="886"/>
      <c r="BU330" s="877"/>
      <c r="BV330" s="879"/>
      <c r="BW330" s="886"/>
    </row>
    <row r="331" spans="1:75">
      <c r="A331" s="18"/>
      <c r="B331" s="360"/>
      <c r="C331" s="83"/>
      <c r="D331" s="54"/>
      <c r="E331" s="1295" t="s">
        <v>320</v>
      </c>
      <c r="F331" s="928">
        <f t="shared" si="65"/>
        <v>1.0911277082300001E-4</v>
      </c>
      <c r="G331" s="877">
        <f t="shared" si="65"/>
        <v>1.0911277082300001E-4</v>
      </c>
      <c r="H331" s="878">
        <f t="shared" si="65"/>
        <v>1.5270947952341691E-4</v>
      </c>
      <c r="I331" s="877">
        <f t="shared" si="66"/>
        <v>0</v>
      </c>
      <c r="J331" s="877">
        <f t="shared" si="66"/>
        <v>0</v>
      </c>
      <c r="L331" s="877">
        <f t="shared" si="66"/>
        <v>0</v>
      </c>
      <c r="M331" s="877">
        <f>M335*$C$332+M339*$C$336</f>
        <v>1.0911277082300001E-4</v>
      </c>
      <c r="N331" s="877">
        <f t="shared" si="66"/>
        <v>0</v>
      </c>
      <c r="O331" s="877">
        <f t="shared" si="66"/>
        <v>0</v>
      </c>
      <c r="P331" s="877">
        <f t="shared" si="66"/>
        <v>0</v>
      </c>
      <c r="Q331" s="877">
        <f t="shared" si="66"/>
        <v>0</v>
      </c>
      <c r="R331" s="877">
        <f t="shared" si="66"/>
        <v>0</v>
      </c>
      <c r="S331" s="877">
        <f t="shared" si="66"/>
        <v>0</v>
      </c>
      <c r="T331" s="877">
        <f t="shared" si="66"/>
        <v>0</v>
      </c>
      <c r="U331" s="877">
        <f t="shared" si="66"/>
        <v>1.0911277082300001E-4</v>
      </c>
      <c r="V331" s="877">
        <f t="shared" si="66"/>
        <v>0</v>
      </c>
      <c r="W331" s="886">
        <f t="shared" si="66"/>
        <v>0</v>
      </c>
      <c r="Y331" s="879"/>
      <c r="AD331" s="886"/>
      <c r="AF331" s="879"/>
      <c r="AK331" s="886"/>
      <c r="AM331" s="879"/>
      <c r="AR331" s="886"/>
      <c r="AT331" s="879"/>
      <c r="AY331" s="886"/>
      <c r="BA331" s="879"/>
      <c r="BF331" s="886"/>
      <c r="BG331" s="877"/>
      <c r="BH331" s="879"/>
      <c r="BI331" s="877"/>
      <c r="BJ331" s="877"/>
      <c r="BK331" s="877"/>
      <c r="BL331" s="877"/>
      <c r="BM331" s="886"/>
      <c r="BN331" s="877"/>
      <c r="BO331" s="879"/>
      <c r="BP331" s="877"/>
      <c r="BQ331" s="877"/>
      <c r="BR331" s="877"/>
      <c r="BS331" s="877"/>
      <c r="BT331" s="886"/>
      <c r="BU331" s="877"/>
      <c r="BV331" s="879"/>
      <c r="BW331" s="886"/>
    </row>
    <row r="332" spans="1:75">
      <c r="A332" s="20" t="s">
        <v>131</v>
      </c>
      <c r="B332" s="93" t="s">
        <v>121</v>
      </c>
      <c r="C332" s="87">
        <v>0.16</v>
      </c>
      <c r="D332" s="54"/>
      <c r="E332" s="1293" t="s">
        <v>316</v>
      </c>
      <c r="F332" s="930">
        <f>SUMPRODUCT($CI$4:$CI$6,F333:F335)</f>
        <v>-7.2063175710622915E-3</v>
      </c>
      <c r="G332" s="872">
        <f>SUMPRODUCT($CI$4:$CI$6,G333:G335)</f>
        <v>4.2793682428937711E-2</v>
      </c>
      <c r="H332" s="873">
        <f>SUMPRODUCT($CI$4:$CI$6,H333:H335)</f>
        <v>0.65245938646440971</v>
      </c>
      <c r="I332" s="884"/>
      <c r="J332" s="884"/>
      <c r="K332" s="884"/>
      <c r="L332" s="884"/>
      <c r="M332" s="884"/>
      <c r="N332" s="884"/>
      <c r="O332" s="884"/>
      <c r="P332" s="884"/>
      <c r="Q332" s="884"/>
      <c r="R332" s="884"/>
      <c r="S332" s="884"/>
      <c r="T332" s="884"/>
      <c r="U332" s="884"/>
      <c r="V332" s="884"/>
      <c r="W332" s="885"/>
      <c r="Y332" s="879">
        <f>1/'Input data plant-based products'!E218*10^4</f>
        <v>0.14561543197400359</v>
      </c>
      <c r="Z332" s="877">
        <f>$Y332*'Input data plant-based products'!Z218</f>
        <v>0.14561543197400359</v>
      </c>
      <c r="AA332" s="877">
        <f>$Y332*'Input data plant-based products'!AA218</f>
        <v>0.14561543197400359</v>
      </c>
      <c r="AB332" s="877">
        <f>$Y332*'Input data plant-based products'!AB218</f>
        <v>0.14561543197400359</v>
      </c>
      <c r="AC332" s="877">
        <f>$Y332*'Input data plant-based products'!AC218</f>
        <v>0.22471517279938821</v>
      </c>
      <c r="AD332" s="886">
        <f>$Y332*'Input data plant-based products'!AD218</f>
        <v>0.27742613925850396</v>
      </c>
      <c r="AF332" s="879">
        <f>SUM('Input data plant-based products'!F218,'Input data plant-based products'!AE218)/'Input data plant-based products'!E218</f>
        <v>2.9123086394800715E-3</v>
      </c>
      <c r="AG332" s="877">
        <f>$AF332*'Input data plant-based products'!Z218</f>
        <v>2.9123086394800715E-3</v>
      </c>
      <c r="AH332" s="877">
        <f>$AF332*'Input data plant-based products'!AA218</f>
        <v>2.9123086394800715E-3</v>
      </c>
      <c r="AI332" s="877">
        <f>$AF332*'Input data plant-based products'!AB218</f>
        <v>2.9123086394800715E-3</v>
      </c>
      <c r="AJ332" s="877">
        <f>$AF332*'Input data plant-based products'!AC218</f>
        <v>4.4943034559877639E-3</v>
      </c>
      <c r="AK332" s="886">
        <f>$AF332*'Input data plant-based products'!AD218</f>
        <v>5.5485227851700784E-3</v>
      </c>
      <c r="AM332" s="879">
        <f>'Input data plant-based products'!R218/'Input data plant-based products'!E218</f>
        <v>1.4561543197400357E-3</v>
      </c>
      <c r="AN332" s="877">
        <f>$AM332*'Input data plant-based products'!Z218</f>
        <v>1.4561543197400357E-3</v>
      </c>
      <c r="AO332" s="877">
        <f>$AM332*'Input data plant-based products'!AA218</f>
        <v>1.4561543197400357E-3</v>
      </c>
      <c r="AP332" s="877">
        <f>$AM332*'Input data plant-based products'!AB218</f>
        <v>1.4561543197400357E-3</v>
      </c>
      <c r="AQ332" s="877">
        <f>$AM332*'Input data plant-based products'!AC218</f>
        <v>2.2471517279938819E-3</v>
      </c>
      <c r="AR332" s="886">
        <f>$AM332*'Input data plant-based products'!AD218</f>
        <v>2.7742613925850392E-3</v>
      </c>
      <c r="AT332" s="879">
        <f>'Input data plant-based products'!S218</f>
        <v>5.5043344928261094E-3</v>
      </c>
      <c r="AU332" s="877">
        <f>$AT332*'Input data plant-based products'!Z218</f>
        <v>5.5043344928261094E-3</v>
      </c>
      <c r="AV332" s="877">
        <f>$AT332*'Input data plant-based products'!AA218</f>
        <v>5.5043344928261094E-3</v>
      </c>
      <c r="AW332" s="877">
        <f>$AT332*'Input data plant-based products'!AB218</f>
        <v>5.5043344928261094E-3</v>
      </c>
      <c r="AX332" s="877">
        <f>$AT332*'Input data plant-based products'!AC218</f>
        <v>8.4943433531267099E-3</v>
      </c>
      <c r="AY332" s="886">
        <f>$AT332*'Input data plant-based products'!AD218</f>
        <v>1.0486843645835445E-2</v>
      </c>
      <c r="BA332" s="879">
        <f>((SUM('Input data plant-based products'!U218:Y218)*Y332)/('Common input data'!$B$192/10^6))/$BB$3</f>
        <v>9.345548457605016E-10</v>
      </c>
      <c r="BB332" s="877">
        <f>$BA332*'Input data plant-based products'!Z218</f>
        <v>9.345548457605016E-10</v>
      </c>
      <c r="BC332" s="877">
        <f>$BA332*'Input data plant-based products'!AA218</f>
        <v>9.345548457605016E-10</v>
      </c>
      <c r="BD332" s="877">
        <f>$BA332*'Input data plant-based products'!AB218</f>
        <v>9.345548457605016E-10</v>
      </c>
      <c r="BE332" s="877">
        <f>$BA332*'Input data plant-based products'!AC218</f>
        <v>1.4422142681489219E-9</v>
      </c>
      <c r="BF332" s="886">
        <f>$BA332*'Input data plant-based products'!AD218</f>
        <v>1.780511442159163E-9</v>
      </c>
      <c r="BG332" s="877"/>
      <c r="BH332" s="879">
        <f>'Input data plant-based products'!T218/'Input data plant-based products'!E218</f>
        <v>0</v>
      </c>
      <c r="BI332" s="877">
        <f>$BH332*'Input data plant-based products'!Z218</f>
        <v>0</v>
      </c>
      <c r="BJ332" s="877">
        <f>$BH332*'Input data plant-based products'!AA218</f>
        <v>0</v>
      </c>
      <c r="BK332" s="877">
        <f>$BH332*'Input data plant-based products'!AB218</f>
        <v>0</v>
      </c>
      <c r="BL332" s="877">
        <f>$BH332*'Input data plant-based products'!AC218</f>
        <v>0</v>
      </c>
      <c r="BM332" s="886">
        <f>$BH332*'Input data plant-based products'!AD218</f>
        <v>0</v>
      </c>
      <c r="BN332" s="877"/>
      <c r="BO332" s="879">
        <f>('Input data plant-based products'!F218/'Input data plant-based products'!E218*'Common input data'!$B$195+'Input data plant-based products'!G218/'Input data plant-based products'!E218*'Common input data'!$B$196)/'Common input data'!$B$198</f>
        <v>7.436211160267631E-5</v>
      </c>
      <c r="BP332" s="877">
        <f>$BO332*'Input data plant-based products'!Z218</f>
        <v>7.436211160267631E-5</v>
      </c>
      <c r="BQ332" s="877">
        <f>$BO332*'Input data plant-based products'!AA218</f>
        <v>7.436211160267631E-5</v>
      </c>
      <c r="BR332" s="877">
        <f>$BO332*'Input data plant-based products'!AB218</f>
        <v>7.436211160267631E-5</v>
      </c>
      <c r="BS332" s="877">
        <f>$BO332*'Input data plant-based products'!AC218</f>
        <v>1.1475634506585848E-4</v>
      </c>
      <c r="BT332" s="886">
        <f>$BO332*'Input data plant-based products'!AD218</f>
        <v>1.4167450008130677E-4</v>
      </c>
      <c r="BU332" s="877"/>
      <c r="BV332" s="879">
        <f>('Common input data'!$B$216+'Common input data'!$C$216)*'Input data plant-based products'!AC218</f>
        <v>6.6116358024691353</v>
      </c>
      <c r="BW332" s="886">
        <f>('Common input data'!$B$216+'Common input data'!$C$216)*'Input data plant-based products'!AD218</f>
        <v>8.1625133363816484</v>
      </c>
    </row>
    <row r="333" spans="1:75">
      <c r="A333" s="499"/>
      <c r="B333" s="55"/>
      <c r="C333" s="917"/>
      <c r="E333" s="1294" t="s">
        <v>317</v>
      </c>
      <c r="F333" s="928">
        <f>IF(AND($G$2="No",$G$3="No"),SUM(L333:M333),IF(AND($G$2="Yes", $G$3="No"), SUM(L333:M333)+S333, IF(AND($G$2="No", $G$3="Yes"),SUM(L333:M333)+R333, SUM(L333:M333)+S333+R333)))</f>
        <v>-4.0648172650991299E-2</v>
      </c>
      <c r="G333" s="877">
        <f>IF(AND($G$2="No",$G$3="No"),SUM(I333:Q333),IF(AND($G$2="Yes", $G$3="No"), SUM(I333:Q333)+S333, IF(AND($G$2="No", $G$3="Yes"),SUM(I333:Q333)+R333, SUM(I333:Q333)+S333+R333)))</f>
        <v>9.3518273490087039E-3</v>
      </c>
      <c r="H333" s="878">
        <f>SUM(U333:W333)/(1-'Common input data'!$F$140)</f>
        <v>0.60085158541513661</v>
      </c>
      <c r="M333" s="877">
        <v>5.0490875490389997E-2</v>
      </c>
      <c r="P333" s="877">
        <f>'Input data plant-based products'!$F$309</f>
        <v>0.05</v>
      </c>
      <c r="R333" s="877">
        <f>'Common input data'!$F$19</f>
        <v>-9.1139048141381296E-2</v>
      </c>
      <c r="S333" s="877">
        <v>0</v>
      </c>
      <c r="T333" s="877">
        <v>0</v>
      </c>
      <c r="U333" s="877">
        <f>G333+T333</f>
        <v>9.3518273490087039E-3</v>
      </c>
      <c r="V333" s="877">
        <f>'Common input data'!$B$105</f>
        <v>0.05</v>
      </c>
      <c r="W333" s="886">
        <f>'Common input data'!$B$123+'Common input data'!$C$123</f>
        <v>0.32999999999999996</v>
      </c>
      <c r="Y333" s="879"/>
      <c r="AD333" s="886"/>
      <c r="AF333" s="879"/>
      <c r="AK333" s="886"/>
      <c r="AM333" s="879"/>
      <c r="AR333" s="886"/>
      <c r="AT333" s="879"/>
      <c r="AY333" s="886"/>
      <c r="BA333" s="879"/>
      <c r="BF333" s="886"/>
      <c r="BG333" s="877"/>
      <c r="BH333" s="879"/>
      <c r="BI333" s="877"/>
      <c r="BJ333" s="877"/>
      <c r="BK333" s="877"/>
      <c r="BL333" s="877"/>
      <c r="BM333" s="886"/>
      <c r="BN333" s="877"/>
      <c r="BO333" s="879"/>
      <c r="BP333" s="877"/>
      <c r="BQ333" s="877"/>
      <c r="BR333" s="877"/>
      <c r="BS333" s="877"/>
      <c r="BT333" s="886"/>
      <c r="BU333" s="877"/>
      <c r="BV333" s="879"/>
      <c r="BW333" s="886"/>
    </row>
    <row r="334" spans="1:75">
      <c r="A334" s="499"/>
      <c r="B334" s="55"/>
      <c r="C334" s="595"/>
      <c r="D334" s="50"/>
      <c r="E334" s="1294" t="s">
        <v>367</v>
      </c>
      <c r="F334" s="928">
        <f>SUM(K334:M334)</f>
        <v>1.3533587575000002E-4</v>
      </c>
      <c r="G334" s="877">
        <f>SUM(I334:Q334)</f>
        <v>1.3533587575000002E-4</v>
      </c>
      <c r="H334" s="878">
        <f>SUM(U334:W334)/(1-'Common input data'!$F$140)</f>
        <v>2.0885166010802466E-4</v>
      </c>
      <c r="M334" s="877">
        <v>1.3533587575000002E-4</v>
      </c>
      <c r="S334" s="877">
        <v>0</v>
      </c>
      <c r="T334" s="877">
        <v>0</v>
      </c>
      <c r="U334" s="877">
        <f>G334+T334</f>
        <v>1.3533587575000002E-4</v>
      </c>
      <c r="W334" s="886"/>
      <c r="Y334" s="879"/>
      <c r="AD334" s="886"/>
      <c r="AF334" s="879"/>
      <c r="AK334" s="886"/>
      <c r="AM334" s="879"/>
      <c r="AR334" s="886"/>
      <c r="AT334" s="879"/>
      <c r="AY334" s="886"/>
      <c r="BA334" s="879"/>
      <c r="BF334" s="886"/>
      <c r="BG334" s="877"/>
      <c r="BH334" s="879"/>
      <c r="BI334" s="877"/>
      <c r="BJ334" s="877"/>
      <c r="BK334" s="877"/>
      <c r="BL334" s="877"/>
      <c r="BM334" s="886"/>
      <c r="BN334" s="877"/>
      <c r="BO334" s="879"/>
      <c r="BP334" s="877"/>
      <c r="BQ334" s="877"/>
      <c r="BR334" s="877"/>
      <c r="BS334" s="877"/>
      <c r="BT334" s="886"/>
      <c r="BU334" s="877"/>
      <c r="BV334" s="879"/>
      <c r="BW334" s="886"/>
    </row>
    <row r="335" spans="1:75">
      <c r="A335" s="18"/>
      <c r="B335" s="360"/>
      <c r="C335" s="83"/>
      <c r="D335" s="54"/>
      <c r="E335" s="1295" t="s">
        <v>320</v>
      </c>
      <c r="F335" s="928">
        <f>SUM(K335:M335)</f>
        <v>1.0911277082300001E-4</v>
      </c>
      <c r="G335" s="877">
        <f>SUM(I335:Q335)</f>
        <v>1.0911277082300001E-4</v>
      </c>
      <c r="H335" s="878">
        <f>SUM(U335:W335)/(1-'Common input data'!$F$140)</f>
        <v>1.6838390559104936E-4</v>
      </c>
      <c r="M335" s="877">
        <v>1.0911277082300001E-4</v>
      </c>
      <c r="S335" s="877">
        <v>0</v>
      </c>
      <c r="T335" s="877">
        <v>0</v>
      </c>
      <c r="U335" s="877">
        <f>G335+T335</f>
        <v>1.0911277082300001E-4</v>
      </c>
      <c r="W335" s="886"/>
      <c r="Y335" s="879"/>
      <c r="AD335" s="886"/>
      <c r="AF335" s="879"/>
      <c r="AK335" s="886"/>
      <c r="AM335" s="879"/>
      <c r="AR335" s="886"/>
      <c r="AT335" s="879"/>
      <c r="AY335" s="886"/>
      <c r="BA335" s="879"/>
      <c r="BF335" s="886"/>
      <c r="BG335" s="877"/>
      <c r="BH335" s="879"/>
      <c r="BI335" s="877"/>
      <c r="BJ335" s="877"/>
      <c r="BK335" s="877"/>
      <c r="BL335" s="877"/>
      <c r="BM335" s="886"/>
      <c r="BN335" s="877"/>
      <c r="BO335" s="879"/>
      <c r="BP335" s="877"/>
      <c r="BQ335" s="877"/>
      <c r="BR335" s="877"/>
      <c r="BS335" s="877"/>
      <c r="BT335" s="886"/>
      <c r="BU335" s="877"/>
      <c r="BV335" s="879"/>
      <c r="BW335" s="886"/>
    </row>
    <row r="336" spans="1:75">
      <c r="A336" s="20" t="s">
        <v>134</v>
      </c>
      <c r="B336" s="93" t="s">
        <v>121</v>
      </c>
      <c r="C336" s="87">
        <v>0.84</v>
      </c>
      <c r="D336" s="54"/>
      <c r="E336" s="1293" t="s">
        <v>316</v>
      </c>
      <c r="F336" s="930">
        <f>SUMPRODUCT($CI$4:$CI$6,F337:F339)</f>
        <v>-7.2063175710622915E-3</v>
      </c>
      <c r="G336" s="872">
        <f>SUMPRODUCT($CI$4:$CI$6,G337:G339)</f>
        <v>4.2793682428937711E-2</v>
      </c>
      <c r="H336" s="873">
        <f>SUMPRODUCT($CI$4:$CI$6,H337:H339)</f>
        <v>0.71737428293119498</v>
      </c>
      <c r="I336" s="884"/>
      <c r="J336" s="884"/>
      <c r="K336" s="884"/>
      <c r="L336" s="884"/>
      <c r="M336" s="884"/>
      <c r="N336" s="884"/>
      <c r="O336" s="884"/>
      <c r="P336" s="884"/>
      <c r="Q336" s="884"/>
      <c r="R336" s="884"/>
      <c r="S336" s="884"/>
      <c r="T336" s="884"/>
      <c r="U336" s="884"/>
      <c r="V336" s="884"/>
      <c r="W336" s="885"/>
      <c r="Y336" s="879">
        <f>1/'Input data plant-based products'!E219*10^4</f>
        <v>0.39942546640911714</v>
      </c>
      <c r="Z336" s="877">
        <f>$Y336*'Input data plant-based products'!Z219</f>
        <v>0.39942546640911714</v>
      </c>
      <c r="AA336" s="877">
        <f>$Y336*'Input data plant-based products'!AA219</f>
        <v>0.39942546640911714</v>
      </c>
      <c r="AB336" s="877">
        <f>$Y336*'Input data plant-based products'!AB219</f>
        <v>0.39942546640911714</v>
      </c>
      <c r="AC336" s="877">
        <f>$Y336*'Input data plant-based products'!AC219</f>
        <v>0.54808917395180456</v>
      </c>
      <c r="AD336" s="886">
        <f>$Y336*'Input data plant-based products'!AD219</f>
        <v>0.67665330117506728</v>
      </c>
      <c r="AF336" s="879">
        <f>SUM('Input data plant-based products'!F219,'Input data plant-based products'!AE219)/'Input data plant-based products'!E219</f>
        <v>3.0569999999999998E-3</v>
      </c>
      <c r="AG336" s="877">
        <f>$AF336*'Input data plant-based products'!Z219</f>
        <v>3.0569999999999998E-3</v>
      </c>
      <c r="AH336" s="877">
        <f>$AF336*'Input data plant-based products'!AA219</f>
        <v>3.0569999999999998E-3</v>
      </c>
      <c r="AI336" s="877">
        <f>$AF336*'Input data plant-based products'!AB219</f>
        <v>3.0569999999999998E-3</v>
      </c>
      <c r="AJ336" s="877">
        <f>$AF336*'Input data plant-based products'!AC219</f>
        <v>4.1947966408694215E-3</v>
      </c>
      <c r="AK336" s="886">
        <f>$AF336*'Input data plant-based products'!AD219</f>
        <v>5.1787612850239763E-3</v>
      </c>
      <c r="AM336" s="879">
        <f>'Input data plant-based products'!R219/'Input data plant-based products'!E219</f>
        <v>1.3999999999999998E-3</v>
      </c>
      <c r="AN336" s="877">
        <f>$AM336*'Input data plant-based products'!Z219</f>
        <v>1.3999999999999998E-3</v>
      </c>
      <c r="AO336" s="877">
        <f>$AM336*'Input data plant-based products'!AA219</f>
        <v>1.3999999999999998E-3</v>
      </c>
      <c r="AP336" s="877">
        <f>$AM336*'Input data plant-based products'!AB219</f>
        <v>1.3999999999999998E-3</v>
      </c>
      <c r="AQ336" s="877">
        <f>$AM336*'Input data plant-based products'!AC219</f>
        <v>1.9210714089686585E-3</v>
      </c>
      <c r="AR336" s="886">
        <f>$AM336*'Input data plant-based products'!AD219</f>
        <v>2.3716930974921708E-3</v>
      </c>
      <c r="AT336" s="879">
        <f>'Input data plant-based products'!S219</f>
        <v>8.9229643986578101E-3</v>
      </c>
      <c r="AU336" s="877">
        <f>$AT336*'Input data plant-based products'!Z219</f>
        <v>8.9229643986578101E-3</v>
      </c>
      <c r="AV336" s="877">
        <f>$AT336*'Input data plant-based products'!AA219</f>
        <v>8.9229643986578101E-3</v>
      </c>
      <c r="AW336" s="877">
        <f>$AT336*'Input data plant-based products'!AB219</f>
        <v>8.9229643986578101E-3</v>
      </c>
      <c r="AX336" s="877">
        <f>$AT336*'Input data plant-based products'!AC219</f>
        <v>1.2244036992504816E-2</v>
      </c>
      <c r="AY336" s="886">
        <f>$AT336*'Input data plant-based products'!AD219</f>
        <v>1.5116095052475079E-2</v>
      </c>
      <c r="BA336" s="879">
        <f>((SUM('Input data plant-based products'!U219:Y219)*Y336)/('Common input data'!$B$192/10^6))/$BB$3</f>
        <v>2.5634989375262824E-9</v>
      </c>
      <c r="BB336" s="877">
        <f>$BA336*'Input data plant-based products'!Z219</f>
        <v>2.5634989375262824E-9</v>
      </c>
      <c r="BC336" s="877">
        <f>$BA336*'Input data plant-based products'!AA219</f>
        <v>2.5634989375262824E-9</v>
      </c>
      <c r="BD336" s="877">
        <f>$BA336*'Input data plant-based products'!AB219</f>
        <v>2.5634989375262824E-9</v>
      </c>
      <c r="BE336" s="877">
        <f>$BA336*'Input data plant-based products'!AC219</f>
        <v>3.5176175112880538E-9</v>
      </c>
      <c r="BF336" s="886">
        <f>$BA336*'Input data plant-based products'!AD219</f>
        <v>4.3427376682568558E-9</v>
      </c>
      <c r="BG336" s="877"/>
      <c r="BH336" s="879">
        <f>'Input data plant-based products'!T219/'Input data plant-based products'!E219</f>
        <v>0</v>
      </c>
      <c r="BI336" s="877">
        <f>$BH336*'Input data plant-based products'!Z219</f>
        <v>0</v>
      </c>
      <c r="BJ336" s="877">
        <f>$BH336*'Input data plant-based products'!AA219</f>
        <v>0</v>
      </c>
      <c r="BK336" s="877">
        <f>$BH336*'Input data plant-based products'!AB219</f>
        <v>0</v>
      </c>
      <c r="BL336" s="877">
        <f>$BH336*'Input data plant-based products'!AC219</f>
        <v>0</v>
      </c>
      <c r="BM336" s="886">
        <f>$BH336*'Input data plant-based products'!AD219</f>
        <v>0</v>
      </c>
      <c r="BN336" s="877"/>
      <c r="BO336" s="879">
        <f>('Input data plant-based products'!F219/'Input data plant-based products'!E219*'Common input data'!$B$195+'Input data plant-based products'!G219/'Input data plant-based products'!E219*'Common input data'!$B$196)/'Common input data'!$B$198</f>
        <v>7.805662218890554E-5</v>
      </c>
      <c r="BP336" s="877">
        <f>$BO336*'Input data plant-based products'!Z219</f>
        <v>7.805662218890554E-5</v>
      </c>
      <c r="BQ336" s="877">
        <f>$BO336*'Input data plant-based products'!AA219</f>
        <v>7.805662218890554E-5</v>
      </c>
      <c r="BR336" s="877">
        <f>$BO336*'Input data plant-based products'!AB219</f>
        <v>7.805662218890554E-5</v>
      </c>
      <c r="BS336" s="877">
        <f>$BO336*'Input data plant-based products'!AC219</f>
        <v>1.0710881797698217E-4</v>
      </c>
      <c r="BT336" s="886">
        <f>$BO336*'Input data plant-based products'!AD219</f>
        <v>1.3223310861355822E-4</v>
      </c>
      <c r="BU336" s="877"/>
      <c r="BV336" s="879">
        <f>('Common input data'!$B$228+'Common input data'!$C$228)*'Input data plant-based products'!AC219</f>
        <v>7.7562421752278485</v>
      </c>
      <c r="BW336" s="886">
        <f>('Common input data'!$B$228+'Common input data'!$C$228)*'Input data plant-based products'!AD219</f>
        <v>9.5756076237380832</v>
      </c>
    </row>
    <row r="337" spans="1:75">
      <c r="A337" s="499"/>
      <c r="B337" s="55"/>
      <c r="C337" s="917"/>
      <c r="E337" s="1294" t="s">
        <v>317</v>
      </c>
      <c r="F337" s="928">
        <f>IF(AND($G$2="No",$G$3="No"),SUM(L337:M337),IF(AND($G$2="Yes", $G$3="No"), SUM(L337:M337)+S337, IF(AND($G$2="No", $G$3="Yes"),SUM(L337:M337)+R337, SUM(L337:M337)+S337+R337)))</f>
        <v>-4.0648172650991299E-2</v>
      </c>
      <c r="G337" s="877">
        <f>IF(AND($G$2="No",$G$3="No"),SUM(I337:Q337),IF(AND($G$2="Yes", $G$3="No"), SUM(I337:Q337)+S337, IF(AND($G$2="No", $G$3="Yes"),SUM(I337:Q337)+R337, SUM(I337:Q337)+S337+R337)))</f>
        <v>9.3518273490087039E-3</v>
      </c>
      <c r="H337" s="878">
        <f>SUM(U337:W337)/(1-'Common input data'!$I$140)</f>
        <v>0.67148557460482006</v>
      </c>
      <c r="M337" s="877">
        <v>5.0490875490389997E-2</v>
      </c>
      <c r="P337" s="877">
        <f>'Input data plant-based products'!$F$309</f>
        <v>0.05</v>
      </c>
      <c r="R337" s="877">
        <f>'Common input data'!$F$19</f>
        <v>-9.1139048141381296E-2</v>
      </c>
      <c r="S337" s="877">
        <v>0</v>
      </c>
      <c r="T337" s="877">
        <v>0</v>
      </c>
      <c r="U337" s="877">
        <f>G337+T337</f>
        <v>9.3518273490087039E-3</v>
      </c>
      <c r="V337" s="877">
        <f>'Common input data'!$B$105</f>
        <v>0.05</v>
      </c>
      <c r="W337" s="886">
        <f>'Common input data'!$B$128+'Common input data'!$C$128</f>
        <v>0.43000000000000005</v>
      </c>
      <c r="Y337" s="879"/>
      <c r="AD337" s="886"/>
      <c r="AF337" s="879"/>
      <c r="AK337" s="886"/>
      <c r="AM337" s="879"/>
      <c r="AR337" s="886"/>
      <c r="AT337" s="879"/>
      <c r="AY337" s="886"/>
      <c r="BA337" s="879"/>
      <c r="BF337" s="886"/>
      <c r="BG337" s="877"/>
      <c r="BH337" s="879"/>
      <c r="BI337" s="877"/>
      <c r="BJ337" s="877"/>
      <c r="BK337" s="877"/>
      <c r="BL337" s="877"/>
      <c r="BM337" s="886"/>
      <c r="BN337" s="877"/>
      <c r="BO337" s="879"/>
      <c r="BP337" s="877"/>
      <c r="BQ337" s="877"/>
      <c r="BR337" s="877"/>
      <c r="BS337" s="877"/>
      <c r="BT337" s="886"/>
      <c r="BU337" s="877"/>
      <c r="BV337" s="879"/>
      <c r="BW337" s="886"/>
    </row>
    <row r="338" spans="1:75">
      <c r="A338" s="499"/>
      <c r="B338" s="55"/>
      <c r="C338" s="595"/>
      <c r="D338" s="50"/>
      <c r="E338" s="1294" t="s">
        <v>367</v>
      </c>
      <c r="F338" s="928">
        <f>SUM(K338:M338)</f>
        <v>1.3533587575000002E-4</v>
      </c>
      <c r="G338" s="877">
        <f>SUM(I338:Q338)</f>
        <v>1.3533587575000002E-4</v>
      </c>
      <c r="H338" s="878">
        <f>SUM(U338:W338)/(1-'Common input data'!$I$140)</f>
        <v>1.8570705822218563E-4</v>
      </c>
      <c r="M338" s="877">
        <v>1.3533587575000002E-4</v>
      </c>
      <c r="S338" s="877">
        <v>0</v>
      </c>
      <c r="T338" s="877">
        <v>0</v>
      </c>
      <c r="U338" s="877">
        <f>G338+T338</f>
        <v>1.3533587575000002E-4</v>
      </c>
      <c r="W338" s="886"/>
      <c r="Y338" s="879"/>
      <c r="AD338" s="886"/>
      <c r="AF338" s="879"/>
      <c r="AK338" s="886"/>
      <c r="AM338" s="879"/>
      <c r="AR338" s="886"/>
      <c r="AT338" s="879"/>
      <c r="AY338" s="886"/>
      <c r="BA338" s="879"/>
      <c r="BF338" s="886"/>
      <c r="BG338" s="877"/>
      <c r="BH338" s="879"/>
      <c r="BI338" s="877"/>
      <c r="BJ338" s="877"/>
      <c r="BK338" s="877"/>
      <c r="BL338" s="877"/>
      <c r="BM338" s="886"/>
      <c r="BN338" s="877"/>
      <c r="BO338" s="879"/>
      <c r="BP338" s="877"/>
      <c r="BQ338" s="877"/>
      <c r="BR338" s="877"/>
      <c r="BS338" s="877"/>
      <c r="BT338" s="886"/>
      <c r="BU338" s="877"/>
      <c r="BV338" s="879"/>
      <c r="BW338" s="886"/>
    </row>
    <row r="339" spans="1:75">
      <c r="A339" s="18"/>
      <c r="B339" s="360"/>
      <c r="C339" s="83"/>
      <c r="D339" s="54"/>
      <c r="E339" s="1295" t="s">
        <v>320</v>
      </c>
      <c r="F339" s="928">
        <f>SUM(K339:M339)</f>
        <v>1.0911277082300001E-4</v>
      </c>
      <c r="G339" s="877">
        <f>SUM(I339:Q339)</f>
        <v>1.0911277082300001E-4</v>
      </c>
      <c r="H339" s="878">
        <f>SUM(U339:W339)/(1-'Common input data'!$I$140)</f>
        <v>1.4972387455815359E-4</v>
      </c>
      <c r="M339" s="877">
        <v>1.0911277082300001E-4</v>
      </c>
      <c r="S339" s="877">
        <v>0</v>
      </c>
      <c r="T339" s="877">
        <v>0</v>
      </c>
      <c r="U339" s="877">
        <f>G339+T339</f>
        <v>1.0911277082300001E-4</v>
      </c>
      <c r="W339" s="886"/>
      <c r="Y339" s="879"/>
      <c r="AD339" s="886"/>
      <c r="AF339" s="879"/>
      <c r="AK339" s="886"/>
      <c r="AM339" s="879"/>
      <c r="AR339" s="886"/>
      <c r="AT339" s="879"/>
      <c r="AY339" s="886"/>
      <c r="BA339" s="879"/>
      <c r="BF339" s="886"/>
      <c r="BG339" s="877"/>
      <c r="BH339" s="879"/>
      <c r="BI339" s="877"/>
      <c r="BJ339" s="877"/>
      <c r="BK339" s="877"/>
      <c r="BL339" s="877"/>
      <c r="BM339" s="886"/>
      <c r="BN339" s="877"/>
      <c r="BO339" s="879"/>
      <c r="BP339" s="877"/>
      <c r="BQ339" s="877"/>
      <c r="BR339" s="877"/>
      <c r="BS339" s="877"/>
      <c r="BT339" s="886"/>
      <c r="BU339" s="877"/>
      <c r="BV339" s="879"/>
      <c r="BW339" s="886"/>
    </row>
    <row r="340" spans="1:75">
      <c r="A340" s="362" t="s">
        <v>155</v>
      </c>
      <c r="B340" s="363"/>
      <c r="C340" s="770"/>
      <c r="D340" s="54"/>
      <c r="E340" s="1296"/>
      <c r="F340" s="969" t="s">
        <v>536</v>
      </c>
      <c r="G340" s="892" t="s">
        <v>536</v>
      </c>
      <c r="H340" s="970" t="s">
        <v>536</v>
      </c>
      <c r="I340" s="892"/>
      <c r="J340" s="892"/>
      <c r="K340" s="892"/>
      <c r="L340" s="892"/>
      <c r="M340" s="892"/>
      <c r="N340" s="892"/>
      <c r="O340" s="892"/>
      <c r="P340" s="892"/>
      <c r="Q340" s="892"/>
      <c r="R340" s="892"/>
      <c r="S340" s="892"/>
      <c r="T340" s="892"/>
      <c r="U340" s="892"/>
      <c r="V340" s="892"/>
      <c r="W340" s="1291"/>
      <c r="Y340" s="879"/>
      <c r="AD340" s="886"/>
      <c r="AF340" s="879"/>
      <c r="AK340" s="886"/>
      <c r="AM340" s="879"/>
      <c r="AR340" s="886"/>
      <c r="AT340" s="879"/>
      <c r="AY340" s="886"/>
      <c r="BA340" s="879"/>
      <c r="BF340" s="886"/>
      <c r="BG340" s="877"/>
      <c r="BH340" s="879"/>
      <c r="BI340" s="877"/>
      <c r="BJ340" s="877"/>
      <c r="BK340" s="877"/>
      <c r="BL340" s="877"/>
      <c r="BM340" s="886"/>
      <c r="BN340" s="877"/>
      <c r="BO340" s="879"/>
      <c r="BP340" s="877"/>
      <c r="BQ340" s="877"/>
      <c r="BR340" s="877"/>
      <c r="BS340" s="877"/>
      <c r="BT340" s="886"/>
      <c r="BU340" s="877"/>
      <c r="BV340" s="879"/>
      <c r="BW340" s="886"/>
    </row>
    <row r="341" spans="1:75">
      <c r="A341" s="20" t="s">
        <v>120</v>
      </c>
      <c r="B341" s="93" t="s">
        <v>121</v>
      </c>
      <c r="C341" s="903">
        <f>SUM(C345:C356)</f>
        <v>1</v>
      </c>
      <c r="D341" s="50"/>
      <c r="E341" s="1293" t="s">
        <v>316</v>
      </c>
      <c r="F341" s="930">
        <f>SUMPRODUCT($CI$4:$CI$6,F342:F344)</f>
        <v>1.2403916117086085</v>
      </c>
      <c r="G341" s="872">
        <f>SUMPRODUCT($CI$4:$CI$6,G342:G344)</f>
        <v>1.6228107037064083</v>
      </c>
      <c r="H341" s="873">
        <f>SUMPRODUCT($CI$4:$CI$6,H342:H344)</f>
        <v>2.8854639438311764</v>
      </c>
      <c r="I341" s="884"/>
      <c r="J341" s="884"/>
      <c r="K341" s="884"/>
      <c r="L341" s="884"/>
      <c r="M341" s="884"/>
      <c r="N341" s="884"/>
      <c r="O341" s="884"/>
      <c r="P341" s="884"/>
      <c r="Q341" s="884"/>
      <c r="R341" s="884"/>
      <c r="S341" s="884"/>
      <c r="T341" s="884"/>
      <c r="U341" s="884"/>
      <c r="V341" s="884"/>
      <c r="W341" s="885"/>
      <c r="Y341" s="883">
        <f>Y345*$C$345+Y349*$C$349+$C$353*Y353</f>
        <v>1.4596538694210102</v>
      </c>
      <c r="Z341" s="884">
        <f t="shared" ref="Z341:BW341" si="67">Z345*$C$345+Z349*$C$349+$C$353*Z353</f>
        <v>1.4596538694210102</v>
      </c>
      <c r="AA341" s="884">
        <f t="shared" si="67"/>
        <v>1.4596538694210102</v>
      </c>
      <c r="AB341" s="884">
        <f t="shared" si="67"/>
        <v>1.4596538694210102</v>
      </c>
      <c r="AC341" s="884">
        <f t="shared" si="67"/>
        <v>2.0029280825251248</v>
      </c>
      <c r="AD341" s="885">
        <f t="shared" si="67"/>
        <v>2.4727507191668208</v>
      </c>
      <c r="AF341" s="883">
        <f t="shared" si="67"/>
        <v>0</v>
      </c>
      <c r="AG341" s="884">
        <f t="shared" si="67"/>
        <v>0</v>
      </c>
      <c r="AH341" s="884">
        <f t="shared" si="67"/>
        <v>0</v>
      </c>
      <c r="AI341" s="884">
        <f t="shared" si="67"/>
        <v>0</v>
      </c>
      <c r="AJ341" s="884">
        <f t="shared" si="67"/>
        <v>0</v>
      </c>
      <c r="AK341" s="885">
        <f t="shared" si="67"/>
        <v>0</v>
      </c>
      <c r="AM341" s="883">
        <f t="shared" si="67"/>
        <v>3.5360000000000003E-2</v>
      </c>
      <c r="AN341" s="884">
        <f t="shared" si="67"/>
        <v>3.5360000000000003E-2</v>
      </c>
      <c r="AO341" s="884">
        <f t="shared" si="67"/>
        <v>3.5360000000000003E-2</v>
      </c>
      <c r="AP341" s="884">
        <f t="shared" si="67"/>
        <v>3.5360000000000003E-2</v>
      </c>
      <c r="AQ341" s="884">
        <f t="shared" si="67"/>
        <v>4.8520775015094122E-2</v>
      </c>
      <c r="AR341" s="885">
        <f t="shared" si="67"/>
        <v>5.9902191376659406E-2</v>
      </c>
      <c r="AT341" s="883">
        <f t="shared" si="67"/>
        <v>1.8799351510194331</v>
      </c>
      <c r="AU341" s="884">
        <f t="shared" si="67"/>
        <v>1.8799351510194331</v>
      </c>
      <c r="AV341" s="884">
        <f t="shared" si="67"/>
        <v>1.8799351510194331</v>
      </c>
      <c r="AW341" s="884">
        <f t="shared" si="67"/>
        <v>1.8799351510194331</v>
      </c>
      <c r="AX341" s="884">
        <f t="shared" si="67"/>
        <v>2.5796354780990081</v>
      </c>
      <c r="AY341" s="885">
        <f t="shared" si="67"/>
        <v>3.184735158146923</v>
      </c>
      <c r="BA341" s="883">
        <f t="shared" si="67"/>
        <v>1.1971661742588459E-10</v>
      </c>
      <c r="BB341" s="884">
        <f t="shared" si="67"/>
        <v>1.1971661742588459E-10</v>
      </c>
      <c r="BC341" s="884">
        <f t="shared" si="67"/>
        <v>1.1971661742588459E-10</v>
      </c>
      <c r="BD341" s="884">
        <f t="shared" si="67"/>
        <v>1.1971661742588459E-10</v>
      </c>
      <c r="BE341" s="884">
        <f t="shared" si="67"/>
        <v>1.6427440779664716E-10</v>
      </c>
      <c r="BF341" s="885">
        <f t="shared" si="67"/>
        <v>2.0280791086005819E-10</v>
      </c>
      <c r="BG341" s="877"/>
      <c r="BH341" s="883">
        <f t="shared" si="67"/>
        <v>0</v>
      </c>
      <c r="BI341" s="884">
        <f t="shared" si="67"/>
        <v>0</v>
      </c>
      <c r="BJ341" s="884">
        <f t="shared" si="67"/>
        <v>0</v>
      </c>
      <c r="BK341" s="884">
        <f t="shared" si="67"/>
        <v>0</v>
      </c>
      <c r="BL341" s="884">
        <f t="shared" si="67"/>
        <v>0</v>
      </c>
      <c r="BM341" s="885">
        <f t="shared" si="67"/>
        <v>0</v>
      </c>
      <c r="BN341" s="877"/>
      <c r="BO341" s="883">
        <f t="shared" si="67"/>
        <v>0</v>
      </c>
      <c r="BP341" s="884">
        <f t="shared" si="67"/>
        <v>0</v>
      </c>
      <c r="BQ341" s="884">
        <f t="shared" si="67"/>
        <v>0</v>
      </c>
      <c r="BR341" s="884">
        <f t="shared" si="67"/>
        <v>0</v>
      </c>
      <c r="BS341" s="884">
        <f t="shared" si="67"/>
        <v>0</v>
      </c>
      <c r="BT341" s="885">
        <f t="shared" si="67"/>
        <v>0</v>
      </c>
      <c r="BU341" s="877"/>
      <c r="BV341" s="883">
        <f t="shared" si="67"/>
        <v>7.7562421752278485</v>
      </c>
      <c r="BW341" s="885">
        <f t="shared" si="67"/>
        <v>9.5756076237380832</v>
      </c>
    </row>
    <row r="342" spans="1:75">
      <c r="A342" s="499"/>
      <c r="B342" s="55"/>
      <c r="C342" s="917"/>
      <c r="E342" s="1294" t="s">
        <v>317</v>
      </c>
      <c r="F342" s="928">
        <f>F346*$C$345+F350*$C$349+$C$353*F354</f>
        <v>-9.1139048141381296E-2</v>
      </c>
      <c r="G342" s="877">
        <f t="shared" ref="G342:W344" si="68">G346*$C$345+G350*$C$349+$C$353*G354</f>
        <v>0.29128004385641865</v>
      </c>
      <c r="H342" s="878">
        <f t="shared" si="68"/>
        <v>1.0583457432576138</v>
      </c>
      <c r="I342" s="877">
        <f t="shared" si="68"/>
        <v>0</v>
      </c>
      <c r="J342" s="877">
        <f t="shared" si="68"/>
        <v>0</v>
      </c>
      <c r="L342" s="877">
        <f t="shared" si="68"/>
        <v>0</v>
      </c>
      <c r="M342" s="877">
        <f>M346*$C$345+M350*$C$349+$C$353*M354</f>
        <v>0.33241909199779995</v>
      </c>
      <c r="N342" s="877">
        <f t="shared" si="68"/>
        <v>0</v>
      </c>
      <c r="O342" s="877">
        <f t="shared" si="68"/>
        <v>0</v>
      </c>
      <c r="P342" s="877">
        <f t="shared" si="68"/>
        <v>0.05</v>
      </c>
      <c r="Q342" s="877">
        <f t="shared" si="68"/>
        <v>0</v>
      </c>
      <c r="R342" s="877">
        <f t="shared" si="68"/>
        <v>-9.1139048141381296E-2</v>
      </c>
      <c r="S342" s="877">
        <f t="shared" si="68"/>
        <v>0</v>
      </c>
      <c r="T342" s="877">
        <f t="shared" si="68"/>
        <v>0</v>
      </c>
      <c r="U342" s="877">
        <f t="shared" si="68"/>
        <v>0.29128004385641865</v>
      </c>
      <c r="V342" s="877">
        <f t="shared" si="68"/>
        <v>0.05</v>
      </c>
      <c r="W342" s="886">
        <f t="shared" si="68"/>
        <v>0.43000000000000005</v>
      </c>
      <c r="Y342" s="879"/>
      <c r="AD342" s="886"/>
      <c r="AF342" s="879"/>
      <c r="AK342" s="886"/>
      <c r="AM342" s="879"/>
      <c r="AR342" s="886"/>
      <c r="AT342" s="879"/>
      <c r="AY342" s="886"/>
      <c r="BA342" s="879"/>
      <c r="BF342" s="886"/>
      <c r="BG342" s="877"/>
      <c r="BH342" s="879"/>
      <c r="BI342" s="877"/>
      <c r="BJ342" s="877"/>
      <c r="BK342" s="877"/>
      <c r="BL342" s="877"/>
      <c r="BM342" s="886"/>
      <c r="BN342" s="877"/>
      <c r="BO342" s="879"/>
      <c r="BP342" s="877"/>
      <c r="BQ342" s="877"/>
      <c r="BR342" s="877"/>
      <c r="BS342" s="877"/>
      <c r="BT342" s="886"/>
      <c r="BU342" s="877"/>
      <c r="BV342" s="879"/>
      <c r="BW342" s="886"/>
    </row>
    <row r="343" spans="1:75">
      <c r="A343" s="499"/>
      <c r="B343" s="55"/>
      <c r="C343" s="595"/>
      <c r="D343" s="50"/>
      <c r="E343" s="1294" t="s">
        <v>367</v>
      </c>
      <c r="F343" s="928">
        <f t="shared" ref="F343:V344" si="69">F347*$C$345+F351*$C$349+$C$353*F355</f>
        <v>6.5709062037000009E-4</v>
      </c>
      <c r="G343" s="877">
        <f t="shared" si="69"/>
        <v>6.5709062037000009E-4</v>
      </c>
      <c r="H343" s="878">
        <f t="shared" si="69"/>
        <v>9.0165571706734735E-4</v>
      </c>
      <c r="I343" s="877">
        <f t="shared" si="69"/>
        <v>0</v>
      </c>
      <c r="J343" s="877">
        <f t="shared" si="69"/>
        <v>0</v>
      </c>
      <c r="L343" s="877">
        <f t="shared" si="69"/>
        <v>0</v>
      </c>
      <c r="M343" s="877">
        <f>M347*$C$345+M351*$C$349+$C$353*M355</f>
        <v>6.5709062037000009E-4</v>
      </c>
      <c r="N343" s="877">
        <f t="shared" si="69"/>
        <v>0</v>
      </c>
      <c r="O343" s="877">
        <f t="shared" si="69"/>
        <v>0</v>
      </c>
      <c r="P343" s="877">
        <f t="shared" si="69"/>
        <v>0</v>
      </c>
      <c r="Q343" s="877">
        <f t="shared" si="69"/>
        <v>0</v>
      </c>
      <c r="R343" s="877">
        <f t="shared" si="69"/>
        <v>0</v>
      </c>
      <c r="S343" s="877">
        <f t="shared" si="69"/>
        <v>0</v>
      </c>
      <c r="T343" s="877">
        <f t="shared" si="69"/>
        <v>0</v>
      </c>
      <c r="U343" s="877">
        <f t="shared" si="69"/>
        <v>6.5709062037000009E-4</v>
      </c>
      <c r="V343" s="877">
        <f t="shared" si="69"/>
        <v>0</v>
      </c>
      <c r="W343" s="886">
        <f t="shared" si="68"/>
        <v>0</v>
      </c>
      <c r="Y343" s="879"/>
      <c r="AD343" s="886"/>
      <c r="AF343" s="879"/>
      <c r="AK343" s="886"/>
      <c r="AM343" s="879"/>
      <c r="AR343" s="886"/>
      <c r="AT343" s="879"/>
      <c r="AY343" s="886"/>
      <c r="BA343" s="879"/>
      <c r="BF343" s="886"/>
      <c r="BG343" s="877"/>
      <c r="BH343" s="879"/>
      <c r="BI343" s="877"/>
      <c r="BJ343" s="877"/>
      <c r="BK343" s="877"/>
      <c r="BL343" s="877"/>
      <c r="BM343" s="886"/>
      <c r="BN343" s="877"/>
      <c r="BO343" s="879"/>
      <c r="BP343" s="877"/>
      <c r="BQ343" s="877"/>
      <c r="BR343" s="877"/>
      <c r="BS343" s="877"/>
      <c r="BT343" s="886"/>
      <c r="BU343" s="877"/>
      <c r="BV343" s="879"/>
      <c r="BW343" s="886"/>
    </row>
    <row r="344" spans="1:75">
      <c r="A344" s="18"/>
      <c r="B344" s="360"/>
      <c r="C344" s="83"/>
      <c r="D344" s="54"/>
      <c r="E344" s="1295" t="s">
        <v>320</v>
      </c>
      <c r="F344" s="928">
        <f t="shared" si="69"/>
        <v>4.812414699999999E-3</v>
      </c>
      <c r="G344" s="877">
        <f t="shared" si="68"/>
        <v>4.812414699999999E-3</v>
      </c>
      <c r="H344" s="878">
        <f t="shared" si="68"/>
        <v>6.6035659201932025E-3</v>
      </c>
      <c r="I344" s="877">
        <f t="shared" si="68"/>
        <v>0</v>
      </c>
      <c r="J344" s="877">
        <f t="shared" si="68"/>
        <v>0</v>
      </c>
      <c r="L344" s="877">
        <f t="shared" si="68"/>
        <v>0</v>
      </c>
      <c r="M344" s="877">
        <f>M348*$C$345+M352*$C$349+$C$353*M356</f>
        <v>4.812414699999999E-3</v>
      </c>
      <c r="N344" s="877">
        <f t="shared" si="68"/>
        <v>0</v>
      </c>
      <c r="O344" s="877">
        <f t="shared" si="68"/>
        <v>0</v>
      </c>
      <c r="P344" s="877">
        <f t="shared" si="68"/>
        <v>0</v>
      </c>
      <c r="Q344" s="877">
        <f t="shared" si="68"/>
        <v>0</v>
      </c>
      <c r="R344" s="877">
        <f t="shared" si="68"/>
        <v>0</v>
      </c>
      <c r="S344" s="877">
        <f t="shared" si="68"/>
        <v>0</v>
      </c>
      <c r="T344" s="877">
        <f t="shared" si="68"/>
        <v>0</v>
      </c>
      <c r="U344" s="877">
        <f t="shared" si="68"/>
        <v>4.812414699999999E-3</v>
      </c>
      <c r="V344" s="877">
        <f t="shared" si="68"/>
        <v>0</v>
      </c>
      <c r="W344" s="886">
        <f t="shared" si="68"/>
        <v>0</v>
      </c>
      <c r="Y344" s="879"/>
      <c r="AD344" s="886"/>
      <c r="AF344" s="879"/>
      <c r="AK344" s="886"/>
      <c r="AM344" s="879"/>
      <c r="AR344" s="886"/>
      <c r="AT344" s="879"/>
      <c r="AY344" s="886"/>
      <c r="BA344" s="879"/>
      <c r="BF344" s="886"/>
      <c r="BG344" s="877"/>
      <c r="BH344" s="879"/>
      <c r="BI344" s="877"/>
      <c r="BJ344" s="877"/>
      <c r="BK344" s="877"/>
      <c r="BL344" s="877"/>
      <c r="BM344" s="886"/>
      <c r="BN344" s="877"/>
      <c r="BO344" s="879"/>
      <c r="BP344" s="877"/>
      <c r="BQ344" s="877"/>
      <c r="BR344" s="877"/>
      <c r="BS344" s="877"/>
      <c r="BT344" s="886"/>
      <c r="BU344" s="877"/>
      <c r="BV344" s="879"/>
      <c r="BW344" s="886"/>
    </row>
    <row r="345" spans="1:75">
      <c r="A345" s="20" t="s">
        <v>156</v>
      </c>
      <c r="B345" s="93" t="s">
        <v>121</v>
      </c>
      <c r="C345" s="87">
        <v>0.42</v>
      </c>
      <c r="D345" s="54"/>
      <c r="E345" s="1293" t="s">
        <v>316</v>
      </c>
      <c r="F345" s="930">
        <f>SUMPRODUCT($CI$4:$CI$6,F346:F348)</f>
        <v>1.2403916117086085</v>
      </c>
      <c r="G345" s="872">
        <f>SUMPRODUCT($CI$4:$CI$6,G346:G348)</f>
        <v>1.6228107037064083</v>
      </c>
      <c r="H345" s="873">
        <f>SUMPRODUCT($CI$4:$CI$6,H346:H348)</f>
        <v>2.8854639438311764</v>
      </c>
      <c r="I345" s="884"/>
      <c r="J345" s="884"/>
      <c r="K345" s="884"/>
      <c r="L345" s="884"/>
      <c r="M345" s="884"/>
      <c r="N345" s="884"/>
      <c r="O345" s="884"/>
      <c r="P345" s="884"/>
      <c r="Q345" s="884"/>
      <c r="R345" s="884"/>
      <c r="S345" s="884"/>
      <c r="T345" s="884"/>
      <c r="U345" s="884"/>
      <c r="V345" s="884"/>
      <c r="W345" s="885"/>
      <c r="Y345" s="879">
        <f>1/'Input data plant-based products'!E221*10^4</f>
        <v>1.6337199803953601</v>
      </c>
      <c r="Z345" s="877">
        <f>$Y345*'Input data plant-based products'!Z221</f>
        <v>1.6337199803953601</v>
      </c>
      <c r="AA345" s="877">
        <f>$Y345*'Input data plant-based products'!AA221</f>
        <v>1.6337199803953601</v>
      </c>
      <c r="AB345" s="877">
        <f>$Y345*'Input data plant-based products'!AB221</f>
        <v>1.6337199803953601</v>
      </c>
      <c r="AC345" s="877">
        <f>$Y345*'Input data plant-based products'!AC221</f>
        <v>2.2417805318559743</v>
      </c>
      <c r="AD345" s="886">
        <f>$Y345*'Input data plant-based products'!AD221</f>
        <v>2.7676302862419435</v>
      </c>
      <c r="AF345" s="879">
        <f>SUM('Input data plant-based products'!F221,'Input data plant-based products'!AE221)/'Input data plant-based products'!E221</f>
        <v>0</v>
      </c>
      <c r="AG345" s="877">
        <f>$AF345*'Input data plant-based products'!Z221</f>
        <v>0</v>
      </c>
      <c r="AH345" s="877">
        <f>$AF345*'Input data plant-based products'!AA221</f>
        <v>0</v>
      </c>
      <c r="AI345" s="877">
        <f>$AF345*'Input data plant-based products'!AB221</f>
        <v>0</v>
      </c>
      <c r="AJ345" s="877">
        <f>$AF345*'Input data plant-based products'!AC221</f>
        <v>0</v>
      </c>
      <c r="AK345" s="886">
        <f>$AF345*'Input data plant-based products'!AD221</f>
        <v>0</v>
      </c>
      <c r="AM345" s="879">
        <f>'Input data plant-based products'!R221/'Input data plant-based products'!E221</f>
        <v>3.5360000000000003E-2</v>
      </c>
      <c r="AN345" s="877">
        <f>$AM345*'Input data plant-based products'!Z221</f>
        <v>3.5360000000000003E-2</v>
      </c>
      <c r="AO345" s="877">
        <f>$AM345*'Input data plant-based products'!AA221</f>
        <v>3.5360000000000003E-2</v>
      </c>
      <c r="AP345" s="877">
        <f>$AM345*'Input data plant-based products'!AB221</f>
        <v>3.5360000000000003E-2</v>
      </c>
      <c r="AQ345" s="877">
        <f>$AM345*'Input data plant-based products'!AC221</f>
        <v>4.8520775015094129E-2</v>
      </c>
      <c r="AR345" s="886">
        <f>$AM345*'Input data plant-based products'!AD221</f>
        <v>5.9902191376659412E-2</v>
      </c>
      <c r="AT345" s="879">
        <f>'Input data plant-based products'!S221</f>
        <v>2.2806145516435099</v>
      </c>
      <c r="AU345" s="877">
        <f>$AT345*'Input data plant-based products'!Z221</f>
        <v>2.2806145516435099</v>
      </c>
      <c r="AV345" s="877">
        <f>$AT345*'Input data plant-based products'!AA221</f>
        <v>2.2806145516435099</v>
      </c>
      <c r="AW345" s="877">
        <f>$AT345*'Input data plant-based products'!AB221</f>
        <v>2.2806145516435099</v>
      </c>
      <c r="AX345" s="877">
        <f>$AT345*'Input data plant-based products'!AC221</f>
        <v>3.1294452928858743</v>
      </c>
      <c r="AY345" s="886">
        <f>$AT345*'Input data plant-based products'!AD221</f>
        <v>3.8635127072665107</v>
      </c>
      <c r="BA345" s="879">
        <f>((SUM('Input data plant-based products'!U221:Y221)*Y345)/('Common input data'!$B$192/10^6))/$BB$3</f>
        <v>1.8182314695970673E-10</v>
      </c>
      <c r="BB345" s="877">
        <f>$BA345*'Input data plant-based products'!Z221</f>
        <v>1.8182314695970673E-10</v>
      </c>
      <c r="BC345" s="877">
        <f>$BA345*'Input data plant-based products'!AA221</f>
        <v>1.8182314695970673E-10</v>
      </c>
      <c r="BD345" s="877">
        <f>$BA345*'Input data plant-based products'!AB221</f>
        <v>1.8182314695970673E-10</v>
      </c>
      <c r="BE345" s="877">
        <f>$BA345*'Input data plant-based products'!AC221</f>
        <v>2.4949660650928521E-10</v>
      </c>
      <c r="BF345" s="886">
        <f>$BA345*'Input data plant-based products'!AD221</f>
        <v>3.0802050186331505E-10</v>
      </c>
      <c r="BG345" s="877"/>
      <c r="BH345" s="879">
        <f>'Input data plant-based products'!T221/'Input data plant-based products'!E221</f>
        <v>0</v>
      </c>
      <c r="BI345" s="877">
        <f>$BH345*'Input data plant-based products'!Z221</f>
        <v>0</v>
      </c>
      <c r="BJ345" s="877">
        <f>$BH345*'Input data plant-based products'!AA221</f>
        <v>0</v>
      </c>
      <c r="BK345" s="877">
        <f>$BH345*'Input data plant-based products'!AB221</f>
        <v>0</v>
      </c>
      <c r="BL345" s="877">
        <f>$BH345*'Input data plant-based products'!AC221</f>
        <v>0</v>
      </c>
      <c r="BM345" s="886">
        <f>$BH345*'Input data plant-based products'!AD221</f>
        <v>0</v>
      </c>
      <c r="BN345" s="877"/>
      <c r="BO345" s="879">
        <f>('Input data plant-based products'!F221/'Input data plant-based products'!E221*'Common input data'!$B$195+'Input data plant-based products'!G221/'Input data plant-based products'!E221*'Common input data'!$B$196)/'Common input data'!$B$198</f>
        <v>0</v>
      </c>
      <c r="BP345" s="877">
        <f>$BO345*'Input data plant-based products'!Z221</f>
        <v>0</v>
      </c>
      <c r="BQ345" s="877">
        <f>$BO345*'Input data plant-based products'!AA221</f>
        <v>0</v>
      </c>
      <c r="BR345" s="877">
        <f>$BO345*'Input data plant-based products'!AB221</f>
        <v>0</v>
      </c>
      <c r="BS345" s="877">
        <f>$BO345*'Input data plant-based products'!AC221</f>
        <v>0</v>
      </c>
      <c r="BT345" s="886">
        <f>$BO345*'Input data plant-based products'!AD221</f>
        <v>0</v>
      </c>
      <c r="BU345" s="877"/>
      <c r="BV345" s="879">
        <f>('Common input data'!$B$228+'Common input data'!$C$228)*'Input data plant-based products'!AC221</f>
        <v>7.7562421752278485</v>
      </c>
      <c r="BW345" s="886">
        <f>('Common input data'!$B$228+'Common input data'!$C$228)*'Input data plant-based products'!AD221</f>
        <v>9.5756076237380832</v>
      </c>
    </row>
    <row r="346" spans="1:75">
      <c r="A346" s="499"/>
      <c r="B346" s="55"/>
      <c r="C346" s="917"/>
      <c r="E346" s="1294" t="s">
        <v>317</v>
      </c>
      <c r="F346" s="928">
        <f>IF(AND($G$2="No",$G$3="No"),SUM(K346:L346),IF(AND($G$2="Yes", $G$3="No"), SUM(K346:L346)+S346, IF(AND($G$2="No", $G$3="Yes"),SUM(K346:L346)+R346, SUM(K346:L346)+S346+R346)))</f>
        <v>-9.1139048141381296E-2</v>
      </c>
      <c r="G346" s="877">
        <f>IF(AND($G$2="No",$G$3="No"),SUM(I346:Q346),IF(AND($G$2="Yes", $G$3="No"), SUM(I346:Q346)+S346, IF(AND($G$2="No", $G$3="Yes"),SUM(I346:Q346)+R346, SUM(I346:Q346)+S346+R346)))</f>
        <v>0.29128004385641865</v>
      </c>
      <c r="H346" s="878">
        <f>SUM(U346:W346)/(1-'Common input data'!$H$140)</f>
        <v>1.0583457432576138</v>
      </c>
      <c r="M346" s="877">
        <v>0.33241909199779995</v>
      </c>
      <c r="P346" s="877">
        <f>'Input data plant-based products'!$F$309</f>
        <v>0.05</v>
      </c>
      <c r="R346" s="877">
        <f>'Common input data'!$F$19</f>
        <v>-9.1139048141381296E-2</v>
      </c>
      <c r="U346" s="877">
        <f>G346+T346</f>
        <v>0.29128004385641865</v>
      </c>
      <c r="V346" s="877">
        <f>'Common input data'!$B$105</f>
        <v>0.05</v>
      </c>
      <c r="W346" s="886">
        <f>'Common input data'!$B$120+'Common input data'!$C$120</f>
        <v>0.43000000000000005</v>
      </c>
      <c r="Y346" s="879"/>
      <c r="AD346" s="886"/>
      <c r="AF346" s="879"/>
      <c r="AK346" s="886"/>
      <c r="AM346" s="879"/>
      <c r="AR346" s="886"/>
      <c r="AT346" s="879"/>
      <c r="AY346" s="886"/>
      <c r="BA346" s="879"/>
      <c r="BF346" s="886"/>
      <c r="BG346" s="877"/>
      <c r="BH346" s="879"/>
      <c r="BI346" s="877"/>
      <c r="BJ346" s="877"/>
      <c r="BK346" s="877"/>
      <c r="BL346" s="877"/>
      <c r="BM346" s="886"/>
      <c r="BN346" s="877"/>
      <c r="BO346" s="879"/>
      <c r="BP346" s="877"/>
      <c r="BQ346" s="877"/>
      <c r="BR346" s="877"/>
      <c r="BS346" s="877"/>
      <c r="BT346" s="886"/>
      <c r="BU346" s="877"/>
      <c r="BV346" s="879"/>
      <c r="BW346" s="886"/>
    </row>
    <row r="347" spans="1:75">
      <c r="A347" s="499"/>
      <c r="B347" s="55"/>
      <c r="C347" s="595"/>
      <c r="D347" s="50"/>
      <c r="E347" s="1294" t="s">
        <v>367</v>
      </c>
      <c r="F347" s="928">
        <f>SUM(L347:M347)</f>
        <v>6.5709062037000009E-4</v>
      </c>
      <c r="G347" s="877">
        <f>SUM(I347:Q347)</f>
        <v>6.5709062037000009E-4</v>
      </c>
      <c r="H347" s="878">
        <f>SUM(U347:W347)/(1-'Common input data'!$H$140)</f>
        <v>9.0165571706734735E-4</v>
      </c>
      <c r="M347" s="877">
        <v>6.5709062037000009E-4</v>
      </c>
      <c r="U347" s="877">
        <f>G347+T347</f>
        <v>6.5709062037000009E-4</v>
      </c>
      <c r="W347" s="886"/>
      <c r="Y347" s="879"/>
      <c r="AD347" s="886"/>
      <c r="AF347" s="879"/>
      <c r="AK347" s="886"/>
      <c r="AM347" s="879"/>
      <c r="AR347" s="886"/>
      <c r="AT347" s="879"/>
      <c r="AY347" s="886"/>
      <c r="BA347" s="879"/>
      <c r="BF347" s="886"/>
      <c r="BG347" s="877"/>
      <c r="BH347" s="879"/>
      <c r="BI347" s="877"/>
      <c r="BJ347" s="877"/>
      <c r="BK347" s="877"/>
      <c r="BL347" s="877"/>
      <c r="BM347" s="886"/>
      <c r="BN347" s="877"/>
      <c r="BO347" s="879"/>
      <c r="BP347" s="877"/>
      <c r="BQ347" s="877"/>
      <c r="BR347" s="877"/>
      <c r="BS347" s="877"/>
      <c r="BT347" s="886"/>
      <c r="BU347" s="877"/>
      <c r="BV347" s="879"/>
      <c r="BW347" s="886"/>
    </row>
    <row r="348" spans="1:75">
      <c r="A348" s="18"/>
      <c r="B348" s="360"/>
      <c r="C348" s="83"/>
      <c r="D348" s="54"/>
      <c r="E348" s="1295" t="s">
        <v>320</v>
      </c>
      <c r="F348" s="928">
        <f>SUM(L348:M348)</f>
        <v>4.812414699999999E-3</v>
      </c>
      <c r="G348" s="877">
        <f>SUM(I348:Q348)</f>
        <v>4.812414699999999E-3</v>
      </c>
      <c r="H348" s="878">
        <f>SUM(U348:W348)/(1-'Common input data'!$H$140)</f>
        <v>6.6035659201932025E-3</v>
      </c>
      <c r="M348" s="877">
        <v>4.812414699999999E-3</v>
      </c>
      <c r="U348" s="877">
        <f>G348+T348</f>
        <v>4.812414699999999E-3</v>
      </c>
      <c r="W348" s="886"/>
      <c r="Y348" s="879"/>
      <c r="AD348" s="886"/>
      <c r="AF348" s="879"/>
      <c r="AK348" s="886"/>
      <c r="AM348" s="879"/>
      <c r="AR348" s="886"/>
      <c r="AT348" s="879"/>
      <c r="AY348" s="886"/>
      <c r="BA348" s="879"/>
      <c r="BF348" s="886"/>
      <c r="BG348" s="877"/>
      <c r="BH348" s="879"/>
      <c r="BI348" s="877"/>
      <c r="BJ348" s="877"/>
      <c r="BK348" s="877"/>
      <c r="BL348" s="877"/>
      <c r="BM348" s="886"/>
      <c r="BN348" s="877"/>
      <c r="BO348" s="879"/>
      <c r="BP348" s="877"/>
      <c r="BQ348" s="877"/>
      <c r="BR348" s="877"/>
      <c r="BS348" s="877"/>
      <c r="BT348" s="886"/>
      <c r="BU348" s="877"/>
      <c r="BV348" s="879"/>
      <c r="BW348" s="886"/>
    </row>
    <row r="349" spans="1:75">
      <c r="A349" s="20" t="s">
        <v>157</v>
      </c>
      <c r="B349" s="93" t="s">
        <v>121</v>
      </c>
      <c r="C349" s="87">
        <v>0.11</v>
      </c>
      <c r="D349" s="54"/>
      <c r="E349" s="1293" t="s">
        <v>316</v>
      </c>
      <c r="F349" s="930">
        <f>SUMPRODUCT($CI$4:$CI$6,F350:F352)</f>
        <v>1.2403916117086085</v>
      </c>
      <c r="G349" s="872">
        <f>SUMPRODUCT($CI$4:$CI$6,G350:G352)</f>
        <v>1.6228107037064083</v>
      </c>
      <c r="H349" s="873">
        <f>SUMPRODUCT($CI$4:$CI$6,H350:H352)</f>
        <v>2.8854639438311764</v>
      </c>
      <c r="I349" s="884"/>
      <c r="J349" s="884"/>
      <c r="K349" s="884"/>
      <c r="L349" s="884"/>
      <c r="M349" s="884"/>
      <c r="N349" s="884"/>
      <c r="O349" s="884"/>
      <c r="P349" s="884"/>
      <c r="Q349" s="884"/>
      <c r="R349" s="884"/>
      <c r="S349" s="884"/>
      <c r="T349" s="884"/>
      <c r="U349" s="884"/>
      <c r="V349" s="884"/>
      <c r="W349" s="885"/>
      <c r="Y349" s="879">
        <f>1/'Input data plant-based products'!E222*10^4</f>
        <v>1.1448196908986834</v>
      </c>
      <c r="Z349" s="877">
        <f>$Y349*'Input data plant-based products'!Z222</f>
        <v>1.1448196908986834</v>
      </c>
      <c r="AA349" s="877">
        <f>$Y349*'Input data plant-based products'!AA222</f>
        <v>1.1448196908986834</v>
      </c>
      <c r="AB349" s="877">
        <f>$Y349*'Input data plant-based products'!AB222</f>
        <v>1.1448196908986834</v>
      </c>
      <c r="AC349" s="877">
        <f>$Y349*'Input data plant-based products'!AC222</f>
        <v>1.5709145547212844</v>
      </c>
      <c r="AD349" s="886">
        <f>$Y349*'Input data plant-based products'!AD222</f>
        <v>1.9394006848410916</v>
      </c>
      <c r="AF349" s="879">
        <f>SUM('Input data plant-based products'!F222,'Input data plant-based products'!AE222)/'Input data plant-based products'!E222</f>
        <v>0</v>
      </c>
      <c r="AG349" s="877">
        <f>$AF349*'Input data plant-based products'!Z222</f>
        <v>0</v>
      </c>
      <c r="AH349" s="877">
        <f>$AF349*'Input data plant-based products'!AA222</f>
        <v>0</v>
      </c>
      <c r="AI349" s="877">
        <f>$AF349*'Input data plant-based products'!AB222</f>
        <v>0</v>
      </c>
      <c r="AJ349" s="877">
        <f>$AF349*'Input data plant-based products'!AC222</f>
        <v>0</v>
      </c>
      <c r="AK349" s="886">
        <f>$AF349*'Input data plant-based products'!AD222</f>
        <v>0</v>
      </c>
      <c r="AM349" s="879">
        <f>'Input data plant-based products'!R222/'Input data plant-based products'!E222</f>
        <v>3.5360000000000003E-2</v>
      </c>
      <c r="AN349" s="877">
        <f>$AM349*'Input data plant-based products'!Z222</f>
        <v>3.5360000000000003E-2</v>
      </c>
      <c r="AO349" s="877">
        <f>$AM349*'Input data plant-based products'!AA222</f>
        <v>3.5360000000000003E-2</v>
      </c>
      <c r="AP349" s="877">
        <f>$AM349*'Input data plant-based products'!AB222</f>
        <v>3.5360000000000003E-2</v>
      </c>
      <c r="AQ349" s="877">
        <f>$AM349*'Input data plant-based products'!AC222</f>
        <v>4.8520775015094129E-2</v>
      </c>
      <c r="AR349" s="886">
        <f>$AM349*'Input data plant-based products'!AD222</f>
        <v>5.9902191376659412E-2</v>
      </c>
      <c r="AT349" s="879">
        <f>'Input data plant-based products'!S222</f>
        <v>3.0423681404558902</v>
      </c>
      <c r="AU349" s="877">
        <f>$AT349*'Input data plant-based products'!Z222</f>
        <v>3.0423681404558902</v>
      </c>
      <c r="AV349" s="877">
        <f>$AT349*'Input data plant-based products'!AA222</f>
        <v>3.0423681404558902</v>
      </c>
      <c r="AW349" s="877">
        <f>$AT349*'Input data plant-based products'!AB222</f>
        <v>3.0423681404558902</v>
      </c>
      <c r="AX349" s="877">
        <f>$AT349*'Input data plant-based products'!AC222</f>
        <v>4.1747188929906827</v>
      </c>
      <c r="AY349" s="886">
        <f>$AT349*'Input data plant-based products'!AD222</f>
        <v>5.1539739419638053</v>
      </c>
      <c r="BA349" s="879">
        <f>((SUM('Input data plant-based products'!U222:Y222)*Y349)/('Common input data'!$B$192/10^6))/$BB$3</f>
        <v>1.8624365856042846E-11</v>
      </c>
      <c r="BB349" s="877">
        <f>$BA349*'Input data plant-based products'!Z222</f>
        <v>1.8624365856042846E-11</v>
      </c>
      <c r="BC349" s="877">
        <f>$BA349*'Input data plant-based products'!AA222</f>
        <v>1.8624365856042846E-11</v>
      </c>
      <c r="BD349" s="877">
        <f>$BA349*'Input data plant-based products'!AB222</f>
        <v>1.8624365856042846E-11</v>
      </c>
      <c r="BE349" s="877">
        <f>$BA349*'Input data plant-based products'!AC222</f>
        <v>2.5556240540154295E-11</v>
      </c>
      <c r="BF349" s="886">
        <f>$BA349*'Input data plant-based products'!AD222</f>
        <v>3.1550914247104066E-11</v>
      </c>
      <c r="BG349" s="877"/>
      <c r="BH349" s="879">
        <f>'Input data plant-based products'!T222/'Input data plant-based products'!E222</f>
        <v>0</v>
      </c>
      <c r="BI349" s="877">
        <f>$BH349*'Input data plant-based products'!Z222</f>
        <v>0</v>
      </c>
      <c r="BJ349" s="877">
        <f>$BH349*'Input data plant-based products'!AA222</f>
        <v>0</v>
      </c>
      <c r="BK349" s="877">
        <f>$BH349*'Input data plant-based products'!AB222</f>
        <v>0</v>
      </c>
      <c r="BL349" s="877">
        <f>$BH349*'Input data plant-based products'!AC222</f>
        <v>0</v>
      </c>
      <c r="BM349" s="886">
        <f>$BH349*'Input data plant-based products'!AD222</f>
        <v>0</v>
      </c>
      <c r="BN349" s="877"/>
      <c r="BO349" s="879">
        <f>('Input data plant-based products'!F222/'Input data plant-based products'!E222*'Common input data'!$B$195+'Input data plant-based products'!G222/'Input data plant-based products'!E222*'Common input data'!$B$196)/'Common input data'!$B$198</f>
        <v>0</v>
      </c>
      <c r="BP349" s="877">
        <f>$BO349*'Input data plant-based products'!Z222</f>
        <v>0</v>
      </c>
      <c r="BQ349" s="877">
        <f>$BO349*'Input data plant-based products'!AA222</f>
        <v>0</v>
      </c>
      <c r="BR349" s="877">
        <f>$BO349*'Input data plant-based products'!AB222</f>
        <v>0</v>
      </c>
      <c r="BS349" s="877">
        <f>$BO349*'Input data plant-based products'!AC222</f>
        <v>0</v>
      </c>
      <c r="BT349" s="886">
        <f>$BO349*'Input data plant-based products'!AD222</f>
        <v>0</v>
      </c>
      <c r="BU349" s="877"/>
      <c r="BV349" s="879">
        <f>('Common input data'!$B$228+'Common input data'!$C$228)*'Input data plant-based products'!AC222</f>
        <v>7.7562421752278485</v>
      </c>
      <c r="BW349" s="886">
        <f>('Common input data'!$B$228+'Common input data'!$C$228)*'Input data plant-based products'!AD222</f>
        <v>9.5756076237380832</v>
      </c>
    </row>
    <row r="350" spans="1:75">
      <c r="A350" s="499"/>
      <c r="B350" s="55"/>
      <c r="C350" s="917"/>
      <c r="E350" s="1294" t="s">
        <v>317</v>
      </c>
      <c r="F350" s="928">
        <f>IF(AND($G$2="No",$G$3="No"),SUM(K350:L350),IF(AND($G$2="Yes", $G$3="No"), SUM(K350:L350)+S350, IF(AND($G$2="No", $G$3="Yes"),SUM(K350:L350)+R350, SUM(K350:L350)+S350+R350)))</f>
        <v>-9.1139048141381296E-2</v>
      </c>
      <c r="G350" s="877">
        <f>IF(AND($G$2="No",$G$3="No"),SUM(I350:Q350),IF(AND($G$2="Yes", $G$3="No"), SUM(I350:Q350)+S350, IF(AND($G$2="No", $G$3="Yes"),SUM(I350:Q350)+R350, SUM(I350:Q350)+S350+R350)))</f>
        <v>0.29128004385641865</v>
      </c>
      <c r="H350" s="878">
        <f>SUM(U350:W350)/(1-'Common input data'!$H$140)</f>
        <v>1.0583457432576138</v>
      </c>
      <c r="M350" s="877">
        <v>0.33241909199779995</v>
      </c>
      <c r="P350" s="877">
        <f>'Input data plant-based products'!$F$309</f>
        <v>0.05</v>
      </c>
      <c r="R350" s="877">
        <f>'Common input data'!$F$19</f>
        <v>-9.1139048141381296E-2</v>
      </c>
      <c r="U350" s="877">
        <f>G350+T350</f>
        <v>0.29128004385641865</v>
      </c>
      <c r="V350" s="877">
        <f>'Common input data'!$B$105</f>
        <v>0.05</v>
      </c>
      <c r="W350" s="886">
        <f>'Common input data'!$B$120+'Common input data'!$C$120</f>
        <v>0.43000000000000005</v>
      </c>
      <c r="Y350" s="879"/>
      <c r="AD350" s="886"/>
      <c r="AF350" s="879"/>
      <c r="AK350" s="886"/>
      <c r="AM350" s="879"/>
      <c r="AR350" s="886"/>
      <c r="AT350" s="879"/>
      <c r="AY350" s="886"/>
      <c r="BA350" s="879"/>
      <c r="BF350" s="886"/>
      <c r="BG350" s="877"/>
      <c r="BH350" s="879"/>
      <c r="BI350" s="877"/>
      <c r="BJ350" s="877"/>
      <c r="BK350" s="877"/>
      <c r="BL350" s="877"/>
      <c r="BM350" s="886"/>
      <c r="BN350" s="877"/>
      <c r="BO350" s="879"/>
      <c r="BP350" s="877"/>
      <c r="BQ350" s="877"/>
      <c r="BR350" s="877"/>
      <c r="BS350" s="877"/>
      <c r="BT350" s="886"/>
      <c r="BU350" s="877"/>
      <c r="BV350" s="879"/>
      <c r="BW350" s="886"/>
    </row>
    <row r="351" spans="1:75">
      <c r="A351" s="499"/>
      <c r="B351" s="55"/>
      <c r="C351" s="595"/>
      <c r="D351" s="50"/>
      <c r="E351" s="1294" t="s">
        <v>367</v>
      </c>
      <c r="F351" s="928">
        <f>SUM(L351:M351)</f>
        <v>6.5709062037000009E-4</v>
      </c>
      <c r="G351" s="877">
        <f>SUM(I351:Q351)</f>
        <v>6.5709062037000009E-4</v>
      </c>
      <c r="H351" s="878">
        <f>SUM(U351:W351)/(1-'Common input data'!$H$140)</f>
        <v>9.0165571706734735E-4</v>
      </c>
      <c r="M351" s="877">
        <v>6.5709062037000009E-4</v>
      </c>
      <c r="U351" s="877">
        <f>G351+T351</f>
        <v>6.5709062037000009E-4</v>
      </c>
      <c r="W351" s="886"/>
      <c r="Y351" s="879"/>
      <c r="AD351" s="886"/>
      <c r="AF351" s="879"/>
      <c r="AK351" s="886"/>
      <c r="AM351" s="879"/>
      <c r="AR351" s="886"/>
      <c r="AT351" s="879"/>
      <c r="AY351" s="886"/>
      <c r="BA351" s="879"/>
      <c r="BF351" s="886"/>
      <c r="BG351" s="877"/>
      <c r="BH351" s="879"/>
      <c r="BI351" s="877"/>
      <c r="BJ351" s="877"/>
      <c r="BK351" s="877"/>
      <c r="BL351" s="877"/>
      <c r="BM351" s="886"/>
      <c r="BN351" s="877"/>
      <c r="BO351" s="879"/>
      <c r="BP351" s="877"/>
      <c r="BQ351" s="877"/>
      <c r="BR351" s="877"/>
      <c r="BS351" s="877"/>
      <c r="BT351" s="886"/>
      <c r="BU351" s="877"/>
      <c r="BV351" s="879"/>
      <c r="BW351" s="886"/>
    </row>
    <row r="352" spans="1:75">
      <c r="A352" s="18"/>
      <c r="B352" s="360"/>
      <c r="C352" s="83"/>
      <c r="D352" s="54"/>
      <c r="E352" s="1295" t="s">
        <v>320</v>
      </c>
      <c r="F352" s="928">
        <f>SUM(L352:M352)</f>
        <v>4.812414699999999E-3</v>
      </c>
      <c r="G352" s="877">
        <f>SUM(I352:Q352)</f>
        <v>4.812414699999999E-3</v>
      </c>
      <c r="H352" s="878">
        <f>SUM(U352:W352)/(1-'Common input data'!$H$140)</f>
        <v>6.6035659201932025E-3</v>
      </c>
      <c r="M352" s="877">
        <v>4.812414699999999E-3</v>
      </c>
      <c r="U352" s="877">
        <f>G352+T352</f>
        <v>4.812414699999999E-3</v>
      </c>
      <c r="W352" s="886"/>
      <c r="Y352" s="879"/>
      <c r="AD352" s="886"/>
      <c r="AF352" s="879"/>
      <c r="AK352" s="886"/>
      <c r="AM352" s="879"/>
      <c r="AR352" s="886"/>
      <c r="AT352" s="879"/>
      <c r="AY352" s="886"/>
      <c r="BA352" s="879"/>
      <c r="BF352" s="886"/>
      <c r="BG352" s="877"/>
      <c r="BH352" s="879"/>
      <c r="BI352" s="877"/>
      <c r="BJ352" s="877"/>
      <c r="BK352" s="877"/>
      <c r="BL352" s="877"/>
      <c r="BM352" s="886"/>
      <c r="BN352" s="877"/>
      <c r="BO352" s="879"/>
      <c r="BP352" s="877"/>
      <c r="BQ352" s="877"/>
      <c r="BR352" s="877"/>
      <c r="BS352" s="877"/>
      <c r="BT352" s="886"/>
      <c r="BU352" s="877"/>
      <c r="BV352" s="879"/>
      <c r="BW352" s="886"/>
    </row>
    <row r="353" spans="1:75">
      <c r="A353" s="20" t="s">
        <v>134</v>
      </c>
      <c r="B353" s="93" t="s">
        <v>121</v>
      </c>
      <c r="C353" s="87">
        <v>0.47</v>
      </c>
      <c r="D353" s="54"/>
      <c r="E353" s="1293" t="s">
        <v>316</v>
      </c>
      <c r="F353" s="930">
        <f>SUMPRODUCT($CI$4:$CI$6,F354:F356)</f>
        <v>1.2403916117086085</v>
      </c>
      <c r="G353" s="872">
        <f>SUMPRODUCT($CI$4:$CI$6,G354:G356)</f>
        <v>1.6228107037064083</v>
      </c>
      <c r="H353" s="873">
        <f>SUMPRODUCT($CI$4:$CI$6,H354:H356)</f>
        <v>2.8854639438311764</v>
      </c>
      <c r="I353" s="1307"/>
      <c r="J353" s="1307"/>
      <c r="K353" s="884"/>
      <c r="L353" s="1307"/>
      <c r="M353" s="1307"/>
      <c r="N353" s="1307"/>
      <c r="O353" s="1307"/>
      <c r="P353" s="1307"/>
      <c r="Q353" s="1307"/>
      <c r="R353" s="1307"/>
      <c r="S353" s="1307"/>
      <c r="T353" s="1307"/>
      <c r="U353" s="1307"/>
      <c r="V353" s="1307"/>
      <c r="W353" s="1308"/>
      <c r="Y353" s="879">
        <f>1/'Input data plant-based products'!E223*10^4</f>
        <v>1.3777900248002206</v>
      </c>
      <c r="Z353" s="877">
        <f>$Y353*'Input data plant-based products'!Z223</f>
        <v>1.3777900248002206</v>
      </c>
      <c r="AA353" s="877">
        <f>$Y353*'Input data plant-based products'!AA223</f>
        <v>1.3777900248002206</v>
      </c>
      <c r="AB353" s="877">
        <f>$Y353*'Input data plant-based products'!AB223</f>
        <v>1.3777900248002206</v>
      </c>
      <c r="AC353" s="877">
        <f>$Y353*'Input data plant-based products'!AC223</f>
        <v>1.8905950172899453</v>
      </c>
      <c r="AD353" s="886">
        <f>$Y353*'Input data plant-based products'!AD223</f>
        <v>2.334067922580179</v>
      </c>
      <c r="AF353" s="879">
        <f>SUM('Input data plant-based products'!F223,'Input data plant-based products'!AE223)/'Input data plant-based products'!E223</f>
        <v>0</v>
      </c>
      <c r="AG353" s="877">
        <f>$AF353*'Input data plant-based products'!Z223</f>
        <v>0</v>
      </c>
      <c r="AH353" s="877">
        <f>$AF353*'Input data plant-based products'!AA223</f>
        <v>0</v>
      </c>
      <c r="AI353" s="877">
        <f>$AF353*'Input data plant-based products'!AB223</f>
        <v>0</v>
      </c>
      <c r="AJ353" s="877">
        <f>$AF353*'Input data plant-based products'!AC223</f>
        <v>0</v>
      </c>
      <c r="AK353" s="886">
        <f>$AF353*'Input data plant-based products'!AD223</f>
        <v>0</v>
      </c>
      <c r="AM353" s="879">
        <f>'Input data plant-based products'!R223/'Input data plant-based products'!E223</f>
        <v>3.5359999999999996E-2</v>
      </c>
      <c r="AN353" s="877">
        <f>$AM353*'Input data plant-based products'!Z223</f>
        <v>3.5359999999999996E-2</v>
      </c>
      <c r="AO353" s="877">
        <f>$AM353*'Input data plant-based products'!AA223</f>
        <v>3.5359999999999996E-2</v>
      </c>
      <c r="AP353" s="877">
        <f>$AM353*'Input data plant-based products'!AB223</f>
        <v>3.5359999999999996E-2</v>
      </c>
      <c r="AQ353" s="877">
        <f>$AM353*'Input data plant-based products'!AC223</f>
        <v>4.8520775015094122E-2</v>
      </c>
      <c r="AR353" s="886">
        <f>$AM353*'Input data plant-based products'!AD223</f>
        <v>5.9902191376659399E-2</v>
      </c>
      <c r="AT353" s="879">
        <f>'Input data plant-based products'!S223</f>
        <v>1.24982243378513</v>
      </c>
      <c r="AU353" s="877">
        <f>$AT353*'Input data plant-based products'!Z223</f>
        <v>1.24982243378513</v>
      </c>
      <c r="AV353" s="877">
        <f>$AT353*'Input data plant-based products'!AA223</f>
        <v>1.24982243378513</v>
      </c>
      <c r="AW353" s="877">
        <f>$AT353*'Input data plant-based products'!AB223</f>
        <v>1.24982243378513</v>
      </c>
      <c r="AX353" s="877">
        <f>$AT353*'Input data plant-based products'!AC223</f>
        <v>1.7149986741658843</v>
      </c>
      <c r="AY353" s="886">
        <f>$AT353*'Input data plant-based products'!AD223</f>
        <v>2.1172823137850423</v>
      </c>
      <c r="BA353" s="879">
        <f>((SUM('Input data plant-based products'!U223:Y223)*Y353)/('Common input data'!$B$192/10^6))/$BB$3</f>
        <v>8.7877054167325665E-11</v>
      </c>
      <c r="BB353" s="877">
        <f>$BA353*'Input data plant-based products'!Z223</f>
        <v>8.7877054167325665E-11</v>
      </c>
      <c r="BC353" s="877">
        <f>$BA353*'Input data plant-based products'!AA223</f>
        <v>8.7877054167325665E-11</v>
      </c>
      <c r="BD353" s="877">
        <f>$BA353*'Input data plant-based products'!AB223</f>
        <v>8.7877054167325665E-11</v>
      </c>
      <c r="BE353" s="877">
        <f>$BA353*'Input data plant-based products'!AC223</f>
        <v>1.2058435447517104E-10</v>
      </c>
      <c r="BF353" s="886">
        <f>$BA353*'Input data plant-based products'!AD223</f>
        <v>1.4886957342613709E-10</v>
      </c>
      <c r="BG353" s="877"/>
      <c r="BH353" s="879">
        <f>'Input data plant-based products'!T223/'Input data plant-based products'!E223</f>
        <v>0</v>
      </c>
      <c r="BI353" s="877">
        <f>$BH353*'Input data plant-based products'!Z223</f>
        <v>0</v>
      </c>
      <c r="BJ353" s="877">
        <f>$BH353*'Input data plant-based products'!AA223</f>
        <v>0</v>
      </c>
      <c r="BK353" s="877">
        <f>$BH353*'Input data plant-based products'!AB223</f>
        <v>0</v>
      </c>
      <c r="BL353" s="877">
        <f>$BH353*'Input data plant-based products'!AC223</f>
        <v>0</v>
      </c>
      <c r="BM353" s="886">
        <f>$BH353*'Input data plant-based products'!AD223</f>
        <v>0</v>
      </c>
      <c r="BN353" s="877"/>
      <c r="BO353" s="879">
        <f>('Input data plant-based products'!F223/'Input data plant-based products'!E223*'Common input data'!$B$195+'Input data plant-based products'!G223/'Input data plant-based products'!E223*'Common input data'!$B$196)/'Common input data'!$B$198</f>
        <v>0</v>
      </c>
      <c r="BP353" s="877">
        <f>$BO353*'Input data plant-based products'!Z223</f>
        <v>0</v>
      </c>
      <c r="BQ353" s="877">
        <f>$BO353*'Input data plant-based products'!AA223</f>
        <v>0</v>
      </c>
      <c r="BR353" s="877">
        <f>$BO353*'Input data plant-based products'!AB223</f>
        <v>0</v>
      </c>
      <c r="BS353" s="877">
        <f>$BO353*'Input data plant-based products'!AC223</f>
        <v>0</v>
      </c>
      <c r="BT353" s="886">
        <f>$BO353*'Input data plant-based products'!AD223</f>
        <v>0</v>
      </c>
      <c r="BU353" s="877"/>
      <c r="BV353" s="879">
        <f>('Common input data'!$B$228+'Common input data'!$C$228)*'Input data plant-based products'!AC223</f>
        <v>7.7562421752278485</v>
      </c>
      <c r="BW353" s="886">
        <f>('Common input data'!$B$228+'Common input data'!$C$228)*'Input data plant-based products'!AD223</f>
        <v>9.5756076237380832</v>
      </c>
    </row>
    <row r="354" spans="1:75">
      <c r="A354" s="499"/>
      <c r="B354" s="55"/>
      <c r="C354" s="917"/>
      <c r="E354" s="1294" t="s">
        <v>317</v>
      </c>
      <c r="F354" s="928">
        <f>IF(AND($G$2="No",$G$3="No"),SUM(K354:L354),IF(AND($G$2="Yes", $G$3="No"), SUM(K354:L354)+S354, IF(AND($G$2="No", $G$3="Yes"),SUM(K354:L354)+R354, SUM(K354:L354)+S354+R354)))</f>
        <v>-9.1139048141381296E-2</v>
      </c>
      <c r="G354" s="877">
        <f>IF(AND($G$2="No",$G$3="No"),SUM(I354:Q354),IF(AND($G$2="Yes", $G$3="No"), SUM(I354:Q354)+S354, IF(AND($G$2="No", $G$3="Yes"),SUM(I354:Q354)+R354, SUM(I354:Q354)+S354+R354)))</f>
        <v>0.29128004385641865</v>
      </c>
      <c r="H354" s="878">
        <f>SUM(U354:W354)/(1-'Common input data'!$I$140)</f>
        <v>1.0583457432576138</v>
      </c>
      <c r="M354" s="877">
        <v>0.33241909199779995</v>
      </c>
      <c r="P354" s="877">
        <f>'Input data plant-based products'!$F$309</f>
        <v>0.05</v>
      </c>
      <c r="R354" s="877">
        <f>'Common input data'!$F$19</f>
        <v>-9.1139048141381296E-2</v>
      </c>
      <c r="U354" s="877">
        <f>G354+T354</f>
        <v>0.29128004385641865</v>
      </c>
      <c r="V354" s="877">
        <f>'Common input data'!$B$105</f>
        <v>0.05</v>
      </c>
      <c r="W354" s="886">
        <f>'Common input data'!$B$128+'Common input data'!$C$128</f>
        <v>0.43000000000000005</v>
      </c>
      <c r="Y354" s="879"/>
      <c r="AD354" s="886"/>
      <c r="AF354" s="879"/>
      <c r="AK354" s="886"/>
      <c r="AM354" s="879"/>
      <c r="AR354" s="886"/>
      <c r="AT354" s="879"/>
      <c r="AY354" s="886"/>
      <c r="BA354" s="879"/>
      <c r="BF354" s="886"/>
      <c r="BG354" s="877"/>
      <c r="BH354" s="879"/>
      <c r="BI354" s="877"/>
      <c r="BJ354" s="877"/>
      <c r="BK354" s="877"/>
      <c r="BL354" s="877"/>
      <c r="BM354" s="886"/>
      <c r="BN354" s="877"/>
      <c r="BO354" s="879"/>
      <c r="BP354" s="877"/>
      <c r="BQ354" s="877"/>
      <c r="BR354" s="877"/>
      <c r="BS354" s="877"/>
      <c r="BT354" s="886"/>
      <c r="BU354" s="877"/>
      <c r="BV354" s="879"/>
      <c r="BW354" s="886"/>
    </row>
    <row r="355" spans="1:75">
      <c r="A355" s="499"/>
      <c r="B355" s="55"/>
      <c r="C355" s="595"/>
      <c r="D355" s="50"/>
      <c r="E355" s="1294" t="s">
        <v>367</v>
      </c>
      <c r="F355" s="928">
        <f>SUM(L355:M355)</f>
        <v>6.5709062037000009E-4</v>
      </c>
      <c r="G355" s="877">
        <f>SUM(I355:Q355)</f>
        <v>6.5709062037000009E-4</v>
      </c>
      <c r="H355" s="878">
        <f>SUM(U355:W355)/(1-'Common input data'!$I$140)</f>
        <v>9.0165571706734735E-4</v>
      </c>
      <c r="M355" s="877">
        <v>6.5709062037000009E-4</v>
      </c>
      <c r="U355" s="877">
        <f>G355+T355</f>
        <v>6.5709062037000009E-4</v>
      </c>
      <c r="W355" s="886"/>
      <c r="Y355" s="879"/>
      <c r="AD355" s="886"/>
      <c r="AF355" s="879"/>
      <c r="AK355" s="886"/>
      <c r="AM355" s="879"/>
      <c r="AR355" s="886"/>
      <c r="AT355" s="879"/>
      <c r="AY355" s="886"/>
      <c r="BA355" s="879"/>
      <c r="BF355" s="886"/>
      <c r="BG355" s="877"/>
      <c r="BH355" s="879"/>
      <c r="BI355" s="877"/>
      <c r="BJ355" s="877"/>
      <c r="BK355" s="877"/>
      <c r="BL355" s="877"/>
      <c r="BM355" s="886"/>
      <c r="BN355" s="877"/>
      <c r="BO355" s="879"/>
      <c r="BP355" s="877"/>
      <c r="BQ355" s="877"/>
      <c r="BR355" s="877"/>
      <c r="BS355" s="877"/>
      <c r="BT355" s="886"/>
      <c r="BU355" s="877"/>
      <c r="BV355" s="879"/>
      <c r="BW355" s="886"/>
    </row>
    <row r="356" spans="1:75">
      <c r="A356" s="18"/>
      <c r="B356" s="360"/>
      <c r="C356" s="83"/>
      <c r="D356" s="54"/>
      <c r="E356" s="1295" t="s">
        <v>320</v>
      </c>
      <c r="F356" s="928">
        <f>SUM(L356:M356)</f>
        <v>4.812414699999999E-3</v>
      </c>
      <c r="G356" s="877">
        <f>SUM(I356:Q356)</f>
        <v>4.812414699999999E-3</v>
      </c>
      <c r="H356" s="878">
        <f>SUM(U356:W356)/(1-'Common input data'!$I$140)</f>
        <v>6.6035659201932025E-3</v>
      </c>
      <c r="M356" s="877">
        <v>4.812414699999999E-3</v>
      </c>
      <c r="U356" s="877">
        <f>G356+T356</f>
        <v>4.812414699999999E-3</v>
      </c>
      <c r="W356" s="886"/>
      <c r="Y356" s="879"/>
      <c r="AD356" s="886"/>
      <c r="AF356" s="879"/>
      <c r="AK356" s="886"/>
      <c r="AM356" s="879"/>
      <c r="AR356" s="886"/>
      <c r="AT356" s="879"/>
      <c r="AY356" s="886"/>
      <c r="BA356" s="879"/>
      <c r="BF356" s="886"/>
      <c r="BG356" s="877"/>
      <c r="BH356" s="879"/>
      <c r="BI356" s="877"/>
      <c r="BJ356" s="877"/>
      <c r="BK356" s="877"/>
      <c r="BL356" s="877"/>
      <c r="BM356" s="886"/>
      <c r="BN356" s="877"/>
      <c r="BO356" s="879"/>
      <c r="BP356" s="877"/>
      <c r="BQ356" s="877"/>
      <c r="BR356" s="877"/>
      <c r="BS356" s="877"/>
      <c r="BT356" s="886"/>
      <c r="BU356" s="877"/>
      <c r="BV356" s="879"/>
      <c r="BW356" s="886"/>
    </row>
    <row r="357" spans="1:75">
      <c r="A357" s="362" t="s">
        <v>158</v>
      </c>
      <c r="B357" s="363"/>
      <c r="C357" s="770"/>
      <c r="D357" s="54"/>
      <c r="E357" s="1296"/>
      <c r="F357" s="969" t="s">
        <v>537</v>
      </c>
      <c r="G357" s="892" t="s">
        <v>537</v>
      </c>
      <c r="H357" s="970" t="s">
        <v>537</v>
      </c>
      <c r="I357" s="892"/>
      <c r="J357" s="892"/>
      <c r="K357" s="892"/>
      <c r="L357" s="892"/>
      <c r="M357" s="892"/>
      <c r="N357" s="892"/>
      <c r="O357" s="892"/>
      <c r="P357" s="892"/>
      <c r="Q357" s="892"/>
      <c r="R357" s="892"/>
      <c r="S357" s="892"/>
      <c r="T357" s="892"/>
      <c r="U357" s="892"/>
      <c r="V357" s="892"/>
      <c r="W357" s="1291"/>
      <c r="Y357" s="879"/>
      <c r="AD357" s="886"/>
      <c r="AF357" s="879"/>
      <c r="AK357" s="886"/>
      <c r="AM357" s="879"/>
      <c r="AR357" s="886"/>
      <c r="AT357" s="879"/>
      <c r="AY357" s="886"/>
      <c r="BA357" s="879"/>
      <c r="BF357" s="886"/>
      <c r="BG357" s="877"/>
      <c r="BH357" s="879"/>
      <c r="BI357" s="877"/>
      <c r="BJ357" s="877"/>
      <c r="BK357" s="877"/>
      <c r="BL357" s="877"/>
      <c r="BM357" s="886"/>
      <c r="BN357" s="877"/>
      <c r="BO357" s="879"/>
      <c r="BP357" s="877"/>
      <c r="BQ357" s="877"/>
      <c r="BR357" s="877"/>
      <c r="BS357" s="877"/>
      <c r="BT357" s="886"/>
      <c r="BU357" s="877"/>
      <c r="BV357" s="879"/>
      <c r="BW357" s="886"/>
    </row>
    <row r="358" spans="1:75">
      <c r="A358" s="497" t="s">
        <v>120</v>
      </c>
      <c r="B358" s="382" t="s">
        <v>121</v>
      </c>
      <c r="C358" s="772">
        <f>SUM(C362:C373)</f>
        <v>1</v>
      </c>
      <c r="D358" s="50"/>
      <c r="E358" s="1293" t="s">
        <v>316</v>
      </c>
      <c r="F358" s="930">
        <f>SUMPRODUCT($CI$4:$CI$6,F359:F361)</f>
        <v>-5.5770991062850828E-2</v>
      </c>
      <c r="G358" s="872">
        <f>SUMPRODUCT($CI$4:$CI$6,G359:G361)</f>
        <v>0.16482224591714914</v>
      </c>
      <c r="H358" s="873">
        <f>SUMPRODUCT($CI$4:$CI$6,H359:H361)</f>
        <v>0.53490705144192152</v>
      </c>
      <c r="I358" s="1307"/>
      <c r="J358" s="1307"/>
      <c r="K358" s="1307"/>
      <c r="L358" s="1307"/>
      <c r="M358" s="1307"/>
      <c r="N358" s="1307"/>
      <c r="O358" s="1307"/>
      <c r="P358" s="1307"/>
      <c r="Q358" s="1307"/>
      <c r="R358" s="1307"/>
      <c r="S358" s="1307"/>
      <c r="T358" s="1307"/>
      <c r="U358" s="1307"/>
      <c r="V358" s="1307"/>
      <c r="W358" s="1308"/>
      <c r="Y358" s="883"/>
      <c r="Z358" s="884"/>
      <c r="AA358" s="884"/>
      <c r="AB358" s="884"/>
      <c r="AC358" s="884"/>
      <c r="AD358" s="885"/>
      <c r="AF358" s="883"/>
      <c r="AG358" s="884"/>
      <c r="AH358" s="884"/>
      <c r="AI358" s="884"/>
      <c r="AJ358" s="884"/>
      <c r="AK358" s="885"/>
      <c r="AM358" s="883"/>
      <c r="AN358" s="884"/>
      <c r="AO358" s="884"/>
      <c r="AP358" s="884"/>
      <c r="AQ358" s="884"/>
      <c r="AR358" s="885"/>
      <c r="AT358" s="883"/>
      <c r="AU358" s="884"/>
      <c r="AV358" s="884"/>
      <c r="AW358" s="884"/>
      <c r="AX358" s="884"/>
      <c r="AY358" s="885"/>
      <c r="BA358" s="883"/>
      <c r="BB358" s="884"/>
      <c r="BC358" s="884"/>
      <c r="BD358" s="884"/>
      <c r="BE358" s="884"/>
      <c r="BF358" s="885"/>
      <c r="BG358" s="877"/>
      <c r="BH358" s="883"/>
      <c r="BI358" s="884"/>
      <c r="BJ358" s="884"/>
      <c r="BK358" s="884"/>
      <c r="BL358" s="884"/>
      <c r="BM358" s="885"/>
      <c r="BN358" s="877"/>
      <c r="BO358" s="883"/>
      <c r="BP358" s="884"/>
      <c r="BQ358" s="884"/>
      <c r="BR358" s="884"/>
      <c r="BS358" s="884"/>
      <c r="BT358" s="885"/>
      <c r="BU358" s="877"/>
      <c r="BV358" s="883"/>
      <c r="BW358" s="885"/>
    </row>
    <row r="359" spans="1:75">
      <c r="A359" s="499"/>
      <c r="B359" s="55"/>
      <c r="C359" s="917"/>
      <c r="E359" s="1294" t="s">
        <v>317</v>
      </c>
      <c r="F359" s="928">
        <f>F363*$C$362+F367*$C$366+$C$370*F371</f>
        <v>-9.1139048141381296E-2</v>
      </c>
      <c r="G359" s="877">
        <f>G363*$C$362+G367*$C$366+$C$370*G371</f>
        <v>0.12945418883861867</v>
      </c>
      <c r="H359" s="878">
        <f>H363*$C$362+H367*$C$366+$C$370*H371</f>
        <v>0.49250966382878802</v>
      </c>
      <c r="I359" s="877">
        <f t="shared" ref="I359:W359" si="70">I363*$C$362+I367*$C$366+$C$370*I371</f>
        <v>0</v>
      </c>
      <c r="J359" s="877">
        <f t="shared" si="70"/>
        <v>0</v>
      </c>
      <c r="L359" s="877">
        <f t="shared" si="70"/>
        <v>0</v>
      </c>
      <c r="M359" s="877">
        <f>M363*$C$362+M367*$C$366+$C$370*M371</f>
        <v>0.17059323697999998</v>
      </c>
      <c r="N359" s="877">
        <f t="shared" si="70"/>
        <v>0</v>
      </c>
      <c r="O359" s="877">
        <f t="shared" si="70"/>
        <v>0</v>
      </c>
      <c r="P359" s="877">
        <f t="shared" si="70"/>
        <v>0.05</v>
      </c>
      <c r="Q359" s="877">
        <f t="shared" si="70"/>
        <v>0</v>
      </c>
      <c r="R359" s="877">
        <f t="shared" si="70"/>
        <v>-9.1139048141381296E-2</v>
      </c>
      <c r="S359" s="877">
        <f t="shared" si="70"/>
        <v>0</v>
      </c>
      <c r="T359" s="877">
        <f t="shared" si="70"/>
        <v>0</v>
      </c>
      <c r="U359" s="877">
        <f t="shared" si="70"/>
        <v>0.12945418883861867</v>
      </c>
      <c r="V359" s="877">
        <f t="shared" si="70"/>
        <v>0.05</v>
      </c>
      <c r="W359" s="886">
        <f t="shared" si="70"/>
        <v>0.23200000000000001</v>
      </c>
      <c r="Y359" s="879"/>
      <c r="AD359" s="886"/>
      <c r="AF359" s="879"/>
      <c r="AK359" s="886"/>
      <c r="AM359" s="879"/>
      <c r="AR359" s="886"/>
      <c r="AT359" s="879"/>
      <c r="AY359" s="886"/>
      <c r="BA359" s="879"/>
      <c r="BF359" s="886"/>
      <c r="BG359" s="877"/>
      <c r="BH359" s="879"/>
      <c r="BI359" s="877"/>
      <c r="BJ359" s="877"/>
      <c r="BK359" s="877"/>
      <c r="BL359" s="877"/>
      <c r="BM359" s="886"/>
      <c r="BN359" s="877"/>
      <c r="BO359" s="879"/>
      <c r="BP359" s="877"/>
      <c r="BQ359" s="877"/>
      <c r="BR359" s="877"/>
      <c r="BS359" s="877"/>
      <c r="BT359" s="886"/>
      <c r="BU359" s="877"/>
      <c r="BV359" s="879"/>
      <c r="BW359" s="886"/>
    </row>
    <row r="360" spans="1:75">
      <c r="A360" s="499"/>
      <c r="B360" s="55"/>
      <c r="C360" s="595"/>
      <c r="D360" s="50"/>
      <c r="E360" s="1294" t="s">
        <v>367</v>
      </c>
      <c r="F360" s="928">
        <f t="shared" ref="F360:H361" si="71">F364*$C$362+F368*$C$366+$C$370*F372</f>
        <v>5.4588984622151498E-4</v>
      </c>
      <c r="G360" s="877">
        <f t="shared" si="71"/>
        <v>5.4588984622151498E-4</v>
      </c>
      <c r="H360" s="878">
        <f t="shared" si="71"/>
        <v>6.5336034839259512E-4</v>
      </c>
      <c r="I360" s="877">
        <f t="shared" ref="I360:W360" si="72">I364*$C$362+I368*$C$366+$C$370*I372</f>
        <v>0</v>
      </c>
      <c r="J360" s="877">
        <f t="shared" si="72"/>
        <v>0</v>
      </c>
      <c r="L360" s="877">
        <f t="shared" si="72"/>
        <v>0</v>
      </c>
      <c r="M360" s="877">
        <f>M364*$C$362+M368*$C$366+$C$370*M372</f>
        <v>5.4588984622151498E-4</v>
      </c>
      <c r="N360" s="877">
        <f t="shared" si="72"/>
        <v>0</v>
      </c>
      <c r="O360" s="877">
        <f t="shared" si="72"/>
        <v>0</v>
      </c>
      <c r="P360" s="877">
        <f t="shared" si="72"/>
        <v>0</v>
      </c>
      <c r="Q360" s="877">
        <f t="shared" si="72"/>
        <v>0</v>
      </c>
      <c r="R360" s="877">
        <f t="shared" si="72"/>
        <v>0</v>
      </c>
      <c r="S360" s="877">
        <f t="shared" si="72"/>
        <v>0</v>
      </c>
      <c r="T360" s="877">
        <f t="shared" si="72"/>
        <v>0</v>
      </c>
      <c r="U360" s="877">
        <f t="shared" si="72"/>
        <v>5.4588984622151498E-4</v>
      </c>
      <c r="V360" s="877">
        <f t="shared" si="72"/>
        <v>0</v>
      </c>
      <c r="W360" s="886">
        <f t="shared" si="72"/>
        <v>0</v>
      </c>
      <c r="Y360" s="879"/>
      <c r="AD360" s="886"/>
      <c r="AF360" s="879"/>
      <c r="AK360" s="886"/>
      <c r="AM360" s="879"/>
      <c r="AR360" s="886"/>
      <c r="AT360" s="879"/>
      <c r="AY360" s="886"/>
      <c r="BA360" s="879"/>
      <c r="BF360" s="886"/>
      <c r="BG360" s="877"/>
      <c r="BH360" s="879"/>
      <c r="BI360" s="877"/>
      <c r="BJ360" s="877"/>
      <c r="BK360" s="877"/>
      <c r="BL360" s="877"/>
      <c r="BM360" s="886"/>
      <c r="BN360" s="877"/>
      <c r="BO360" s="879"/>
      <c r="BP360" s="877"/>
      <c r="BQ360" s="877"/>
      <c r="BR360" s="877"/>
      <c r="BS360" s="877"/>
      <c r="BT360" s="886"/>
      <c r="BU360" s="877"/>
      <c r="BV360" s="879"/>
      <c r="BW360" s="886"/>
    </row>
    <row r="361" spans="1:75">
      <c r="A361" s="18"/>
      <c r="B361" s="360"/>
      <c r="C361" s="83"/>
      <c r="D361" s="54"/>
      <c r="E361" s="1295" t="s">
        <v>320</v>
      </c>
      <c r="F361" s="928">
        <f t="shared" si="71"/>
        <v>7.5564216961720003E-5</v>
      </c>
      <c r="G361" s="877">
        <f t="shared" si="71"/>
        <v>7.5564216961720003E-5</v>
      </c>
      <c r="H361" s="878">
        <f t="shared" si="71"/>
        <v>9.068372969426138E-5</v>
      </c>
      <c r="I361" s="877">
        <f t="shared" ref="I361:W361" si="73">I365*$C$362+I369*$C$366+$C$370*I373</f>
        <v>0</v>
      </c>
      <c r="J361" s="877">
        <f t="shared" si="73"/>
        <v>0</v>
      </c>
      <c r="L361" s="877">
        <f t="shared" si="73"/>
        <v>0</v>
      </c>
      <c r="M361" s="877">
        <f>M365*$C$362+M369*$C$366+$C$370*M373</f>
        <v>7.5564216961720003E-5</v>
      </c>
      <c r="N361" s="877">
        <f t="shared" si="73"/>
        <v>0</v>
      </c>
      <c r="O361" s="877">
        <f t="shared" si="73"/>
        <v>0</v>
      </c>
      <c r="P361" s="877">
        <f t="shared" si="73"/>
        <v>0</v>
      </c>
      <c r="Q361" s="877">
        <f t="shared" si="73"/>
        <v>0</v>
      </c>
      <c r="R361" s="877">
        <f t="shared" si="73"/>
        <v>0</v>
      </c>
      <c r="S361" s="877">
        <f t="shared" si="73"/>
        <v>0</v>
      </c>
      <c r="T361" s="877">
        <f t="shared" si="73"/>
        <v>0</v>
      </c>
      <c r="U361" s="877">
        <f t="shared" si="73"/>
        <v>7.5564216961720003E-5</v>
      </c>
      <c r="V361" s="877">
        <f t="shared" si="73"/>
        <v>0</v>
      </c>
      <c r="W361" s="886">
        <f t="shared" si="73"/>
        <v>0</v>
      </c>
      <c r="Y361" s="879"/>
      <c r="AD361" s="886"/>
      <c r="AF361" s="879"/>
      <c r="AK361" s="886"/>
      <c r="AM361" s="879"/>
      <c r="AR361" s="886"/>
      <c r="AT361" s="879"/>
      <c r="AY361" s="886"/>
      <c r="BA361" s="879"/>
      <c r="BF361" s="886"/>
      <c r="BG361" s="877"/>
      <c r="BH361" s="879"/>
      <c r="BI361" s="877"/>
      <c r="BJ361" s="877"/>
      <c r="BK361" s="877"/>
      <c r="BL361" s="877"/>
      <c r="BM361" s="886"/>
      <c r="BN361" s="877"/>
      <c r="BO361" s="879"/>
      <c r="BP361" s="877"/>
      <c r="BQ361" s="877"/>
      <c r="BR361" s="877"/>
      <c r="BS361" s="877"/>
      <c r="BT361" s="886"/>
      <c r="BU361" s="877"/>
      <c r="BV361" s="879"/>
      <c r="BW361" s="886"/>
    </row>
    <row r="362" spans="1:75">
      <c r="A362" s="20" t="s">
        <v>130</v>
      </c>
      <c r="B362" s="93" t="s">
        <v>121</v>
      </c>
      <c r="C362" s="87">
        <v>0.56000000000000005</v>
      </c>
      <c r="D362" s="54"/>
      <c r="E362" s="1293" t="s">
        <v>316</v>
      </c>
      <c r="F362" s="930">
        <f>SUMPRODUCT($CI$4:$CI$6,F363:F365)</f>
        <v>-6.6444223819911497E-2</v>
      </c>
      <c r="G362" s="872">
        <f>SUMPRODUCT($CI$4:$CI$6,G363:G365)</f>
        <v>0.13283698718008846</v>
      </c>
      <c r="H362" s="873">
        <f>SUMPRODUCT($CI$4:$CI$6,H363:H365)</f>
        <v>0.49270436469756351</v>
      </c>
      <c r="I362" s="1307"/>
      <c r="J362" s="1307"/>
      <c r="K362" s="884"/>
      <c r="L362" s="1307"/>
      <c r="M362" s="1307"/>
      <c r="N362" s="1307"/>
      <c r="O362" s="1307"/>
      <c r="P362" s="1307"/>
      <c r="Q362" s="1307"/>
      <c r="R362" s="1307"/>
      <c r="S362" s="1307"/>
      <c r="T362" s="1307"/>
      <c r="U362" s="1307"/>
      <c r="V362" s="1307"/>
      <c r="W362" s="1308"/>
      <c r="Y362" s="879"/>
      <c r="AD362" s="886"/>
      <c r="AF362" s="879"/>
      <c r="AK362" s="886"/>
      <c r="AM362" s="879"/>
      <c r="AR362" s="886"/>
      <c r="AT362" s="879"/>
      <c r="AY362" s="886"/>
      <c r="BA362" s="879"/>
      <c r="BF362" s="886"/>
      <c r="BH362" s="879"/>
      <c r="BI362" s="877"/>
      <c r="BJ362" s="877"/>
      <c r="BK362" s="877"/>
      <c r="BL362" s="877"/>
      <c r="BM362" s="886"/>
      <c r="BO362" s="879"/>
      <c r="BP362" s="877"/>
      <c r="BQ362" s="877"/>
      <c r="BR362" s="877"/>
      <c r="BS362" s="877"/>
      <c r="BT362" s="886"/>
      <c r="BV362" s="879"/>
      <c r="BW362" s="886"/>
    </row>
    <row r="363" spans="1:75">
      <c r="A363" s="499"/>
      <c r="B363" s="55"/>
      <c r="C363" s="917"/>
      <c r="E363" s="1294" t="s">
        <v>317</v>
      </c>
      <c r="F363" s="928">
        <f>IF(AND($G$2="No",$G$3="No"),SUM(K363:L363),IF(AND($G$2="Yes", $G$3="No"), SUM(K363:L363)+S363, IF(AND($G$2="No", $G$3="Yes"),SUM(K363:L363)+R363, SUM(K363:L363)+S363+R363)))</f>
        <v>-9.1139048141381296E-2</v>
      </c>
      <c r="G363" s="877">
        <f>IF(AND($G$2="No",$G$3="No"),SUM(I363:Q363),IF(AND($G$2="Yes", $G$3="No"), SUM(I363:Q363)+S363, IF(AND($G$2="No", $G$3="Yes"),SUM(I363:Q363)+R363, SUM(I363:Q363)+S363+R363)))</f>
        <v>0.10814216285861866</v>
      </c>
      <c r="H363" s="878">
        <f>SUM(U363:W363)/(1-'Common input data'!$B$140)</f>
        <v>0.46323208361214785</v>
      </c>
      <c r="M363" s="877">
        <v>0.14928121099999997</v>
      </c>
      <c r="P363" s="877">
        <f>'Input data plant-based products'!$F$309</f>
        <v>0.05</v>
      </c>
      <c r="R363" s="877">
        <f>'Common input data'!$F$19</f>
        <v>-9.1139048141381296E-2</v>
      </c>
      <c r="U363" s="877">
        <f>G363+T363</f>
        <v>0.10814216285861866</v>
      </c>
      <c r="V363" s="877">
        <f>'Common input data'!$B$105</f>
        <v>0.05</v>
      </c>
      <c r="W363" s="886">
        <f>'Common input data'!$B$117+'Common input data'!$C$117</f>
        <v>0.23</v>
      </c>
      <c r="Y363" s="879"/>
      <c r="AD363" s="886"/>
      <c r="AF363" s="879"/>
      <c r="AK363" s="886"/>
      <c r="AM363" s="879"/>
      <c r="AR363" s="886"/>
      <c r="AT363" s="879"/>
      <c r="AY363" s="886"/>
      <c r="BA363" s="879"/>
      <c r="BF363" s="886"/>
      <c r="BH363" s="879"/>
      <c r="BI363" s="877"/>
      <c r="BJ363" s="877"/>
      <c r="BK363" s="877"/>
      <c r="BL363" s="877"/>
      <c r="BM363" s="886"/>
      <c r="BO363" s="879"/>
      <c r="BP363" s="877"/>
      <c r="BQ363" s="877"/>
      <c r="BR363" s="877"/>
      <c r="BS363" s="877"/>
      <c r="BT363" s="886"/>
      <c r="BV363" s="879"/>
      <c r="BW363" s="886"/>
    </row>
    <row r="364" spans="1:75">
      <c r="A364" s="499"/>
      <c r="B364" s="55"/>
      <c r="C364" s="595"/>
      <c r="D364" s="50"/>
      <c r="E364" s="1294" t="s">
        <v>367</v>
      </c>
      <c r="F364" s="928">
        <f>SUM(L364:M364)</f>
        <v>5.4982895546139992E-4</v>
      </c>
      <c r="G364" s="877">
        <f>SUM(I364:Q364)</f>
        <v>5.4982895546139992E-4</v>
      </c>
      <c r="H364" s="878">
        <f>SUM(U364:W364)/(1-'Common input data'!$B$140)</f>
        <v>6.561987772543262E-4</v>
      </c>
      <c r="M364" s="877">
        <v>5.4982895546139992E-4</v>
      </c>
      <c r="U364" s="877">
        <f>G364+T364</f>
        <v>5.4982895546139992E-4</v>
      </c>
      <c r="W364" s="886"/>
      <c r="Y364" s="879"/>
      <c r="AD364" s="886"/>
      <c r="AF364" s="879"/>
      <c r="AK364" s="886"/>
      <c r="AM364" s="879"/>
      <c r="AR364" s="886"/>
      <c r="AT364" s="879"/>
      <c r="AY364" s="886"/>
      <c r="BA364" s="879"/>
      <c r="BF364" s="886"/>
      <c r="BH364" s="879"/>
      <c r="BI364" s="877"/>
      <c r="BJ364" s="877"/>
      <c r="BK364" s="877"/>
      <c r="BL364" s="877"/>
      <c r="BM364" s="886"/>
      <c r="BO364" s="879"/>
      <c r="BP364" s="877"/>
      <c r="BQ364" s="877"/>
      <c r="BR364" s="877"/>
      <c r="BS364" s="877"/>
      <c r="BT364" s="886"/>
      <c r="BV364" s="879"/>
      <c r="BW364" s="886"/>
    </row>
    <row r="365" spans="1:75">
      <c r="A365" s="18"/>
      <c r="B365" s="360"/>
      <c r="C365" s="83"/>
      <c r="D365" s="54"/>
      <c r="E365" s="1295" t="s">
        <v>320</v>
      </c>
      <c r="F365" s="928">
        <f>SUM(L365:M365)</f>
        <v>3.6078544044000005E-5</v>
      </c>
      <c r="G365" s="877">
        <f>SUM(I365:Q365)</f>
        <v>3.6078544044000005E-5</v>
      </c>
      <c r="H365" s="878">
        <f>SUM(U365:W365)/(1-'Common input data'!$B$140)</f>
        <v>4.3058293404940928E-5</v>
      </c>
      <c r="M365" s="877">
        <v>3.6078544044000005E-5</v>
      </c>
      <c r="U365" s="877">
        <f>G365+T365</f>
        <v>3.6078544044000005E-5</v>
      </c>
      <c r="W365" s="886"/>
      <c r="Y365" s="879"/>
      <c r="AD365" s="886"/>
      <c r="AF365" s="879"/>
      <c r="AK365" s="886"/>
      <c r="AM365" s="879"/>
      <c r="AR365" s="886"/>
      <c r="AT365" s="879"/>
      <c r="AY365" s="886"/>
      <c r="BA365" s="879"/>
      <c r="BF365" s="886"/>
      <c r="BH365" s="879"/>
      <c r="BI365" s="877"/>
      <c r="BJ365" s="877"/>
      <c r="BK365" s="877"/>
      <c r="BL365" s="877"/>
      <c r="BM365" s="886"/>
      <c r="BO365" s="879"/>
      <c r="BP365" s="877"/>
      <c r="BQ365" s="877"/>
      <c r="BR365" s="877"/>
      <c r="BS365" s="877"/>
      <c r="BT365" s="886"/>
      <c r="BV365" s="879"/>
      <c r="BW365" s="886"/>
    </row>
    <row r="366" spans="1:75">
      <c r="A366" s="20" t="s">
        <v>123</v>
      </c>
      <c r="B366" s="93" t="s">
        <v>121</v>
      </c>
      <c r="C366" s="87">
        <v>0.43</v>
      </c>
      <c r="D366" s="54"/>
      <c r="E366" s="1293" t="s">
        <v>316</v>
      </c>
      <c r="F366" s="930">
        <f>SUMPRODUCT($CI$4:$CI$6,F367:F369)</f>
        <v>-4.3482002097056598E-2</v>
      </c>
      <c r="G366" s="872">
        <f>SUMPRODUCT($CI$4:$CI$6,G367:G369)</f>
        <v>0.20010020390294336</v>
      </c>
      <c r="H366" s="873">
        <f>SUMPRODUCT($CI$4:$CI$6,H367:H369)</f>
        <v>0.57298031257064486</v>
      </c>
      <c r="I366" s="1307"/>
      <c r="J366" s="1307"/>
      <c r="K366" s="884"/>
      <c r="L366" s="1307"/>
      <c r="M366" s="1307"/>
      <c r="N366" s="1307"/>
      <c r="O366" s="1307"/>
      <c r="P366" s="1307"/>
      <c r="Q366" s="1307"/>
      <c r="R366" s="1307"/>
      <c r="S366" s="1307"/>
      <c r="T366" s="1307"/>
      <c r="U366" s="1307"/>
      <c r="V366" s="1307"/>
      <c r="W366" s="1308"/>
      <c r="Y366" s="879"/>
      <c r="AD366" s="886"/>
      <c r="AF366" s="879"/>
      <c r="AK366" s="886"/>
      <c r="AM366" s="879"/>
      <c r="AR366" s="886"/>
      <c r="AT366" s="879"/>
      <c r="AY366" s="886"/>
      <c r="BA366" s="879"/>
      <c r="BF366" s="886"/>
      <c r="BH366" s="879"/>
      <c r="BI366" s="877"/>
      <c r="BJ366" s="877"/>
      <c r="BK366" s="877"/>
      <c r="BL366" s="877"/>
      <c r="BM366" s="886"/>
      <c r="BO366" s="879"/>
      <c r="BP366" s="877"/>
      <c r="BQ366" s="877"/>
      <c r="BR366" s="877"/>
      <c r="BS366" s="877"/>
      <c r="BT366" s="886"/>
      <c r="BV366" s="879"/>
      <c r="BW366" s="886"/>
    </row>
    <row r="367" spans="1:75">
      <c r="A367" s="499"/>
      <c r="B367" s="55"/>
      <c r="C367" s="917"/>
      <c r="E367" s="1294" t="s">
        <v>317</v>
      </c>
      <c r="F367" s="928">
        <f>IF(AND($G$2="No",$G$3="No"),SUM(K367:L367),IF(AND($G$2="Yes", $G$3="No"), SUM(K367:L367)+S367, IF(AND($G$2="No", $G$3="Yes"),SUM(K367:L367)+R367, SUM(K367:L367)+S367+R367)))</f>
        <v>-9.1139048141381296E-2</v>
      </c>
      <c r="G367" s="877">
        <f>IF(AND($G$2="No",$G$3="No"),SUM(I367:Q367),IF(AND($G$2="Yes", $G$3="No"), SUM(I367:Q367)+S367, IF(AND($G$2="No", $G$3="Yes"),SUM(I367:Q367)+R367, SUM(I367:Q367)+S367+R367)))</f>
        <v>0.15244315785861867</v>
      </c>
      <c r="H367" s="878">
        <f>SUM(U367:W367)/(1-'Common input data'!$B$140)</f>
        <v>0.51610354202007236</v>
      </c>
      <c r="M367" s="877">
        <v>0.19358220599999998</v>
      </c>
      <c r="P367" s="877">
        <f>'Input data plant-based products'!$F$309</f>
        <v>0.05</v>
      </c>
      <c r="R367" s="877">
        <f>'Common input data'!$F$19</f>
        <v>-9.1139048141381296E-2</v>
      </c>
      <c r="U367" s="877">
        <f>G367+T367</f>
        <v>0.15244315785861867</v>
      </c>
      <c r="V367" s="877">
        <f>'Common input data'!$B$105</f>
        <v>0.05</v>
      </c>
      <c r="W367" s="886">
        <f>'Common input data'!$B$117+'Common input data'!$C$117</f>
        <v>0.23</v>
      </c>
      <c r="Y367" s="879"/>
      <c r="AD367" s="886"/>
      <c r="AF367" s="879"/>
      <c r="AK367" s="886"/>
      <c r="AM367" s="879"/>
      <c r="AR367" s="886"/>
      <c r="AT367" s="879"/>
      <c r="AY367" s="886"/>
      <c r="BA367" s="879"/>
      <c r="BF367" s="886"/>
      <c r="BH367" s="879"/>
      <c r="BI367" s="877"/>
      <c r="BJ367" s="877"/>
      <c r="BK367" s="877"/>
      <c r="BL367" s="877"/>
      <c r="BM367" s="886"/>
      <c r="BO367" s="879"/>
      <c r="BP367" s="877"/>
      <c r="BQ367" s="877"/>
      <c r="BR367" s="877"/>
      <c r="BS367" s="877"/>
      <c r="BT367" s="886"/>
      <c r="BV367" s="879"/>
      <c r="BW367" s="886"/>
    </row>
    <row r="368" spans="1:75">
      <c r="A368" s="499"/>
      <c r="B368" s="55"/>
      <c r="C368" s="595"/>
      <c r="D368" s="50"/>
      <c r="E368" s="1294" t="s">
        <v>367</v>
      </c>
      <c r="F368" s="928">
        <f>SUM(L368:M368)</f>
        <v>5.2921808741110009E-4</v>
      </c>
      <c r="G368" s="877">
        <f>SUM(I368:Q368)</f>
        <v>5.2921808741110009E-4</v>
      </c>
      <c r="H368" s="878">
        <f>SUM(U368:W368)/(1-'Common input data'!$B$140)</f>
        <v>6.3160053396718E-4</v>
      </c>
      <c r="M368" s="877">
        <v>5.2921808741110009E-4</v>
      </c>
      <c r="U368" s="877">
        <f>G368+T368</f>
        <v>5.2921808741110009E-4</v>
      </c>
      <c r="W368" s="886"/>
      <c r="Y368" s="879"/>
      <c r="AD368" s="886"/>
      <c r="AF368" s="879"/>
      <c r="AK368" s="886"/>
      <c r="AM368" s="879"/>
      <c r="AR368" s="886"/>
      <c r="AT368" s="879"/>
      <c r="AY368" s="886"/>
      <c r="BA368" s="879"/>
      <c r="BF368" s="886"/>
      <c r="BH368" s="879"/>
      <c r="BI368" s="877"/>
      <c r="BJ368" s="877"/>
      <c r="BK368" s="877"/>
      <c r="BL368" s="877"/>
      <c r="BM368" s="886"/>
      <c r="BO368" s="879"/>
      <c r="BP368" s="877"/>
      <c r="BQ368" s="877"/>
      <c r="BR368" s="877"/>
      <c r="BS368" s="877"/>
      <c r="BT368" s="886"/>
      <c r="BV368" s="879"/>
      <c r="BW368" s="886"/>
    </row>
    <row r="369" spans="1:75">
      <c r="A369" s="18"/>
      <c r="B369" s="360"/>
      <c r="C369" s="83"/>
      <c r="D369" s="54"/>
      <c r="E369" s="1295" t="s">
        <v>320</v>
      </c>
      <c r="F369" s="928">
        <f>SUM(L369:M369)</f>
        <v>1.22227683825E-4</v>
      </c>
      <c r="G369" s="877">
        <f>SUM(I369:Q369)</f>
        <v>1.22227683825E-4</v>
      </c>
      <c r="H369" s="878">
        <f>SUM(U369:W369)/(1-'Common input data'!$B$140)</f>
        <v>1.45873831990691E-4</v>
      </c>
      <c r="M369" s="877">
        <v>1.22227683825E-4</v>
      </c>
      <c r="U369" s="877">
        <f>G369+T369</f>
        <v>1.22227683825E-4</v>
      </c>
      <c r="W369" s="886"/>
      <c r="Y369" s="879"/>
      <c r="AD369" s="886"/>
      <c r="AF369" s="879"/>
      <c r="AK369" s="886"/>
      <c r="AM369" s="879"/>
      <c r="AR369" s="886"/>
      <c r="AT369" s="879"/>
      <c r="AY369" s="886"/>
      <c r="BA369" s="879"/>
      <c r="BF369" s="886"/>
      <c r="BH369" s="879"/>
      <c r="BI369" s="877"/>
      <c r="BJ369" s="877"/>
      <c r="BK369" s="877"/>
      <c r="BL369" s="877"/>
      <c r="BM369" s="886"/>
      <c r="BO369" s="879"/>
      <c r="BP369" s="877"/>
      <c r="BQ369" s="877"/>
      <c r="BR369" s="877"/>
      <c r="BS369" s="877"/>
      <c r="BT369" s="886"/>
      <c r="BV369" s="879"/>
      <c r="BW369" s="886"/>
    </row>
    <row r="370" spans="1:75">
      <c r="A370" s="20" t="s">
        <v>134</v>
      </c>
      <c r="B370" s="93" t="s">
        <v>121</v>
      </c>
      <c r="C370" s="87">
        <v>0.01</v>
      </c>
      <c r="D370" s="54"/>
      <c r="E370" s="1293" t="s">
        <v>316</v>
      </c>
      <c r="F370" s="930">
        <f>SUMPRODUCT($CI$4:$CI$6,F371:F373)</f>
        <v>1.3503517803394302E-2</v>
      </c>
      <c r="G370" s="872">
        <f>SUMPRODUCT($CI$4:$CI$6,G371:G373)</f>
        <v>0.43904454180339425</v>
      </c>
      <c r="H370" s="873">
        <f>SUMPRODUCT($CI$4:$CI$6,H371:H373)</f>
        <v>1.2611072805908587</v>
      </c>
      <c r="I370" s="1307"/>
      <c r="J370" s="1307"/>
      <c r="K370" s="884"/>
      <c r="L370" s="1307"/>
      <c r="M370" s="1307"/>
      <c r="N370" s="1307"/>
      <c r="O370" s="1307"/>
      <c r="P370" s="1307"/>
      <c r="Q370" s="1307"/>
      <c r="R370" s="1307"/>
      <c r="S370" s="1307"/>
      <c r="T370" s="1307"/>
      <c r="U370" s="1307"/>
      <c r="V370" s="1307"/>
      <c r="W370" s="1308"/>
      <c r="Y370" s="879"/>
      <c r="AD370" s="886"/>
      <c r="AF370" s="879"/>
      <c r="AK370" s="886"/>
      <c r="AM370" s="879"/>
      <c r="AR370" s="886"/>
      <c r="AT370" s="879"/>
      <c r="AY370" s="886"/>
      <c r="BA370" s="879"/>
      <c r="BF370" s="886"/>
      <c r="BH370" s="879"/>
      <c r="BI370" s="877"/>
      <c r="BJ370" s="877"/>
      <c r="BK370" s="877"/>
      <c r="BL370" s="877"/>
      <c r="BM370" s="886"/>
      <c r="BO370" s="879"/>
      <c r="BP370" s="877"/>
      <c r="BQ370" s="877"/>
      <c r="BR370" s="877"/>
      <c r="BS370" s="877"/>
      <c r="BT370" s="886"/>
      <c r="BV370" s="879"/>
      <c r="BW370" s="886"/>
    </row>
    <row r="371" spans="1:75">
      <c r="A371" s="499"/>
      <c r="B371" s="55"/>
      <c r="C371" s="917"/>
      <c r="E371" s="1294" t="s">
        <v>317</v>
      </c>
      <c r="F371" s="928">
        <f>IF(AND($G$2="No",$G$3="No"),SUM(K371:L371),IF(AND($G$2="Yes", $G$3="No"), SUM(K371:L371)+S371, IF(AND($G$2="No", $G$3="Yes"),SUM(K371:L371)+R371, SUM(K371:L371)+S371+R371)))</f>
        <v>-9.1139048141381296E-2</v>
      </c>
      <c r="G371" s="877">
        <f>IF(AND($G$2="No",$G$3="No"),SUM(I371:Q371),IF(AND($G$2="Yes", $G$3="No"), SUM(I371:Q371)+S371, IF(AND($G$2="No", $G$3="Yes"),SUM(I371:Q371)+R371, SUM(I371:Q371)+S371+R371)))</f>
        <v>0.33440197585861869</v>
      </c>
      <c r="H371" s="878">
        <f>SUM(U371:W371)/(1-'Common input data'!$I$140)</f>
        <v>1.1175173937354117</v>
      </c>
      <c r="M371" s="877">
        <v>0.375541024</v>
      </c>
      <c r="P371" s="877">
        <f>'Input data plant-based products'!$F$309</f>
        <v>0.05</v>
      </c>
      <c r="R371" s="877">
        <f>'Common input data'!$F$19</f>
        <v>-9.1139048141381296E-2</v>
      </c>
      <c r="U371" s="877">
        <f>G371+T371</f>
        <v>0.33440197585861869</v>
      </c>
      <c r="V371" s="877">
        <f>'Common input data'!$B$105</f>
        <v>0.05</v>
      </c>
      <c r="W371" s="886">
        <f>'Common input data'!$B$128+'Common input data'!$C$128</f>
        <v>0.43000000000000005</v>
      </c>
      <c r="Y371" s="879"/>
      <c r="AD371" s="886"/>
      <c r="AF371" s="879"/>
      <c r="AK371" s="886"/>
      <c r="AM371" s="879"/>
      <c r="AR371" s="886"/>
      <c r="AT371" s="879"/>
      <c r="AY371" s="886"/>
      <c r="BA371" s="879"/>
      <c r="BF371" s="886"/>
      <c r="BH371" s="879"/>
      <c r="BI371" s="877"/>
      <c r="BJ371" s="877"/>
      <c r="BK371" s="877"/>
      <c r="BL371" s="877"/>
      <c r="BM371" s="886"/>
      <c r="BO371" s="879"/>
      <c r="BP371" s="877"/>
      <c r="BQ371" s="877"/>
      <c r="BR371" s="877"/>
      <c r="BS371" s="877"/>
      <c r="BT371" s="886"/>
      <c r="BV371" s="879"/>
      <c r="BW371" s="886"/>
    </row>
    <row r="372" spans="1:75">
      <c r="A372" s="499"/>
      <c r="B372" s="55"/>
      <c r="C372" s="595"/>
      <c r="D372" s="50"/>
      <c r="E372" s="1294" t="s">
        <v>367</v>
      </c>
      <c r="F372" s="928">
        <f>SUM(L372:M372)</f>
        <v>1.0421853576358E-3</v>
      </c>
      <c r="G372" s="877">
        <f>SUM(I372:Q372)</f>
        <v>1.0421853576358E-3</v>
      </c>
      <c r="H372" s="878">
        <f>SUM(U372:W372)/(1-'Common input data'!$I$140)</f>
        <v>1.4300803524285087E-3</v>
      </c>
      <c r="M372" s="877">
        <v>1.0421853576358E-3</v>
      </c>
      <c r="U372" s="877">
        <f>G372+T372</f>
        <v>1.0421853576358E-3</v>
      </c>
      <c r="W372" s="886"/>
      <c r="Y372" s="879"/>
      <c r="AD372" s="886"/>
      <c r="AF372" s="879"/>
      <c r="AK372" s="886"/>
      <c r="AM372" s="879"/>
      <c r="AR372" s="886"/>
      <c r="AT372" s="879"/>
      <c r="AY372" s="886"/>
      <c r="BA372" s="879"/>
      <c r="BF372" s="886"/>
      <c r="BH372" s="879"/>
      <c r="BI372" s="877"/>
      <c r="BJ372" s="877"/>
      <c r="BK372" s="877"/>
      <c r="BL372" s="877"/>
      <c r="BM372" s="886"/>
      <c r="BO372" s="879"/>
      <c r="BP372" s="877"/>
      <c r="BQ372" s="877"/>
      <c r="BR372" s="877"/>
      <c r="BS372" s="877"/>
      <c r="BT372" s="886"/>
      <c r="BV372" s="879"/>
      <c r="BW372" s="886"/>
    </row>
    <row r="373" spans="1:75" ht="15.75" thickBot="1">
      <c r="A373" s="86"/>
      <c r="B373" s="438"/>
      <c r="C373" s="88"/>
      <c r="D373" s="54"/>
      <c r="E373" s="1297" t="s">
        <v>320</v>
      </c>
      <c r="F373" s="1048">
        <f>SUM(L373:M373)</f>
        <v>2.8023282523299999E-4</v>
      </c>
      <c r="G373" s="894">
        <f>SUM(I373:Q373)</f>
        <v>2.8023282523299999E-4</v>
      </c>
      <c r="H373" s="895">
        <f>SUM(U373:W373)/(1-'Common input data'!$I$140)</f>
        <v>3.8453376314973373E-4</v>
      </c>
      <c r="I373" s="896"/>
      <c r="J373" s="896"/>
      <c r="K373" s="896"/>
      <c r="L373" s="896"/>
      <c r="M373" s="896">
        <v>2.8023282523299999E-4</v>
      </c>
      <c r="N373" s="896"/>
      <c r="O373" s="896"/>
      <c r="P373" s="896"/>
      <c r="Q373" s="896"/>
      <c r="R373" s="896"/>
      <c r="S373" s="896"/>
      <c r="T373" s="896"/>
      <c r="U373" s="896">
        <f>G373+T373</f>
        <v>2.8023282523299999E-4</v>
      </c>
      <c r="V373" s="896"/>
      <c r="W373" s="897"/>
      <c r="Y373" s="935"/>
      <c r="Z373" s="896"/>
      <c r="AA373" s="896"/>
      <c r="AB373" s="896"/>
      <c r="AC373" s="896"/>
      <c r="AD373" s="897"/>
      <c r="AF373" s="935"/>
      <c r="AG373" s="896"/>
      <c r="AH373" s="896"/>
      <c r="AI373" s="896"/>
      <c r="AJ373" s="896"/>
      <c r="AK373" s="897"/>
      <c r="AM373" s="935"/>
      <c r="AN373" s="896"/>
      <c r="AO373" s="896"/>
      <c r="AP373" s="896"/>
      <c r="AQ373" s="896"/>
      <c r="AR373" s="897"/>
      <c r="AT373" s="935"/>
      <c r="AU373" s="896"/>
      <c r="AV373" s="896"/>
      <c r="AW373" s="896"/>
      <c r="AX373" s="896"/>
      <c r="AY373" s="897"/>
      <c r="BA373" s="935"/>
      <c r="BB373" s="896"/>
      <c r="BC373" s="896"/>
      <c r="BD373" s="896"/>
      <c r="BE373" s="896"/>
      <c r="BF373" s="897"/>
      <c r="BH373" s="935"/>
      <c r="BI373" s="896"/>
      <c r="BJ373" s="896"/>
      <c r="BK373" s="896"/>
      <c r="BL373" s="896"/>
      <c r="BM373" s="897"/>
      <c r="BO373" s="935"/>
      <c r="BP373" s="896"/>
      <c r="BQ373" s="896"/>
      <c r="BR373" s="896"/>
      <c r="BS373" s="896"/>
      <c r="BT373" s="897"/>
      <c r="BV373" s="935"/>
      <c r="BW373" s="897"/>
    </row>
  </sheetData>
  <dataValidations count="2">
    <dataValidation type="list" allowBlank="1" showInputMessage="1" showErrorMessage="1" sqref="G2:G3 G5" xr:uid="{00000000-0002-0000-0900-000000000000}">
      <formula1>"Yes, No"</formula1>
    </dataValidation>
    <dataValidation type="list" allowBlank="1" showInputMessage="1" showErrorMessage="1" sqref="BB3" xr:uid="{00000000-0002-0000-0900-000001000000}">
      <formula1>"1,20,100,500"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2000000}">
          <x14:formula1>
            <xm:f>'Common input data'!$A$5:$A$15</xm:f>
          </x14:formula1>
          <xm:sqref>G1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MQ303"/>
  <sheetViews>
    <sheetView topLeftCell="A9" workbookViewId="0">
      <selection activeCell="T2" sqref="T2"/>
    </sheetView>
  </sheetViews>
  <sheetFormatPr defaultColWidth="8.7109375" defaultRowHeight="15"/>
  <cols>
    <col min="1" max="1" width="37.42578125" bestFit="1" customWidth="1"/>
    <col min="2" max="2" width="21.42578125" bestFit="1" customWidth="1"/>
    <col min="3" max="3" width="17.42578125" bestFit="1" customWidth="1"/>
    <col min="4" max="4" width="30.42578125" bestFit="1" customWidth="1"/>
    <col min="5" max="5" width="17.42578125" customWidth="1"/>
    <col min="6" max="6" width="30.42578125" bestFit="1" customWidth="1"/>
    <col min="7" max="7" width="28.42578125" bestFit="1" customWidth="1"/>
    <col min="8" max="8" width="35.42578125" bestFit="1" customWidth="1"/>
    <col min="9" max="9" width="17.42578125" bestFit="1" customWidth="1"/>
    <col min="10" max="10" width="24" bestFit="1" customWidth="1"/>
    <col min="12" max="43" width="16.7109375" customWidth="1"/>
    <col min="49" max="50" width="0" hidden="1" customWidth="1"/>
  </cols>
  <sheetData>
    <row r="1" spans="1:355" ht="31.5">
      <c r="A1" s="326" t="s">
        <v>17</v>
      </c>
      <c r="D1" s="327" t="s">
        <v>269</v>
      </c>
      <c r="E1" s="328" t="s">
        <v>270</v>
      </c>
    </row>
    <row r="2" spans="1:355" ht="46.5" customHeight="1">
      <c r="D2" s="327" t="s">
        <v>271</v>
      </c>
      <c r="E2" s="328" t="s">
        <v>272</v>
      </c>
      <c r="P2" s="1342" t="s">
        <v>538</v>
      </c>
      <c r="AB2" s="1207" t="s">
        <v>274</v>
      </c>
      <c r="AC2" s="1169">
        <v>1</v>
      </c>
      <c r="AW2" t="s">
        <v>252</v>
      </c>
    </row>
    <row r="3" spans="1:355" ht="87">
      <c r="D3" s="330" t="s">
        <v>273</v>
      </c>
      <c r="E3" s="328" t="s">
        <v>272</v>
      </c>
      <c r="L3" s="843" t="s">
        <v>276</v>
      </c>
      <c r="M3" s="844"/>
      <c r="N3" s="845"/>
      <c r="O3" s="406"/>
      <c r="P3" s="843" t="s">
        <v>278</v>
      </c>
      <c r="Q3" s="844"/>
      <c r="R3" s="845"/>
      <c r="S3" s="188"/>
      <c r="T3" s="843" t="s">
        <v>279</v>
      </c>
      <c r="U3" s="844"/>
      <c r="V3" s="845"/>
      <c r="W3" s="188"/>
      <c r="X3" s="843" t="s">
        <v>280</v>
      </c>
      <c r="Y3" s="844"/>
      <c r="Z3" s="845"/>
      <c r="AA3" s="188"/>
      <c r="AB3" s="843" t="s">
        <v>281</v>
      </c>
      <c r="AC3" s="844"/>
      <c r="AD3" s="845"/>
      <c r="AE3" s="188"/>
      <c r="AF3" s="843" t="s">
        <v>282</v>
      </c>
      <c r="AG3" s="844"/>
      <c r="AH3" s="845"/>
      <c r="AI3" s="406"/>
      <c r="AJ3" s="843" t="s">
        <v>283</v>
      </c>
      <c r="AK3" s="844"/>
      <c r="AL3" s="845"/>
      <c r="AM3" s="406"/>
      <c r="AN3" s="843" t="s">
        <v>284</v>
      </c>
      <c r="AO3" s="844"/>
      <c r="AP3" s="845"/>
      <c r="AW3" t="s">
        <v>253</v>
      </c>
      <c r="AX3">
        <v>1</v>
      </c>
      <c r="AY3" s="55"/>
    </row>
    <row r="4" spans="1:355" ht="21.75" thickBot="1">
      <c r="G4" s="1373"/>
      <c r="H4" s="1374"/>
      <c r="L4" s="850" t="s">
        <v>286</v>
      </c>
      <c r="M4" s="849"/>
      <c r="N4" s="851"/>
      <c r="O4" s="406"/>
      <c r="P4" s="850" t="s">
        <v>286</v>
      </c>
      <c r="Q4" s="849"/>
      <c r="R4" s="851"/>
      <c r="S4" s="188"/>
      <c r="T4" s="850" t="s">
        <v>286</v>
      </c>
      <c r="U4" s="849"/>
      <c r="V4" s="851"/>
      <c r="W4" s="188"/>
      <c r="X4" s="850" t="s">
        <v>286</v>
      </c>
      <c r="Y4" s="849"/>
      <c r="Z4" s="851"/>
      <c r="AA4" s="188"/>
      <c r="AB4" s="850" t="s">
        <v>286</v>
      </c>
      <c r="AC4" s="849"/>
      <c r="AD4" s="851"/>
      <c r="AE4" s="188"/>
      <c r="AF4" s="850" t="s">
        <v>286</v>
      </c>
      <c r="AG4" s="849"/>
      <c r="AH4" s="851"/>
      <c r="AI4" s="406"/>
      <c r="AJ4" s="850" t="s">
        <v>286</v>
      </c>
      <c r="AK4" s="849"/>
      <c r="AL4" s="851"/>
      <c r="AM4" s="406"/>
      <c r="AN4" s="850" t="s">
        <v>286</v>
      </c>
      <c r="AO4" s="849"/>
      <c r="AP4" s="851"/>
      <c r="AW4" s="511" t="s">
        <v>318</v>
      </c>
      <c r="AX4" s="150">
        <f>INDEX('Common input data'!A5:F15,MATCH(E1,'Common input data'!A5:A15,0),3)</f>
        <v>4.7</v>
      </c>
      <c r="AY4" s="55"/>
    </row>
    <row r="5" spans="1:355" ht="103.5">
      <c r="A5" s="331"/>
      <c r="B5" s="332"/>
      <c r="C5" s="332"/>
      <c r="D5" s="333" t="s">
        <v>287</v>
      </c>
      <c r="E5" s="399"/>
      <c r="F5" s="504"/>
      <c r="G5" s="401"/>
      <c r="H5" s="402"/>
      <c r="I5" s="332"/>
      <c r="J5" s="332"/>
      <c r="K5" s="18"/>
      <c r="L5" s="422" t="s">
        <v>290</v>
      </c>
      <c r="M5" s="1014" t="s">
        <v>291</v>
      </c>
      <c r="N5" s="940" t="s">
        <v>292</v>
      </c>
      <c r="O5" s="406"/>
      <c r="P5" s="422" t="s">
        <v>290</v>
      </c>
      <c r="Q5" s="1014" t="s">
        <v>291</v>
      </c>
      <c r="R5" s="940" t="s">
        <v>292</v>
      </c>
      <c r="S5" s="1016"/>
      <c r="T5" s="422" t="s">
        <v>290</v>
      </c>
      <c r="U5" s="1014" t="s">
        <v>291</v>
      </c>
      <c r="V5" s="940" t="s">
        <v>292</v>
      </c>
      <c r="W5" s="406"/>
      <c r="X5" s="422" t="s">
        <v>290</v>
      </c>
      <c r="Y5" s="1014" t="s">
        <v>291</v>
      </c>
      <c r="Z5" s="940" t="s">
        <v>292</v>
      </c>
      <c r="AA5" s="1015"/>
      <c r="AB5" s="422" t="s">
        <v>290</v>
      </c>
      <c r="AC5" s="1014" t="s">
        <v>291</v>
      </c>
      <c r="AD5" s="940" t="s">
        <v>292</v>
      </c>
      <c r="AE5" s="1015"/>
      <c r="AF5" s="422" t="s">
        <v>290</v>
      </c>
      <c r="AG5" s="1014" t="s">
        <v>291</v>
      </c>
      <c r="AH5" s="940" t="s">
        <v>292</v>
      </c>
      <c r="AI5" s="1015"/>
      <c r="AJ5" s="422" t="s">
        <v>290</v>
      </c>
      <c r="AK5" s="1014" t="s">
        <v>291</v>
      </c>
      <c r="AL5" s="940" t="s">
        <v>292</v>
      </c>
      <c r="AM5" s="406"/>
      <c r="AN5" s="422" t="s">
        <v>290</v>
      </c>
      <c r="AO5" s="1014" t="s">
        <v>291</v>
      </c>
      <c r="AP5" s="940" t="s">
        <v>292</v>
      </c>
      <c r="AW5" s="511" t="s">
        <v>319</v>
      </c>
      <c r="AX5" s="150">
        <f>INDEX('Common input data'!A5:F15,MATCH(E1,'Common input data'!A5:A15,0),4)</f>
        <v>4.7</v>
      </c>
      <c r="AY5" s="55"/>
    </row>
    <row r="6" spans="1:355" s="55" customFormat="1" ht="61.35" customHeight="1">
      <c r="A6" s="269"/>
      <c r="B6" s="343" t="s">
        <v>359</v>
      </c>
      <c r="C6" s="343" t="s">
        <v>360</v>
      </c>
      <c r="D6" s="505" t="s">
        <v>295</v>
      </c>
      <c r="E6" s="343" t="s">
        <v>290</v>
      </c>
      <c r="F6" s="506" t="s">
        <v>296</v>
      </c>
      <c r="G6" s="342" t="s">
        <v>539</v>
      </c>
      <c r="H6" s="342" t="s">
        <v>424</v>
      </c>
      <c r="I6" s="343" t="s">
        <v>307</v>
      </c>
      <c r="J6" s="343" t="s">
        <v>308</v>
      </c>
      <c r="K6" s="68"/>
      <c r="L6" s="68"/>
      <c r="N6" s="58"/>
      <c r="P6" s="68"/>
      <c r="R6" s="58"/>
      <c r="T6" s="68"/>
      <c r="V6" s="58"/>
      <c r="X6" s="68"/>
      <c r="Z6" s="58"/>
      <c r="AB6" s="68"/>
      <c r="AD6" s="58"/>
      <c r="AF6" s="68"/>
      <c r="AH6" s="58"/>
      <c r="AJ6" s="68"/>
      <c r="AL6" s="58"/>
      <c r="AN6" s="68"/>
      <c r="AP6" s="58"/>
      <c r="AW6" t="s">
        <v>256</v>
      </c>
      <c r="AX6" s="150">
        <f>INDEX('Common input data'!A5:F15,MATCH(E1,'Common input data'!A5:A15,0),5)</f>
        <v>233</v>
      </c>
      <c r="AY6"/>
    </row>
    <row r="7" spans="1:355" s="462" customFormat="1" ht="23.25" customHeight="1">
      <c r="A7" s="459" t="s">
        <v>540</v>
      </c>
      <c r="B7" s="460"/>
      <c r="D7" s="507"/>
      <c r="F7" s="508" t="s">
        <v>541</v>
      </c>
      <c r="G7" s="509"/>
      <c r="H7" s="509"/>
      <c r="I7" s="460"/>
      <c r="J7" s="460"/>
      <c r="K7" s="68"/>
      <c r="L7" s="879"/>
      <c r="M7" s="877"/>
      <c r="N7" s="886"/>
      <c r="O7" s="877"/>
      <c r="P7" s="879"/>
      <c r="Q7" s="877"/>
      <c r="R7" s="886"/>
      <c r="S7" s="877"/>
      <c r="T7" s="879"/>
      <c r="U7" s="877"/>
      <c r="V7" s="886"/>
      <c r="W7" s="877"/>
      <c r="X7" s="879"/>
      <c r="Y7" s="877"/>
      <c r="Z7" s="886"/>
      <c r="AA7" s="877"/>
      <c r="AB7" s="879"/>
      <c r="AC7" s="877"/>
      <c r="AD7" s="886"/>
      <c r="AE7" s="877"/>
      <c r="AF7" s="879"/>
      <c r="AG7" s="877"/>
      <c r="AH7" s="886"/>
      <c r="AI7" s="877"/>
      <c r="AJ7" s="879"/>
      <c r="AK7" s="877"/>
      <c r="AL7" s="886"/>
      <c r="AM7" s="877"/>
      <c r="AN7" s="879"/>
      <c r="AO7" s="877"/>
      <c r="AP7" s="886"/>
      <c r="AQ7" s="877"/>
      <c r="AR7" s="877"/>
      <c r="AS7" s="877"/>
      <c r="AT7" s="55"/>
      <c r="AU7" s="55"/>
      <c r="AV7" s="55"/>
      <c r="AW7" t="s">
        <v>257</v>
      </c>
      <c r="AX7" s="150">
        <f>INDEX('Common input data'!A5:F15,MATCH(E1,'Common input data'!A5:A15,0),6)</f>
        <v>379</v>
      </c>
      <c r="AY7"/>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c r="EQ7" s="55"/>
      <c r="ER7" s="55"/>
      <c r="ES7" s="55"/>
      <c r="ET7" s="55"/>
      <c r="EU7" s="55"/>
      <c r="EV7" s="55"/>
      <c r="EW7" s="55"/>
      <c r="EX7" s="55"/>
      <c r="EY7" s="55"/>
      <c r="EZ7" s="55"/>
      <c r="FA7" s="55"/>
      <c r="FB7" s="55"/>
      <c r="FC7" s="55"/>
      <c r="FD7" s="55"/>
      <c r="FE7" s="55"/>
      <c r="FF7" s="55"/>
      <c r="FG7" s="55"/>
      <c r="FH7" s="55"/>
      <c r="FI7" s="55"/>
      <c r="FJ7" s="55"/>
      <c r="FK7" s="55"/>
      <c r="FL7" s="55"/>
      <c r="FM7" s="55"/>
      <c r="FN7" s="55"/>
      <c r="FO7" s="55"/>
      <c r="FP7" s="55"/>
      <c r="FQ7" s="55"/>
      <c r="FR7" s="55"/>
      <c r="FS7" s="55"/>
      <c r="FT7" s="55"/>
      <c r="FU7" s="55"/>
      <c r="FV7" s="55"/>
      <c r="FW7" s="55"/>
      <c r="FX7" s="55"/>
      <c r="FY7" s="55"/>
      <c r="FZ7" s="55"/>
      <c r="GA7" s="55"/>
      <c r="GB7" s="55"/>
      <c r="GC7" s="55"/>
      <c r="GD7" s="55"/>
      <c r="GE7" s="55"/>
      <c r="GF7" s="55"/>
      <c r="GG7" s="55"/>
      <c r="GH7" s="55"/>
      <c r="GI7" s="55"/>
      <c r="GJ7" s="55"/>
      <c r="GK7" s="55"/>
      <c r="GL7" s="55"/>
      <c r="GM7" s="55"/>
      <c r="GN7" s="55"/>
      <c r="GO7" s="55"/>
      <c r="GP7" s="55"/>
      <c r="GQ7" s="55"/>
      <c r="GR7" s="55"/>
      <c r="GS7" s="55"/>
      <c r="GT7" s="55"/>
      <c r="GU7" s="55"/>
      <c r="GV7" s="55"/>
      <c r="GW7" s="55"/>
      <c r="GX7" s="55"/>
      <c r="GY7" s="55"/>
      <c r="GZ7" s="55"/>
      <c r="HA7" s="55"/>
      <c r="HB7" s="55"/>
      <c r="HC7" s="55"/>
      <c r="HD7" s="55"/>
      <c r="HE7" s="55"/>
      <c r="HF7" s="55"/>
      <c r="HG7" s="55"/>
      <c r="HH7" s="55"/>
      <c r="HI7" s="55"/>
      <c r="HJ7" s="55"/>
      <c r="HK7" s="55"/>
      <c r="HL7" s="55"/>
      <c r="HM7" s="55"/>
      <c r="HN7" s="55"/>
      <c r="HO7" s="55"/>
      <c r="HP7" s="55"/>
      <c r="HQ7" s="55"/>
      <c r="HR7" s="55"/>
      <c r="HS7" s="55"/>
      <c r="HT7" s="55"/>
      <c r="HU7" s="55"/>
      <c r="HV7" s="55"/>
      <c r="HW7" s="55"/>
      <c r="HX7" s="55"/>
      <c r="HY7" s="55"/>
      <c r="HZ7" s="55"/>
      <c r="IA7" s="55"/>
      <c r="IB7" s="55"/>
      <c r="IC7" s="55"/>
      <c r="ID7" s="55"/>
      <c r="IE7" s="55"/>
      <c r="IF7" s="55"/>
      <c r="IG7" s="55"/>
      <c r="IH7" s="55"/>
      <c r="II7" s="55"/>
      <c r="IJ7" s="55"/>
      <c r="IK7" s="55"/>
      <c r="IL7" s="55"/>
      <c r="IM7" s="55"/>
      <c r="IN7" s="55"/>
      <c r="IO7" s="55"/>
      <c r="IP7" s="55"/>
      <c r="IQ7" s="55"/>
      <c r="IR7" s="55"/>
      <c r="IS7" s="55"/>
      <c r="IT7" s="55"/>
      <c r="IU7" s="55"/>
      <c r="IV7" s="55"/>
      <c r="IW7" s="55"/>
      <c r="IX7" s="55"/>
      <c r="IY7" s="55"/>
      <c r="IZ7" s="55"/>
      <c r="JA7" s="55"/>
      <c r="JB7" s="55"/>
      <c r="JC7" s="55"/>
      <c r="JD7" s="55"/>
      <c r="JE7" s="55"/>
      <c r="JF7" s="55"/>
      <c r="JG7" s="55"/>
      <c r="JH7" s="55"/>
      <c r="JI7" s="55"/>
      <c r="JJ7" s="55"/>
      <c r="JK7" s="55"/>
      <c r="JL7" s="55"/>
      <c r="JM7" s="55"/>
      <c r="JN7" s="55"/>
      <c r="JO7" s="55"/>
      <c r="JP7" s="55"/>
      <c r="JQ7" s="55"/>
      <c r="JR7" s="55"/>
      <c r="JS7" s="55"/>
      <c r="JT7" s="55"/>
      <c r="JU7" s="55"/>
      <c r="JV7" s="55"/>
      <c r="JW7" s="55"/>
      <c r="JX7" s="55"/>
      <c r="JY7" s="55"/>
      <c r="JZ7" s="55"/>
      <c r="KA7" s="55"/>
      <c r="KB7" s="55"/>
      <c r="KC7" s="55"/>
      <c r="KD7" s="55"/>
      <c r="KE7" s="55"/>
      <c r="KF7" s="55"/>
      <c r="KG7" s="55"/>
      <c r="KH7" s="55"/>
      <c r="KI7" s="55"/>
      <c r="KJ7" s="55"/>
      <c r="KK7" s="55"/>
      <c r="KL7" s="55"/>
      <c r="KM7" s="55"/>
      <c r="KN7" s="55"/>
      <c r="KO7" s="55"/>
      <c r="KP7" s="55"/>
      <c r="KQ7" s="55"/>
      <c r="KR7" s="55"/>
      <c r="KS7" s="55"/>
      <c r="KT7" s="55"/>
      <c r="KU7" s="55"/>
      <c r="KV7" s="55"/>
      <c r="KW7" s="55"/>
      <c r="KX7" s="55"/>
      <c r="KY7" s="55"/>
      <c r="KZ7" s="55"/>
      <c r="LA7" s="55"/>
      <c r="LB7" s="55"/>
      <c r="LC7" s="55"/>
      <c r="LD7" s="55"/>
      <c r="LE7" s="55"/>
      <c r="LF7" s="55"/>
      <c r="LG7" s="55"/>
      <c r="LH7" s="55"/>
      <c r="LI7" s="55"/>
      <c r="LJ7" s="55"/>
      <c r="LK7" s="55"/>
      <c r="LL7" s="55"/>
      <c r="LM7" s="55"/>
      <c r="LN7" s="55"/>
      <c r="LO7" s="55"/>
      <c r="LP7" s="55"/>
      <c r="LQ7" s="55"/>
      <c r="LR7" s="55"/>
      <c r="LS7" s="55"/>
      <c r="LT7" s="55"/>
      <c r="LU7" s="55"/>
      <c r="LV7" s="55"/>
      <c r="LW7" s="55"/>
      <c r="LX7" s="55"/>
      <c r="LY7" s="55"/>
      <c r="LZ7" s="55"/>
      <c r="MA7" s="55"/>
      <c r="MB7" s="55"/>
      <c r="MC7" s="55"/>
      <c r="MD7" s="55"/>
      <c r="ME7" s="55"/>
      <c r="MF7" s="55"/>
      <c r="MG7" s="55"/>
      <c r="MH7" s="55"/>
      <c r="MI7" s="55"/>
      <c r="MJ7" s="55"/>
      <c r="MK7" s="55"/>
      <c r="ML7" s="55"/>
      <c r="MM7" s="55"/>
      <c r="MN7" s="55"/>
      <c r="MO7" s="55"/>
      <c r="MP7" s="55"/>
      <c r="MQ7" s="55"/>
    </row>
    <row r="8" spans="1:355" s="382" customFormat="1" ht="23.25" customHeight="1">
      <c r="A8" s="381" t="s">
        <v>315</v>
      </c>
      <c r="B8" s="498">
        <f>SUM(B13:B27)</f>
        <v>1</v>
      </c>
      <c r="C8" s="384" t="s">
        <v>316</v>
      </c>
      <c r="D8" s="510"/>
      <c r="E8" s="384"/>
      <c r="F8" s="927">
        <f>SUMPRODUCT($AX$3:$AX$6,F9:F12)</f>
        <v>1.498302049939418</v>
      </c>
      <c r="G8" s="1192"/>
      <c r="H8" s="1192"/>
      <c r="I8" s="874"/>
      <c r="J8" s="874"/>
      <c r="K8" s="879"/>
      <c r="L8" s="883">
        <f>L13*$B$13+L18*$B$18+L23*$B$23</f>
        <v>1.4739057161070463</v>
      </c>
      <c r="M8" s="884">
        <f t="shared" ref="M8:AP8" si="0">M13*$B$13+M18*$B$18+M23*$B$23</f>
        <v>1.5039854245990267</v>
      </c>
      <c r="N8" s="885">
        <f t="shared" si="0"/>
        <v>1.7287188788494565</v>
      </c>
      <c r="O8" s="877"/>
      <c r="P8" s="883">
        <f t="shared" si="0"/>
        <v>0</v>
      </c>
      <c r="Q8" s="884">
        <f t="shared" si="0"/>
        <v>0</v>
      </c>
      <c r="R8" s="885">
        <f t="shared" si="0"/>
        <v>0</v>
      </c>
      <c r="S8" s="877"/>
      <c r="T8" s="883">
        <f t="shared" si="0"/>
        <v>2.1125981930867666E-2</v>
      </c>
      <c r="U8" s="884">
        <f t="shared" si="0"/>
        <v>2.155712441925272E-2</v>
      </c>
      <c r="V8" s="885">
        <f t="shared" si="0"/>
        <v>2.4778303930175539E-2</v>
      </c>
      <c r="W8" s="877"/>
      <c r="X8" s="883">
        <f t="shared" si="0"/>
        <v>1.2773849539594402E-3</v>
      </c>
      <c r="Y8" s="884">
        <f t="shared" si="0"/>
        <v>1.30345403465249E-3</v>
      </c>
      <c r="Z8" s="885">
        <f t="shared" si="0"/>
        <v>1.4982230283361953E-3</v>
      </c>
      <c r="AA8" s="877"/>
      <c r="AB8" s="883">
        <f t="shared" si="0"/>
        <v>0</v>
      </c>
      <c r="AC8" s="884">
        <f t="shared" si="0"/>
        <v>0</v>
      </c>
      <c r="AD8" s="885">
        <f t="shared" si="0"/>
        <v>0</v>
      </c>
      <c r="AE8" s="877"/>
      <c r="AF8" s="883">
        <f t="shared" si="0"/>
        <v>1.0426254376557948E-11</v>
      </c>
      <c r="AG8" s="884">
        <f t="shared" si="0"/>
        <v>1.0639035078120356E-11</v>
      </c>
      <c r="AH8" s="885">
        <f t="shared" si="0"/>
        <v>1.2228775951862478E-11</v>
      </c>
      <c r="AI8" s="877"/>
      <c r="AJ8" s="883">
        <f t="shared" si="0"/>
        <v>9.211910725669039E-5</v>
      </c>
      <c r="AK8" s="884">
        <f t="shared" si="0"/>
        <v>9.3999089037439198E-5</v>
      </c>
      <c r="AL8" s="885">
        <f t="shared" si="0"/>
        <v>1.0804492992809102E-4</v>
      </c>
      <c r="AM8" s="877"/>
      <c r="AN8" s="883">
        <f t="shared" si="0"/>
        <v>1.0917057737917337E-3</v>
      </c>
      <c r="AO8" s="884">
        <f t="shared" si="0"/>
        <v>1.1139854834609528E-3</v>
      </c>
      <c r="AP8" s="885">
        <f t="shared" si="0"/>
        <v>1.2804430844378764E-3</v>
      </c>
      <c r="AQ8" s="877"/>
      <c r="AR8" s="877"/>
      <c r="AS8" s="877"/>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c r="FN8" s="55"/>
      <c r="FO8" s="55"/>
      <c r="FP8" s="55"/>
      <c r="FQ8" s="55"/>
      <c r="FR8" s="55"/>
      <c r="FS8" s="55"/>
      <c r="FT8" s="55"/>
      <c r="FU8" s="55"/>
      <c r="FV8" s="55"/>
      <c r="FW8" s="55"/>
      <c r="FX8" s="55"/>
      <c r="FY8" s="55"/>
      <c r="FZ8" s="55"/>
      <c r="GA8" s="55"/>
      <c r="GB8" s="55"/>
      <c r="GC8" s="55"/>
      <c r="GD8" s="55"/>
      <c r="GE8" s="55"/>
      <c r="GF8" s="55"/>
      <c r="GG8" s="55"/>
      <c r="GH8" s="55"/>
      <c r="GI8" s="55"/>
      <c r="GJ8" s="55"/>
      <c r="GK8" s="55"/>
      <c r="GL8" s="55"/>
      <c r="GM8" s="55"/>
      <c r="GN8" s="55"/>
      <c r="GO8" s="55"/>
      <c r="GP8" s="55"/>
      <c r="GQ8" s="55"/>
      <c r="GR8" s="55"/>
      <c r="GS8" s="55"/>
      <c r="GT8" s="55"/>
      <c r="GU8" s="55"/>
      <c r="GV8" s="55"/>
      <c r="GW8" s="55"/>
      <c r="GX8" s="55"/>
      <c r="GY8" s="55"/>
      <c r="GZ8" s="55"/>
      <c r="HA8" s="55"/>
      <c r="HB8" s="55"/>
      <c r="HC8" s="55"/>
      <c r="HD8" s="55"/>
      <c r="HE8" s="55"/>
      <c r="HF8" s="55"/>
      <c r="HG8" s="55"/>
      <c r="HH8" s="55"/>
      <c r="HI8" s="55"/>
      <c r="HJ8" s="55"/>
      <c r="HK8" s="55"/>
      <c r="HL8" s="55"/>
      <c r="HM8" s="55"/>
      <c r="HN8" s="55"/>
      <c r="HO8" s="55"/>
      <c r="HP8" s="55"/>
      <c r="HQ8" s="55"/>
      <c r="HR8" s="55"/>
      <c r="HS8" s="55"/>
      <c r="HT8" s="55"/>
      <c r="HU8" s="55"/>
      <c r="HV8" s="55"/>
      <c r="HW8" s="55"/>
      <c r="HX8" s="55"/>
      <c r="HY8" s="55"/>
      <c r="HZ8" s="55"/>
      <c r="IA8" s="55"/>
      <c r="IB8" s="55"/>
      <c r="IC8" s="55"/>
      <c r="ID8" s="55"/>
      <c r="IE8" s="55"/>
      <c r="IF8" s="55"/>
      <c r="IG8" s="55"/>
      <c r="IH8" s="55"/>
      <c r="II8" s="55"/>
      <c r="IJ8" s="55"/>
      <c r="IK8" s="55"/>
      <c r="IL8" s="55"/>
      <c r="IM8" s="55"/>
      <c r="IN8" s="55"/>
      <c r="IO8" s="55"/>
      <c r="IP8" s="55"/>
      <c r="IQ8" s="55"/>
      <c r="IR8" s="55"/>
      <c r="IS8" s="55"/>
      <c r="IT8" s="55"/>
      <c r="IU8" s="55"/>
      <c r="IV8" s="55"/>
      <c r="IW8" s="55"/>
      <c r="IX8" s="55"/>
      <c r="IY8" s="55"/>
      <c r="IZ8" s="55"/>
      <c r="JA8" s="55"/>
      <c r="JB8" s="55"/>
      <c r="JC8" s="55"/>
      <c r="JD8" s="55"/>
      <c r="JE8" s="55"/>
      <c r="JF8" s="55"/>
      <c r="JG8" s="55"/>
      <c r="JH8" s="55"/>
      <c r="JI8" s="55"/>
      <c r="JJ8" s="55"/>
      <c r="JK8" s="55"/>
      <c r="JL8" s="55"/>
      <c r="JM8" s="55"/>
      <c r="JN8" s="55"/>
      <c r="JO8" s="55"/>
      <c r="JP8" s="55"/>
      <c r="JQ8" s="55"/>
      <c r="JR8" s="55"/>
      <c r="JS8" s="55"/>
      <c r="JT8" s="55"/>
      <c r="JU8" s="55"/>
      <c r="JV8" s="55"/>
      <c r="JW8" s="55"/>
      <c r="JX8" s="55"/>
      <c r="JY8" s="55"/>
      <c r="JZ8" s="55"/>
      <c r="KA8" s="55"/>
      <c r="KB8" s="55"/>
      <c r="KC8" s="55"/>
      <c r="KD8" s="55"/>
      <c r="KE8" s="55"/>
      <c r="KF8" s="55"/>
      <c r="KG8" s="55"/>
      <c r="KH8" s="55"/>
      <c r="KI8" s="55"/>
      <c r="KJ8" s="55"/>
      <c r="KK8" s="55"/>
      <c r="KL8" s="55"/>
      <c r="KM8" s="55"/>
      <c r="KN8" s="55"/>
      <c r="KO8" s="55"/>
      <c r="KP8" s="55"/>
      <c r="KQ8" s="55"/>
      <c r="KR8" s="55"/>
      <c r="KS8" s="55"/>
      <c r="KT8" s="55"/>
      <c r="KU8" s="55"/>
      <c r="KV8" s="55"/>
      <c r="KW8" s="55"/>
      <c r="KX8" s="55"/>
      <c r="KY8" s="55"/>
      <c r="KZ8" s="55"/>
      <c r="LA8" s="55"/>
      <c r="LB8" s="55"/>
      <c r="LC8" s="55"/>
      <c r="LD8" s="55"/>
      <c r="LE8" s="55"/>
      <c r="LF8" s="55"/>
      <c r="LG8" s="55"/>
      <c r="LH8" s="55"/>
      <c r="LI8" s="55"/>
      <c r="LJ8" s="55"/>
      <c r="LK8" s="55"/>
      <c r="LL8" s="55"/>
      <c r="LM8" s="55"/>
      <c r="LN8" s="55"/>
      <c r="LO8" s="55"/>
      <c r="LP8" s="55"/>
      <c r="LQ8" s="55"/>
      <c r="LR8" s="55"/>
      <c r="LS8" s="55"/>
      <c r="LT8" s="55"/>
      <c r="LU8" s="55"/>
      <c r="LV8" s="55"/>
      <c r="LW8" s="55"/>
      <c r="LX8" s="55"/>
      <c r="LY8" s="55"/>
      <c r="LZ8" s="55"/>
      <c r="MA8" s="55"/>
      <c r="MB8" s="55"/>
      <c r="MC8" s="55"/>
      <c r="MD8" s="55"/>
      <c r="ME8" s="55"/>
      <c r="MF8" s="55"/>
      <c r="MG8" s="55"/>
      <c r="MH8" s="55"/>
      <c r="MI8" s="55"/>
      <c r="MJ8" s="55"/>
      <c r="MK8" s="55"/>
      <c r="ML8" s="55"/>
      <c r="MM8" s="55"/>
      <c r="MN8" s="55"/>
      <c r="MO8" s="55"/>
      <c r="MP8" s="55"/>
      <c r="MQ8" s="55"/>
    </row>
    <row r="9" spans="1:355">
      <c r="C9" s="174" t="s">
        <v>317</v>
      </c>
      <c r="D9" s="511"/>
      <c r="E9" s="174"/>
      <c r="F9" s="878">
        <f t="shared" ref="F9:J12" si="1">$B$13*F14+$B$18*F19+$B$23*F24</f>
        <v>1.1530035685549713</v>
      </c>
      <c r="G9" s="877">
        <f t="shared" si="1"/>
        <v>0.69305349718387188</v>
      </c>
      <c r="H9" s="877">
        <f t="shared" si="1"/>
        <v>0.17748999999999998</v>
      </c>
      <c r="I9" s="877">
        <f t="shared" si="1"/>
        <v>0.05</v>
      </c>
      <c r="J9" s="877">
        <f t="shared" si="1"/>
        <v>0.2094</v>
      </c>
      <c r="K9" s="879"/>
      <c r="L9" s="879"/>
      <c r="M9" s="877"/>
      <c r="N9" s="886"/>
      <c r="O9" s="835"/>
      <c r="P9" s="879"/>
      <c r="Q9" s="877"/>
      <c r="R9" s="886"/>
      <c r="S9" s="835"/>
      <c r="T9" s="879"/>
      <c r="U9" s="877"/>
      <c r="V9" s="886"/>
      <c r="W9" s="835"/>
      <c r="X9" s="879"/>
      <c r="Y9" s="877"/>
      <c r="Z9" s="886"/>
      <c r="AA9" s="835"/>
      <c r="AB9" s="879"/>
      <c r="AC9" s="877"/>
      <c r="AD9" s="886"/>
      <c r="AE9" s="835"/>
      <c r="AF9" s="879"/>
      <c r="AG9" s="877"/>
      <c r="AH9" s="886"/>
      <c r="AI9" s="877"/>
      <c r="AJ9" s="879"/>
      <c r="AK9" s="877"/>
      <c r="AL9" s="886"/>
      <c r="AM9" s="877"/>
      <c r="AN9" s="879"/>
      <c r="AO9" s="877"/>
      <c r="AP9" s="886"/>
      <c r="AQ9" s="877"/>
      <c r="AR9" s="877"/>
      <c r="AS9" s="877"/>
    </row>
    <row r="10" spans="1:355">
      <c r="A10" s="195"/>
      <c r="B10" s="50"/>
      <c r="C10" s="174" t="s">
        <v>321</v>
      </c>
      <c r="D10" s="511"/>
      <c r="E10" s="174"/>
      <c r="F10" s="878">
        <f t="shared" si="1"/>
        <v>0</v>
      </c>
      <c r="G10" s="877">
        <f t="shared" si="1"/>
        <v>0</v>
      </c>
      <c r="H10" s="877">
        <f t="shared" si="1"/>
        <v>0</v>
      </c>
      <c r="I10" s="877">
        <f t="shared" si="1"/>
        <v>0</v>
      </c>
      <c r="J10" s="877">
        <f t="shared" si="1"/>
        <v>0</v>
      </c>
      <c r="K10" s="879"/>
      <c r="L10" s="879"/>
      <c r="M10" s="877"/>
      <c r="N10" s="886"/>
      <c r="O10" s="835"/>
      <c r="P10" s="879"/>
      <c r="Q10" s="877"/>
      <c r="R10" s="886"/>
      <c r="S10" s="835"/>
      <c r="T10" s="879"/>
      <c r="U10" s="877"/>
      <c r="V10" s="886"/>
      <c r="W10" s="835"/>
      <c r="X10" s="879"/>
      <c r="Y10" s="877"/>
      <c r="Z10" s="886"/>
      <c r="AA10" s="835"/>
      <c r="AB10" s="879"/>
      <c r="AC10" s="877"/>
      <c r="AD10" s="886"/>
      <c r="AE10" s="835"/>
      <c r="AF10" s="879"/>
      <c r="AG10" s="877"/>
      <c r="AH10" s="886"/>
      <c r="AI10" s="877"/>
      <c r="AJ10" s="879"/>
      <c r="AK10" s="877"/>
      <c r="AL10" s="886"/>
      <c r="AM10" s="877"/>
      <c r="AN10" s="879"/>
      <c r="AO10" s="877"/>
      <c r="AP10" s="886"/>
      <c r="AQ10" s="877"/>
      <c r="AR10" s="877"/>
      <c r="AS10" s="877"/>
    </row>
    <row r="11" spans="1:355">
      <c r="A11" s="195"/>
      <c r="B11" s="50"/>
      <c r="C11" s="174" t="s">
        <v>319</v>
      </c>
      <c r="D11" s="511"/>
      <c r="E11" s="174"/>
      <c r="F11" s="878">
        <f t="shared" si="1"/>
        <v>2.0304824768688047E-4</v>
      </c>
      <c r="G11" s="877">
        <f t="shared" si="1"/>
        <v>1.9898728273314286E-4</v>
      </c>
      <c r="H11" s="877">
        <f t="shared" si="1"/>
        <v>0</v>
      </c>
      <c r="I11" s="877">
        <f t="shared" si="1"/>
        <v>0</v>
      </c>
      <c r="J11" s="877">
        <f t="shared" si="1"/>
        <v>0</v>
      </c>
      <c r="K11" s="879"/>
      <c r="L11" s="1319"/>
      <c r="M11" s="834"/>
      <c r="N11" s="1217"/>
      <c r="O11" s="877"/>
      <c r="P11" s="1319"/>
      <c r="Q11" s="834"/>
      <c r="R11" s="1217"/>
      <c r="S11" s="877"/>
      <c r="T11" s="1319"/>
      <c r="U11" s="834"/>
      <c r="V11" s="1217"/>
      <c r="W11" s="877"/>
      <c r="X11" s="1319"/>
      <c r="Y11" s="834"/>
      <c r="Z11" s="1217"/>
      <c r="AA11" s="877"/>
      <c r="AB11" s="1319"/>
      <c r="AC11" s="834"/>
      <c r="AD11" s="1217"/>
      <c r="AE11" s="877"/>
      <c r="AF11" s="1319"/>
      <c r="AG11" s="834"/>
      <c r="AH11" s="1217"/>
      <c r="AI11" s="877"/>
      <c r="AJ11" s="1319"/>
      <c r="AK11" s="834"/>
      <c r="AL11" s="1217"/>
      <c r="AM11" s="877"/>
      <c r="AN11" s="1319"/>
      <c r="AO11" s="834"/>
      <c r="AP11" s="1217"/>
      <c r="AQ11" s="877"/>
      <c r="AR11" s="877"/>
      <c r="AS11" s="877"/>
    </row>
    <row r="12" spans="1:355" s="12" customFormat="1">
      <c r="A12" s="195"/>
      <c r="B12" s="54"/>
      <c r="C12" s="55" t="s">
        <v>320</v>
      </c>
      <c r="D12" s="512"/>
      <c r="E12" s="55"/>
      <c r="F12" s="878">
        <f t="shared" si="1"/>
        <v>1.4778719082417092E-3</v>
      </c>
      <c r="G12" s="877">
        <f t="shared" si="1"/>
        <v>1.4483144700768752E-3</v>
      </c>
      <c r="H12" s="877">
        <f t="shared" si="1"/>
        <v>0</v>
      </c>
      <c r="I12" s="877">
        <f t="shared" si="1"/>
        <v>0</v>
      </c>
      <c r="J12" s="877">
        <f t="shared" si="1"/>
        <v>0</v>
      </c>
      <c r="K12" s="879"/>
      <c r="L12" s="879"/>
      <c r="M12" s="877"/>
      <c r="N12" s="886"/>
      <c r="O12" s="877"/>
      <c r="P12" s="879"/>
      <c r="Q12" s="877"/>
      <c r="R12" s="886"/>
      <c r="S12" s="877"/>
      <c r="T12" s="879"/>
      <c r="U12" s="877"/>
      <c r="V12" s="886"/>
      <c r="W12" s="877"/>
      <c r="X12" s="879"/>
      <c r="Y12" s="877"/>
      <c r="Z12" s="886"/>
      <c r="AA12" s="877"/>
      <c r="AB12" s="879"/>
      <c r="AC12" s="877"/>
      <c r="AD12" s="886"/>
      <c r="AE12" s="877"/>
      <c r="AF12" s="879"/>
      <c r="AG12" s="877"/>
      <c r="AH12" s="886"/>
      <c r="AI12" s="877"/>
      <c r="AJ12" s="879"/>
      <c r="AK12" s="877"/>
      <c r="AL12" s="886"/>
      <c r="AM12" s="877"/>
      <c r="AN12" s="879"/>
      <c r="AO12" s="877"/>
      <c r="AP12" s="886"/>
      <c r="AQ12" s="877"/>
      <c r="AR12" s="877"/>
      <c r="AS12" s="877"/>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row>
    <row r="13" spans="1:355">
      <c r="A13" s="108" t="s">
        <v>122</v>
      </c>
      <c r="B13" s="390">
        <f>'Input data processed products'!C5</f>
        <v>0.3</v>
      </c>
      <c r="C13" s="355" t="s">
        <v>316</v>
      </c>
      <c r="D13" s="513"/>
      <c r="E13" s="355"/>
      <c r="F13" s="873">
        <f>SUMPRODUCT($AX$3:$AX$6,F14:F17)</f>
        <v>1.1953530703475812</v>
      </c>
      <c r="G13" s="884"/>
      <c r="H13" s="884"/>
      <c r="I13" s="884"/>
      <c r="J13" s="884"/>
      <c r="K13" s="879"/>
      <c r="L13" s="879">
        <f>SUMPRODUCT('Input data processed products'!$D5:$AE5,'Input data processed products'!D$83:AE$83)</f>
        <v>1.4739057161070463</v>
      </c>
      <c r="M13" s="877">
        <f>L13/(1-'Common input data'!$B$166)</f>
        <v>1.503985424599027</v>
      </c>
      <c r="N13" s="886">
        <f>M13/(1-'Common input data'!$B$182)</f>
        <v>1.7287188788494563</v>
      </c>
      <c r="O13" s="877"/>
      <c r="P13" s="879">
        <f>SUMPRODUCT('Input data processed products'!$D5:$AE5,'Input data processed products'!D$84:AE$84)</f>
        <v>0</v>
      </c>
      <c r="Q13" s="877">
        <f>P13/(1-'Common input data'!$B$166)</f>
        <v>0</v>
      </c>
      <c r="R13" s="886">
        <f>Q13/(1-'Common input data'!$B$182)</f>
        <v>0</v>
      </c>
      <c r="S13" s="877"/>
      <c r="T13" s="879">
        <f>SUMPRODUCT('Input data processed products'!$D5:$AE5,'Input data processed products'!D$85:AE$85)</f>
        <v>2.1125981930867666E-2</v>
      </c>
      <c r="U13" s="877">
        <f>T13/(1-'Common input data'!$B$166)</f>
        <v>2.155712441925272E-2</v>
      </c>
      <c r="V13" s="886">
        <f>U13/(1-'Common input data'!$B$182)</f>
        <v>2.4778303930175539E-2</v>
      </c>
      <c r="W13" s="877"/>
      <c r="X13" s="879">
        <f>SUMPRODUCT('Input data processed products'!$D5:$AE5,'Input data processed products'!D$86:AE$86)</f>
        <v>1.2773849539594402E-3</v>
      </c>
      <c r="Y13" s="877">
        <f>X13/(1-'Common input data'!$B$166)</f>
        <v>1.30345403465249E-3</v>
      </c>
      <c r="Z13" s="886">
        <f>Y13/(1-'Common input data'!$B$182)</f>
        <v>1.4982230283361953E-3</v>
      </c>
      <c r="AA13" s="877"/>
      <c r="AB13" s="879">
        <f>SUMPRODUCT('Input data processed products'!$D5:$AE5,'Input data processed products'!D$87:AE$87)/$AC$2</f>
        <v>0</v>
      </c>
      <c r="AC13" s="877">
        <f>AB13/(1-'Common input data'!$B$166)</f>
        <v>0</v>
      </c>
      <c r="AD13" s="886">
        <f>AC13/(1-'Common input data'!$B$182)</f>
        <v>0</v>
      </c>
      <c r="AE13" s="877"/>
      <c r="AF13" s="879">
        <f>SUMPRODUCT('Input data processed products'!$D5:$AE5,'Input data processed products'!D$88:AE$88)</f>
        <v>1.0426254376557948E-11</v>
      </c>
      <c r="AG13" s="877">
        <f>AF13/(1-'Common input data'!$B$166)</f>
        <v>1.0639035078120356E-11</v>
      </c>
      <c r="AH13" s="886">
        <f>AG13/(1-'Common input data'!$B$182)</f>
        <v>1.2228775951862478E-11</v>
      </c>
      <c r="AI13" s="877"/>
      <c r="AJ13" s="879">
        <f>SUMPRODUCT('Input data processed products'!$D5:$AE5,'Input data processed products'!D$89:AE$89)</f>
        <v>9.2119107256690403E-5</v>
      </c>
      <c r="AK13" s="877">
        <f>AJ13/(1-'Common input data'!$B$166)</f>
        <v>9.3999089037439184E-5</v>
      </c>
      <c r="AL13" s="886">
        <f>AK13/(1-'Common input data'!$B$182)</f>
        <v>1.0804492992809102E-4</v>
      </c>
      <c r="AM13" s="877"/>
      <c r="AN13" s="879">
        <f>SUMPRODUCT('Input data processed products'!$D5:$AE5,'Input data processed products'!D$90:AE$90)</f>
        <v>1.0917057737917337E-3</v>
      </c>
      <c r="AO13" s="877">
        <f>AN13/(1-'Common input data'!$B$166)</f>
        <v>1.1139854834609528E-3</v>
      </c>
      <c r="AP13" s="886">
        <f>AO13/(1-'Common input data'!$B$182)</f>
        <v>1.2804430844378766E-3</v>
      </c>
      <c r="AQ13" s="877"/>
      <c r="AR13" s="877"/>
      <c r="AS13" s="877"/>
    </row>
    <row r="14" spans="1:355">
      <c r="C14" s="174" t="s">
        <v>317</v>
      </c>
      <c r="D14" s="511"/>
      <c r="E14" s="174"/>
      <c r="F14" s="878">
        <f>SUM(G14:J14)/(1-'Common input data'!$B$166)</f>
        <v>0.85005458896313457</v>
      </c>
      <c r="G14" s="877">
        <f>SUMPRODUCT('Input data processed products'!E$5:AC$5,'Input data processed products'!E$80:AC$80)</f>
        <v>0.69305349718387188</v>
      </c>
      <c r="H14" s="877">
        <f>'Input data processed products'!C101</f>
        <v>0.06</v>
      </c>
      <c r="I14" s="877">
        <f>'Common input data'!B$107</f>
        <v>0.05</v>
      </c>
      <c r="J14" s="877">
        <f>'Common input data'!C$115</f>
        <v>0.03</v>
      </c>
      <c r="K14" s="879"/>
      <c r="L14" s="879"/>
      <c r="M14" s="877"/>
      <c r="N14" s="886"/>
      <c r="O14" s="877"/>
      <c r="P14" s="879"/>
      <c r="Q14" s="877"/>
      <c r="R14" s="886"/>
      <c r="S14" s="877"/>
      <c r="T14" s="879"/>
      <c r="U14" s="877"/>
      <c r="V14" s="886"/>
      <c r="W14" s="877"/>
      <c r="X14" s="879"/>
      <c r="Y14" s="877"/>
      <c r="Z14" s="886"/>
      <c r="AA14" s="877"/>
      <c r="AB14" s="879"/>
      <c r="AC14" s="877"/>
      <c r="AD14" s="886"/>
      <c r="AE14" s="877"/>
      <c r="AF14" s="879"/>
      <c r="AG14" s="877"/>
      <c r="AH14" s="886"/>
      <c r="AI14" s="877"/>
      <c r="AJ14" s="879"/>
      <c r="AK14" s="877"/>
      <c r="AL14" s="886"/>
      <c r="AM14" s="877"/>
      <c r="AN14" s="879"/>
      <c r="AO14" s="877"/>
      <c r="AP14" s="886"/>
      <c r="AQ14" s="877"/>
      <c r="AR14" s="877"/>
      <c r="AS14" s="877"/>
    </row>
    <row r="15" spans="1:355">
      <c r="A15" s="68"/>
      <c r="B15" s="50"/>
      <c r="C15" s="174" t="s">
        <v>321</v>
      </c>
      <c r="D15" s="511"/>
      <c r="E15" s="174"/>
      <c r="F15" s="878">
        <f>SUM(G15:J15)/(1-'Common input data'!$B$166)</f>
        <v>0</v>
      </c>
      <c r="G15" s="877">
        <v>0</v>
      </c>
      <c r="H15" s="877">
        <v>0</v>
      </c>
      <c r="I15" s="877">
        <v>0</v>
      </c>
      <c r="J15" s="877">
        <v>0</v>
      </c>
      <c r="K15" s="879"/>
      <c r="L15" s="879"/>
      <c r="M15" s="877"/>
      <c r="N15" s="886"/>
      <c r="O15" s="877"/>
      <c r="P15" s="879"/>
      <c r="Q15" s="877"/>
      <c r="R15" s="886"/>
      <c r="S15" s="877"/>
      <c r="T15" s="879"/>
      <c r="U15" s="877"/>
      <c r="V15" s="886"/>
      <c r="W15" s="877"/>
      <c r="X15" s="879"/>
      <c r="Y15" s="877"/>
      <c r="Z15" s="886"/>
      <c r="AA15" s="877"/>
      <c r="AB15" s="879"/>
      <c r="AC15" s="877"/>
      <c r="AD15" s="886"/>
      <c r="AE15" s="877"/>
      <c r="AF15" s="879"/>
      <c r="AG15" s="877"/>
      <c r="AH15" s="886"/>
      <c r="AI15" s="877"/>
      <c r="AJ15" s="879"/>
      <c r="AK15" s="877"/>
      <c r="AL15" s="886"/>
      <c r="AM15" s="877"/>
      <c r="AN15" s="879"/>
      <c r="AO15" s="877"/>
      <c r="AP15" s="886"/>
      <c r="AQ15" s="877"/>
      <c r="AR15" s="877"/>
      <c r="AS15" s="877"/>
    </row>
    <row r="16" spans="1:355" s="12" customFormat="1">
      <c r="A16" s="68"/>
      <c r="B16" s="50"/>
      <c r="C16" s="174" t="s">
        <v>319</v>
      </c>
      <c r="D16" s="511"/>
      <c r="E16" s="174"/>
      <c r="F16" s="878">
        <f>SUM(G16:J16)/(1-'Common input data'!$B$166)</f>
        <v>2.0304824768688047E-4</v>
      </c>
      <c r="G16" s="877">
        <f>SUMPRODUCT('Input data processed products'!E$5:AC$5,'Input data processed products'!E$81:AC$81)</f>
        <v>1.9898728273314286E-4</v>
      </c>
      <c r="H16" s="877">
        <v>0</v>
      </c>
      <c r="I16" s="877">
        <v>0</v>
      </c>
      <c r="J16" s="877">
        <v>0</v>
      </c>
      <c r="K16" s="879"/>
      <c r="L16" s="879"/>
      <c r="M16" s="877"/>
      <c r="N16" s="886"/>
      <c r="O16" s="877"/>
      <c r="P16" s="879"/>
      <c r="Q16" s="877"/>
      <c r="R16" s="886"/>
      <c r="S16" s="877"/>
      <c r="T16" s="879"/>
      <c r="U16" s="877"/>
      <c r="V16" s="886"/>
      <c r="W16" s="877"/>
      <c r="X16" s="879"/>
      <c r="Y16" s="877"/>
      <c r="Z16" s="886"/>
      <c r="AA16" s="877"/>
      <c r="AB16" s="879"/>
      <c r="AC16" s="877"/>
      <c r="AD16" s="886"/>
      <c r="AE16" s="877"/>
      <c r="AF16" s="879"/>
      <c r="AG16" s="877"/>
      <c r="AH16" s="886"/>
      <c r="AI16" s="877"/>
      <c r="AJ16" s="879"/>
      <c r="AK16" s="877"/>
      <c r="AL16" s="886"/>
      <c r="AM16" s="877"/>
      <c r="AN16" s="879"/>
      <c r="AO16" s="877"/>
      <c r="AP16" s="886"/>
      <c r="AQ16" s="877"/>
      <c r="AR16" s="877"/>
      <c r="AS16" s="877"/>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row>
    <row r="17" spans="1:355">
      <c r="A17" s="359"/>
      <c r="B17" s="54"/>
      <c r="C17" s="55" t="s">
        <v>320</v>
      </c>
      <c r="D17" s="512"/>
      <c r="E17" s="55"/>
      <c r="F17" s="878">
        <f>SUM(G17:J17)/(1-'Common input data'!$B$166)</f>
        <v>1.4778719082417094E-3</v>
      </c>
      <c r="G17" s="877">
        <f>SUMPRODUCT('Input data processed products'!E$5:AC$5,'Input data processed products'!E$82:AC$82)</f>
        <v>1.4483144700768752E-3</v>
      </c>
      <c r="H17" s="877">
        <v>0</v>
      </c>
      <c r="I17" s="877">
        <v>0</v>
      </c>
      <c r="J17" s="877">
        <v>0</v>
      </c>
      <c r="K17" s="879"/>
      <c r="L17" s="879"/>
      <c r="M17" s="877"/>
      <c r="N17" s="886"/>
      <c r="O17" s="877"/>
      <c r="P17" s="879"/>
      <c r="Q17" s="877"/>
      <c r="R17" s="886"/>
      <c r="S17" s="877"/>
      <c r="T17" s="879"/>
      <c r="U17" s="877"/>
      <c r="V17" s="886"/>
      <c r="W17" s="877"/>
      <c r="X17" s="879"/>
      <c r="Y17" s="877"/>
      <c r="Z17" s="886"/>
      <c r="AA17" s="877"/>
      <c r="AB17" s="879"/>
      <c r="AC17" s="877"/>
      <c r="AD17" s="886"/>
      <c r="AE17" s="877"/>
      <c r="AF17" s="879"/>
      <c r="AG17" s="877"/>
      <c r="AH17" s="886"/>
      <c r="AI17" s="877"/>
      <c r="AJ17" s="879"/>
      <c r="AK17" s="877"/>
      <c r="AL17" s="886"/>
      <c r="AM17" s="877"/>
      <c r="AN17" s="879"/>
      <c r="AO17" s="877"/>
      <c r="AP17" s="886"/>
      <c r="AQ17" s="877"/>
      <c r="AR17" s="877"/>
      <c r="AS17" s="877"/>
    </row>
    <row r="18" spans="1:355">
      <c r="A18" s="108" t="s">
        <v>123</v>
      </c>
      <c r="B18" s="390">
        <f>'Input data processed products'!C6</f>
        <v>0.503</v>
      </c>
      <c r="C18" s="355" t="s">
        <v>316</v>
      </c>
      <c r="D18" s="513"/>
      <c r="E18" s="355"/>
      <c r="F18" s="873">
        <f>SUMPRODUCT($AX$3:$AX$6,F19:F22)</f>
        <v>1.5218836825924793</v>
      </c>
      <c r="G18" s="884"/>
      <c r="H18" s="884"/>
      <c r="I18" s="884"/>
      <c r="J18" s="884"/>
      <c r="K18" s="879"/>
      <c r="L18" s="879">
        <f>SUMPRODUCT('Input data processed products'!$D6:$AE6,'Input data processed products'!D$83:AE$83)</f>
        <v>1.4739057161070463</v>
      </c>
      <c r="M18" s="877">
        <f>L18/(1-'Common input data'!$B$166)</f>
        <v>1.503985424599027</v>
      </c>
      <c r="N18" s="886">
        <f>M18/(1-'Common input data'!$B$182)</f>
        <v>1.7287188788494563</v>
      </c>
      <c r="O18" s="877"/>
      <c r="P18" s="879">
        <f>SUMPRODUCT('Input data processed products'!$D6:$AE6,'Input data processed products'!D$84:AE$84)</f>
        <v>0</v>
      </c>
      <c r="Q18" s="877">
        <f>P18/(1-'Common input data'!$B$166)</f>
        <v>0</v>
      </c>
      <c r="R18" s="886">
        <f>Q18/(1-'Common input data'!$B$182)</f>
        <v>0</v>
      </c>
      <c r="S18" s="877"/>
      <c r="T18" s="879">
        <f>SUMPRODUCT('Input data processed products'!$D6:$AE6,'Input data processed products'!D$85:AE$85)</f>
        <v>2.1125981930867666E-2</v>
      </c>
      <c r="U18" s="877">
        <f>T18/(1-'Common input data'!$B$166)</f>
        <v>2.155712441925272E-2</v>
      </c>
      <c r="V18" s="886">
        <f>U18/(1-'Common input data'!$B$182)</f>
        <v>2.4778303930175539E-2</v>
      </c>
      <c r="W18" s="877"/>
      <c r="X18" s="879">
        <f>SUMPRODUCT('Input data processed products'!$D6:$AE6,'Input data processed products'!D$86:AE$86)</f>
        <v>1.2773849539594402E-3</v>
      </c>
      <c r="Y18" s="877">
        <f>X18/(1-'Common input data'!$B$166)</f>
        <v>1.30345403465249E-3</v>
      </c>
      <c r="Z18" s="886">
        <f>Y18/(1-'Common input data'!$B$182)</f>
        <v>1.4982230283361953E-3</v>
      </c>
      <c r="AA18" s="877"/>
      <c r="AB18" s="879">
        <f>SUMPRODUCT('Input data processed products'!$D6:$AE6,'Input data processed products'!D$87:AE$87)/$AC$2</f>
        <v>0</v>
      </c>
      <c r="AC18" s="877">
        <f>AB18/(1-'Common input data'!$B$166)</f>
        <v>0</v>
      </c>
      <c r="AD18" s="886">
        <f>AC18/(1-'Common input data'!$B$182)</f>
        <v>0</v>
      </c>
      <c r="AE18" s="877"/>
      <c r="AF18" s="879">
        <f>SUMPRODUCT('Input data processed products'!$D6:$AE6,'Input data processed products'!D$88:AE$88)</f>
        <v>1.0426254376557948E-11</v>
      </c>
      <c r="AG18" s="877">
        <f>AF18/(1-'Common input data'!$B$166)</f>
        <v>1.0639035078120356E-11</v>
      </c>
      <c r="AH18" s="886">
        <f>AG18/(1-'Common input data'!$B$182)</f>
        <v>1.2228775951862478E-11</v>
      </c>
      <c r="AI18" s="877"/>
      <c r="AJ18" s="879">
        <f>SUMPRODUCT('Input data processed products'!$D6:$AE6,'Input data processed products'!D$89:AE$89)</f>
        <v>9.2119107256690403E-5</v>
      </c>
      <c r="AK18" s="877">
        <f>AJ18/(1-'Common input data'!$B$166)</f>
        <v>9.3999089037439184E-5</v>
      </c>
      <c r="AL18" s="886">
        <f>AK18/(1-'Common input data'!$B$182)</f>
        <v>1.0804492992809102E-4</v>
      </c>
      <c r="AM18" s="877"/>
      <c r="AN18" s="879">
        <f>SUMPRODUCT('Input data processed products'!$D6:$AE6,'Input data processed products'!D$90:AE$90)</f>
        <v>1.0917057737917337E-3</v>
      </c>
      <c r="AO18" s="877">
        <f>AN18/(1-'Common input data'!$B$166)</f>
        <v>1.1139854834609528E-3</v>
      </c>
      <c r="AP18" s="886">
        <f>AO18/(1-'Common input data'!$B$182)</f>
        <v>1.2804430844378766E-3</v>
      </c>
      <c r="AQ18" s="877"/>
      <c r="AR18" s="877"/>
      <c r="AS18" s="877"/>
    </row>
    <row r="19" spans="1:355">
      <c r="C19" s="174" t="s">
        <v>317</v>
      </c>
      <c r="D19" s="511"/>
      <c r="E19" s="174"/>
      <c r="F19" s="878">
        <f>SUM(G19:J19)/(1-'Common input data'!$B$166)</f>
        <v>1.1765852012080327</v>
      </c>
      <c r="G19" s="877">
        <f>SUMPRODUCT('Input data processed products'!E$6:AC$6,'Input data processed products'!E$80:AC$80)</f>
        <v>0.69305349718387188</v>
      </c>
      <c r="H19" s="877">
        <f>'Input data processed products'!C102</f>
        <v>0.18</v>
      </c>
      <c r="I19" s="877">
        <f>'Common input data'!B$107</f>
        <v>0.05</v>
      </c>
      <c r="J19" s="877">
        <f>'Common input data'!B117+'Common input data'!C117</f>
        <v>0.23</v>
      </c>
      <c r="K19" s="879"/>
      <c r="L19" s="879"/>
      <c r="M19" s="877"/>
      <c r="N19" s="886"/>
      <c r="O19" s="877"/>
      <c r="P19" s="879"/>
      <c r="Q19" s="877"/>
      <c r="R19" s="886"/>
      <c r="S19" s="877"/>
      <c r="T19" s="879"/>
      <c r="U19" s="877"/>
      <c r="V19" s="886"/>
      <c r="W19" s="877"/>
      <c r="X19" s="879"/>
      <c r="Y19" s="877"/>
      <c r="Z19" s="886"/>
      <c r="AA19" s="877"/>
      <c r="AB19" s="879"/>
      <c r="AC19" s="877"/>
      <c r="AD19" s="886"/>
      <c r="AE19" s="877"/>
      <c r="AF19" s="879"/>
      <c r="AG19" s="877"/>
      <c r="AH19" s="886"/>
      <c r="AI19" s="877"/>
      <c r="AJ19" s="879"/>
      <c r="AK19" s="877"/>
      <c r="AL19" s="886"/>
      <c r="AM19" s="877"/>
      <c r="AN19" s="879"/>
      <c r="AO19" s="877"/>
      <c r="AP19" s="886"/>
      <c r="AQ19" s="877"/>
      <c r="AR19" s="877"/>
      <c r="AS19" s="877"/>
    </row>
    <row r="20" spans="1:355" s="12" customFormat="1">
      <c r="A20" s="68"/>
      <c r="B20" s="55"/>
      <c r="C20" s="174" t="s">
        <v>321</v>
      </c>
      <c r="D20" s="511"/>
      <c r="E20" s="174"/>
      <c r="F20" s="878">
        <f>SUM(G20:J20)/(1-'Common input data'!$B$166)</f>
        <v>0</v>
      </c>
      <c r="G20" s="877">
        <v>0</v>
      </c>
      <c r="H20" s="877">
        <v>0</v>
      </c>
      <c r="I20" s="877">
        <v>0</v>
      </c>
      <c r="J20" s="877">
        <v>0</v>
      </c>
      <c r="K20" s="879"/>
      <c r="L20" s="879"/>
      <c r="M20" s="877"/>
      <c r="N20" s="886"/>
      <c r="O20" s="877"/>
      <c r="P20" s="879"/>
      <c r="Q20" s="877"/>
      <c r="R20" s="886"/>
      <c r="S20" s="877"/>
      <c r="T20" s="879"/>
      <c r="U20" s="877"/>
      <c r="V20" s="886"/>
      <c r="W20" s="877"/>
      <c r="X20" s="879"/>
      <c r="Y20" s="877"/>
      <c r="Z20" s="886"/>
      <c r="AA20" s="877"/>
      <c r="AB20" s="879"/>
      <c r="AC20" s="877"/>
      <c r="AD20" s="886"/>
      <c r="AE20" s="877"/>
      <c r="AF20" s="879"/>
      <c r="AG20" s="877"/>
      <c r="AH20" s="886"/>
      <c r="AI20" s="877"/>
      <c r="AJ20" s="879"/>
      <c r="AK20" s="877"/>
      <c r="AL20" s="886"/>
      <c r="AM20" s="877"/>
      <c r="AN20" s="879"/>
      <c r="AO20" s="877"/>
      <c r="AP20" s="886"/>
      <c r="AQ20" s="877"/>
      <c r="AR20" s="877"/>
      <c r="AS20" s="877"/>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row>
    <row r="21" spans="1:355">
      <c r="A21" s="68"/>
      <c r="B21" s="55"/>
      <c r="C21" s="174" t="s">
        <v>319</v>
      </c>
      <c r="D21" s="511"/>
      <c r="E21" s="174"/>
      <c r="F21" s="878">
        <f>SUM(G21:J21)/(1-'Common input data'!$B$166)</f>
        <v>2.0304824768688047E-4</v>
      </c>
      <c r="G21" s="877">
        <f>SUMPRODUCT('Input data processed products'!E$5:AC$5,'Input data processed products'!E$81:AC$81)</f>
        <v>1.9898728273314286E-4</v>
      </c>
      <c r="H21" s="877">
        <v>0</v>
      </c>
      <c r="I21" s="877">
        <v>0</v>
      </c>
      <c r="J21" s="877">
        <v>0</v>
      </c>
      <c r="K21" s="879"/>
      <c r="L21" s="879"/>
      <c r="M21" s="877"/>
      <c r="N21" s="886"/>
      <c r="O21" s="877"/>
      <c r="P21" s="879"/>
      <c r="Q21" s="877"/>
      <c r="R21" s="886"/>
      <c r="S21" s="877"/>
      <c r="T21" s="879"/>
      <c r="U21" s="877"/>
      <c r="V21" s="886"/>
      <c r="W21" s="877"/>
      <c r="X21" s="879"/>
      <c r="Y21" s="877"/>
      <c r="Z21" s="886"/>
      <c r="AA21" s="877"/>
      <c r="AB21" s="879"/>
      <c r="AC21" s="877"/>
      <c r="AD21" s="886"/>
      <c r="AE21" s="877"/>
      <c r="AF21" s="879"/>
      <c r="AG21" s="877"/>
      <c r="AH21" s="886"/>
      <c r="AI21" s="877"/>
      <c r="AJ21" s="879"/>
      <c r="AK21" s="877"/>
      <c r="AL21" s="886"/>
      <c r="AM21" s="877"/>
      <c r="AN21" s="879"/>
      <c r="AO21" s="877"/>
      <c r="AP21" s="886"/>
      <c r="AQ21" s="877"/>
      <c r="AR21" s="877"/>
      <c r="AS21" s="877"/>
    </row>
    <row r="22" spans="1:355">
      <c r="A22" s="68"/>
      <c r="B22" s="54"/>
      <c r="C22" s="55" t="s">
        <v>320</v>
      </c>
      <c r="D22" s="512"/>
      <c r="E22" s="55"/>
      <c r="F22" s="878">
        <f>SUM(G22:J22)/(1-'Common input data'!$B$166)</f>
        <v>1.4778719082417094E-3</v>
      </c>
      <c r="G22" s="877">
        <f>SUMPRODUCT('Input data processed products'!E$5:AC$5,'Input data processed products'!E$82:AC$82)</f>
        <v>1.4483144700768752E-3</v>
      </c>
      <c r="H22" s="877">
        <v>0</v>
      </c>
      <c r="I22" s="1187">
        <v>0</v>
      </c>
      <c r="J22" s="877">
        <v>0</v>
      </c>
      <c r="K22" s="879"/>
      <c r="L22" s="879"/>
      <c r="M22" s="877"/>
      <c r="N22" s="886"/>
      <c r="O22" s="877"/>
      <c r="P22" s="879"/>
      <c r="Q22" s="877"/>
      <c r="R22" s="886"/>
      <c r="S22" s="877"/>
      <c r="T22" s="879"/>
      <c r="U22" s="877"/>
      <c r="V22" s="886"/>
      <c r="W22" s="877"/>
      <c r="X22" s="879"/>
      <c r="Y22" s="877"/>
      <c r="Z22" s="886"/>
      <c r="AA22" s="877"/>
      <c r="AB22" s="879"/>
      <c r="AC22" s="877"/>
      <c r="AD22" s="886"/>
      <c r="AE22" s="877"/>
      <c r="AF22" s="879"/>
      <c r="AG22" s="877"/>
      <c r="AH22" s="886"/>
      <c r="AI22" s="877"/>
      <c r="AJ22" s="879"/>
      <c r="AK22" s="877"/>
      <c r="AL22" s="886"/>
      <c r="AM22" s="877"/>
      <c r="AN22" s="879"/>
      <c r="AO22" s="877"/>
      <c r="AP22" s="886"/>
      <c r="AQ22" s="877"/>
      <c r="AR22" s="877"/>
      <c r="AS22" s="877"/>
    </row>
    <row r="23" spans="1:355">
      <c r="A23" s="108" t="s">
        <v>134</v>
      </c>
      <c r="B23" s="390">
        <f>'Input data processed products'!C7</f>
        <v>0.19700000000000001</v>
      </c>
      <c r="C23" s="355" t="s">
        <v>316</v>
      </c>
      <c r="D23" s="513"/>
      <c r="E23" s="355"/>
      <c r="F23" s="873">
        <f>SUMPRODUCT($AX$3:$AX$6,F24:F27)</f>
        <v>1.8994347030006424</v>
      </c>
      <c r="G23" s="884"/>
      <c r="H23" s="884"/>
      <c r="I23" s="884"/>
      <c r="J23" s="884"/>
      <c r="K23" s="879"/>
      <c r="L23" s="879">
        <f>SUMPRODUCT('Input data processed products'!$D7:$AE7,'Input data processed products'!D$83:AE$83)</f>
        <v>1.4739057161070463</v>
      </c>
      <c r="M23" s="877">
        <f>L23/(1-'Common input data'!$B$166)</f>
        <v>1.503985424599027</v>
      </c>
      <c r="N23" s="886">
        <f>M23/(1-'Common input data'!$B$182)</f>
        <v>1.7287188788494563</v>
      </c>
      <c r="O23" s="877"/>
      <c r="P23" s="879">
        <f>SUMPRODUCT('Input data processed products'!$D7:$AE7,'Input data processed products'!D$84:AE$84)</f>
        <v>0</v>
      </c>
      <c r="Q23" s="877">
        <f>P23/(1-'Common input data'!$B$166)</f>
        <v>0</v>
      </c>
      <c r="R23" s="886">
        <f>Q23/(1-'Common input data'!$B$182)</f>
        <v>0</v>
      </c>
      <c r="S23" s="877"/>
      <c r="T23" s="879">
        <f>SUMPRODUCT('Input data processed products'!$D7:$AE7,'Input data processed products'!D$85:AE$85)</f>
        <v>2.1125981930867666E-2</v>
      </c>
      <c r="U23" s="877">
        <f>T23/(1-'Common input data'!$B$166)</f>
        <v>2.155712441925272E-2</v>
      </c>
      <c r="V23" s="886">
        <f>U23/(1-'Common input data'!$B$182)</f>
        <v>2.4778303930175539E-2</v>
      </c>
      <c r="W23" s="877"/>
      <c r="X23" s="879">
        <f>SUMPRODUCT('Input data processed products'!$D7:$AE7,'Input data processed products'!D$86:AE$86)</f>
        <v>1.2773849539594402E-3</v>
      </c>
      <c r="Y23" s="877">
        <f>X23/(1-'Common input data'!$B$166)</f>
        <v>1.30345403465249E-3</v>
      </c>
      <c r="Z23" s="886">
        <f>Y23/(1-'Common input data'!$B$182)</f>
        <v>1.4982230283361953E-3</v>
      </c>
      <c r="AA23" s="877"/>
      <c r="AB23" s="879">
        <f>SUMPRODUCT('Input data processed products'!$D7:$AE7,'Input data processed products'!D$87:AE$87)/$AC$2</f>
        <v>0</v>
      </c>
      <c r="AC23" s="877">
        <f>AB23/(1-'Common input data'!$B$166)</f>
        <v>0</v>
      </c>
      <c r="AD23" s="886">
        <f>AC23/(1-'Common input data'!$B$182)</f>
        <v>0</v>
      </c>
      <c r="AE23" s="877"/>
      <c r="AF23" s="879">
        <f>SUMPRODUCT('Input data processed products'!$D7:$AE7,'Input data processed products'!D$88:AE$88)</f>
        <v>1.0426254376557948E-11</v>
      </c>
      <c r="AG23" s="877">
        <f>AF23/(1-'Common input data'!$B$166)</f>
        <v>1.0639035078120356E-11</v>
      </c>
      <c r="AH23" s="886">
        <f>AG23/(1-'Common input data'!$B$182)</f>
        <v>1.2228775951862478E-11</v>
      </c>
      <c r="AI23" s="877"/>
      <c r="AJ23" s="879">
        <f>SUMPRODUCT('Input data processed products'!$D7:$AE7,'Input data processed products'!D$89:AE$89)</f>
        <v>9.2119107256690403E-5</v>
      </c>
      <c r="AK23" s="877">
        <f>AJ23/(1-'Common input data'!$B$166)</f>
        <v>9.3999089037439184E-5</v>
      </c>
      <c r="AL23" s="886">
        <f>AK23/(1-'Common input data'!$B$182)</f>
        <v>1.0804492992809102E-4</v>
      </c>
      <c r="AM23" s="877"/>
      <c r="AN23" s="879">
        <f>SUMPRODUCT('Input data processed products'!$D7:$AE7,'Input data processed products'!D$90:AE$90)</f>
        <v>1.0917057737917337E-3</v>
      </c>
      <c r="AO23" s="877">
        <f>AN23/(1-'Common input data'!$B$166)</f>
        <v>1.1139854834609528E-3</v>
      </c>
      <c r="AP23" s="886">
        <f>AO23/(1-'Common input data'!$B$182)</f>
        <v>1.2804430844378766E-3</v>
      </c>
      <c r="AQ23" s="877"/>
      <c r="AR23" s="877"/>
      <c r="AS23" s="877"/>
    </row>
    <row r="24" spans="1:355" s="515" customFormat="1">
      <c r="A24"/>
      <c r="B24"/>
      <c r="C24" s="174" t="s">
        <v>317</v>
      </c>
      <c r="D24" s="511"/>
      <c r="E24" s="174"/>
      <c r="F24" s="878">
        <f>SUM(G24:J24)/(1-'Common input data'!$B$166)</f>
        <v>1.5541362216161958</v>
      </c>
      <c r="G24" s="877">
        <f>SUMPRODUCT('Input data processed products'!E$7:AC$7,'Input data processed products'!E$80:AC$80)</f>
        <v>0.69305349718387188</v>
      </c>
      <c r="H24" s="877">
        <f>'Input data processed products'!C104</f>
        <v>0.35</v>
      </c>
      <c r="I24" s="877">
        <f>'Common input data'!B$107</f>
        <v>0.05</v>
      </c>
      <c r="J24" s="877">
        <f>'Common input data'!B128+'Common input data'!C128</f>
        <v>0.43000000000000005</v>
      </c>
      <c r="K24" s="879"/>
      <c r="L24" s="879"/>
      <c r="M24" s="877"/>
      <c r="N24" s="886"/>
      <c r="O24" s="877"/>
      <c r="P24" s="879"/>
      <c r="Q24" s="877"/>
      <c r="R24" s="886"/>
      <c r="S24" s="877"/>
      <c r="T24" s="879"/>
      <c r="U24" s="877"/>
      <c r="V24" s="886"/>
      <c r="W24" s="877"/>
      <c r="X24" s="879"/>
      <c r="Y24" s="877"/>
      <c r="Z24" s="886"/>
      <c r="AA24" s="877"/>
      <c r="AB24" s="879"/>
      <c r="AC24" s="877"/>
      <c r="AD24" s="886"/>
      <c r="AE24" s="877"/>
      <c r="AF24" s="879"/>
      <c r="AG24" s="877"/>
      <c r="AH24" s="886"/>
      <c r="AI24" s="877"/>
      <c r="AJ24" s="879"/>
      <c r="AK24" s="877"/>
      <c r="AL24" s="886"/>
      <c r="AM24" s="877"/>
      <c r="AN24" s="879"/>
      <c r="AO24" s="877"/>
      <c r="AP24" s="886"/>
      <c r="AQ24" s="877"/>
      <c r="AR24" s="877"/>
      <c r="AS24" s="877"/>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row>
    <row r="25" spans="1:355" s="95" customFormat="1">
      <c r="A25" s="68"/>
      <c r="B25" s="54"/>
      <c r="C25" s="174" t="s">
        <v>321</v>
      </c>
      <c r="D25" s="511"/>
      <c r="E25" s="174"/>
      <c r="F25" s="878">
        <f>SUM(G25:J25)/(1-'Common input data'!$B$166)</f>
        <v>0</v>
      </c>
      <c r="G25" s="877">
        <v>0</v>
      </c>
      <c r="H25" s="877">
        <v>0</v>
      </c>
      <c r="I25" s="877">
        <v>0</v>
      </c>
      <c r="J25" s="877">
        <v>0</v>
      </c>
      <c r="K25" s="879"/>
      <c r="L25" s="879"/>
      <c r="M25" s="877"/>
      <c r="N25" s="886"/>
      <c r="O25" s="877"/>
      <c r="P25" s="879"/>
      <c r="Q25" s="877"/>
      <c r="R25" s="886"/>
      <c r="S25" s="877"/>
      <c r="T25" s="879"/>
      <c r="U25" s="877"/>
      <c r="V25" s="886"/>
      <c r="W25" s="877"/>
      <c r="X25" s="879"/>
      <c r="Y25" s="877"/>
      <c r="Z25" s="886"/>
      <c r="AA25" s="877"/>
      <c r="AB25" s="879"/>
      <c r="AC25" s="877"/>
      <c r="AD25" s="886"/>
      <c r="AE25" s="877"/>
      <c r="AF25" s="879"/>
      <c r="AG25" s="877"/>
      <c r="AH25" s="886"/>
      <c r="AI25" s="877"/>
      <c r="AJ25" s="879"/>
      <c r="AK25" s="877"/>
      <c r="AL25" s="886"/>
      <c r="AM25" s="877"/>
      <c r="AN25" s="879"/>
      <c r="AO25" s="877"/>
      <c r="AP25" s="886"/>
      <c r="AQ25" s="877"/>
      <c r="AR25" s="877"/>
      <c r="AS25" s="877"/>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row>
    <row r="26" spans="1:355">
      <c r="A26" s="68"/>
      <c r="B26" s="54"/>
      <c r="C26" s="174" t="s">
        <v>319</v>
      </c>
      <c r="D26" s="511"/>
      <c r="E26" s="174"/>
      <c r="F26" s="878">
        <f>SUM(G26:J26)/(1-'Common input data'!$B$166)</f>
        <v>2.0304824768688047E-4</v>
      </c>
      <c r="G26" s="877">
        <f>SUMPRODUCT('Input data processed products'!E$5:AC$5,'Input data processed products'!E$81:AC$81)</f>
        <v>1.9898728273314286E-4</v>
      </c>
      <c r="H26" s="877">
        <v>0</v>
      </c>
      <c r="I26" s="877">
        <v>0</v>
      </c>
      <c r="J26" s="877">
        <v>0</v>
      </c>
      <c r="K26" s="879"/>
      <c r="L26" s="879"/>
      <c r="M26" s="877"/>
      <c r="N26" s="886"/>
      <c r="O26" s="877"/>
      <c r="P26" s="879"/>
      <c r="Q26" s="877"/>
      <c r="R26" s="886"/>
      <c r="S26" s="877"/>
      <c r="T26" s="879"/>
      <c r="U26" s="877"/>
      <c r="V26" s="886"/>
      <c r="W26" s="877"/>
      <c r="X26" s="879"/>
      <c r="Y26" s="877"/>
      <c r="Z26" s="886"/>
      <c r="AA26" s="877"/>
      <c r="AB26" s="879"/>
      <c r="AC26" s="877"/>
      <c r="AD26" s="886"/>
      <c r="AE26" s="877"/>
      <c r="AF26" s="879"/>
      <c r="AG26" s="877"/>
      <c r="AH26" s="886"/>
      <c r="AI26" s="877"/>
      <c r="AJ26" s="879"/>
      <c r="AK26" s="877"/>
      <c r="AL26" s="886"/>
      <c r="AM26" s="877"/>
      <c r="AN26" s="879"/>
      <c r="AO26" s="877"/>
      <c r="AP26" s="886"/>
      <c r="AQ26" s="877"/>
      <c r="AR26" s="877"/>
      <c r="AS26" s="877"/>
    </row>
    <row r="27" spans="1:355">
      <c r="A27" s="68"/>
      <c r="B27" s="55"/>
      <c r="C27" s="55" t="s">
        <v>320</v>
      </c>
      <c r="D27" s="514"/>
      <c r="E27" s="56"/>
      <c r="F27" s="933">
        <f>SUM(G27:J27)/(1-'Common input data'!$B$166)</f>
        <v>1.4778719082417094E-3</v>
      </c>
      <c r="G27" s="877">
        <f>SUMPRODUCT('Input data processed products'!E$5:AC$5,'Input data processed products'!E$82:AC$82)</f>
        <v>1.4483144700768752E-3</v>
      </c>
      <c r="H27" s="877">
        <v>0</v>
      </c>
      <c r="I27" s="877">
        <v>0</v>
      </c>
      <c r="J27" s="877">
        <v>0</v>
      </c>
      <c r="K27" s="879"/>
      <c r="L27" s="879"/>
      <c r="M27" s="877"/>
      <c r="N27" s="886"/>
      <c r="O27" s="877"/>
      <c r="P27" s="879"/>
      <c r="Q27" s="877"/>
      <c r="R27" s="886"/>
      <c r="S27" s="877"/>
      <c r="T27" s="879"/>
      <c r="U27" s="877"/>
      <c r="V27" s="886"/>
      <c r="W27" s="877"/>
      <c r="X27" s="879"/>
      <c r="Y27" s="877"/>
      <c r="Z27" s="886"/>
      <c r="AA27" s="877"/>
      <c r="AB27" s="879"/>
      <c r="AC27" s="877"/>
      <c r="AD27" s="886"/>
      <c r="AE27" s="877"/>
      <c r="AF27" s="879"/>
      <c r="AG27" s="877"/>
      <c r="AH27" s="886"/>
      <c r="AI27" s="877"/>
      <c r="AJ27" s="879"/>
      <c r="AK27" s="877"/>
      <c r="AL27" s="886"/>
      <c r="AM27" s="877"/>
      <c r="AN27" s="879"/>
      <c r="AO27" s="877"/>
      <c r="AP27" s="886"/>
      <c r="AQ27" s="877"/>
      <c r="AR27" s="877"/>
      <c r="AS27" s="877"/>
    </row>
    <row r="28" spans="1:355">
      <c r="A28" s="374" t="s">
        <v>542</v>
      </c>
      <c r="B28" s="376"/>
      <c r="C28" s="377"/>
      <c r="D28" s="507"/>
      <c r="E28" s="462"/>
      <c r="F28" s="870" t="s">
        <v>543</v>
      </c>
      <c r="G28" s="1272"/>
      <c r="H28" s="880"/>
      <c r="I28" s="880"/>
      <c r="J28" s="938"/>
      <c r="K28" s="877"/>
      <c r="L28" s="879"/>
      <c r="M28" s="877"/>
      <c r="N28" s="886"/>
      <c r="O28" s="877"/>
      <c r="P28" s="879"/>
      <c r="Q28" s="877"/>
      <c r="R28" s="886"/>
      <c r="S28" s="877"/>
      <c r="T28" s="879"/>
      <c r="U28" s="877"/>
      <c r="V28" s="886"/>
      <c r="W28" s="877"/>
      <c r="X28" s="879"/>
      <c r="Y28" s="877"/>
      <c r="Z28" s="886"/>
      <c r="AA28" s="877"/>
      <c r="AB28" s="879"/>
      <c r="AC28" s="877"/>
      <c r="AD28" s="886"/>
      <c r="AE28" s="877"/>
      <c r="AF28" s="879"/>
      <c r="AG28" s="877"/>
      <c r="AH28" s="886"/>
      <c r="AI28" s="877"/>
      <c r="AJ28" s="879"/>
      <c r="AK28" s="877"/>
      <c r="AL28" s="886"/>
      <c r="AM28" s="877"/>
      <c r="AN28" s="879"/>
      <c r="AO28" s="877"/>
      <c r="AP28" s="886"/>
      <c r="AQ28" s="877"/>
      <c r="AR28" s="877"/>
      <c r="AS28" s="877"/>
    </row>
    <row r="29" spans="1:355" s="515" customFormat="1">
      <c r="A29" s="381" t="s">
        <v>122</v>
      </c>
      <c r="B29" s="498">
        <f>'Input data processed products'!C8</f>
        <v>1</v>
      </c>
      <c r="C29" s="384" t="s">
        <v>316</v>
      </c>
      <c r="D29" s="510"/>
      <c r="E29" s="384"/>
      <c r="F29" s="927">
        <f>SUMPRODUCT($AX$3:$AX$6,F30:F33)</f>
        <v>1.0090736399897249</v>
      </c>
      <c r="G29" s="1274"/>
      <c r="H29" s="875"/>
      <c r="I29" s="875"/>
      <c r="J29" s="981"/>
      <c r="K29" s="877"/>
      <c r="L29" s="883">
        <f>SUMPRODUCT('Input data processed products'!$D8:$AE8,'Input data processed products'!D$83:AE$83)</f>
        <v>1.4546061955486309</v>
      </c>
      <c r="M29" s="884">
        <f>L29/(1-'Common input data'!$B$166)</f>
        <v>1.4842920362741132</v>
      </c>
      <c r="N29" s="885">
        <f>M29/(1-'Common input data'!$B$182)</f>
        <v>1.7060828003150728</v>
      </c>
      <c r="O29" s="877"/>
      <c r="P29" s="883">
        <f>SUMPRODUCT('Input data processed products'!$D8:$AE8,'Input data processed products'!D$84:AE$84)</f>
        <v>0.89774188398186583</v>
      </c>
      <c r="Q29" s="884">
        <f>P29/(1-'Common input data'!$B$166)</f>
        <v>0.91606314692027124</v>
      </c>
      <c r="R29" s="885">
        <f>Q29/(1-'Common input data'!$B$182)</f>
        <v>1.0529461458853693</v>
      </c>
      <c r="S29" s="877"/>
      <c r="T29" s="883">
        <f>SUMPRODUCT('Input data processed products'!$D8:$AE8,'Input data processed products'!D$85:AE$85)</f>
        <v>2.8094144006038116E-2</v>
      </c>
      <c r="U29" s="884">
        <f>T29/(1-'Common input data'!$B$166)</f>
        <v>2.8667493883712362E-2</v>
      </c>
      <c r="V29" s="885">
        <f>U29/(1-'Common input data'!$B$182)</f>
        <v>3.2951142395071679E-2</v>
      </c>
      <c r="W29" s="877"/>
      <c r="X29" s="883">
        <f>SUMPRODUCT('Input data processed products'!$D8:$AE8,'Input data processed products'!D$86:AE$86)</f>
        <v>1.2613908872539164E-3</v>
      </c>
      <c r="Y29" s="884">
        <f>X29/(1-'Common input data'!$B$166)</f>
        <v>1.2871335584223637E-3</v>
      </c>
      <c r="Z29" s="885">
        <f>Y29/(1-'Common input data'!$B$182)</f>
        <v>1.4794638602555904E-3</v>
      </c>
      <c r="AA29" s="877"/>
      <c r="AB29" s="883">
        <f>SUMPRODUCT('Input data processed products'!$D8:$AE8,'Input data processed products'!D$87:AE$87)/$AC$2</f>
        <v>2.4252797280778504E-3</v>
      </c>
      <c r="AC29" s="884">
        <f>AB29/(1-'Common input data'!$B$166)</f>
        <v>2.4747752327325006E-3</v>
      </c>
      <c r="AD29" s="885">
        <f>AC29/(1-'Common input data'!$B$182)</f>
        <v>2.8445692330258628E-3</v>
      </c>
      <c r="AE29" s="877"/>
      <c r="AF29" s="883">
        <f>SUMPRODUCT('Input data processed products'!$D8:$AE8,'Input data processed products'!D$88:AE$88)</f>
        <v>6.3286235742159034E-11</v>
      </c>
      <c r="AG29" s="884">
        <f>AF29/(1-'Common input data'!$B$166)</f>
        <v>6.4577791573631669E-11</v>
      </c>
      <c r="AH29" s="885">
        <f>AG29/(1-'Common input data'!$B$182)</f>
        <v>7.4227346636358244E-11</v>
      </c>
      <c r="AI29" s="877"/>
      <c r="AJ29" s="883">
        <f>SUMPRODUCT('Input data processed products'!$D8:$AE8,'Input data processed products'!D$89:AE$89)</f>
        <v>7.7720499933091731E-5</v>
      </c>
      <c r="AK29" s="884">
        <f>AJ29/(1-'Common input data'!$B$166)</f>
        <v>7.9306632584787479E-5</v>
      </c>
      <c r="AL29" s="885">
        <f>AK29/(1-'Common input data'!$B$182)</f>
        <v>9.115704894803159E-5</v>
      </c>
      <c r="AM29" s="877"/>
      <c r="AN29" s="883">
        <f>SUMPRODUCT('Input data processed products'!$D8:$AE8,'Input data processed products'!D$90:AE$90)</f>
        <v>2.0119043131601407E-3</v>
      </c>
      <c r="AO29" s="884">
        <f>AN29/(1-'Common input data'!$B$166)</f>
        <v>2.0529635848572864E-3</v>
      </c>
      <c r="AP29" s="885">
        <f>AO29/(1-'Common input data'!$B$182)</f>
        <v>2.3597282584566512E-3</v>
      </c>
      <c r="AQ29" s="877"/>
      <c r="AR29" s="877"/>
      <c r="AS29" s="877"/>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row>
    <row r="30" spans="1:355" s="95" customFormat="1">
      <c r="A30"/>
      <c r="B30"/>
      <c r="C30" s="174" t="s">
        <v>317</v>
      </c>
      <c r="D30" s="511"/>
      <c r="E30" s="174"/>
      <c r="F30" s="878">
        <f>SUM(G30:J30)/(1-'Common input data'!$B$166)</f>
        <v>0.74555052743979866</v>
      </c>
      <c r="G30" s="928">
        <f>SUMPRODUCT('Input data processed products'!E$8:AC$8,'Input data processed products'!E$80:AC$80)</f>
        <v>0.35063951689100259</v>
      </c>
      <c r="H30" s="877">
        <f>'Input data processed products'!D$101</f>
        <v>0.3</v>
      </c>
      <c r="I30" s="877">
        <f>'Common input data'!B$107</f>
        <v>0.05</v>
      </c>
      <c r="J30" s="886">
        <f>'Common input data'!C$115</f>
        <v>0.03</v>
      </c>
      <c r="K30" s="877"/>
      <c r="L30" s="879"/>
      <c r="M30" s="877"/>
      <c r="N30" s="886"/>
      <c r="O30" s="877"/>
      <c r="P30" s="879"/>
      <c r="Q30" s="877"/>
      <c r="R30" s="886"/>
      <c r="S30" s="877"/>
      <c r="T30" s="879"/>
      <c r="U30" s="877"/>
      <c r="V30" s="886"/>
      <c r="W30" s="877"/>
      <c r="X30" s="879"/>
      <c r="Y30" s="877"/>
      <c r="Z30" s="886"/>
      <c r="AA30" s="877"/>
      <c r="AB30" s="879"/>
      <c r="AC30" s="877"/>
      <c r="AD30" s="886"/>
      <c r="AE30" s="877"/>
      <c r="AF30" s="879"/>
      <c r="AG30" s="877"/>
      <c r="AH30" s="886"/>
      <c r="AI30" s="877"/>
      <c r="AJ30" s="879"/>
      <c r="AK30" s="877"/>
      <c r="AL30" s="886"/>
      <c r="AM30" s="877"/>
      <c r="AN30" s="879"/>
      <c r="AO30" s="877"/>
      <c r="AP30" s="886"/>
      <c r="AQ30" s="877"/>
      <c r="AR30" s="877"/>
      <c r="AS30" s="877"/>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row>
    <row r="31" spans="1:355">
      <c r="A31" s="68"/>
      <c r="B31" s="50"/>
      <c r="C31" s="174" t="s">
        <v>321</v>
      </c>
      <c r="D31" s="511"/>
      <c r="E31" s="174"/>
      <c r="F31" s="878">
        <f>SUM(G31:J31)/(1-'Common input data'!$B$166)</f>
        <v>0</v>
      </c>
      <c r="G31" s="928">
        <v>0</v>
      </c>
      <c r="H31" s="877">
        <v>0</v>
      </c>
      <c r="I31" s="877">
        <v>0</v>
      </c>
      <c r="J31" s="886">
        <v>0</v>
      </c>
      <c r="K31" s="877"/>
      <c r="L31" s="879"/>
      <c r="M31" s="877"/>
      <c r="N31" s="886"/>
      <c r="O31" s="877"/>
      <c r="P31" s="879"/>
      <c r="Q31" s="877"/>
      <c r="R31" s="886"/>
      <c r="S31" s="877"/>
      <c r="T31" s="879"/>
      <c r="U31" s="877"/>
      <c r="V31" s="886"/>
      <c r="W31" s="877"/>
      <c r="X31" s="879"/>
      <c r="Y31" s="877"/>
      <c r="Z31" s="886"/>
      <c r="AA31" s="877"/>
      <c r="AB31" s="879"/>
      <c r="AC31" s="877"/>
      <c r="AD31" s="886"/>
      <c r="AE31" s="877"/>
      <c r="AF31" s="879"/>
      <c r="AG31" s="877"/>
      <c r="AH31" s="886"/>
      <c r="AI31" s="877"/>
      <c r="AJ31" s="879"/>
      <c r="AK31" s="877"/>
      <c r="AL31" s="886"/>
      <c r="AM31" s="877"/>
      <c r="AN31" s="879"/>
      <c r="AO31" s="877"/>
      <c r="AP31" s="886"/>
      <c r="AQ31" s="877"/>
      <c r="AR31" s="877"/>
      <c r="AS31" s="877"/>
    </row>
    <row r="32" spans="1:355">
      <c r="A32" s="68"/>
      <c r="B32" s="50"/>
      <c r="C32" s="174" t="s">
        <v>319</v>
      </c>
      <c r="D32" s="511"/>
      <c r="E32" s="174"/>
      <c r="F32" s="878">
        <f>SUM(G32:J32)/(1-'Common input data'!$B$166)</f>
        <v>7.8989514674554402E-3</v>
      </c>
      <c r="G32" s="928">
        <f>SUMPRODUCT('Input data processed products'!E$8:AC$8,'Input data processed products'!E$81:AC$81)</f>
        <v>7.7409724381063321E-3</v>
      </c>
      <c r="H32" s="877">
        <v>0</v>
      </c>
      <c r="I32" s="877">
        <v>0</v>
      </c>
      <c r="J32" s="886">
        <v>0</v>
      </c>
      <c r="K32" s="877"/>
      <c r="L32" s="879"/>
      <c r="M32" s="877"/>
      <c r="N32" s="886"/>
      <c r="O32" s="877"/>
      <c r="P32" s="879"/>
      <c r="Q32" s="877"/>
      <c r="R32" s="886"/>
      <c r="S32" s="877"/>
      <c r="T32" s="879"/>
      <c r="U32" s="877"/>
      <c r="V32" s="886"/>
      <c r="W32" s="877"/>
      <c r="X32" s="879"/>
      <c r="Y32" s="877"/>
      <c r="Z32" s="886"/>
      <c r="AA32" s="877"/>
      <c r="AB32" s="879"/>
      <c r="AC32" s="877"/>
      <c r="AD32" s="886"/>
      <c r="AE32" s="877"/>
      <c r="AF32" s="879"/>
      <c r="AG32" s="877"/>
      <c r="AH32" s="886"/>
      <c r="AI32" s="877"/>
      <c r="AJ32" s="879"/>
      <c r="AK32" s="877"/>
      <c r="AL32" s="886"/>
      <c r="AM32" s="877"/>
      <c r="AN32" s="879"/>
      <c r="AO32" s="877"/>
      <c r="AP32" s="886"/>
      <c r="AQ32" s="877"/>
      <c r="AR32" s="877"/>
      <c r="AS32" s="877"/>
    </row>
    <row r="33" spans="1:355">
      <c r="A33" s="359"/>
      <c r="B33" s="54"/>
      <c r="C33" s="55" t="s">
        <v>320</v>
      </c>
      <c r="D33" s="514"/>
      <c r="E33" s="56"/>
      <c r="F33" s="933">
        <f>SUM(G33:J33)/(1-'Common input data'!$B$166)</f>
        <v>9.7166541052740594E-4</v>
      </c>
      <c r="G33" s="928">
        <f>SUMPRODUCT('Input data processed products'!E$8:AC$8,'Input data processed products'!E$82:AC$82)</f>
        <v>9.522321023168578E-4</v>
      </c>
      <c r="H33" s="877">
        <v>0</v>
      </c>
      <c r="I33" s="877">
        <v>0</v>
      </c>
      <c r="J33" s="886">
        <v>0</v>
      </c>
      <c r="K33" s="877"/>
      <c r="L33" s="879"/>
      <c r="M33" s="877"/>
      <c r="N33" s="886"/>
      <c r="O33" s="877"/>
      <c r="P33" s="879"/>
      <c r="Q33" s="877"/>
      <c r="R33" s="886"/>
      <c r="S33" s="877"/>
      <c r="T33" s="879"/>
      <c r="U33" s="877"/>
      <c r="V33" s="886"/>
      <c r="W33" s="877"/>
      <c r="X33" s="879"/>
      <c r="Y33" s="877"/>
      <c r="Z33" s="886"/>
      <c r="AA33" s="877"/>
      <c r="AB33" s="879"/>
      <c r="AC33" s="877"/>
      <c r="AD33" s="886"/>
      <c r="AE33" s="877"/>
      <c r="AF33" s="879"/>
      <c r="AG33" s="877"/>
      <c r="AH33" s="886"/>
      <c r="AI33" s="877"/>
      <c r="AJ33" s="879"/>
      <c r="AK33" s="877"/>
      <c r="AL33" s="886"/>
      <c r="AM33" s="877"/>
      <c r="AN33" s="879"/>
      <c r="AO33" s="877"/>
      <c r="AP33" s="886"/>
      <c r="AQ33" s="877"/>
      <c r="AR33" s="877"/>
      <c r="AS33" s="877"/>
    </row>
    <row r="34" spans="1:355" s="515" customFormat="1">
      <c r="A34" s="374" t="s">
        <v>544</v>
      </c>
      <c r="B34" s="376"/>
      <c r="C34" s="377"/>
      <c r="D34" s="507"/>
      <c r="E34" s="462"/>
      <c r="F34" s="870" t="s">
        <v>545</v>
      </c>
      <c r="G34" s="1272"/>
      <c r="H34" s="880"/>
      <c r="I34" s="880"/>
      <c r="J34" s="938"/>
      <c r="K34" s="877"/>
      <c r="L34" s="879"/>
      <c r="M34" s="877"/>
      <c r="N34" s="886"/>
      <c r="O34" s="877"/>
      <c r="P34" s="879"/>
      <c r="Q34" s="877"/>
      <c r="R34" s="886"/>
      <c r="S34" s="877"/>
      <c r="T34" s="879"/>
      <c r="U34" s="877"/>
      <c r="V34" s="886"/>
      <c r="W34" s="877"/>
      <c r="X34" s="879"/>
      <c r="Y34" s="877"/>
      <c r="Z34" s="886"/>
      <c r="AA34" s="877"/>
      <c r="AB34" s="879"/>
      <c r="AC34" s="877"/>
      <c r="AD34" s="886"/>
      <c r="AE34" s="877"/>
      <c r="AF34" s="879"/>
      <c r="AG34" s="877"/>
      <c r="AH34" s="886"/>
      <c r="AI34" s="877"/>
      <c r="AJ34" s="879"/>
      <c r="AK34" s="877"/>
      <c r="AL34" s="886"/>
      <c r="AM34" s="877"/>
      <c r="AN34" s="879"/>
      <c r="AO34" s="877"/>
      <c r="AP34" s="886"/>
      <c r="AQ34" s="877"/>
      <c r="AR34" s="877"/>
      <c r="AS34" s="877"/>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row>
    <row r="35" spans="1:355" s="95" customFormat="1">
      <c r="A35" s="381" t="s">
        <v>122</v>
      </c>
      <c r="B35" s="498">
        <f>'Input data processed products'!C10</f>
        <v>1</v>
      </c>
      <c r="C35" s="384" t="s">
        <v>316</v>
      </c>
      <c r="D35" s="510"/>
      <c r="E35" s="384"/>
      <c r="F35" s="927">
        <f>SUMPRODUCT($AX$3:$AX$6,F36:F39)</f>
        <v>0.95748955993704632</v>
      </c>
      <c r="G35" s="1274"/>
      <c r="H35" s="875"/>
      <c r="I35" s="875"/>
      <c r="J35" s="981"/>
      <c r="K35" s="877"/>
      <c r="L35" s="883">
        <f>SUMPRODUCT('Input data processed products'!$D10:$AE10,'Input data processed products'!D$83:AE$83)</f>
        <v>1.734684825878603</v>
      </c>
      <c r="M35" s="884">
        <f>L35/(1-'Common input data'!$B$166)</f>
        <v>1.7700865570189825</v>
      </c>
      <c r="N35" s="885">
        <f>M35/(1-'Common input data'!$B$182)</f>
        <v>2.0345822494471064</v>
      </c>
      <c r="O35" s="877"/>
      <c r="P35" s="883">
        <f>SUMPRODUCT('Input data processed products'!$D10:$AE10,'Input data processed products'!D$84:AE$84)</f>
        <v>0</v>
      </c>
      <c r="Q35" s="884">
        <f>P35/(1-'Common input data'!$B$166)</f>
        <v>0</v>
      </c>
      <c r="R35" s="885">
        <f>Q35/(1-'Common input data'!$B$182)</f>
        <v>0</v>
      </c>
      <c r="S35" s="877"/>
      <c r="T35" s="883">
        <f>SUMPRODUCT('Input data processed products'!$D10:$AE10,'Input data processed products'!D$85:AE$85)</f>
        <v>1.5426377481954899E-2</v>
      </c>
      <c r="U35" s="884">
        <f>T35/(1-'Common input data'!$B$166)</f>
        <v>1.5741201512198877E-2</v>
      </c>
      <c r="V35" s="885">
        <f>U35/(1-'Common input data'!$B$182)</f>
        <v>1.8093335071492963E-2</v>
      </c>
      <c r="W35" s="877"/>
      <c r="X35" s="883">
        <f>SUMPRODUCT('Input data processed products'!$D10:$AE10,'Input data processed products'!D$86:AE$86)</f>
        <v>2.87749942135254E-3</v>
      </c>
      <c r="Y35" s="884">
        <f>X35/(1-'Common input data'!$B$166)</f>
        <v>2.9362238993393265E-3</v>
      </c>
      <c r="Z35" s="885">
        <f>Y35/(1-'Common input data'!$B$182)</f>
        <v>3.374969999240605E-3</v>
      </c>
      <c r="AA35" s="877"/>
      <c r="AB35" s="883">
        <f>SUMPRODUCT('Input data processed products'!$D10:$AE10,'Input data processed products'!D$87:AE$87)/$AC$2</f>
        <v>6.1185486191356895E-4</v>
      </c>
      <c r="AC35" s="884">
        <f>AB35/(1-'Common input data'!$B$166)</f>
        <v>6.2434169583017239E-4</v>
      </c>
      <c r="AD35" s="885">
        <f>AC35/(1-'Common input data'!$B$182)</f>
        <v>7.1763413313812919E-4</v>
      </c>
      <c r="AE35" s="877"/>
      <c r="AF35" s="883">
        <f>SUMPRODUCT('Input data processed products'!$D10:$AE10,'Input data processed products'!D$88:AE$88)</f>
        <v>4.3513336737792462E-10</v>
      </c>
      <c r="AG35" s="884">
        <f>AF35/(1-'Common input data'!$B$166)</f>
        <v>4.4401364018155573E-10</v>
      </c>
      <c r="AH35" s="885">
        <f>AG35/(1-'Common input data'!$B$182)</f>
        <v>5.1036050595581119E-10</v>
      </c>
      <c r="AI35" s="877"/>
      <c r="AJ35" s="883">
        <f>SUMPRODUCT('Input data processed products'!$D10:$AE10,'Input data processed products'!D$89:AE$89)</f>
        <v>5.1320677337897457E-4</v>
      </c>
      <c r="AK35" s="884">
        <f>AJ35/(1-'Common input data'!$B$166)</f>
        <v>5.2368038099895363E-4</v>
      </c>
      <c r="AL35" s="885">
        <f>AK35/(1-'Common input data'!$B$182)</f>
        <v>6.0193147241259038E-4</v>
      </c>
      <c r="AM35" s="877"/>
      <c r="AN35" s="883">
        <f>SUMPRODUCT('Input data processed products'!$D10:$AE10,'Input data processed products'!D$90:AE$90)</f>
        <v>7.0892369289989098E-4</v>
      </c>
      <c r="AO35" s="884">
        <f>AN35/(1-'Common input data'!$B$166)</f>
        <v>7.2339152336723571E-4</v>
      </c>
      <c r="AP35" s="885">
        <f>AO35/(1-'Common input data'!$B$182)</f>
        <v>8.3148450961751232E-4</v>
      </c>
      <c r="AQ35" s="877"/>
      <c r="AR35" s="877"/>
      <c r="AS35" s="877"/>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row>
    <row r="36" spans="1:355">
      <c r="C36" s="174" t="s">
        <v>317</v>
      </c>
      <c r="D36" s="511"/>
      <c r="E36" s="174"/>
      <c r="F36" s="878">
        <f>SUM(G36:J36)/(1-'Common input data'!$B$166)</f>
        <v>0.76146092904671869</v>
      </c>
      <c r="G36" s="928">
        <f>SUMPRODUCT('Input data processed products'!E$10:AC$10,'Input data processed products'!E$80:AC$80)</f>
        <v>0.36623171046578418</v>
      </c>
      <c r="H36" s="877">
        <f>'Input data processed products'!D$101</f>
        <v>0.3</v>
      </c>
      <c r="I36" s="877">
        <f>'Common input data'!B$107</f>
        <v>0.05</v>
      </c>
      <c r="J36" s="886">
        <f>'Common input data'!C$115</f>
        <v>0.03</v>
      </c>
      <c r="K36" s="877"/>
      <c r="L36" s="879"/>
      <c r="M36" s="877"/>
      <c r="N36" s="886"/>
      <c r="O36" s="877"/>
      <c r="P36" s="879"/>
      <c r="Q36" s="877"/>
      <c r="R36" s="886"/>
      <c r="S36" s="877"/>
      <c r="T36" s="879"/>
      <c r="U36" s="877"/>
      <c r="V36" s="886"/>
      <c r="W36" s="877"/>
      <c r="X36" s="879"/>
      <c r="Y36" s="877"/>
      <c r="Z36" s="886"/>
      <c r="AA36" s="877"/>
      <c r="AB36" s="879"/>
      <c r="AC36" s="877"/>
      <c r="AD36" s="886"/>
      <c r="AE36" s="877"/>
      <c r="AF36" s="879"/>
      <c r="AG36" s="877"/>
      <c r="AH36" s="886"/>
      <c r="AI36" s="877"/>
      <c r="AJ36" s="879"/>
      <c r="AK36" s="877"/>
      <c r="AL36" s="886"/>
      <c r="AM36" s="877"/>
      <c r="AN36" s="879"/>
      <c r="AO36" s="877"/>
      <c r="AP36" s="886"/>
      <c r="AQ36" s="877"/>
      <c r="AR36" s="877"/>
      <c r="AS36" s="877"/>
    </row>
    <row r="37" spans="1:355">
      <c r="A37" s="68"/>
      <c r="B37" s="50"/>
      <c r="C37" s="174" t="s">
        <v>321</v>
      </c>
      <c r="D37" s="511"/>
      <c r="E37" s="174"/>
      <c r="F37" s="878">
        <f>SUM(G37:J37)/(1-'Common input data'!$B$166)</f>
        <v>0</v>
      </c>
      <c r="G37" s="928">
        <v>0</v>
      </c>
      <c r="H37" s="877">
        <v>0</v>
      </c>
      <c r="I37" s="877">
        <v>0</v>
      </c>
      <c r="J37" s="886">
        <v>0</v>
      </c>
      <c r="K37" s="877"/>
      <c r="L37" s="879"/>
      <c r="M37" s="877"/>
      <c r="N37" s="886"/>
      <c r="O37" s="877"/>
      <c r="P37" s="879"/>
      <c r="Q37" s="877"/>
      <c r="R37" s="886"/>
      <c r="S37" s="877"/>
      <c r="T37" s="879"/>
      <c r="U37" s="877"/>
      <c r="V37" s="886"/>
      <c r="W37" s="877"/>
      <c r="X37" s="879"/>
      <c r="Y37" s="877"/>
      <c r="Z37" s="886"/>
      <c r="AA37" s="877"/>
      <c r="AB37" s="879"/>
      <c r="AC37" s="877"/>
      <c r="AD37" s="886"/>
      <c r="AE37" s="877"/>
      <c r="AF37" s="879"/>
      <c r="AG37" s="877"/>
      <c r="AH37" s="886"/>
      <c r="AI37" s="877"/>
      <c r="AJ37" s="879"/>
      <c r="AK37" s="877"/>
      <c r="AL37" s="886"/>
      <c r="AM37" s="877"/>
      <c r="AN37" s="879"/>
      <c r="AO37" s="877"/>
      <c r="AP37" s="886"/>
      <c r="AQ37" s="877"/>
      <c r="AR37" s="877"/>
      <c r="AS37" s="877"/>
    </row>
    <row r="38" spans="1:355">
      <c r="A38" s="68"/>
      <c r="B38" s="50"/>
      <c r="C38" s="174" t="s">
        <v>319</v>
      </c>
      <c r="D38" s="511"/>
      <c r="E38" s="174"/>
      <c r="F38" s="878">
        <f>SUM(G38:J38)/(1-'Common input data'!$B$166)</f>
        <v>1.0091931399119668E-3</v>
      </c>
      <c r="G38" s="928">
        <f>SUMPRODUCT('Input data processed products'!E$10:AC$10,'Input data processed products'!E$81:AC$81)</f>
        <v>9.8900927711372748E-4</v>
      </c>
      <c r="H38" s="877">
        <v>0</v>
      </c>
      <c r="I38" s="877">
        <v>0</v>
      </c>
      <c r="J38" s="886">
        <v>0</v>
      </c>
      <c r="K38" s="877"/>
      <c r="L38" s="879"/>
      <c r="M38" s="877"/>
      <c r="N38" s="886"/>
      <c r="O38" s="877"/>
      <c r="P38" s="879"/>
      <c r="Q38" s="877"/>
      <c r="R38" s="886"/>
      <c r="S38" s="877"/>
      <c r="T38" s="879"/>
      <c r="U38" s="877"/>
      <c r="V38" s="886"/>
      <c r="W38" s="877"/>
      <c r="X38" s="879"/>
      <c r="Y38" s="877"/>
      <c r="Z38" s="886"/>
      <c r="AA38" s="877"/>
      <c r="AB38" s="879"/>
      <c r="AC38" s="877"/>
      <c r="AD38" s="886"/>
      <c r="AE38" s="877"/>
      <c r="AF38" s="879"/>
      <c r="AG38" s="877"/>
      <c r="AH38" s="886"/>
      <c r="AI38" s="877"/>
      <c r="AJ38" s="879"/>
      <c r="AK38" s="877"/>
      <c r="AL38" s="886"/>
      <c r="AM38" s="877"/>
      <c r="AN38" s="879"/>
      <c r="AO38" s="877"/>
      <c r="AP38" s="886"/>
      <c r="AQ38" s="877"/>
      <c r="AR38" s="877"/>
      <c r="AS38" s="877"/>
    </row>
    <row r="39" spans="1:355" s="515" customFormat="1">
      <c r="A39" s="359"/>
      <c r="B39" s="54"/>
      <c r="C39" s="55" t="s">
        <v>320</v>
      </c>
      <c r="D39" s="514"/>
      <c r="E39" s="56"/>
      <c r="F39" s="933">
        <f>SUM(G39:J39)/(1-'Common input data'!$B$166)</f>
        <v>8.2096748125640075E-4</v>
      </c>
      <c r="G39" s="928">
        <f>SUMPRODUCT('Input data processed products'!E$10:AC$10,'Input data processed products'!E$82:AC$82)</f>
        <v>8.045481316312727E-4</v>
      </c>
      <c r="H39" s="877">
        <v>0</v>
      </c>
      <c r="I39" s="877">
        <v>0</v>
      </c>
      <c r="J39" s="886">
        <v>0</v>
      </c>
      <c r="K39" s="877"/>
      <c r="L39" s="879"/>
      <c r="M39" s="877"/>
      <c r="N39" s="886"/>
      <c r="O39" s="877"/>
      <c r="P39" s="879"/>
      <c r="Q39" s="877"/>
      <c r="R39" s="886"/>
      <c r="S39" s="877"/>
      <c r="T39" s="879"/>
      <c r="U39" s="877"/>
      <c r="V39" s="886"/>
      <c r="W39" s="877"/>
      <c r="X39" s="879"/>
      <c r="Y39" s="877"/>
      <c r="Z39" s="886"/>
      <c r="AA39" s="877"/>
      <c r="AB39" s="879"/>
      <c r="AC39" s="877"/>
      <c r="AD39" s="886"/>
      <c r="AE39" s="877"/>
      <c r="AF39" s="879"/>
      <c r="AG39" s="877"/>
      <c r="AH39" s="886"/>
      <c r="AI39" s="877"/>
      <c r="AJ39" s="879"/>
      <c r="AK39" s="877"/>
      <c r="AL39" s="886"/>
      <c r="AM39" s="877"/>
      <c r="AN39" s="879"/>
      <c r="AO39" s="877"/>
      <c r="AP39" s="886"/>
      <c r="AQ39" s="877"/>
      <c r="AR39" s="877"/>
      <c r="AS39" s="877"/>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row>
    <row r="40" spans="1:355" s="95" customFormat="1">
      <c r="A40" s="374" t="s">
        <v>546</v>
      </c>
      <c r="B40" s="376"/>
      <c r="C40" s="377"/>
      <c r="D40" s="507"/>
      <c r="E40" s="462"/>
      <c r="F40" s="870" t="s">
        <v>547</v>
      </c>
      <c r="G40" s="1272"/>
      <c r="H40" s="880"/>
      <c r="I40" s="880"/>
      <c r="J40" s="938"/>
      <c r="K40" s="877"/>
      <c r="L40" s="879"/>
      <c r="M40" s="877"/>
      <c r="N40" s="886"/>
      <c r="O40" s="877"/>
      <c r="P40" s="879"/>
      <c r="Q40" s="877"/>
      <c r="R40" s="886"/>
      <c r="S40" s="877"/>
      <c r="T40" s="879"/>
      <c r="U40" s="877"/>
      <c r="V40" s="886"/>
      <c r="W40" s="877"/>
      <c r="X40" s="879"/>
      <c r="Y40" s="877"/>
      <c r="Z40" s="886"/>
      <c r="AA40" s="877"/>
      <c r="AB40" s="879"/>
      <c r="AC40" s="877"/>
      <c r="AD40" s="886"/>
      <c r="AE40" s="877"/>
      <c r="AF40" s="879"/>
      <c r="AG40" s="877"/>
      <c r="AH40" s="886"/>
      <c r="AI40" s="877"/>
      <c r="AJ40" s="879"/>
      <c r="AK40" s="877"/>
      <c r="AL40" s="886"/>
      <c r="AM40" s="877"/>
      <c r="AN40" s="879"/>
      <c r="AO40" s="877"/>
      <c r="AP40" s="886"/>
      <c r="AQ40" s="877"/>
      <c r="AR40" s="877"/>
      <c r="AS40" s="877"/>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row>
    <row r="41" spans="1:355">
      <c r="A41" s="381" t="s">
        <v>122</v>
      </c>
      <c r="B41" s="498">
        <f>'Input data processed products'!C12</f>
        <v>1</v>
      </c>
      <c r="C41" s="384" t="s">
        <v>316</v>
      </c>
      <c r="D41" s="510"/>
      <c r="E41" s="384"/>
      <c r="F41" s="927">
        <f>SUMPRODUCT($AX$3:$AX$6,F42:F45)</f>
        <v>1.2109432852274071</v>
      </c>
      <c r="G41" s="1274"/>
      <c r="H41" s="875"/>
      <c r="I41" s="875"/>
      <c r="J41" s="981"/>
      <c r="K41" s="877"/>
      <c r="L41" s="883">
        <f>SUMPRODUCT('Input data processed products'!$D12:$AE12,'Input data processed products'!D$83:AE$83)</f>
        <v>1.4279590154321473</v>
      </c>
      <c r="M41" s="884">
        <f>L41/(1-'Common input data'!$B$166)</f>
        <v>1.4571010361552523</v>
      </c>
      <c r="N41" s="885">
        <f>M41/(1-'Common input data'!$B$182)</f>
        <v>1.6748287771899453</v>
      </c>
      <c r="O41" s="877"/>
      <c r="P41" s="883">
        <f>SUMPRODUCT('Input data processed products'!$D12:$AE12,'Input data processed products'!D$84:AE$84)</f>
        <v>0</v>
      </c>
      <c r="Q41" s="884">
        <f>P41/(1-'Common input data'!$B$166)</f>
        <v>0</v>
      </c>
      <c r="R41" s="885">
        <f>Q41/(1-'Common input data'!$B$182)</f>
        <v>0</v>
      </c>
      <c r="S41" s="877"/>
      <c r="T41" s="883">
        <f>SUMPRODUCT('Input data processed products'!$D12:$AE12,'Input data processed products'!D$85:AE$85)</f>
        <v>1.7995630877616083E-2</v>
      </c>
      <c r="U41" s="884">
        <f>T41/(1-'Common input data'!$B$166)</f>
        <v>1.8362888650628656E-2</v>
      </c>
      <c r="V41" s="885">
        <f>U41/(1-'Common input data'!$B$182)</f>
        <v>2.1106768563940986E-2</v>
      </c>
      <c r="W41" s="877"/>
      <c r="X41" s="883">
        <f>SUMPRODUCT('Input data processed products'!$D12:$AE12,'Input data processed products'!D$86:AE$86)</f>
        <v>1.8488940393660348E-3</v>
      </c>
      <c r="Y41" s="884">
        <f>X41/(1-'Common input data'!$B$166)</f>
        <v>1.8866265707816682E-3</v>
      </c>
      <c r="Z41" s="885">
        <f>Y41/(1-'Common input data'!$B$182)</f>
        <v>2.1685362882547911E-3</v>
      </c>
      <c r="AA41" s="877"/>
      <c r="AB41" s="883">
        <f>SUMPRODUCT('Input data processed products'!$D12:$AE12,'Input data processed products'!D$87:AE$87)/$AC$2</f>
        <v>1.3717873039424729E-2</v>
      </c>
      <c r="AC41" s="884">
        <f>AB41/(1-'Common input data'!$B$166)</f>
        <v>1.399782963206605E-2</v>
      </c>
      <c r="AD41" s="885">
        <f>AC41/(1-'Common input data'!$B$182)</f>
        <v>1.6089459347202358E-2</v>
      </c>
      <c r="AE41" s="877"/>
      <c r="AF41" s="883">
        <f>SUMPRODUCT('Input data processed products'!$D12:$AE12,'Input data processed products'!D$88:AE$88)</f>
        <v>3.0194008147707268E-10</v>
      </c>
      <c r="AG41" s="884">
        <f>AF41/(1-'Common input data'!$B$166)</f>
        <v>3.0810212395619661E-10</v>
      </c>
      <c r="AH41" s="885">
        <f>AG41/(1-'Common input data'!$B$182)</f>
        <v>3.5414037236344441E-10</v>
      </c>
      <c r="AI41" s="877"/>
      <c r="AJ41" s="883">
        <f>SUMPRODUCT('Input data processed products'!$D12:$AE12,'Input data processed products'!D$89:AE$89)</f>
        <v>1.4374948669970493E-4</v>
      </c>
      <c r="AK41" s="884">
        <f>AJ41/(1-'Common input data'!$B$166)</f>
        <v>1.4668314969357645E-4</v>
      </c>
      <c r="AL41" s="885">
        <f>AK41/(1-'Common input data'!$B$182)</f>
        <v>1.6860132148686948E-4</v>
      </c>
      <c r="AM41" s="877"/>
      <c r="AN41" s="883">
        <f>SUMPRODUCT('Input data processed products'!$D12:$AE12,'Input data processed products'!D$90:AE$90)</f>
        <v>6.4612076482798895E-4</v>
      </c>
      <c r="AO41" s="884">
        <f>AN41/(1-'Common input data'!$B$166)</f>
        <v>6.5930690288570307E-4</v>
      </c>
      <c r="AP41" s="885">
        <f>AO41/(1-'Common input data'!$B$182)</f>
        <v>7.5782402630540581E-4</v>
      </c>
      <c r="AQ41" s="877"/>
      <c r="AR41" s="877"/>
      <c r="AS41" s="877"/>
    </row>
    <row r="42" spans="1:355">
      <c r="C42" s="174" t="s">
        <v>317</v>
      </c>
      <c r="D42" s="511"/>
      <c r="E42" s="174"/>
      <c r="F42" s="878">
        <f>SUM(G42:J42)/(1-'Common input data'!$B$166)</f>
        <v>0.94012727395716933</v>
      </c>
      <c r="G42" s="928">
        <f>SUMPRODUCT('Input data processed products'!E$12:AC$12,'Input data processed products'!E$80:AC$80)</f>
        <v>0.54132472847802582</v>
      </c>
      <c r="H42" s="877">
        <f>'Input data processed products'!D$101</f>
        <v>0.3</v>
      </c>
      <c r="I42" s="877">
        <f>'Common input data'!B$107</f>
        <v>0.05</v>
      </c>
      <c r="J42" s="886">
        <f>'Common input data'!C$115</f>
        <v>0.03</v>
      </c>
      <c r="K42" s="877"/>
      <c r="L42" s="879"/>
      <c r="M42" s="877"/>
      <c r="N42" s="886"/>
      <c r="O42" s="877"/>
      <c r="P42" s="879"/>
      <c r="Q42" s="877"/>
      <c r="R42" s="886"/>
      <c r="S42" s="877"/>
      <c r="T42" s="879"/>
      <c r="U42" s="877"/>
      <c r="V42" s="886"/>
      <c r="W42" s="877"/>
      <c r="X42" s="879"/>
      <c r="Y42" s="877"/>
      <c r="Z42" s="886"/>
      <c r="AA42" s="877"/>
      <c r="AB42" s="879"/>
      <c r="AC42" s="877"/>
      <c r="AD42" s="886"/>
      <c r="AE42" s="877"/>
      <c r="AF42" s="879"/>
      <c r="AG42" s="877"/>
      <c r="AH42" s="886"/>
      <c r="AI42" s="877"/>
      <c r="AJ42" s="879"/>
      <c r="AK42" s="877"/>
      <c r="AL42" s="886"/>
      <c r="AM42" s="877"/>
      <c r="AN42" s="879"/>
      <c r="AO42" s="877"/>
      <c r="AP42" s="886"/>
      <c r="AQ42" s="877"/>
      <c r="AR42" s="877"/>
      <c r="AS42" s="877"/>
    </row>
    <row r="43" spans="1:355">
      <c r="A43" s="68"/>
      <c r="B43" s="50"/>
      <c r="C43" s="174" t="s">
        <v>321</v>
      </c>
      <c r="D43" s="511"/>
      <c r="E43" s="174"/>
      <c r="F43" s="878">
        <f>SUM(G43:J43)/(1-'Common input data'!$B$166)</f>
        <v>0</v>
      </c>
      <c r="G43" s="928">
        <v>0</v>
      </c>
      <c r="H43" s="877">
        <v>0</v>
      </c>
      <c r="I43" s="877">
        <v>0</v>
      </c>
      <c r="J43" s="886">
        <v>0</v>
      </c>
      <c r="K43" s="877"/>
      <c r="L43" s="879"/>
      <c r="M43" s="877"/>
      <c r="N43" s="886"/>
      <c r="O43" s="877"/>
      <c r="P43" s="879"/>
      <c r="Q43" s="877"/>
      <c r="R43" s="886"/>
      <c r="S43" s="877"/>
      <c r="T43" s="879"/>
      <c r="U43" s="877"/>
      <c r="V43" s="886"/>
      <c r="W43" s="877"/>
      <c r="X43" s="879"/>
      <c r="Y43" s="877"/>
      <c r="Z43" s="886"/>
      <c r="AA43" s="877"/>
      <c r="AB43" s="879"/>
      <c r="AC43" s="877"/>
      <c r="AD43" s="886"/>
      <c r="AE43" s="877"/>
      <c r="AF43" s="879"/>
      <c r="AG43" s="877"/>
      <c r="AH43" s="886"/>
      <c r="AI43" s="877"/>
      <c r="AJ43" s="879"/>
      <c r="AK43" s="877"/>
      <c r="AL43" s="886"/>
      <c r="AM43" s="877"/>
      <c r="AN43" s="879"/>
      <c r="AO43" s="877"/>
      <c r="AP43" s="886"/>
      <c r="AQ43" s="877"/>
      <c r="AR43" s="877"/>
      <c r="AS43" s="877"/>
    </row>
    <row r="44" spans="1:355" s="515" customFormat="1">
      <c r="A44" s="68"/>
      <c r="B44" s="50"/>
      <c r="C44" s="174" t="s">
        <v>319</v>
      </c>
      <c r="D44" s="511"/>
      <c r="E44" s="174"/>
      <c r="F44" s="878">
        <v>0</v>
      </c>
      <c r="G44" s="928">
        <f>SUMPRODUCT('Input data processed products'!E$12:AC$12,'Input data processed products'!E$81:AC$81)</f>
        <v>2.3281881772559904E-3</v>
      </c>
      <c r="H44" s="877">
        <v>0</v>
      </c>
      <c r="I44" s="877">
        <v>0</v>
      </c>
      <c r="J44" s="886">
        <v>0</v>
      </c>
      <c r="K44" s="877"/>
      <c r="L44" s="879"/>
      <c r="M44" s="877"/>
      <c r="N44" s="886"/>
      <c r="O44" s="877"/>
      <c r="P44" s="879"/>
      <c r="Q44" s="877"/>
      <c r="R44" s="886"/>
      <c r="S44" s="877"/>
      <c r="T44" s="879"/>
      <c r="U44" s="877"/>
      <c r="V44" s="886"/>
      <c r="W44" s="877"/>
      <c r="X44" s="879"/>
      <c r="Y44" s="877"/>
      <c r="Z44" s="886"/>
      <c r="AA44" s="877"/>
      <c r="AB44" s="879"/>
      <c r="AC44" s="877"/>
      <c r="AD44" s="886"/>
      <c r="AE44" s="877"/>
      <c r="AF44" s="879"/>
      <c r="AG44" s="877"/>
      <c r="AH44" s="886"/>
      <c r="AI44" s="877"/>
      <c r="AJ44" s="879"/>
      <c r="AK44" s="877"/>
      <c r="AL44" s="886"/>
      <c r="AM44" s="877"/>
      <c r="AN44" s="879"/>
      <c r="AO44" s="877"/>
      <c r="AP44" s="886"/>
      <c r="AQ44" s="877"/>
      <c r="AR44" s="877"/>
      <c r="AS44" s="877"/>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row>
    <row r="45" spans="1:355" s="95" customFormat="1">
      <c r="A45" s="359"/>
      <c r="B45" s="54"/>
      <c r="C45" s="55" t="s">
        <v>320</v>
      </c>
      <c r="D45" s="514"/>
      <c r="E45" s="56"/>
      <c r="F45" s="933">
        <f>SUM(G45:J45)/(1-'Common input data'!$B$166)</f>
        <v>1.162300477554669E-3</v>
      </c>
      <c r="G45" s="928">
        <f>SUMPRODUCT('Input data processed products'!E$12:AC$12,'Input data processed products'!E$82:AC$82)</f>
        <v>1.1390544680035756E-3</v>
      </c>
      <c r="H45" s="877">
        <v>0</v>
      </c>
      <c r="I45" s="877">
        <v>0</v>
      </c>
      <c r="J45" s="886">
        <v>0</v>
      </c>
      <c r="K45" s="877"/>
      <c r="L45" s="879"/>
      <c r="M45" s="877"/>
      <c r="N45" s="886"/>
      <c r="O45" s="877"/>
      <c r="P45" s="879"/>
      <c r="Q45" s="877"/>
      <c r="R45" s="886"/>
      <c r="S45" s="877"/>
      <c r="T45" s="879"/>
      <c r="U45" s="877"/>
      <c r="V45" s="886"/>
      <c r="W45" s="877"/>
      <c r="X45" s="879"/>
      <c r="Y45" s="877"/>
      <c r="Z45" s="886"/>
      <c r="AA45" s="877"/>
      <c r="AB45" s="879"/>
      <c r="AC45" s="877"/>
      <c r="AD45" s="886"/>
      <c r="AE45" s="877"/>
      <c r="AF45" s="879"/>
      <c r="AG45" s="877"/>
      <c r="AH45" s="886"/>
      <c r="AI45" s="877"/>
      <c r="AJ45" s="879"/>
      <c r="AK45" s="877"/>
      <c r="AL45" s="886"/>
      <c r="AM45" s="877"/>
      <c r="AN45" s="879"/>
      <c r="AO45" s="877"/>
      <c r="AP45" s="886"/>
      <c r="AQ45" s="877"/>
      <c r="AR45" s="877"/>
      <c r="AS45" s="877"/>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row>
    <row r="46" spans="1:355">
      <c r="A46" s="374" t="s">
        <v>548</v>
      </c>
      <c r="B46" s="376"/>
      <c r="C46" s="377"/>
      <c r="D46" s="507"/>
      <c r="E46" s="462"/>
      <c r="F46" s="870" t="s">
        <v>549</v>
      </c>
      <c r="G46" s="1272"/>
      <c r="H46" s="880"/>
      <c r="I46" s="880"/>
      <c r="J46" s="938"/>
      <c r="K46" s="877"/>
      <c r="L46" s="879"/>
      <c r="M46" s="877"/>
      <c r="N46" s="886"/>
      <c r="O46" s="877"/>
      <c r="P46" s="879"/>
      <c r="Q46" s="877"/>
      <c r="R46" s="886"/>
      <c r="S46" s="877"/>
      <c r="T46" s="879"/>
      <c r="U46" s="877"/>
      <c r="V46" s="886"/>
      <c r="W46" s="877"/>
      <c r="X46" s="879"/>
      <c r="Y46" s="877"/>
      <c r="Z46" s="886"/>
      <c r="AA46" s="877"/>
      <c r="AB46" s="879"/>
      <c r="AC46" s="877"/>
      <c r="AD46" s="886"/>
      <c r="AE46" s="877"/>
      <c r="AF46" s="879"/>
      <c r="AG46" s="877"/>
      <c r="AH46" s="886"/>
      <c r="AI46" s="877"/>
      <c r="AJ46" s="879"/>
      <c r="AK46" s="877"/>
      <c r="AL46" s="886"/>
      <c r="AM46" s="877"/>
      <c r="AN46" s="879"/>
      <c r="AO46" s="877"/>
      <c r="AP46" s="886"/>
      <c r="AQ46" s="877"/>
      <c r="AR46" s="877"/>
      <c r="AS46" s="877"/>
    </row>
    <row r="47" spans="1:355">
      <c r="A47" s="381" t="s">
        <v>122</v>
      </c>
      <c r="B47" s="498">
        <f>'Input data processed products'!C14</f>
        <v>1</v>
      </c>
      <c r="C47" s="384" t="s">
        <v>316</v>
      </c>
      <c r="D47" s="510"/>
      <c r="E47" s="384"/>
      <c r="F47" s="927">
        <f>SUMPRODUCT($AX$3:$AX$6,F48:F51)</f>
        <v>1.2310871779484232</v>
      </c>
      <c r="G47" s="1274"/>
      <c r="H47" s="875"/>
      <c r="I47" s="875"/>
      <c r="J47" s="981"/>
      <c r="K47" s="877"/>
      <c r="L47" s="883">
        <f>SUMPRODUCT('Input data processed products'!$D14:$AE14,'Input data processed products'!D$83:AE$83)</f>
        <v>1.2384774918242312</v>
      </c>
      <c r="M47" s="884">
        <f>L47/(1-'Common input data'!$B$166)</f>
        <v>1.2637525426777869</v>
      </c>
      <c r="N47" s="885">
        <f>M47/(1-'Common input data'!$B$182)</f>
        <v>1.4525891295146975</v>
      </c>
      <c r="O47" s="877"/>
      <c r="P47" s="883">
        <f>SUMPRODUCT('Input data processed products'!$D14:$AE14,'Input data processed products'!D$84:AE$84)</f>
        <v>0</v>
      </c>
      <c r="Q47" s="884">
        <f>P47/(1-'Common input data'!$B$166)</f>
        <v>0</v>
      </c>
      <c r="R47" s="885">
        <f>Q47/(1-'Common input data'!$B$182)</f>
        <v>0</v>
      </c>
      <c r="S47" s="877"/>
      <c r="T47" s="883">
        <f>SUMPRODUCT('Input data processed products'!$D14:$AE14,'Input data processed products'!D$85:AE$85)</f>
        <v>1.7663327752579987E-2</v>
      </c>
      <c r="U47" s="884">
        <f>T47/(1-'Common input data'!$B$166)</f>
        <v>1.8023803829163253E-2</v>
      </c>
      <c r="V47" s="885">
        <f>U47/(1-'Common input data'!$B$182)</f>
        <v>2.0717015895589948E-2</v>
      </c>
      <c r="W47" s="877"/>
      <c r="X47" s="883">
        <f>SUMPRODUCT('Input data processed products'!$D14:$AE14,'Input data processed products'!D$86:AE$86)</f>
        <v>1.0939083993773892E-3</v>
      </c>
      <c r="Y47" s="884">
        <f>X47/(1-'Common input data'!$B$166)</f>
        <v>1.1162330605891727E-3</v>
      </c>
      <c r="Z47" s="885">
        <f>Y47/(1-'Common input data'!$B$182)</f>
        <v>1.2830265064243363E-3</v>
      </c>
      <c r="AA47" s="877"/>
      <c r="AB47" s="883">
        <f>SUMPRODUCT('Input data processed products'!$D14:$AE14,'Input data processed products'!D$87:AE$87)/$AC$2</f>
        <v>2.1424404491811718E-4</v>
      </c>
      <c r="AC47" s="884">
        <f>AB47/(1-'Common input data'!$B$166)</f>
        <v>2.1861637236542569E-4</v>
      </c>
      <c r="AD47" s="885">
        <f>AC47/(1-'Common input data'!$B$182)</f>
        <v>2.5128318662692608E-4</v>
      </c>
      <c r="AE47" s="877"/>
      <c r="AF47" s="883">
        <f>SUMPRODUCT('Input data processed products'!$D14:$AE14,'Input data processed products'!D$88:AE$88)</f>
        <v>8.7608598218253214E-12</v>
      </c>
      <c r="AG47" s="884">
        <f>AF47/(1-'Common input data'!$B$166)</f>
        <v>8.9396528794135928E-12</v>
      </c>
      <c r="AH47" s="885">
        <f>AG47/(1-'Common input data'!$B$182)</f>
        <v>1.0275463079785739E-11</v>
      </c>
      <c r="AI47" s="877"/>
      <c r="AJ47" s="883">
        <f>SUMPRODUCT('Input data processed products'!$D14:$AE14,'Input data processed products'!D$89:AE$89)</f>
        <v>8.0770757021066277E-5</v>
      </c>
      <c r="AK47" s="884">
        <f>AJ47/(1-'Common input data'!$B$166)</f>
        <v>8.2419139817414575E-5</v>
      </c>
      <c r="AL47" s="885">
        <f>AK47/(1-'Common input data'!$B$182)</f>
        <v>9.4734643468292611E-5</v>
      </c>
      <c r="AM47" s="877"/>
      <c r="AN47" s="883">
        <f>SUMPRODUCT('Input data processed products'!$D14:$AE14,'Input data processed products'!D$90:AE$90)</f>
        <v>9.2165522462739043E-4</v>
      </c>
      <c r="AO47" s="884">
        <f>AN47/(1-'Common input data'!$B$166)</f>
        <v>9.4046451492590857E-4</v>
      </c>
      <c r="AP47" s="885">
        <f>AO47/(1-'Common input data'!$B$182)</f>
        <v>1.0809936953171363E-3</v>
      </c>
      <c r="AQ47" s="877"/>
      <c r="AR47" s="877"/>
      <c r="AS47" s="877"/>
    </row>
    <row r="48" spans="1:355">
      <c r="C48" s="174" t="s">
        <v>317</v>
      </c>
      <c r="D48" s="511"/>
      <c r="E48" s="174"/>
      <c r="F48" s="878">
        <f>SUM(G48:J48)/(1-'Common input data'!$B$166)</f>
        <v>0.94496669100261543</v>
      </c>
      <c r="G48" s="928">
        <f>SUMPRODUCT('Input data processed products'!E$14:AC$14,'Input data processed products'!E$80:AC$80)</f>
        <v>0.54606735718256294</v>
      </c>
      <c r="H48" s="877">
        <f>'Input data processed products'!D$101</f>
        <v>0.3</v>
      </c>
      <c r="I48" s="877">
        <f>'Common input data'!B$107</f>
        <v>0.05</v>
      </c>
      <c r="J48" s="886">
        <f>'Common input data'!C$115</f>
        <v>0.03</v>
      </c>
      <c r="K48" s="877"/>
      <c r="L48" s="879"/>
      <c r="M48" s="877"/>
      <c r="N48" s="886"/>
      <c r="O48" s="877"/>
      <c r="P48" s="879"/>
      <c r="Q48" s="877"/>
      <c r="R48" s="886"/>
      <c r="S48" s="877"/>
      <c r="T48" s="879"/>
      <c r="U48" s="877"/>
      <c r="V48" s="886"/>
      <c r="W48" s="877"/>
      <c r="X48" s="879"/>
      <c r="Y48" s="877"/>
      <c r="Z48" s="886"/>
      <c r="AA48" s="877"/>
      <c r="AB48" s="879"/>
      <c r="AC48" s="877"/>
      <c r="AD48" s="886"/>
      <c r="AE48" s="877"/>
      <c r="AF48" s="879"/>
      <c r="AG48" s="877"/>
      <c r="AH48" s="886"/>
      <c r="AI48" s="877"/>
      <c r="AJ48" s="879"/>
      <c r="AK48" s="877"/>
      <c r="AL48" s="886"/>
      <c r="AM48" s="877"/>
      <c r="AN48" s="879"/>
      <c r="AO48" s="877"/>
      <c r="AP48" s="886"/>
      <c r="AQ48" s="877"/>
      <c r="AR48" s="877"/>
      <c r="AS48" s="877"/>
    </row>
    <row r="49" spans="1:355" s="515" customFormat="1">
      <c r="A49" s="68"/>
      <c r="B49" s="50"/>
      <c r="C49" s="174" t="s">
        <v>321</v>
      </c>
      <c r="D49" s="511"/>
      <c r="E49" s="174"/>
      <c r="F49" s="878">
        <f>SUM(G49:J49)/(1-'Common input data'!$B$166)</f>
        <v>0</v>
      </c>
      <c r="G49" s="928">
        <v>0</v>
      </c>
      <c r="H49" s="877">
        <v>0</v>
      </c>
      <c r="I49" s="877">
        <v>0</v>
      </c>
      <c r="J49" s="886">
        <v>0</v>
      </c>
      <c r="K49" s="877"/>
      <c r="L49" s="879"/>
      <c r="M49" s="877"/>
      <c r="N49" s="886"/>
      <c r="O49" s="877"/>
      <c r="P49" s="879"/>
      <c r="Q49" s="877"/>
      <c r="R49" s="886"/>
      <c r="S49" s="877"/>
      <c r="T49" s="879"/>
      <c r="U49" s="877"/>
      <c r="V49" s="886"/>
      <c r="W49" s="877"/>
      <c r="X49" s="879"/>
      <c r="Y49" s="877"/>
      <c r="Z49" s="886"/>
      <c r="AA49" s="877"/>
      <c r="AB49" s="879"/>
      <c r="AC49" s="877"/>
      <c r="AD49" s="886"/>
      <c r="AE49" s="877"/>
      <c r="AF49" s="879"/>
      <c r="AG49" s="877"/>
      <c r="AH49" s="886"/>
      <c r="AI49" s="877"/>
      <c r="AJ49" s="879"/>
      <c r="AK49" s="877"/>
      <c r="AL49" s="886"/>
      <c r="AM49" s="877"/>
      <c r="AN49" s="879"/>
      <c r="AO49" s="877"/>
      <c r="AP49" s="886"/>
      <c r="AQ49" s="877"/>
      <c r="AR49" s="877"/>
      <c r="AS49" s="877"/>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row>
    <row r="50" spans="1:355" s="95" customFormat="1">
      <c r="A50" s="68"/>
      <c r="B50" s="50"/>
      <c r="C50" s="174" t="s">
        <v>319</v>
      </c>
      <c r="D50" s="511"/>
      <c r="E50" s="174"/>
      <c r="F50" s="878">
        <f>SUM(G50:J50)/(1-'Common input data'!$B$166)</f>
        <v>1.726780471881071E-4</v>
      </c>
      <c r="G50" s="928">
        <f>SUMPRODUCT('Input data processed products'!E$14:AC$14,'Input data processed products'!E$81:AC$81)</f>
        <v>1.6922448624434496E-4</v>
      </c>
      <c r="H50" s="877">
        <v>0</v>
      </c>
      <c r="I50" s="877">
        <v>0</v>
      </c>
      <c r="J50" s="886">
        <v>0</v>
      </c>
      <c r="K50" s="877"/>
      <c r="L50" s="879"/>
      <c r="M50" s="877"/>
      <c r="N50" s="886"/>
      <c r="O50" s="877"/>
      <c r="P50" s="879"/>
      <c r="Q50" s="877"/>
      <c r="R50" s="886"/>
      <c r="S50" s="877"/>
      <c r="T50" s="879"/>
      <c r="U50" s="877"/>
      <c r="V50" s="886"/>
      <c r="W50" s="877"/>
      <c r="X50" s="879"/>
      <c r="Y50" s="877"/>
      <c r="Z50" s="886"/>
      <c r="AA50" s="877"/>
      <c r="AB50" s="879"/>
      <c r="AC50" s="877"/>
      <c r="AD50" s="886"/>
      <c r="AE50" s="877"/>
      <c r="AF50" s="879"/>
      <c r="AG50" s="877"/>
      <c r="AH50" s="886"/>
      <c r="AI50" s="877"/>
      <c r="AJ50" s="879"/>
      <c r="AK50" s="877"/>
      <c r="AL50" s="886"/>
      <c r="AM50" s="877"/>
      <c r="AN50" s="879"/>
      <c r="AO50" s="877"/>
      <c r="AP50" s="886"/>
      <c r="AQ50" s="877"/>
      <c r="AR50" s="877"/>
      <c r="AS50" s="877"/>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row>
    <row r="51" spans="1:355">
      <c r="A51" s="359"/>
      <c r="B51" s="54"/>
      <c r="C51" s="55" t="s">
        <v>320</v>
      </c>
      <c r="D51" s="514"/>
      <c r="E51" s="56"/>
      <c r="F51" s="933">
        <f>SUM(G51:J51)/(1-'Common input data'!$B$166)</f>
        <v>1.2245017172704874E-3</v>
      </c>
      <c r="G51" s="932">
        <f>SUMPRODUCT('Input data processed products'!E$14:AC$14,'Input data processed products'!E$82:AC$82)</f>
        <v>1.2000116829250776E-3</v>
      </c>
      <c r="H51" s="896">
        <v>0</v>
      </c>
      <c r="I51" s="896">
        <v>0</v>
      </c>
      <c r="J51" s="897">
        <v>0</v>
      </c>
      <c r="K51" s="877"/>
      <c r="L51" s="879"/>
      <c r="M51" s="877"/>
      <c r="N51" s="886"/>
      <c r="O51" s="877"/>
      <c r="P51" s="879"/>
      <c r="Q51" s="877"/>
      <c r="R51" s="886"/>
      <c r="S51" s="877"/>
      <c r="T51" s="879"/>
      <c r="U51" s="877"/>
      <c r="V51" s="886"/>
      <c r="W51" s="877"/>
      <c r="X51" s="879"/>
      <c r="Y51" s="877"/>
      <c r="Z51" s="886"/>
      <c r="AA51" s="877"/>
      <c r="AB51" s="879"/>
      <c r="AC51" s="877"/>
      <c r="AD51" s="886"/>
      <c r="AE51" s="877"/>
      <c r="AF51" s="879"/>
      <c r="AG51" s="877"/>
      <c r="AH51" s="886"/>
      <c r="AI51" s="877"/>
      <c r="AJ51" s="879"/>
      <c r="AK51" s="877"/>
      <c r="AL51" s="886"/>
      <c r="AM51" s="877"/>
      <c r="AN51" s="879"/>
      <c r="AO51" s="877"/>
      <c r="AP51" s="886"/>
      <c r="AQ51" s="877"/>
      <c r="AR51" s="877"/>
      <c r="AS51" s="877"/>
    </row>
    <row r="52" spans="1:355">
      <c r="A52" s="374" t="s">
        <v>550</v>
      </c>
      <c r="B52" s="376"/>
      <c r="C52" s="377"/>
      <c r="D52" s="507"/>
      <c r="E52" s="462"/>
      <c r="F52" s="870" t="s">
        <v>551</v>
      </c>
      <c r="G52" s="1316"/>
      <c r="H52" s="871"/>
      <c r="I52" s="871"/>
      <c r="J52" s="1317"/>
      <c r="K52" s="877"/>
      <c r="L52" s="879"/>
      <c r="M52" s="877"/>
      <c r="N52" s="886"/>
      <c r="O52" s="877"/>
      <c r="P52" s="879"/>
      <c r="Q52" s="877"/>
      <c r="R52" s="886"/>
      <c r="S52" s="877"/>
      <c r="T52" s="879"/>
      <c r="U52" s="877"/>
      <c r="V52" s="886"/>
      <c r="W52" s="877"/>
      <c r="X52" s="879"/>
      <c r="Y52" s="877"/>
      <c r="Z52" s="886"/>
      <c r="AA52" s="877"/>
      <c r="AB52" s="879"/>
      <c r="AC52" s="877"/>
      <c r="AD52" s="886"/>
      <c r="AE52" s="877"/>
      <c r="AF52" s="879"/>
      <c r="AG52" s="877"/>
      <c r="AH52" s="886"/>
      <c r="AI52" s="877"/>
      <c r="AJ52" s="879"/>
      <c r="AK52" s="877"/>
      <c r="AL52" s="886"/>
      <c r="AM52" s="877"/>
      <c r="AN52" s="879"/>
      <c r="AO52" s="877"/>
      <c r="AP52" s="886"/>
      <c r="AQ52" s="877"/>
      <c r="AR52" s="877"/>
      <c r="AS52" s="877"/>
    </row>
    <row r="53" spans="1:355">
      <c r="A53" s="381" t="s">
        <v>122</v>
      </c>
      <c r="B53" s="498">
        <f>'Input data processed products'!C16</f>
        <v>1</v>
      </c>
      <c r="C53" s="384" t="s">
        <v>316</v>
      </c>
      <c r="D53" s="510"/>
      <c r="E53" s="384"/>
      <c r="F53" s="927">
        <f>SUMPRODUCT($AX$3:$AX$6,F54:F57)</f>
        <v>0.89667611591617669</v>
      </c>
      <c r="G53" s="1274"/>
      <c r="H53" s="875"/>
      <c r="I53" s="875"/>
      <c r="J53" s="981"/>
      <c r="K53" s="877"/>
      <c r="L53" s="883">
        <f>SUMPRODUCT('Input data processed products'!$D16:$AE16,'Input data processed products'!D$83:AE$83)</f>
        <v>0.73280738049869587</v>
      </c>
      <c r="M53" s="884">
        <f>L53/(1-'Common input data'!$B$166)</f>
        <v>0.74776263316193459</v>
      </c>
      <c r="N53" s="885">
        <f>M53/(1-'Common input data'!$B$182)</f>
        <v>0.85949727949647658</v>
      </c>
      <c r="O53" s="877"/>
      <c r="P53" s="883">
        <f>SUMPRODUCT('Input data processed products'!$D16:$AE16,'Input data processed products'!D$84:AE$84)</f>
        <v>0</v>
      </c>
      <c r="Q53" s="884">
        <f>P53/(1-'Common input data'!$B$166)</f>
        <v>0</v>
      </c>
      <c r="R53" s="885">
        <f>Q53/(1-'Common input data'!$B$182)</f>
        <v>0</v>
      </c>
      <c r="S53" s="877"/>
      <c r="T53" s="883">
        <f>SUMPRODUCT('Input data processed products'!$D16:$AE16,'Input data processed products'!D$85:AE$85)</f>
        <v>1.0472708416566077E-2</v>
      </c>
      <c r="U53" s="884">
        <f>T53/(1-'Common input data'!$B$166)</f>
        <v>1.0686437159761303E-2</v>
      </c>
      <c r="V53" s="885">
        <f>U53/(1-'Common input data'!$B$182)</f>
        <v>1.2283261103173912E-2</v>
      </c>
      <c r="W53" s="877"/>
      <c r="X53" s="883">
        <f>SUMPRODUCT('Input data processed products'!$D16:$AE16,'Input data processed products'!D$86:AE$86)</f>
        <v>6.4229616369427265E-4</v>
      </c>
      <c r="Y53" s="884">
        <f>X53/(1-'Common input data'!$B$166)</f>
        <v>6.5540424866762518E-4</v>
      </c>
      <c r="Z53" s="885">
        <f>Y53/(1-'Common input data'!$B$182)</f>
        <v>7.5333821685933929E-4</v>
      </c>
      <c r="AA53" s="877"/>
      <c r="AB53" s="883">
        <f>SUMPRODUCT('Input data processed products'!$D16:$AE16,'Input data processed products'!D$87:AE$87)/$AC$2</f>
        <v>4.8533541572134097E-4</v>
      </c>
      <c r="AC53" s="884">
        <f>AB53/(1-'Common input data'!$B$166)</f>
        <v>4.9524022012381727E-4</v>
      </c>
      <c r="AD53" s="885">
        <f>AC53/(1-'Common input data'!$B$182)</f>
        <v>5.6924163232622671E-4</v>
      </c>
      <c r="AE53" s="877"/>
      <c r="AF53" s="883">
        <f>SUMPRODUCT('Input data processed products'!$D16:$AE16,'Input data processed products'!D$88:AE$88)</f>
        <v>5.1838025150474336E-12</v>
      </c>
      <c r="AG53" s="884">
        <f>AF53/(1-'Common input data'!$B$166)</f>
        <v>5.289594403109626E-12</v>
      </c>
      <c r="AH53" s="885">
        <f>AG53/(1-'Common input data'!$B$182)</f>
        <v>6.0799935667926738E-12</v>
      </c>
      <c r="AI53" s="877"/>
      <c r="AJ53" s="883">
        <f>SUMPRODUCT('Input data processed products'!$D16:$AE16,'Input data processed products'!D$89:AE$89)</f>
        <v>4.6978531104886642E-5</v>
      </c>
      <c r="AK53" s="884">
        <f>AJ53/(1-'Common input data'!$B$166)</f>
        <v>4.793727663763943E-5</v>
      </c>
      <c r="AL53" s="885">
        <f>AK53/(1-'Common input data'!$B$182)</f>
        <v>5.5100317974298196E-5</v>
      </c>
      <c r="AM53" s="877"/>
      <c r="AN53" s="883">
        <f>SUMPRODUCT('Input data processed products'!$D16:$AE16,'Input data processed products'!D$90:AE$90)</f>
        <v>5.4429736988161124E-4</v>
      </c>
      <c r="AO53" s="884">
        <f>AN53/(1-'Common input data'!$B$166)</f>
        <v>5.5540547947103191E-4</v>
      </c>
      <c r="AP53" s="885">
        <f>AO53/(1-'Common input data'!$B$182)</f>
        <v>6.3839710284026654E-4</v>
      </c>
      <c r="AQ53" s="877"/>
      <c r="AR53" s="877"/>
      <c r="AS53" s="877"/>
    </row>
    <row r="54" spans="1:355" s="515" customFormat="1">
      <c r="A54"/>
      <c r="B54"/>
      <c r="C54" s="174" t="s">
        <v>317</v>
      </c>
      <c r="D54" s="511"/>
      <c r="E54" s="174"/>
      <c r="F54" s="878">
        <f>SUM(G54:J54)/(1-'Common input data'!$B$166)</f>
        <v>0.72640616492261634</v>
      </c>
      <c r="G54" s="928">
        <f>SUMPRODUCT('Input data processed products'!E$16:AC$16,'Input data processed products'!E$80:AC$80)</f>
        <v>0.33187804162416396</v>
      </c>
      <c r="H54" s="877">
        <f>'Input data processed products'!D$101</f>
        <v>0.3</v>
      </c>
      <c r="I54" s="877">
        <f>'Common input data'!B$107</f>
        <v>0.05</v>
      </c>
      <c r="J54" s="886">
        <f>'Common input data'!C$115</f>
        <v>0.03</v>
      </c>
      <c r="K54" s="877"/>
      <c r="L54" s="879"/>
      <c r="M54" s="877"/>
      <c r="N54" s="886"/>
      <c r="O54" s="877"/>
      <c r="P54" s="879"/>
      <c r="Q54" s="877"/>
      <c r="R54" s="886"/>
      <c r="S54" s="877"/>
      <c r="T54" s="879"/>
      <c r="U54" s="877"/>
      <c r="V54" s="886"/>
      <c r="W54" s="877"/>
      <c r="X54" s="879"/>
      <c r="Y54" s="877"/>
      <c r="Z54" s="886"/>
      <c r="AA54" s="877"/>
      <c r="AB54" s="879"/>
      <c r="AC54" s="877"/>
      <c r="AD54" s="886"/>
      <c r="AE54" s="877"/>
      <c r="AF54" s="879"/>
      <c r="AG54" s="877"/>
      <c r="AH54" s="886"/>
      <c r="AI54" s="877"/>
      <c r="AJ54" s="879"/>
      <c r="AK54" s="877"/>
      <c r="AL54" s="886"/>
      <c r="AM54" s="877"/>
      <c r="AN54" s="879"/>
      <c r="AO54" s="877"/>
      <c r="AP54" s="886"/>
      <c r="AQ54" s="877"/>
      <c r="AR54" s="877"/>
      <c r="AS54" s="877"/>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row>
    <row r="55" spans="1:355" s="95" customFormat="1">
      <c r="A55" s="68"/>
      <c r="B55" s="50"/>
      <c r="C55" s="174" t="s">
        <v>321</v>
      </c>
      <c r="D55" s="511"/>
      <c r="E55" s="174"/>
      <c r="F55" s="878">
        <f>SUM(G55:J55)/(1-'Common input data'!$B$166)</f>
        <v>0</v>
      </c>
      <c r="G55" s="928">
        <v>0</v>
      </c>
      <c r="H55" s="877">
        <v>0</v>
      </c>
      <c r="I55" s="877">
        <v>0</v>
      </c>
      <c r="J55" s="886">
        <v>0</v>
      </c>
      <c r="K55" s="877"/>
      <c r="L55" s="879"/>
      <c r="M55" s="877"/>
      <c r="N55" s="886"/>
      <c r="O55" s="877"/>
      <c r="P55" s="879"/>
      <c r="Q55" s="877"/>
      <c r="R55" s="886"/>
      <c r="S55" s="877"/>
      <c r="T55" s="879"/>
      <c r="U55" s="877"/>
      <c r="V55" s="886"/>
      <c r="W55" s="877"/>
      <c r="X55" s="879"/>
      <c r="Y55" s="877"/>
      <c r="Z55" s="886"/>
      <c r="AA55" s="877"/>
      <c r="AB55" s="879"/>
      <c r="AC55" s="877"/>
      <c r="AD55" s="886"/>
      <c r="AE55" s="877"/>
      <c r="AF55" s="879"/>
      <c r="AG55" s="877"/>
      <c r="AH55" s="886"/>
      <c r="AI55" s="877"/>
      <c r="AJ55" s="879"/>
      <c r="AK55" s="877"/>
      <c r="AL55" s="886"/>
      <c r="AM55" s="877"/>
      <c r="AN55" s="879"/>
      <c r="AO55" s="877"/>
      <c r="AP55" s="886"/>
      <c r="AQ55" s="877"/>
      <c r="AR55" s="877"/>
      <c r="AS55" s="877"/>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row>
    <row r="56" spans="1:355">
      <c r="A56" s="68"/>
      <c r="B56" s="50"/>
      <c r="C56" s="174" t="s">
        <v>319</v>
      </c>
      <c r="D56" s="511"/>
      <c r="E56" s="174"/>
      <c r="F56" s="878">
        <f>SUM(G56:J56)/(1-'Common input data'!$B$166)</f>
        <v>1.0167503902275353E-4</v>
      </c>
      <c r="G56" s="928">
        <f>SUMPRODUCT('Input data processed products'!E$16:AC$16,'Input data processed products'!E$81:AC$81)</f>
        <v>9.9641538242298459E-5</v>
      </c>
      <c r="H56" s="877">
        <v>0</v>
      </c>
      <c r="I56" s="877">
        <v>0</v>
      </c>
      <c r="J56" s="886">
        <v>0</v>
      </c>
      <c r="K56" s="877"/>
      <c r="L56" s="879"/>
      <c r="M56" s="877"/>
      <c r="N56" s="886"/>
      <c r="O56" s="877"/>
      <c r="P56" s="879"/>
      <c r="Q56" s="877"/>
      <c r="R56" s="886"/>
      <c r="S56" s="877"/>
      <c r="T56" s="879"/>
      <c r="U56" s="877"/>
      <c r="V56" s="886"/>
      <c r="W56" s="877"/>
      <c r="X56" s="879"/>
      <c r="Y56" s="877"/>
      <c r="Z56" s="886"/>
      <c r="AA56" s="877"/>
      <c r="AB56" s="879"/>
      <c r="AC56" s="877"/>
      <c r="AD56" s="886"/>
      <c r="AE56" s="877"/>
      <c r="AF56" s="879"/>
      <c r="AG56" s="877"/>
      <c r="AH56" s="886"/>
      <c r="AI56" s="877"/>
      <c r="AJ56" s="879"/>
      <c r="AK56" s="877"/>
      <c r="AL56" s="886"/>
      <c r="AM56" s="877"/>
      <c r="AN56" s="879"/>
      <c r="AO56" s="877"/>
      <c r="AP56" s="886"/>
      <c r="AQ56" s="877"/>
      <c r="AR56" s="877"/>
      <c r="AS56" s="877"/>
    </row>
    <row r="57" spans="1:355">
      <c r="A57" s="359"/>
      <c r="B57" s="54"/>
      <c r="C57" s="55" t="s">
        <v>320</v>
      </c>
      <c r="D57" s="514"/>
      <c r="E57" s="56"/>
      <c r="F57" s="933">
        <f>SUM(G57:J57)/(1-'Common input data'!$B$166)</f>
        <v>7.2872136613799741E-4</v>
      </c>
      <c r="G57" s="932">
        <f>SUMPRODUCT('Input data processed products'!E$16:AC$16,'Input data processed products'!E$82:AC$82)</f>
        <v>7.1414693881523749E-4</v>
      </c>
      <c r="H57" s="896">
        <v>0</v>
      </c>
      <c r="I57" s="896">
        <v>0</v>
      </c>
      <c r="J57" s="897">
        <v>0</v>
      </c>
      <c r="K57" s="877"/>
      <c r="L57" s="879"/>
      <c r="M57" s="877"/>
      <c r="N57" s="886"/>
      <c r="O57" s="877"/>
      <c r="P57" s="879"/>
      <c r="Q57" s="877"/>
      <c r="R57" s="886"/>
      <c r="S57" s="877"/>
      <c r="T57" s="879"/>
      <c r="U57" s="877"/>
      <c r="V57" s="886"/>
      <c r="W57" s="877"/>
      <c r="X57" s="879"/>
      <c r="Y57" s="877"/>
      <c r="Z57" s="886"/>
      <c r="AA57" s="877"/>
      <c r="AB57" s="879"/>
      <c r="AC57" s="877"/>
      <c r="AD57" s="886"/>
      <c r="AE57" s="877"/>
      <c r="AF57" s="879"/>
      <c r="AG57" s="877"/>
      <c r="AH57" s="886"/>
      <c r="AI57" s="877"/>
      <c r="AJ57" s="879"/>
      <c r="AK57" s="877"/>
      <c r="AL57" s="886"/>
      <c r="AM57" s="877"/>
      <c r="AN57" s="879"/>
      <c r="AO57" s="877"/>
      <c r="AP57" s="886"/>
      <c r="AQ57" s="877"/>
      <c r="AR57" s="877"/>
      <c r="AS57" s="877"/>
    </row>
    <row r="58" spans="1:355">
      <c r="A58" s="374" t="s">
        <v>552</v>
      </c>
      <c r="B58" s="376"/>
      <c r="C58" s="377"/>
      <c r="D58" s="507"/>
      <c r="E58" s="462"/>
      <c r="F58" s="870" t="s">
        <v>553</v>
      </c>
      <c r="G58" s="1316"/>
      <c r="H58" s="871"/>
      <c r="I58" s="871"/>
      <c r="J58" s="1317"/>
      <c r="K58" s="877"/>
      <c r="L58" s="879"/>
      <c r="M58" s="877"/>
      <c r="N58" s="886"/>
      <c r="O58" s="877"/>
      <c r="P58" s="879"/>
      <c r="Q58" s="877"/>
      <c r="R58" s="886"/>
      <c r="S58" s="877"/>
      <c r="T58" s="879"/>
      <c r="U58" s="877"/>
      <c r="V58" s="886"/>
      <c r="W58" s="877"/>
      <c r="X58" s="879"/>
      <c r="Y58" s="877"/>
      <c r="Z58" s="886"/>
      <c r="AA58" s="877"/>
      <c r="AB58" s="879"/>
      <c r="AC58" s="877"/>
      <c r="AD58" s="886"/>
      <c r="AE58" s="877"/>
      <c r="AF58" s="879"/>
      <c r="AG58" s="877"/>
      <c r="AH58" s="886"/>
      <c r="AI58" s="877"/>
      <c r="AJ58" s="879"/>
      <c r="AK58" s="877"/>
      <c r="AL58" s="886"/>
      <c r="AM58" s="877"/>
      <c r="AN58" s="879"/>
      <c r="AO58" s="877"/>
      <c r="AP58" s="886"/>
      <c r="AQ58" s="877"/>
      <c r="AR58" s="877"/>
      <c r="AS58" s="877"/>
    </row>
    <row r="59" spans="1:355" s="515" customFormat="1">
      <c r="A59" s="381" t="s">
        <v>122</v>
      </c>
      <c r="B59" s="498">
        <f>'Input data processed products'!C18</f>
        <v>1</v>
      </c>
      <c r="C59" s="384" t="s">
        <v>316</v>
      </c>
      <c r="D59" s="510"/>
      <c r="E59" s="384"/>
      <c r="F59" s="927">
        <f>SUMPRODUCT($AX$3:$AX$6,F60:F63)</f>
        <v>0.90742201427655445</v>
      </c>
      <c r="G59" s="1274"/>
      <c r="H59" s="875"/>
      <c r="I59" s="875"/>
      <c r="J59" s="981"/>
      <c r="K59" s="877"/>
      <c r="L59" s="883">
        <f>SUMPRODUCT('Input data processed products'!$D18:$AE18,'Input data processed products'!D$83:AE$83)</f>
        <v>1.096933902866386</v>
      </c>
      <c r="M59" s="884">
        <f>L59/(1-'Common input data'!$B$166)</f>
        <v>1.1193203090473327</v>
      </c>
      <c r="N59" s="885">
        <f>M59/(1-'Common input data'!$B$182)</f>
        <v>1.2865750678704975</v>
      </c>
      <c r="O59" s="877"/>
      <c r="P59" s="883">
        <f>SUMPRODUCT('Input data processed products'!$D18:$AE18,'Input data processed products'!D$84:AE$84)</f>
        <v>0</v>
      </c>
      <c r="Q59" s="884">
        <f>P59/(1-'Common input data'!$B$166)</f>
        <v>0</v>
      </c>
      <c r="R59" s="885">
        <f>Q59/(1-'Common input data'!$B$182)</f>
        <v>0</v>
      </c>
      <c r="S59" s="877"/>
      <c r="T59" s="883">
        <f>SUMPRODUCT('Input data processed products'!$D18:$AE18,'Input data processed products'!D$85:AE$85)</f>
        <v>1.2046711321971593E-2</v>
      </c>
      <c r="U59" s="884">
        <f>T59/(1-'Common input data'!$B$166)</f>
        <v>1.2292562573440401E-2</v>
      </c>
      <c r="V59" s="885">
        <f>U59/(1-'Common input data'!$B$182)</f>
        <v>1.41293822683223E-2</v>
      </c>
      <c r="W59" s="877"/>
      <c r="X59" s="883">
        <f>SUMPRODUCT('Input data processed products'!$D18:$AE18,'Input data processed products'!D$86:AE$86)</f>
        <v>7.9534503123313222E-4</v>
      </c>
      <c r="Y59" s="884">
        <f>X59/(1-'Common input data'!$B$166)</f>
        <v>8.1157656248278805E-4</v>
      </c>
      <c r="Z59" s="885">
        <f>Y59/(1-'Common input data'!$B$182)</f>
        <v>9.3284662354343453E-4</v>
      </c>
      <c r="AA59" s="877"/>
      <c r="AB59" s="883">
        <f>SUMPRODUCT('Input data processed products'!$D18:$AE18,'Input data processed products'!D$87:AE$87)/$AC$2</f>
        <v>4.1692991010657638E-4</v>
      </c>
      <c r="AC59" s="884">
        <f>AB59/(1-'Common input data'!$B$166)</f>
        <v>4.2543868378222083E-4</v>
      </c>
      <c r="AD59" s="885">
        <f>AC59/(1-'Common input data'!$B$182)</f>
        <v>4.8900998135887447E-4</v>
      </c>
      <c r="AE59" s="877"/>
      <c r="AF59" s="883">
        <f>SUMPRODUCT('Input data processed products'!$D18:$AE18,'Input data processed products'!D$88:AE$88)</f>
        <v>7.7595953259230131E-12</v>
      </c>
      <c r="AG59" s="884">
        <f>AF59/(1-'Common input data'!$B$166)</f>
        <v>7.9179544142071569E-12</v>
      </c>
      <c r="AH59" s="885">
        <f>AG59/(1-'Common input data'!$B$182)</f>
        <v>9.1010970278243181E-12</v>
      </c>
      <c r="AI59" s="877"/>
      <c r="AJ59" s="883">
        <f>SUMPRODUCT('Input data processed products'!$D18:$AE18,'Input data processed products'!D$89:AE$89)</f>
        <v>1.0907651332398885E-4</v>
      </c>
      <c r="AK59" s="884">
        <f>AJ59/(1-'Common input data'!$B$166)</f>
        <v>1.1130256461631515E-4</v>
      </c>
      <c r="AL59" s="885">
        <f>AK59/(1-'Common input data'!$B$182)</f>
        <v>1.2793398231760364E-4</v>
      </c>
      <c r="AM59" s="877"/>
      <c r="AN59" s="883">
        <f>SUMPRODUCT('Input data processed products'!$D18:$AE18,'Input data processed products'!D$90:AE$90)</f>
        <v>7.0903314568512648E-4</v>
      </c>
      <c r="AO59" s="884">
        <f>AN59/(1-'Common input data'!$B$166)</f>
        <v>7.2350320988278218E-4</v>
      </c>
      <c r="AP59" s="885">
        <f>AO59/(1-'Common input data'!$B$182)</f>
        <v>8.3161288492273819E-4</v>
      </c>
      <c r="AQ59" s="877"/>
      <c r="AR59" s="877"/>
      <c r="AS59" s="877"/>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row>
    <row r="60" spans="1:355" s="95" customFormat="1">
      <c r="A60" s="68"/>
      <c r="B60" s="50"/>
      <c r="C60" s="174" t="s">
        <v>317</v>
      </c>
      <c r="D60" s="511"/>
      <c r="E60" s="174"/>
      <c r="F60" s="878">
        <f>SUM(G60:J60)/(1-'Common input data'!$B$166)</f>
        <v>0.74687476023042842</v>
      </c>
      <c r="G60" s="928">
        <f>SUMPRODUCT('Input data processed products'!E$18:AC$18,'Input data processed products'!E$80:AC$80)</f>
        <v>0.35193726502581973</v>
      </c>
      <c r="H60" s="877">
        <f>'Input data processed products'!D$101</f>
        <v>0.3</v>
      </c>
      <c r="I60" s="877">
        <f>'Common input data'!B$107</f>
        <v>0.05</v>
      </c>
      <c r="J60" s="886">
        <f>'Common input data'!C$115</f>
        <v>0.03</v>
      </c>
      <c r="K60" s="877"/>
      <c r="L60" s="879"/>
      <c r="M60" s="877"/>
      <c r="N60" s="886"/>
      <c r="O60" s="877"/>
      <c r="P60" s="879"/>
      <c r="Q60" s="877"/>
      <c r="R60" s="886"/>
      <c r="S60" s="877"/>
      <c r="T60" s="879"/>
      <c r="U60" s="877"/>
      <c r="V60" s="886"/>
      <c r="W60" s="877"/>
      <c r="X60" s="879"/>
      <c r="Y60" s="877"/>
      <c r="Z60" s="886"/>
      <c r="AA60" s="877"/>
      <c r="AB60" s="879"/>
      <c r="AC60" s="877"/>
      <c r="AD60" s="886"/>
      <c r="AE60" s="877"/>
      <c r="AF60" s="879"/>
      <c r="AG60" s="877"/>
      <c r="AH60" s="886"/>
      <c r="AI60" s="877"/>
      <c r="AJ60" s="879"/>
      <c r="AK60" s="877"/>
      <c r="AL60" s="886"/>
      <c r="AM60" s="877"/>
      <c r="AN60" s="879"/>
      <c r="AO60" s="877"/>
      <c r="AP60" s="886"/>
      <c r="AQ60" s="877"/>
      <c r="AR60" s="877"/>
      <c r="AS60" s="877"/>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row>
    <row r="61" spans="1:355">
      <c r="A61" s="359"/>
      <c r="B61" s="54"/>
      <c r="C61" s="174" t="s">
        <v>321</v>
      </c>
      <c r="D61" s="511"/>
      <c r="E61" s="174"/>
      <c r="F61" s="878">
        <f>SUM(G61:J61)/(1-'Common input data'!$B$166)</f>
        <v>0</v>
      </c>
      <c r="G61" s="928">
        <v>0</v>
      </c>
      <c r="H61" s="877">
        <v>0</v>
      </c>
      <c r="I61" s="877">
        <v>0</v>
      </c>
      <c r="J61" s="886">
        <v>0</v>
      </c>
      <c r="K61" s="877"/>
      <c r="L61" s="879"/>
      <c r="M61" s="877"/>
      <c r="N61" s="886"/>
      <c r="O61" s="877"/>
      <c r="P61" s="879"/>
      <c r="Q61" s="877"/>
      <c r="R61" s="886"/>
      <c r="S61" s="877"/>
      <c r="T61" s="879"/>
      <c r="U61" s="877"/>
      <c r="V61" s="886"/>
      <c r="W61" s="877"/>
      <c r="X61" s="879"/>
      <c r="Y61" s="877"/>
      <c r="Z61" s="886"/>
      <c r="AA61" s="877"/>
      <c r="AB61" s="879"/>
      <c r="AC61" s="877"/>
      <c r="AD61" s="886"/>
      <c r="AE61" s="877"/>
      <c r="AF61" s="879"/>
      <c r="AG61" s="877"/>
      <c r="AH61" s="886"/>
      <c r="AI61" s="877"/>
      <c r="AJ61" s="879"/>
      <c r="AK61" s="877"/>
      <c r="AL61" s="886"/>
      <c r="AM61" s="877"/>
      <c r="AN61" s="879"/>
      <c r="AO61" s="877"/>
      <c r="AP61" s="886"/>
      <c r="AQ61" s="877"/>
      <c r="AR61" s="877"/>
      <c r="AS61" s="877"/>
    </row>
    <row r="62" spans="1:355">
      <c r="A62" s="359"/>
      <c r="B62" s="54"/>
      <c r="C62" s="174" t="s">
        <v>319</v>
      </c>
      <c r="D62" s="511"/>
      <c r="E62" s="174"/>
      <c r="F62" s="878">
        <f>SUM(G62:J62)/(1-'Common input data'!$B$166)</f>
        <v>9.7476629525242021E-5</v>
      </c>
      <c r="G62" s="928">
        <f>SUMPRODUCT('Input data processed products'!E$18:AC$18,'Input data processed products'!E$81:AC$81)</f>
        <v>9.5527096934737183E-5</v>
      </c>
      <c r="H62" s="877">
        <v>0</v>
      </c>
      <c r="I62" s="877">
        <v>0</v>
      </c>
      <c r="J62" s="886">
        <v>0</v>
      </c>
      <c r="K62" s="877"/>
      <c r="L62" s="879"/>
      <c r="M62" s="877"/>
      <c r="N62" s="886"/>
      <c r="O62" s="877"/>
      <c r="P62" s="879"/>
      <c r="Q62" s="877"/>
      <c r="R62" s="886"/>
      <c r="S62" s="877"/>
      <c r="T62" s="879"/>
      <c r="U62" s="877"/>
      <c r="V62" s="886"/>
      <c r="W62" s="877"/>
      <c r="X62" s="879"/>
      <c r="Y62" s="877"/>
      <c r="Z62" s="886"/>
      <c r="AA62" s="877"/>
      <c r="AB62" s="879"/>
      <c r="AC62" s="877"/>
      <c r="AD62" s="886"/>
      <c r="AE62" s="877"/>
      <c r="AF62" s="879"/>
      <c r="AG62" s="877"/>
      <c r="AH62" s="886"/>
      <c r="AI62" s="877"/>
      <c r="AJ62" s="879"/>
      <c r="AK62" s="877"/>
      <c r="AL62" s="886"/>
      <c r="AM62" s="877"/>
      <c r="AN62" s="879"/>
      <c r="AO62" s="877"/>
      <c r="AP62" s="886"/>
      <c r="AQ62" s="877"/>
      <c r="AR62" s="877"/>
      <c r="AS62" s="877"/>
    </row>
    <row r="63" spans="1:355">
      <c r="A63" s="359"/>
      <c r="B63" s="54"/>
      <c r="C63" s="55" t="s">
        <v>320</v>
      </c>
      <c r="D63" s="514"/>
      <c r="E63" s="56"/>
      <c r="F63" s="933">
        <f>SUM(G63:J63)/(1-'Common input data'!$B$166)</f>
        <v>6.870777420058254E-4</v>
      </c>
      <c r="G63" s="928">
        <f>SUMPRODUCT('Input data processed products'!E$18:AC$18,'Input data processed products'!E$82:AC$82)</f>
        <v>6.7333618716570889E-4</v>
      </c>
      <c r="H63" s="877">
        <v>0</v>
      </c>
      <c r="I63" s="877">
        <v>0</v>
      </c>
      <c r="J63" s="886">
        <v>0</v>
      </c>
      <c r="K63" s="877"/>
      <c r="L63" s="879"/>
      <c r="M63" s="877"/>
      <c r="N63" s="886"/>
      <c r="O63" s="877"/>
      <c r="P63" s="879"/>
      <c r="Q63" s="877"/>
      <c r="R63" s="886"/>
      <c r="S63" s="877"/>
      <c r="T63" s="879"/>
      <c r="U63" s="877"/>
      <c r="V63" s="886"/>
      <c r="W63" s="877"/>
      <c r="X63" s="879"/>
      <c r="Y63" s="877"/>
      <c r="Z63" s="886"/>
      <c r="AA63" s="877"/>
      <c r="AB63" s="879"/>
      <c r="AC63" s="877"/>
      <c r="AD63" s="886"/>
      <c r="AE63" s="877"/>
      <c r="AF63" s="879"/>
      <c r="AG63" s="877"/>
      <c r="AH63" s="886"/>
      <c r="AI63" s="877"/>
      <c r="AJ63" s="879"/>
      <c r="AK63" s="877"/>
      <c r="AL63" s="886"/>
      <c r="AM63" s="877"/>
      <c r="AN63" s="879"/>
      <c r="AO63" s="877"/>
      <c r="AP63" s="886"/>
      <c r="AQ63" s="877"/>
      <c r="AR63" s="877"/>
      <c r="AS63" s="877"/>
    </row>
    <row r="64" spans="1:355" s="515" customFormat="1">
      <c r="A64" s="374" t="s">
        <v>554</v>
      </c>
      <c r="B64" s="376"/>
      <c r="C64" s="377"/>
      <c r="D64" s="507"/>
      <c r="E64" s="462"/>
      <c r="F64" s="870" t="s">
        <v>555</v>
      </c>
      <c r="G64" s="1272"/>
      <c r="H64" s="880"/>
      <c r="I64" s="880"/>
      <c r="J64" s="938"/>
      <c r="K64" s="877"/>
      <c r="L64" s="879"/>
      <c r="M64" s="877"/>
      <c r="N64" s="886"/>
      <c r="O64" s="877"/>
      <c r="P64" s="879"/>
      <c r="Q64" s="877"/>
      <c r="R64" s="886"/>
      <c r="S64" s="877"/>
      <c r="T64" s="879"/>
      <c r="U64" s="877"/>
      <c r="V64" s="886"/>
      <c r="W64" s="877"/>
      <c r="X64" s="879"/>
      <c r="Y64" s="877"/>
      <c r="Z64" s="886"/>
      <c r="AA64" s="877"/>
      <c r="AB64" s="879"/>
      <c r="AC64" s="877"/>
      <c r="AD64" s="886"/>
      <c r="AE64" s="877"/>
      <c r="AF64" s="879"/>
      <c r="AG64" s="877"/>
      <c r="AH64" s="886"/>
      <c r="AI64" s="877"/>
      <c r="AJ64" s="879"/>
      <c r="AK64" s="877"/>
      <c r="AL64" s="886"/>
      <c r="AM64" s="877"/>
      <c r="AN64" s="879"/>
      <c r="AO64" s="877"/>
      <c r="AP64" s="886"/>
      <c r="AQ64" s="877"/>
      <c r="AR64" s="877"/>
      <c r="AS64" s="877"/>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row>
    <row r="65" spans="1:355" s="95" customFormat="1">
      <c r="A65" s="381" t="s">
        <v>122</v>
      </c>
      <c r="B65" s="498">
        <f>'Input data processed products'!C20</f>
        <v>1</v>
      </c>
      <c r="C65" s="384" t="s">
        <v>316</v>
      </c>
      <c r="D65" s="510"/>
      <c r="E65" s="384"/>
      <c r="F65" s="927">
        <f>SUMPRODUCT($AX$3:$AX$6,F66:F69)</f>
        <v>0.95519170872904824</v>
      </c>
      <c r="G65" s="1274"/>
      <c r="H65" s="875"/>
      <c r="I65" s="875"/>
      <c r="J65" s="981"/>
      <c r="K65" s="877"/>
      <c r="L65" s="883">
        <f>SUMPRODUCT('Input data processed products'!$D20:$AE20,'Input data processed products'!D$83:AE$83)</f>
        <v>1.6544154705038914</v>
      </c>
      <c r="M65" s="884">
        <f>L65/(1-'Common input data'!$B$166)</f>
        <v>1.6881790515345831</v>
      </c>
      <c r="N65" s="885">
        <f>M65/(1-'Common input data'!$B$182)</f>
        <v>1.940435691419061</v>
      </c>
      <c r="O65" s="877"/>
      <c r="P65" s="883">
        <f>SUMPRODUCT('Input data processed products'!$D20:$AE20,'Input data processed products'!D$84:AE$84)</f>
        <v>0</v>
      </c>
      <c r="Q65" s="884">
        <f>P65/(1-'Common input data'!$B$166)</f>
        <v>0</v>
      </c>
      <c r="R65" s="885">
        <f>Q65/(1-'Common input data'!$B$182)</f>
        <v>0</v>
      </c>
      <c r="S65" s="877"/>
      <c r="T65" s="883">
        <f>SUMPRODUCT('Input data processed products'!$D20:$AE20,'Input data processed products'!D$85:AE$85)</f>
        <v>1.4889739234535021E-2</v>
      </c>
      <c r="U65" s="884">
        <f>T65/(1-'Common input data'!$B$166)</f>
        <v>1.5193611463811246E-2</v>
      </c>
      <c r="V65" s="885">
        <f>U65/(1-'Common input data'!$B$182)</f>
        <v>1.7463921222771548E-2</v>
      </c>
      <c r="W65" s="877"/>
      <c r="X65" s="883">
        <f>SUMPRODUCT('Input data processed products'!$D20:$AE20,'Input data processed products'!D$86:AE$86)</f>
        <v>1.0477964646524647E-3</v>
      </c>
      <c r="Y65" s="884">
        <f>X65/(1-'Common input data'!$B$166)</f>
        <v>1.0691800659719027E-3</v>
      </c>
      <c r="Z65" s="885">
        <f>Y65/(1-'Common input data'!$B$182)</f>
        <v>1.2289426045654053E-3</v>
      </c>
      <c r="AA65" s="877"/>
      <c r="AB65" s="883">
        <f>SUMPRODUCT('Input data processed products'!$D20:$AE20,'Input data processed products'!D$87:AE$87)/$AC$2</f>
        <v>2.7600000000000004E-4</v>
      </c>
      <c r="AC65" s="884">
        <f>AB65/(1-'Common input data'!$B$166)</f>
        <v>2.8163265306122454E-4</v>
      </c>
      <c r="AD65" s="885">
        <f>AC65/(1-'Common input data'!$B$182)</f>
        <v>3.2371569317382132E-4</v>
      </c>
      <c r="AE65" s="877"/>
      <c r="AF65" s="883">
        <f>SUMPRODUCT('Input data processed products'!$D20:$AE20,'Input data processed products'!D$88:AE$88)</f>
        <v>1.1703161437996344E-11</v>
      </c>
      <c r="AG65" s="884">
        <f>AF65/(1-'Common input data'!$B$166)</f>
        <v>1.1942001467343208E-11</v>
      </c>
      <c r="AH65" s="885">
        <f>AG65/(1-'Common input data'!$B$182)</f>
        <v>1.3726438468210584E-11</v>
      </c>
      <c r="AI65" s="877"/>
      <c r="AJ65" s="883">
        <f>SUMPRODUCT('Input data processed products'!$D20:$AE20,'Input data processed products'!D$89:AE$89)</f>
        <v>1.9935706419571891E-4</v>
      </c>
      <c r="AK65" s="884">
        <f>AJ65/(1-'Common input data'!$B$166)</f>
        <v>2.0342557570991726E-4</v>
      </c>
      <c r="AL65" s="885">
        <f>AK65/(1-'Common input data'!$B$182)</f>
        <v>2.3382250081599687E-4</v>
      </c>
      <c r="AM65" s="877"/>
      <c r="AN65" s="883">
        <f>SUMPRODUCT('Input data processed products'!$D20:$AE20,'Input data processed products'!D$90:AE$90)</f>
        <v>9.7338858731626046E-4</v>
      </c>
      <c r="AO65" s="884">
        <f>AN65/(1-'Common input data'!$B$166)</f>
        <v>9.9325366052679638E-4</v>
      </c>
      <c r="AP65" s="885">
        <f>AO65/(1-'Common input data'!$B$182)</f>
        <v>1.1416708741687316E-3</v>
      </c>
      <c r="AQ65" s="877"/>
      <c r="AR65" s="877"/>
      <c r="AS65" s="877"/>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row>
    <row r="66" spans="1:355">
      <c r="A66" s="68"/>
      <c r="B66" s="50"/>
      <c r="C66" s="174" t="s">
        <v>317</v>
      </c>
      <c r="D66" s="511"/>
      <c r="E66" s="174"/>
      <c r="F66" s="878">
        <f>SUM(G66:J66)/(1-'Common input data'!$B$166)</f>
        <v>0.79815288880820734</v>
      </c>
      <c r="G66" s="928">
        <f>SUMPRODUCT('Input data processed products'!E$20:AC$20,'Input data processed products'!E$80:AC$80)</f>
        <v>0.4021898310320432</v>
      </c>
      <c r="H66" s="877">
        <f>'Input data processed products'!D$101</f>
        <v>0.3</v>
      </c>
      <c r="I66" s="877">
        <f>'Common input data'!B$107</f>
        <v>0.05</v>
      </c>
      <c r="J66" s="886">
        <f>'Common input data'!C$115</f>
        <v>0.03</v>
      </c>
      <c r="K66" s="877"/>
      <c r="L66" s="879"/>
      <c r="M66" s="877"/>
      <c r="N66" s="886"/>
      <c r="O66" s="877"/>
      <c r="P66" s="879"/>
      <c r="Q66" s="877"/>
      <c r="R66" s="886"/>
      <c r="S66" s="877"/>
      <c r="T66" s="879"/>
      <c r="U66" s="877"/>
      <c r="V66" s="886"/>
      <c r="W66" s="877"/>
      <c r="X66" s="879"/>
      <c r="Y66" s="877"/>
      <c r="Z66" s="886"/>
      <c r="AA66" s="877"/>
      <c r="AB66" s="879"/>
      <c r="AC66" s="877"/>
      <c r="AD66" s="886"/>
      <c r="AE66" s="877"/>
      <c r="AF66" s="879"/>
      <c r="AG66" s="877"/>
      <c r="AH66" s="886"/>
      <c r="AI66" s="877"/>
      <c r="AJ66" s="879"/>
      <c r="AK66" s="877"/>
      <c r="AL66" s="886"/>
      <c r="AM66" s="877"/>
      <c r="AN66" s="879"/>
      <c r="AO66" s="877"/>
      <c r="AP66" s="886"/>
      <c r="AQ66" s="877"/>
      <c r="AR66" s="877"/>
      <c r="AS66" s="877"/>
    </row>
    <row r="67" spans="1:355">
      <c r="A67" s="359"/>
      <c r="B67" s="54"/>
      <c r="C67" s="174" t="s">
        <v>321</v>
      </c>
      <c r="D67" s="511"/>
      <c r="E67" s="174"/>
      <c r="F67" s="878">
        <f>SUM(G67:J67)/(1-'Common input data'!$B$166)</f>
        <v>0</v>
      </c>
      <c r="G67" s="928">
        <v>0</v>
      </c>
      <c r="H67" s="877">
        <v>0</v>
      </c>
      <c r="I67" s="877">
        <v>0</v>
      </c>
      <c r="J67" s="886">
        <v>0</v>
      </c>
      <c r="K67" s="877"/>
      <c r="L67" s="879"/>
      <c r="M67" s="877"/>
      <c r="N67" s="886"/>
      <c r="O67" s="877"/>
      <c r="P67" s="879"/>
      <c r="Q67" s="877"/>
      <c r="R67" s="886"/>
      <c r="S67" s="877"/>
      <c r="T67" s="879"/>
      <c r="U67" s="877"/>
      <c r="V67" s="886"/>
      <c r="W67" s="877"/>
      <c r="X67" s="879"/>
      <c r="Y67" s="877"/>
      <c r="Z67" s="886"/>
      <c r="AA67" s="877"/>
      <c r="AB67" s="879"/>
      <c r="AC67" s="877"/>
      <c r="AD67" s="886"/>
      <c r="AE67" s="877"/>
      <c r="AF67" s="879"/>
      <c r="AG67" s="877"/>
      <c r="AH67" s="886"/>
      <c r="AI67" s="877"/>
      <c r="AJ67" s="879"/>
      <c r="AK67" s="877"/>
      <c r="AL67" s="886"/>
      <c r="AM67" s="877"/>
      <c r="AN67" s="879"/>
      <c r="AO67" s="877"/>
      <c r="AP67" s="886"/>
      <c r="AQ67" s="877"/>
      <c r="AR67" s="877"/>
      <c r="AS67" s="877"/>
    </row>
    <row r="68" spans="1:355">
      <c r="A68" s="359"/>
      <c r="B68" s="54"/>
      <c r="C68" s="174" t="s">
        <v>319</v>
      </c>
      <c r="D68" s="511"/>
      <c r="E68" s="174"/>
      <c r="F68" s="878">
        <f>SUM(G68:J68)/(1-'Common input data'!$B$166)</f>
        <v>9.7346194697220409E-5</v>
      </c>
      <c r="G68" s="928">
        <f>SUMPRODUCT('Input data processed products'!E$20:AC$20,'Input data processed products'!E$81:AC$81)</f>
        <v>9.5399270803276002E-5</v>
      </c>
      <c r="H68" s="877">
        <v>0</v>
      </c>
      <c r="I68" s="877">
        <v>0</v>
      </c>
      <c r="J68" s="886">
        <v>0</v>
      </c>
      <c r="K68" s="877"/>
      <c r="L68" s="879"/>
      <c r="M68" s="877"/>
      <c r="N68" s="886"/>
      <c r="O68" s="877"/>
      <c r="P68" s="879"/>
      <c r="Q68" s="877"/>
      <c r="R68" s="886"/>
      <c r="S68" s="877"/>
      <c r="T68" s="879"/>
      <c r="U68" s="877"/>
      <c r="V68" s="886"/>
      <c r="W68" s="877"/>
      <c r="X68" s="879"/>
      <c r="Y68" s="877"/>
      <c r="Z68" s="886"/>
      <c r="AA68" s="877"/>
      <c r="AB68" s="879"/>
      <c r="AC68" s="877"/>
      <c r="AD68" s="886"/>
      <c r="AE68" s="877"/>
      <c r="AF68" s="879"/>
      <c r="AG68" s="877"/>
      <c r="AH68" s="886"/>
      <c r="AI68" s="877"/>
      <c r="AJ68" s="879"/>
      <c r="AK68" s="877"/>
      <c r="AL68" s="886"/>
      <c r="AM68" s="877"/>
      <c r="AN68" s="879"/>
      <c r="AO68" s="877"/>
      <c r="AP68" s="886"/>
      <c r="AQ68" s="877"/>
      <c r="AR68" s="877"/>
      <c r="AS68" s="877"/>
    </row>
    <row r="69" spans="1:355" s="515" customFormat="1">
      <c r="A69" s="359"/>
      <c r="B69" s="54"/>
      <c r="C69" s="55" t="s">
        <v>320</v>
      </c>
      <c r="D69" s="514"/>
      <c r="E69" s="56"/>
      <c r="F69" s="933">
        <f>SUM(G69:J69)/(1-'Common input data'!$B$166)</f>
        <v>6.7202271590456652E-4</v>
      </c>
      <c r="G69" s="928">
        <f>SUMPRODUCT('Input data processed products'!E$20:AC$20,'Input data processed products'!E$82:AC$82)</f>
        <v>6.5858226158647514E-4</v>
      </c>
      <c r="H69" s="877">
        <v>0</v>
      </c>
      <c r="I69" s="877">
        <v>0</v>
      </c>
      <c r="J69" s="886">
        <v>0</v>
      </c>
      <c r="K69" s="877"/>
      <c r="L69" s="879"/>
      <c r="M69" s="877"/>
      <c r="N69" s="886"/>
      <c r="O69" s="877"/>
      <c r="P69" s="879"/>
      <c r="Q69" s="877"/>
      <c r="R69" s="886"/>
      <c r="S69" s="877"/>
      <c r="T69" s="879"/>
      <c r="U69" s="877"/>
      <c r="V69" s="886"/>
      <c r="W69" s="877"/>
      <c r="X69" s="879"/>
      <c r="Y69" s="877"/>
      <c r="Z69" s="886"/>
      <c r="AA69" s="877"/>
      <c r="AB69" s="879"/>
      <c r="AC69" s="877"/>
      <c r="AD69" s="886"/>
      <c r="AE69" s="877"/>
      <c r="AF69" s="879"/>
      <c r="AG69" s="877"/>
      <c r="AH69" s="886"/>
      <c r="AI69" s="877"/>
      <c r="AJ69" s="879"/>
      <c r="AK69" s="877"/>
      <c r="AL69" s="886"/>
      <c r="AM69" s="877"/>
      <c r="AN69" s="879"/>
      <c r="AO69" s="877"/>
      <c r="AP69" s="886"/>
      <c r="AQ69" s="877"/>
      <c r="AR69" s="877"/>
      <c r="AS69" s="877"/>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row>
    <row r="70" spans="1:355" s="95" customFormat="1">
      <c r="A70" s="374" t="s">
        <v>556</v>
      </c>
      <c r="B70" s="376"/>
      <c r="C70" s="377"/>
      <c r="D70" s="507"/>
      <c r="E70" s="462"/>
      <c r="F70" s="870" t="s">
        <v>557</v>
      </c>
      <c r="G70" s="1272"/>
      <c r="H70" s="880"/>
      <c r="I70" s="880"/>
      <c r="J70" s="938"/>
      <c r="K70" s="877"/>
      <c r="L70" s="879"/>
      <c r="M70" s="877"/>
      <c r="N70" s="886"/>
      <c r="O70" s="877"/>
      <c r="P70" s="879"/>
      <c r="Q70" s="877"/>
      <c r="R70" s="886"/>
      <c r="S70" s="877"/>
      <c r="T70" s="879"/>
      <c r="U70" s="877"/>
      <c r="V70" s="886"/>
      <c r="W70" s="877"/>
      <c r="X70" s="879"/>
      <c r="Y70" s="877"/>
      <c r="Z70" s="886"/>
      <c r="AA70" s="877"/>
      <c r="AB70" s="879"/>
      <c r="AC70" s="877"/>
      <c r="AD70" s="886"/>
      <c r="AE70" s="877"/>
      <c r="AF70" s="879"/>
      <c r="AG70" s="877"/>
      <c r="AH70" s="886"/>
      <c r="AI70" s="877"/>
      <c r="AJ70" s="879"/>
      <c r="AK70" s="877"/>
      <c r="AL70" s="886"/>
      <c r="AM70" s="877"/>
      <c r="AN70" s="879"/>
      <c r="AO70" s="877"/>
      <c r="AP70" s="886"/>
      <c r="AQ70" s="877"/>
      <c r="AR70" s="877"/>
      <c r="AS70" s="877"/>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row>
    <row r="71" spans="1:355">
      <c r="A71" s="381" t="s">
        <v>122</v>
      </c>
      <c r="B71" s="498">
        <f>'Input data processed products'!C22</f>
        <v>1</v>
      </c>
      <c r="C71" s="384" t="s">
        <v>316</v>
      </c>
      <c r="D71" s="510"/>
      <c r="E71" s="384"/>
      <c r="F71" s="927">
        <f>SUMPRODUCT($AX$3:$AX$6,F72:F75)</f>
        <v>2.0896243533436252</v>
      </c>
      <c r="G71" s="1274"/>
      <c r="H71" s="875"/>
      <c r="I71" s="875"/>
      <c r="J71" s="981"/>
      <c r="K71" s="877"/>
      <c r="L71" s="883">
        <f>SUMPRODUCT('Input data processed products'!$D22:$AE22,'Input data processed products'!D$83:AE$83)</f>
        <v>5.0586236824969673</v>
      </c>
      <c r="M71" s="884">
        <f>L71/(1-'Common input data'!$B$169)</f>
        <v>5.0840439020070018</v>
      </c>
      <c r="N71" s="885">
        <f>M71/(1-'Common input data'!$B$182)</f>
        <v>5.8437286229965535</v>
      </c>
      <c r="O71" s="877"/>
      <c r="P71" s="883">
        <f>SUMPRODUCT('Input data processed products'!$D22:$AE22,'Input data processed products'!D$84:AE$84)</f>
        <v>4.3139972167411216</v>
      </c>
      <c r="Q71" s="884">
        <f>P71/(1-'Common input data'!$B$169)</f>
        <v>4.3356755947146954</v>
      </c>
      <c r="R71" s="885">
        <f>Q71/(1-'Common input data'!$B$182)</f>
        <v>4.9835351663387302</v>
      </c>
      <c r="S71" s="877"/>
      <c r="T71" s="883">
        <f>SUMPRODUCT('Input data processed products'!$D22:$AE22,'Input data processed products'!D$85:AE$85)</f>
        <v>0.10424311169463077</v>
      </c>
      <c r="U71" s="884">
        <f>T71/(1-'Common input data'!$B$169)</f>
        <v>0.1047669464267646</v>
      </c>
      <c r="V71" s="885">
        <f>U71/(1-'Common input data'!$B$182)</f>
        <v>0.12042177750202827</v>
      </c>
      <c r="W71" s="877"/>
      <c r="X71" s="883">
        <f>SUMPRODUCT('Input data processed products'!$D22:$AE22,'Input data processed products'!D$86:AE$86)</f>
        <v>5.1087934540801887E-3</v>
      </c>
      <c r="Y71" s="884">
        <f>X71/(1-'Common input data'!$B$169)</f>
        <v>5.1344657829951647E-3</v>
      </c>
      <c r="Z71" s="885">
        <f>Y71/(1-'Common input data'!$B$182)</f>
        <v>5.9016848080404192E-3</v>
      </c>
      <c r="AA71" s="877"/>
      <c r="AB71" s="883">
        <f>SUMPRODUCT('Input data processed products'!$D22:$AE22,'Input data processed products'!D$87:AE$87)/$AC$2</f>
        <v>1.9785618287649836E-2</v>
      </c>
      <c r="AC71" s="884">
        <f>AB71/(1-'Common input data'!$B$169)</f>
        <v>1.9885043505175715E-2</v>
      </c>
      <c r="AD71" s="885">
        <f>AC71/(1-'Common input data'!$B$182)</f>
        <v>2.2856371845029557E-2</v>
      </c>
      <c r="AE71" s="877"/>
      <c r="AF71" s="883">
        <f>SUMPRODUCT('Input data processed products'!$D22:$AE22,'Input data processed products'!D$88:AE$88)</f>
        <v>6.1576443907471244E-10</v>
      </c>
      <c r="AG71" s="884">
        <f>AF71/(1-'Common input data'!$B$169)</f>
        <v>6.1885873273840448E-10</v>
      </c>
      <c r="AH71" s="885">
        <f>AG71/(1-'Common input data'!$B$182)</f>
        <v>7.1133187671080973E-10</v>
      </c>
      <c r="AI71" s="877"/>
      <c r="AJ71" s="883">
        <f>SUMPRODUCT('Input data processed products'!$D22:$AE22,'Input data processed products'!D$89:AE$89)</f>
        <v>4.3597802960994075E-4</v>
      </c>
      <c r="AK71" s="884">
        <f>AJ71/(1-'Common input data'!$B$169)</f>
        <v>4.3816887397983995E-4</v>
      </c>
      <c r="AL71" s="885">
        <f>AK71/(1-'Common input data'!$B$182)</f>
        <v>5.0364238388487354E-4</v>
      </c>
      <c r="AM71" s="877"/>
      <c r="AN71" s="883">
        <f>SUMPRODUCT('Input data processed products'!$D22:$AE22,'Input data processed products'!D$90:AE$90)</f>
        <v>8.3869869248026571E-3</v>
      </c>
      <c r="AO71" s="884">
        <f>AN71/(1-'Common input data'!$B$169)</f>
        <v>8.4291325877413632E-3</v>
      </c>
      <c r="AP71" s="885">
        <f>AO71/(1-'Common input data'!$B$182)</f>
        <v>9.6886581468291523E-3</v>
      </c>
      <c r="AQ71" s="877"/>
      <c r="AR71" s="877"/>
      <c r="AS71" s="877"/>
    </row>
    <row r="72" spans="1:355">
      <c r="C72" s="174" t="s">
        <v>317</v>
      </c>
      <c r="D72" s="511"/>
      <c r="E72" s="174"/>
      <c r="F72" s="878">
        <f>SUM(G72:J72)/(1-'Common input data'!$B$169)</f>
        <v>1.3694846710779336</v>
      </c>
      <c r="G72" s="928">
        <f>SUMPRODUCT('Input data processed products'!E$22:AC$22,'Input data processed products'!E$80:AC$80)</f>
        <v>1.2826372477225438</v>
      </c>
      <c r="H72" s="877">
        <v>0</v>
      </c>
      <c r="I72" s="877">
        <f>'Common input data'!B$107</f>
        <v>0.05</v>
      </c>
      <c r="J72" s="886">
        <f>'Common input data'!C$115</f>
        <v>0.03</v>
      </c>
      <c r="K72" s="877"/>
      <c r="L72" s="879"/>
      <c r="M72" s="877"/>
      <c r="N72" s="886"/>
      <c r="O72" s="877"/>
      <c r="P72" s="879"/>
      <c r="Q72" s="877"/>
      <c r="R72" s="886"/>
      <c r="S72" s="877"/>
      <c r="T72" s="879"/>
      <c r="U72" s="877"/>
      <c r="V72" s="886"/>
      <c r="W72" s="877"/>
      <c r="X72" s="879"/>
      <c r="Y72" s="877"/>
      <c r="Z72" s="886"/>
      <c r="AA72" s="877"/>
      <c r="AB72" s="879"/>
      <c r="AC72" s="877"/>
      <c r="AD72" s="886"/>
      <c r="AE72" s="877"/>
      <c r="AF72" s="879"/>
      <c r="AG72" s="877"/>
      <c r="AH72" s="886"/>
      <c r="AI72" s="877"/>
      <c r="AJ72" s="879"/>
      <c r="AK72" s="877"/>
      <c r="AL72" s="886"/>
      <c r="AM72" s="877"/>
      <c r="AN72" s="879"/>
      <c r="AO72" s="877"/>
      <c r="AP72" s="886"/>
      <c r="AQ72" s="877"/>
      <c r="AR72" s="877"/>
      <c r="AS72" s="877"/>
    </row>
    <row r="73" spans="1:355">
      <c r="A73" s="68"/>
      <c r="B73" s="50"/>
      <c r="C73" s="174" t="s">
        <v>321</v>
      </c>
      <c r="D73" s="511"/>
      <c r="E73" s="174"/>
      <c r="F73" s="878">
        <f>SUM(G73:J73)/(1-'Common input data'!$B$169)</f>
        <v>3.5625540860861601E-2</v>
      </c>
      <c r="G73" s="928">
        <f>SUMPRODUCT('Input data processed products'!E$22:AC$22,'Input data processed products'!E$81:AC$81)</f>
        <v>3.5447413156557292E-2</v>
      </c>
      <c r="H73" s="877">
        <v>0</v>
      </c>
      <c r="I73" s="877">
        <v>0</v>
      </c>
      <c r="J73" s="886">
        <v>0</v>
      </c>
      <c r="K73" s="877"/>
      <c r="L73" s="879"/>
      <c r="M73" s="877"/>
      <c r="N73" s="886"/>
      <c r="O73" s="877"/>
      <c r="P73" s="879"/>
      <c r="Q73" s="877"/>
      <c r="R73" s="886"/>
      <c r="S73" s="877"/>
      <c r="T73" s="879"/>
      <c r="U73" s="877"/>
      <c r="V73" s="886"/>
      <c r="W73" s="877"/>
      <c r="X73" s="879"/>
      <c r="Y73" s="877"/>
      <c r="Z73" s="886"/>
      <c r="AA73" s="877"/>
      <c r="AB73" s="879"/>
      <c r="AC73" s="877"/>
      <c r="AD73" s="886"/>
      <c r="AE73" s="877"/>
      <c r="AF73" s="879"/>
      <c r="AG73" s="877"/>
      <c r="AH73" s="886"/>
      <c r="AI73" s="877"/>
      <c r="AJ73" s="879"/>
      <c r="AK73" s="877"/>
      <c r="AL73" s="886"/>
      <c r="AM73" s="877"/>
      <c r="AN73" s="879"/>
      <c r="AO73" s="877"/>
      <c r="AP73" s="886"/>
      <c r="AQ73" s="877"/>
      <c r="AR73" s="877"/>
      <c r="AS73" s="877"/>
    </row>
    <row r="74" spans="1:355" s="515" customFormat="1">
      <c r="A74" s="68"/>
      <c r="B74" s="50"/>
      <c r="C74" s="174" t="s">
        <v>319</v>
      </c>
      <c r="D74" s="511"/>
      <c r="E74" s="174"/>
      <c r="F74" s="878">
        <f>SUM(G74:J74)/(1-'Common input data'!$B$169)</f>
        <v>0</v>
      </c>
      <c r="G74" s="928">
        <v>0</v>
      </c>
      <c r="H74" s="877">
        <v>0</v>
      </c>
      <c r="I74" s="877">
        <v>0</v>
      </c>
      <c r="J74" s="886">
        <v>0</v>
      </c>
      <c r="K74" s="877"/>
      <c r="L74" s="879"/>
      <c r="M74" s="877"/>
      <c r="N74" s="886"/>
      <c r="O74" s="877"/>
      <c r="P74" s="879"/>
      <c r="Q74" s="877"/>
      <c r="R74" s="886"/>
      <c r="S74" s="877"/>
      <c r="T74" s="879"/>
      <c r="U74" s="877"/>
      <c r="V74" s="886"/>
      <c r="W74" s="877"/>
      <c r="X74" s="879"/>
      <c r="Y74" s="877"/>
      <c r="Z74" s="886"/>
      <c r="AA74" s="877"/>
      <c r="AB74" s="879"/>
      <c r="AC74" s="877"/>
      <c r="AD74" s="886"/>
      <c r="AE74" s="877"/>
      <c r="AF74" s="879"/>
      <c r="AG74" s="877"/>
      <c r="AH74" s="886"/>
      <c r="AI74" s="877"/>
      <c r="AJ74" s="879"/>
      <c r="AK74" s="877"/>
      <c r="AL74" s="886"/>
      <c r="AM74" s="877"/>
      <c r="AN74" s="879"/>
      <c r="AO74" s="877"/>
      <c r="AP74" s="886"/>
      <c r="AQ74" s="877"/>
      <c r="AR74" s="877"/>
      <c r="AS74" s="877"/>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row>
    <row r="75" spans="1:355" s="95" customFormat="1">
      <c r="A75" s="359"/>
      <c r="B75" s="54"/>
      <c r="C75" s="55" t="s">
        <v>320</v>
      </c>
      <c r="D75" s="514"/>
      <c r="E75" s="56"/>
      <c r="F75" s="933">
        <f>SUM(G75:J75)/(1-'Common input data'!$B$169)</f>
        <v>2.3721014601701365E-3</v>
      </c>
      <c r="G75" s="928">
        <f>SUMPRODUCT('Input data processed products'!E$22:AC$22,'Input data processed products'!E$82:AC$82)</f>
        <v>2.3602409528692856E-3</v>
      </c>
      <c r="H75" s="877">
        <v>0</v>
      </c>
      <c r="I75" s="877">
        <v>0</v>
      </c>
      <c r="J75" s="886">
        <v>0</v>
      </c>
      <c r="K75" s="877"/>
      <c r="L75" s="879"/>
      <c r="M75" s="877"/>
      <c r="N75" s="886"/>
      <c r="O75" s="877"/>
      <c r="P75" s="879"/>
      <c r="Q75" s="877"/>
      <c r="R75" s="886"/>
      <c r="S75" s="877"/>
      <c r="T75" s="879"/>
      <c r="U75" s="877"/>
      <c r="V75" s="886"/>
      <c r="W75" s="877"/>
      <c r="X75" s="879"/>
      <c r="Y75" s="877"/>
      <c r="Z75" s="886"/>
      <c r="AA75" s="877"/>
      <c r="AB75" s="879"/>
      <c r="AC75" s="877"/>
      <c r="AD75" s="886"/>
      <c r="AE75" s="877"/>
      <c r="AF75" s="879"/>
      <c r="AG75" s="877"/>
      <c r="AH75" s="886"/>
      <c r="AI75" s="877"/>
      <c r="AJ75" s="879"/>
      <c r="AK75" s="877"/>
      <c r="AL75" s="886"/>
      <c r="AM75" s="877"/>
      <c r="AN75" s="879"/>
      <c r="AO75" s="877"/>
      <c r="AP75" s="886"/>
      <c r="AQ75" s="877"/>
      <c r="AR75" s="877"/>
      <c r="AS75" s="877"/>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row>
    <row r="76" spans="1:355">
      <c r="A76" s="374" t="s">
        <v>558</v>
      </c>
      <c r="B76" s="376"/>
      <c r="C76" s="377"/>
      <c r="D76" s="507"/>
      <c r="E76" s="462"/>
      <c r="F76" s="870" t="s">
        <v>559</v>
      </c>
      <c r="G76" s="1272"/>
      <c r="H76" s="880"/>
      <c r="I76" s="880"/>
      <c r="J76" s="938"/>
      <c r="K76" s="877"/>
      <c r="L76" s="879"/>
      <c r="M76" s="877"/>
      <c r="N76" s="886"/>
      <c r="O76" s="877"/>
      <c r="P76" s="879"/>
      <c r="Q76" s="877"/>
      <c r="R76" s="886"/>
      <c r="S76" s="877"/>
      <c r="T76" s="879"/>
      <c r="U76" s="877"/>
      <c r="V76" s="886"/>
      <c r="W76" s="877"/>
      <c r="X76" s="879"/>
      <c r="Y76" s="877"/>
      <c r="Z76" s="886"/>
      <c r="AA76" s="877"/>
      <c r="AB76" s="879"/>
      <c r="AC76" s="877"/>
      <c r="AD76" s="886"/>
      <c r="AE76" s="877"/>
      <c r="AF76" s="879"/>
      <c r="AG76" s="877"/>
      <c r="AH76" s="886"/>
      <c r="AI76" s="877"/>
      <c r="AJ76" s="879"/>
      <c r="AK76" s="877"/>
      <c r="AL76" s="886"/>
      <c r="AM76" s="877"/>
      <c r="AN76" s="879"/>
      <c r="AO76" s="877"/>
      <c r="AP76" s="886"/>
      <c r="AQ76" s="877"/>
      <c r="AR76" s="877"/>
      <c r="AS76" s="877"/>
    </row>
    <row r="77" spans="1:355">
      <c r="A77" s="381" t="s">
        <v>122</v>
      </c>
      <c r="B77" s="498">
        <f>'Input data processed products'!C24</f>
        <v>1</v>
      </c>
      <c r="C77" s="384" t="s">
        <v>316</v>
      </c>
      <c r="D77" s="510"/>
      <c r="E77" s="384"/>
      <c r="F77" s="927">
        <f>SUMPRODUCT($AX$3:$AX$6,F78:F81)</f>
        <v>2.8183559099143149</v>
      </c>
      <c r="G77" s="1274"/>
      <c r="H77" s="875"/>
      <c r="I77" s="875"/>
      <c r="J77" s="981"/>
      <c r="K77" s="877"/>
      <c r="L77" s="883">
        <f>SUMPRODUCT('Input data processed products'!$D24:$AE24,'Input data processed products'!D$83:AE$83)</f>
        <v>2.8750073624722834</v>
      </c>
      <c r="M77" s="884">
        <f>L77/(1-'Common input data'!$B$169)</f>
        <v>2.889454635650536</v>
      </c>
      <c r="N77" s="885">
        <f>M77/(1-'Common input data'!$B$182)</f>
        <v>3.3212122248856737</v>
      </c>
      <c r="O77" s="877"/>
      <c r="P77" s="883">
        <f>SUMPRODUCT('Input data processed products'!$D24:$AE24,'Input data processed products'!D$84:AE$84)</f>
        <v>0</v>
      </c>
      <c r="Q77" s="884">
        <f>P77/(1-'Common input data'!$B$169)</f>
        <v>0</v>
      </c>
      <c r="R77" s="885">
        <f>Q77/(1-'Common input data'!$B$182)</f>
        <v>0</v>
      </c>
      <c r="S77" s="877"/>
      <c r="T77" s="883">
        <f>SUMPRODUCT('Input data processed products'!$D24:$AE24,'Input data processed products'!D$85:AE$85)</f>
        <v>3.4532949172643067E-2</v>
      </c>
      <c r="U77" s="884">
        <f>T77/(1-'Common input data'!$B$169)</f>
        <v>3.4706481580545796E-2</v>
      </c>
      <c r="V77" s="885">
        <f>U77/(1-'Common input data'!$B$182)</f>
        <v>3.9892507563845742E-2</v>
      </c>
      <c r="W77" s="877"/>
      <c r="X77" s="883">
        <f>SUMPRODUCT('Input data processed products'!$D24:$AE24,'Input data processed products'!D$86:AE$86)</f>
        <v>5.4626022172050035E-3</v>
      </c>
      <c r="Y77" s="884">
        <f>X77/(1-'Common input data'!$B$169)</f>
        <v>5.4900524796030184E-3</v>
      </c>
      <c r="Z77" s="885">
        <f>Y77/(1-'Common input data'!$B$182)</f>
        <v>6.3104051489689863E-3</v>
      </c>
      <c r="AA77" s="877"/>
      <c r="AB77" s="883">
        <f>SUMPRODUCT('Input data processed products'!$D24:$AE24,'Input data processed products'!D$87:AE$87)/$AC$2</f>
        <v>1.5431060738195256E-3</v>
      </c>
      <c r="AC77" s="884">
        <f>AB77/(1-'Common input data'!$B$169)</f>
        <v>1.5508603756980157E-3</v>
      </c>
      <c r="AD77" s="885">
        <f>AC77/(1-'Common input data'!$B$182)</f>
        <v>1.7825981329862249E-3</v>
      </c>
      <c r="AE77" s="877"/>
      <c r="AF77" s="883">
        <f>SUMPRODUCT('Input data processed products'!$D24:$AE24,'Input data processed products'!D$88:AE$88)</f>
        <v>2.278919658121965E-9</v>
      </c>
      <c r="AG77" s="884">
        <f>AF77/(1-'Common input data'!$B$169)</f>
        <v>2.2903715157004673E-9</v>
      </c>
      <c r="AH77" s="885">
        <f>AG77/(1-'Common input data'!$B$182)</f>
        <v>2.6326109375867441E-9</v>
      </c>
      <c r="AI77" s="877"/>
      <c r="AJ77" s="883">
        <f>SUMPRODUCT('Input data processed products'!$D24:$AE24,'Input data processed products'!D$89:AE$89)</f>
        <v>2.9740044153599138E-4</v>
      </c>
      <c r="AK77" s="884">
        <f>AJ77/(1-'Common input data'!$B$169)</f>
        <v>2.9889491611657427E-4</v>
      </c>
      <c r="AL77" s="885">
        <f>AK77/(1-'Common input data'!$B$182)</f>
        <v>3.4355737484663711E-4</v>
      </c>
      <c r="AM77" s="877"/>
      <c r="AN77" s="883">
        <f>SUMPRODUCT('Input data processed products'!$D24:$AE24,'Input data processed products'!D$90:AE$90)</f>
        <v>1.5753409497499379E-3</v>
      </c>
      <c r="AO77" s="884">
        <f>AN77/(1-'Common input data'!$B$169)</f>
        <v>1.5832572359295858E-3</v>
      </c>
      <c r="AP77" s="885">
        <f>AO77/(1-'Common input data'!$B$182)</f>
        <v>1.81983590336734E-3</v>
      </c>
      <c r="AQ77" s="877"/>
      <c r="AR77" s="877"/>
      <c r="AS77" s="877"/>
    </row>
    <row r="78" spans="1:355">
      <c r="A78" s="68"/>
      <c r="B78" s="50"/>
      <c r="C78" s="174" t="s">
        <v>317</v>
      </c>
      <c r="D78" s="511"/>
      <c r="F78" s="878">
        <f>SUM(G78:J78)/(1-'Common input data'!$B$168)</f>
        <v>2.3812618957744904</v>
      </c>
      <c r="G78" s="928">
        <f>SUMPRODUCT('Input data processed products'!E$24:AC$24,'Input data processed products'!E$80:AC$80)</f>
        <v>2.1774492768167457</v>
      </c>
      <c r="H78" s="877">
        <f>'Input data processed products'!E$101</f>
        <v>0.1</v>
      </c>
      <c r="I78" s="877">
        <f>'Common input data'!B$107</f>
        <v>0.05</v>
      </c>
      <c r="J78" s="886">
        <f>'Common input data'!C$115</f>
        <v>0.03</v>
      </c>
      <c r="K78" s="877"/>
      <c r="L78" s="879"/>
      <c r="M78" s="877"/>
      <c r="N78" s="886"/>
      <c r="O78" s="877"/>
      <c r="P78" s="879"/>
      <c r="Q78" s="877"/>
      <c r="R78" s="886"/>
      <c r="S78" s="877"/>
      <c r="T78" s="879"/>
      <c r="U78" s="877"/>
      <c r="V78" s="886"/>
      <c r="W78" s="877"/>
      <c r="X78" s="879"/>
      <c r="Y78" s="877"/>
      <c r="Z78" s="886"/>
      <c r="AA78" s="877"/>
      <c r="AB78" s="879"/>
      <c r="AC78" s="877"/>
      <c r="AD78" s="886"/>
      <c r="AE78" s="877"/>
      <c r="AF78" s="879"/>
      <c r="AG78" s="877"/>
      <c r="AH78" s="886"/>
      <c r="AI78" s="877"/>
      <c r="AJ78" s="879"/>
      <c r="AK78" s="877"/>
      <c r="AL78" s="886"/>
      <c r="AM78" s="877"/>
      <c r="AN78" s="879"/>
      <c r="AO78" s="877"/>
      <c r="AP78" s="886"/>
      <c r="AQ78" s="877"/>
      <c r="AR78" s="877"/>
      <c r="AS78" s="877"/>
    </row>
    <row r="79" spans="1:355" s="515" customFormat="1">
      <c r="A79" s="359"/>
      <c r="B79" s="54"/>
      <c r="C79" s="174" t="s">
        <v>321</v>
      </c>
      <c r="D79" s="511"/>
      <c r="E79"/>
      <c r="F79" s="878">
        <f>SUM(G79:J79)/(1-'Common input data'!$B$168)</f>
        <v>0</v>
      </c>
      <c r="G79" s="928">
        <v>0</v>
      </c>
      <c r="H79" s="877">
        <v>0</v>
      </c>
      <c r="I79" s="877">
        <v>0</v>
      </c>
      <c r="J79" s="886">
        <v>0</v>
      </c>
      <c r="K79" s="877"/>
      <c r="L79" s="879"/>
      <c r="M79" s="877"/>
      <c r="N79" s="886"/>
      <c r="O79" s="877"/>
      <c r="P79" s="879"/>
      <c r="Q79" s="877"/>
      <c r="R79" s="886"/>
      <c r="S79" s="877"/>
      <c r="T79" s="879"/>
      <c r="U79" s="877"/>
      <c r="V79" s="886"/>
      <c r="W79" s="877"/>
      <c r="X79" s="879"/>
      <c r="Y79" s="877"/>
      <c r="Z79" s="886"/>
      <c r="AA79" s="877"/>
      <c r="AB79" s="879"/>
      <c r="AC79" s="877"/>
      <c r="AD79" s="886"/>
      <c r="AE79" s="877"/>
      <c r="AF79" s="879"/>
      <c r="AG79" s="877"/>
      <c r="AH79" s="886"/>
      <c r="AI79" s="877"/>
      <c r="AJ79" s="879"/>
      <c r="AK79" s="877"/>
      <c r="AL79" s="886"/>
      <c r="AM79" s="877"/>
      <c r="AN79" s="879"/>
      <c r="AO79" s="877"/>
      <c r="AP79" s="886"/>
      <c r="AQ79" s="877"/>
      <c r="AR79" s="877"/>
      <c r="AS79" s="877"/>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row>
    <row r="80" spans="1:355" s="95" customFormat="1">
      <c r="A80" s="359"/>
      <c r="B80" s="54"/>
      <c r="C80" s="174" t="s">
        <v>319</v>
      </c>
      <c r="D80" s="511"/>
      <c r="E80"/>
      <c r="F80" s="878">
        <f>SUM(G80:J80)/(1-'Common input data'!$B$168)</f>
        <v>5.1088706230194292E-4</v>
      </c>
      <c r="G80" s="928">
        <f>SUMPRODUCT('Input data processed products'!E$24:AC$24,'Input data processed products'!E$81:AC$81)</f>
        <v>5.0577819167892351E-4</v>
      </c>
      <c r="H80" s="877">
        <v>0</v>
      </c>
      <c r="I80" s="877">
        <v>0</v>
      </c>
      <c r="J80" s="886">
        <v>0</v>
      </c>
      <c r="K80" s="877"/>
      <c r="L80" s="879"/>
      <c r="M80" s="877"/>
      <c r="N80" s="886"/>
      <c r="O80" s="877"/>
      <c r="P80" s="879"/>
      <c r="Q80" s="877"/>
      <c r="R80" s="886"/>
      <c r="S80" s="877"/>
      <c r="T80" s="879"/>
      <c r="U80" s="877"/>
      <c r="V80" s="886"/>
      <c r="W80" s="877"/>
      <c r="X80" s="879"/>
      <c r="Y80" s="877"/>
      <c r="Z80" s="886"/>
      <c r="AA80" s="877"/>
      <c r="AB80" s="879"/>
      <c r="AC80" s="877"/>
      <c r="AD80" s="886"/>
      <c r="AE80" s="877"/>
      <c r="AF80" s="879"/>
      <c r="AG80" s="877"/>
      <c r="AH80" s="886"/>
      <c r="AI80" s="877"/>
      <c r="AJ80" s="879"/>
      <c r="AK80" s="877"/>
      <c r="AL80" s="886"/>
      <c r="AM80" s="877"/>
      <c r="AN80" s="879"/>
      <c r="AO80" s="877"/>
      <c r="AP80" s="886"/>
      <c r="AQ80" s="877"/>
      <c r="AR80" s="877"/>
      <c r="AS80" s="877"/>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row>
    <row r="81" spans="1:355">
      <c r="A81" s="359"/>
      <c r="B81" s="54"/>
      <c r="C81" s="55" t="s">
        <v>320</v>
      </c>
      <c r="D81" s="514"/>
      <c r="E81" s="65"/>
      <c r="F81" s="878">
        <f>SUM(G81:J81)/(1-'Common input data'!$B$168)</f>
        <v>1.8656345276695512E-3</v>
      </c>
      <c r="G81" s="932">
        <f>SUMPRODUCT('Input data processed products'!E$24:AC$24,'Input data processed products'!E$82:AC$82)</f>
        <v>1.8469781823928556E-3</v>
      </c>
      <c r="H81" s="896">
        <v>0</v>
      </c>
      <c r="I81" s="896">
        <v>0</v>
      </c>
      <c r="J81" s="897">
        <v>0</v>
      </c>
      <c r="K81" s="877"/>
      <c r="L81" s="879"/>
      <c r="M81" s="877"/>
      <c r="N81" s="886"/>
      <c r="O81" s="877"/>
      <c r="P81" s="879"/>
      <c r="Q81" s="877"/>
      <c r="R81" s="886"/>
      <c r="S81" s="877"/>
      <c r="T81" s="879"/>
      <c r="U81" s="877"/>
      <c r="V81" s="886"/>
      <c r="W81" s="877"/>
      <c r="X81" s="879"/>
      <c r="Y81" s="877"/>
      <c r="Z81" s="886"/>
      <c r="AA81" s="877"/>
      <c r="AB81" s="879"/>
      <c r="AC81" s="877"/>
      <c r="AD81" s="886"/>
      <c r="AE81" s="877"/>
      <c r="AF81" s="879"/>
      <c r="AG81" s="877"/>
      <c r="AH81" s="886"/>
      <c r="AI81" s="877"/>
      <c r="AJ81" s="879"/>
      <c r="AK81" s="877"/>
      <c r="AL81" s="886"/>
      <c r="AM81" s="877"/>
      <c r="AN81" s="879"/>
      <c r="AO81" s="877"/>
      <c r="AP81" s="886"/>
      <c r="AQ81" s="877"/>
      <c r="AR81" s="877"/>
      <c r="AS81" s="877"/>
    </row>
    <row r="82" spans="1:355">
      <c r="A82" s="374" t="s">
        <v>560</v>
      </c>
      <c r="B82" s="376"/>
      <c r="C82" s="377"/>
      <c r="D82" s="507"/>
      <c r="E82" s="462"/>
      <c r="F82" s="870" t="s">
        <v>561</v>
      </c>
      <c r="G82" s="1316"/>
      <c r="H82" s="871"/>
      <c r="I82" s="871"/>
      <c r="J82" s="1317"/>
      <c r="K82" s="877"/>
      <c r="L82" s="879"/>
      <c r="M82" s="877"/>
      <c r="N82" s="886"/>
      <c r="O82" s="877"/>
      <c r="P82" s="879"/>
      <c r="Q82" s="877"/>
      <c r="R82" s="886"/>
      <c r="S82" s="877"/>
      <c r="T82" s="879"/>
      <c r="U82" s="877"/>
      <c r="V82" s="886"/>
      <c r="W82" s="877"/>
      <c r="X82" s="879"/>
      <c r="Y82" s="877"/>
      <c r="Z82" s="886"/>
      <c r="AA82" s="877"/>
      <c r="AB82" s="879"/>
      <c r="AC82" s="877"/>
      <c r="AD82" s="886"/>
      <c r="AE82" s="877"/>
      <c r="AF82" s="879"/>
      <c r="AG82" s="877"/>
      <c r="AH82" s="886"/>
      <c r="AI82" s="877"/>
      <c r="AJ82" s="879"/>
      <c r="AK82" s="877"/>
      <c r="AL82" s="886"/>
      <c r="AM82" s="877"/>
      <c r="AN82" s="879"/>
      <c r="AO82" s="877"/>
      <c r="AP82" s="886"/>
      <c r="AQ82" s="877"/>
      <c r="AR82" s="877"/>
      <c r="AS82" s="877"/>
    </row>
    <row r="83" spans="1:355">
      <c r="A83" s="381" t="s">
        <v>122</v>
      </c>
      <c r="B83" s="498">
        <f>'Input data processed products'!C26</f>
        <v>1</v>
      </c>
      <c r="C83" s="384" t="s">
        <v>316</v>
      </c>
      <c r="D83" s="510"/>
      <c r="E83" s="384"/>
      <c r="F83" s="927">
        <f>SUMPRODUCT($AX$3:$AX$6,F84:F87)</f>
        <v>1.4679341467431251</v>
      </c>
      <c r="G83" s="1274"/>
      <c r="H83" s="875"/>
      <c r="I83" s="875"/>
      <c r="J83" s="981"/>
      <c r="K83" s="877"/>
      <c r="L83" s="883">
        <f>SUMPRODUCT('Input data processed products'!$D26:$AE26,'Input data processed products'!D$83:AE$83)</f>
        <v>1.4024426158401382</v>
      </c>
      <c r="M83" s="884">
        <f>L83/(1-'Common input data'!$B$169)</f>
        <v>1.4094900661709933</v>
      </c>
      <c r="N83" s="885">
        <f>M83/(1-'Common input data'!$B$182)</f>
        <v>1.620103524334475</v>
      </c>
      <c r="O83" s="877"/>
      <c r="P83" s="883">
        <f>SUMPRODUCT('Input data processed products'!$D26:$AE26,'Input data processed products'!D$84:AE$84)</f>
        <v>0</v>
      </c>
      <c r="Q83" s="884">
        <f>P83/(1-'Common input data'!$B$169)</f>
        <v>0</v>
      </c>
      <c r="R83" s="885">
        <f>Q83/(1-'Common input data'!$B$182)</f>
        <v>0</v>
      </c>
      <c r="S83" s="877"/>
      <c r="T83" s="883">
        <f>SUMPRODUCT('Input data processed products'!$D26:$AE26,'Input data processed products'!D$85:AE$85)</f>
        <v>1.6845341059825887E-2</v>
      </c>
      <c r="U83" s="884">
        <f>T83/(1-'Common input data'!$B$169)</f>
        <v>1.6929991014900388E-2</v>
      </c>
      <c r="V83" s="885">
        <f>U83/(1-'Common input data'!$B$182)</f>
        <v>1.9459759787241827E-2</v>
      </c>
      <c r="W83" s="877"/>
      <c r="X83" s="883">
        <f>SUMPRODUCT('Input data processed products'!$D26:$AE26,'Input data processed products'!D$86:AE$86)</f>
        <v>2.6646840083926846E-3</v>
      </c>
      <c r="Y83" s="884">
        <f>X83/(1-'Common input data'!$B$169)</f>
        <v>2.6780743802941554E-3</v>
      </c>
      <c r="Z83" s="885">
        <f>Y83/(1-'Common input data'!$B$182)</f>
        <v>3.078246414131213E-3</v>
      </c>
      <c r="AA83" s="877"/>
      <c r="AB83" s="883">
        <f>SUMPRODUCT('Input data processed products'!$D26:$AE26,'Input data processed products'!D$87:AE$87)/$AC$2</f>
        <v>1.2649297921070858E-3</v>
      </c>
      <c r="AC83" s="884">
        <f>AB83/(1-'Common input data'!$B$169)</f>
        <v>1.2712862232232018E-3</v>
      </c>
      <c r="AD83" s="885">
        <f>AC83/(1-'Common input data'!$B$182)</f>
        <v>1.4612485324404618E-3</v>
      </c>
      <c r="AE83" s="877"/>
      <c r="AF83" s="883">
        <f>SUMPRODUCT('Input data processed products'!$D26:$AE26,'Input data processed products'!D$88:AE$88)</f>
        <v>1.1116681259131536E-9</v>
      </c>
      <c r="AG83" s="884">
        <f>AF83/(1-'Common input data'!$B$169)</f>
        <v>1.117254397902667E-9</v>
      </c>
      <c r="AH83" s="885">
        <f>AG83/(1-'Common input data'!$B$182)</f>
        <v>1.2842004573593874E-9</v>
      </c>
      <c r="AI83" s="877"/>
      <c r="AJ83" s="883">
        <f>SUMPRODUCT('Input data processed products'!$D26:$AE26,'Input data processed products'!D$89:AE$89)</f>
        <v>1.4507338611511776E-4</v>
      </c>
      <c r="AK83" s="884">
        <f>AJ83/(1-'Common input data'!$B$169)</f>
        <v>1.4580239810564599E-4</v>
      </c>
      <c r="AL83" s="885">
        <f>AK83/(1-'Common input data'!$B$182)</f>
        <v>1.6758896333982299E-4</v>
      </c>
      <c r="AM83" s="877"/>
      <c r="AN83" s="883">
        <f>SUMPRODUCT('Input data processed products'!$D26:$AE26,'Input data processed products'!D$90:AE$90)</f>
        <v>7.6845899987801856E-4</v>
      </c>
      <c r="AO83" s="884">
        <f>AN83/(1-'Common input data'!$B$169)</f>
        <v>7.7232060289248101E-4</v>
      </c>
      <c r="AP83" s="885">
        <f>AO83/(1-'Common input data'!$B$182)</f>
        <v>8.877248309108977E-4</v>
      </c>
      <c r="AQ83" s="877"/>
      <c r="AR83" s="877"/>
      <c r="AS83" s="877"/>
    </row>
    <row r="84" spans="1:355" s="515" customFormat="1">
      <c r="A84" s="68"/>
      <c r="B84" s="50"/>
      <c r="C84" s="174" t="s">
        <v>317</v>
      </c>
      <c r="D84" s="511"/>
      <c r="E84" s="174"/>
      <c r="F84" s="878">
        <f>SUM(G84:J84)/(1-'Common input data'!$B$168)</f>
        <v>1.2547175544797959</v>
      </c>
      <c r="G84" s="928">
        <f>SUMPRODUCT('Input data processed products'!E$26:AC$26,'Input data processed products'!E$80:AC$80)</f>
        <v>1.0621703789349979</v>
      </c>
      <c r="H84" s="877">
        <f>'Input data processed products'!E$101</f>
        <v>0.1</v>
      </c>
      <c r="I84" s="877">
        <f>'Common input data'!B$107</f>
        <v>0.05</v>
      </c>
      <c r="J84" s="886">
        <f>'Common input data'!C$115</f>
        <v>0.03</v>
      </c>
      <c r="K84" s="877"/>
      <c r="L84" s="879"/>
      <c r="M84" s="877"/>
      <c r="N84" s="886"/>
      <c r="O84" s="877"/>
      <c r="P84" s="879"/>
      <c r="Q84" s="877"/>
      <c r="R84" s="886"/>
      <c r="S84" s="877"/>
      <c r="T84" s="879"/>
      <c r="U84" s="877"/>
      <c r="V84" s="886"/>
      <c r="W84" s="877"/>
      <c r="X84" s="879"/>
      <c r="Y84" s="877"/>
      <c r="Z84" s="886"/>
      <c r="AA84" s="877"/>
      <c r="AB84" s="879"/>
      <c r="AC84" s="877"/>
      <c r="AD84" s="886"/>
      <c r="AE84" s="877"/>
      <c r="AF84" s="879"/>
      <c r="AG84" s="877"/>
      <c r="AH84" s="886"/>
      <c r="AI84" s="877"/>
      <c r="AJ84" s="879"/>
      <c r="AK84" s="877"/>
      <c r="AL84" s="886"/>
      <c r="AM84" s="877"/>
      <c r="AN84" s="879"/>
      <c r="AO84" s="877"/>
      <c r="AP84" s="886"/>
      <c r="AQ84" s="877"/>
      <c r="AR84" s="877"/>
      <c r="AS84" s="877"/>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row>
    <row r="85" spans="1:355" s="95" customFormat="1">
      <c r="A85" s="359"/>
      <c r="B85" s="54"/>
      <c r="C85" s="174" t="s">
        <v>321</v>
      </c>
      <c r="D85" s="511"/>
      <c r="E85" s="174"/>
      <c r="F85" s="878">
        <f>SUM(G85:J85)/(1-'Common input data'!$B$168)</f>
        <v>0</v>
      </c>
      <c r="G85" s="928">
        <v>0</v>
      </c>
      <c r="H85" s="877">
        <v>0</v>
      </c>
      <c r="I85" s="877">
        <v>0</v>
      </c>
      <c r="J85" s="886">
        <v>0</v>
      </c>
      <c r="K85" s="877"/>
      <c r="L85" s="879"/>
      <c r="M85" s="877"/>
      <c r="N85" s="886"/>
      <c r="O85" s="877"/>
      <c r="P85" s="879"/>
      <c r="Q85" s="877"/>
      <c r="R85" s="886"/>
      <c r="S85" s="877"/>
      <c r="T85" s="879"/>
      <c r="U85" s="877"/>
      <c r="V85" s="886"/>
      <c r="W85" s="877"/>
      <c r="X85" s="879"/>
      <c r="Y85" s="877"/>
      <c r="Z85" s="886"/>
      <c r="AA85" s="877"/>
      <c r="AB85" s="879"/>
      <c r="AC85" s="877"/>
      <c r="AD85" s="886"/>
      <c r="AE85" s="877"/>
      <c r="AF85" s="879"/>
      <c r="AG85" s="877"/>
      <c r="AH85" s="886"/>
      <c r="AI85" s="877"/>
      <c r="AJ85" s="879"/>
      <c r="AK85" s="877"/>
      <c r="AL85" s="886"/>
      <c r="AM85" s="877"/>
      <c r="AN85" s="879"/>
      <c r="AO85" s="877"/>
      <c r="AP85" s="886"/>
      <c r="AQ85" s="877"/>
      <c r="AR85" s="877"/>
      <c r="AS85" s="877"/>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row>
    <row r="86" spans="1:355">
      <c r="A86" s="359"/>
      <c r="B86" s="54"/>
      <c r="C86" s="174" t="s">
        <v>319</v>
      </c>
      <c r="D86" s="511"/>
      <c r="E86" s="174"/>
      <c r="F86" s="878">
        <f>SUM(G86:J86)/(1-'Common input data'!$B$168)</f>
        <v>2.4921320112289896E-4</v>
      </c>
      <c r="G86" s="928">
        <f>SUMPRODUCT('Input data processed products'!E$26:AC$26,'Input data processed products'!E$81:AC$81)</f>
        <v>2.4672106911166998E-4</v>
      </c>
      <c r="H86" s="877">
        <v>0</v>
      </c>
      <c r="I86" s="877">
        <v>0</v>
      </c>
      <c r="J86" s="886">
        <v>0</v>
      </c>
      <c r="K86" s="877"/>
      <c r="L86" s="879"/>
      <c r="M86" s="877"/>
      <c r="N86" s="886"/>
      <c r="O86" s="877"/>
      <c r="P86" s="879"/>
      <c r="Q86" s="877"/>
      <c r="R86" s="886"/>
      <c r="S86" s="877"/>
      <c r="T86" s="879"/>
      <c r="U86" s="877"/>
      <c r="V86" s="886"/>
      <c r="W86" s="877"/>
      <c r="X86" s="879"/>
      <c r="Y86" s="877"/>
      <c r="Z86" s="886"/>
      <c r="AA86" s="877"/>
      <c r="AB86" s="879"/>
      <c r="AC86" s="877"/>
      <c r="AD86" s="886"/>
      <c r="AE86" s="877"/>
      <c r="AF86" s="879"/>
      <c r="AG86" s="877"/>
      <c r="AH86" s="886"/>
      <c r="AI86" s="877"/>
      <c r="AJ86" s="879"/>
      <c r="AK86" s="877"/>
      <c r="AL86" s="886"/>
      <c r="AM86" s="877"/>
      <c r="AN86" s="879"/>
      <c r="AO86" s="877"/>
      <c r="AP86" s="886"/>
      <c r="AQ86" s="877"/>
      <c r="AR86" s="877"/>
      <c r="AS86" s="877"/>
    </row>
    <row r="87" spans="1:355">
      <c r="A87" s="359"/>
      <c r="B87" s="54"/>
      <c r="C87" s="55" t="s">
        <v>320</v>
      </c>
      <c r="D87" s="514"/>
      <c r="E87" s="56"/>
      <c r="F87" s="933">
        <f>SUM(G87:J87)/(1-'Common input data'!$B$168)</f>
        <v>9.1006562325343979E-4</v>
      </c>
      <c r="G87" s="932">
        <f>SUMPRODUCT('Input data processed products'!E$26:AC$26,'Input data processed products'!E$82:AC$82)</f>
        <v>9.0096496702090538E-4</v>
      </c>
      <c r="H87" s="896">
        <v>0</v>
      </c>
      <c r="I87" s="896">
        <v>0</v>
      </c>
      <c r="J87" s="897">
        <v>0</v>
      </c>
      <c r="K87" s="877"/>
      <c r="L87" s="879"/>
      <c r="M87" s="877"/>
      <c r="N87" s="886"/>
      <c r="O87" s="877"/>
      <c r="P87" s="879"/>
      <c r="Q87" s="877"/>
      <c r="R87" s="886"/>
      <c r="S87" s="877"/>
      <c r="T87" s="879"/>
      <c r="U87" s="877"/>
      <c r="V87" s="886"/>
      <c r="W87" s="877"/>
      <c r="X87" s="879"/>
      <c r="Y87" s="877"/>
      <c r="Z87" s="886"/>
      <c r="AA87" s="877"/>
      <c r="AB87" s="879"/>
      <c r="AC87" s="877"/>
      <c r="AD87" s="886"/>
      <c r="AE87" s="877"/>
      <c r="AF87" s="879"/>
      <c r="AG87" s="877"/>
      <c r="AH87" s="886"/>
      <c r="AI87" s="877"/>
      <c r="AJ87" s="879"/>
      <c r="AK87" s="877"/>
      <c r="AL87" s="886"/>
      <c r="AM87" s="877"/>
      <c r="AN87" s="879"/>
      <c r="AO87" s="877"/>
      <c r="AP87" s="886"/>
      <c r="AQ87" s="877"/>
      <c r="AR87" s="877"/>
      <c r="AS87" s="877"/>
    </row>
    <row r="88" spans="1:355">
      <c r="A88" s="374" t="s">
        <v>562</v>
      </c>
      <c r="B88" s="376"/>
      <c r="C88" s="377"/>
      <c r="D88" s="507"/>
      <c r="E88" s="462"/>
      <c r="F88" s="870" t="s">
        <v>563</v>
      </c>
      <c r="G88" s="1316"/>
      <c r="H88" s="871"/>
      <c r="I88" s="871"/>
      <c r="J88" s="1317"/>
      <c r="K88" s="877"/>
      <c r="L88" s="879"/>
      <c r="M88" s="877"/>
      <c r="N88" s="886"/>
      <c r="O88" s="877"/>
      <c r="P88" s="879"/>
      <c r="Q88" s="877"/>
      <c r="R88" s="886"/>
      <c r="S88" s="877"/>
      <c r="T88" s="879"/>
      <c r="U88" s="877"/>
      <c r="V88" s="886"/>
      <c r="W88" s="877"/>
      <c r="X88" s="879"/>
      <c r="Y88" s="877"/>
      <c r="Z88" s="886"/>
      <c r="AA88" s="877"/>
      <c r="AB88" s="879"/>
      <c r="AC88" s="877"/>
      <c r="AD88" s="886"/>
      <c r="AE88" s="877"/>
      <c r="AF88" s="879"/>
      <c r="AG88" s="877"/>
      <c r="AH88" s="886"/>
      <c r="AI88" s="877"/>
      <c r="AJ88" s="879"/>
      <c r="AK88" s="877"/>
      <c r="AL88" s="886"/>
      <c r="AM88" s="877"/>
      <c r="AN88" s="879"/>
      <c r="AO88" s="877"/>
      <c r="AP88" s="886"/>
      <c r="AQ88" s="877"/>
      <c r="AR88" s="877"/>
      <c r="AS88" s="877"/>
    </row>
    <row r="89" spans="1:355" s="515" customFormat="1">
      <c r="A89" s="381" t="s">
        <v>122</v>
      </c>
      <c r="B89" s="498">
        <f>'Input data processed products'!C28</f>
        <v>1</v>
      </c>
      <c r="C89" s="384" t="s">
        <v>316</v>
      </c>
      <c r="D89" s="510"/>
      <c r="E89" s="384"/>
      <c r="F89" s="927">
        <f>SUMPRODUCT($AX$3:$AX$6,F90:F93)</f>
        <v>1.700207496278092</v>
      </c>
      <c r="G89" s="1274"/>
      <c r="H89" s="875"/>
      <c r="I89" s="875"/>
      <c r="J89" s="981"/>
      <c r="K89" s="877"/>
      <c r="L89" s="883">
        <f>SUMPRODUCT('Input data processed products'!$D28:$AE28,'Input data processed products'!D$83:AE$83)</f>
        <v>16.151343030425583</v>
      </c>
      <c r="M89" s="884">
        <f>L89/(1-'Common input data'!$B$168)</f>
        <v>16.314487909520789</v>
      </c>
      <c r="N89" s="885">
        <f>M89/(1-'Common input data'!$B$182)</f>
        <v>18.75228495347217</v>
      </c>
      <c r="O89" s="877"/>
      <c r="P89" s="883">
        <f>SUMPRODUCT('Input data processed products'!$D28:$AE28,'Input data processed products'!D$84:AE$84)</f>
        <v>0</v>
      </c>
      <c r="Q89" s="884">
        <f>P89/(1-'Common input data'!$B$168)</f>
        <v>0</v>
      </c>
      <c r="R89" s="885">
        <f>Q89/(1-'Common input data'!$B$182)</f>
        <v>0</v>
      </c>
      <c r="S89" s="877"/>
      <c r="T89" s="883">
        <f>SUMPRODUCT('Input data processed products'!$D28:$AE28,'Input data processed products'!D$85:AE$85)</f>
        <v>5.9397687053797082E-2</v>
      </c>
      <c r="U89" s="884">
        <f>T89/(1-'Common input data'!$B$168)</f>
        <v>5.9997663690704126E-2</v>
      </c>
      <c r="V89" s="885">
        <f>U89/(1-'Common input data'!$B$182)</f>
        <v>6.8962831828395549E-2</v>
      </c>
      <c r="W89" s="877"/>
      <c r="X89" s="883">
        <f>SUMPRODUCT('Input data processed products'!$D28:$AE28,'Input data processed products'!D$86:AE$86)</f>
        <v>5.0242249372648595E-2</v>
      </c>
      <c r="Y89" s="884">
        <f>X89/(1-'Common input data'!$B$168)</f>
        <v>5.0749746841059186E-2</v>
      </c>
      <c r="Z89" s="885">
        <f>Y89/(1-'Common input data'!$B$182)</f>
        <v>5.8333042346045041E-2</v>
      </c>
      <c r="AA89" s="877"/>
      <c r="AB89" s="883">
        <f>SUMPRODUCT('Input data processed products'!$D28:$AE28,'Input data processed products'!D$87:AE$87)/$AC$2</f>
        <v>2.3769921216578695E-2</v>
      </c>
      <c r="AC89" s="884">
        <f>AB89/(1-'Common input data'!$B$168)</f>
        <v>2.4010021430887572E-2</v>
      </c>
      <c r="AD89" s="885">
        <f>AC89/(1-'Common input data'!$B$182)</f>
        <v>2.7597725782629392E-2</v>
      </c>
      <c r="AE89" s="877"/>
      <c r="AF89" s="883">
        <f>SUMPRODUCT('Input data processed products'!$D28:$AE28,'Input data processed products'!D$88:AE$88)</f>
        <v>8.9960637004325133E-9</v>
      </c>
      <c r="AG89" s="884">
        <f>AF89/(1-'Common input data'!$B$168)</f>
        <v>9.0869330307399133E-9</v>
      </c>
      <c r="AH89" s="885">
        <f>AG89/(1-'Common input data'!$B$182)</f>
        <v>1.0444750610045877E-8</v>
      </c>
      <c r="AI89" s="877"/>
      <c r="AJ89" s="883">
        <f>SUMPRODUCT('Input data processed products'!$D28:$AE28,'Input data processed products'!D$89:AE$89)</f>
        <v>1.1628433785502528E-2</v>
      </c>
      <c r="AK89" s="884">
        <f>AJ89/(1-'Common input data'!$B$168)</f>
        <v>1.1745892712628816E-2</v>
      </c>
      <c r="AL89" s="885">
        <f>AK89/(1-'Common input data'!$B$182)</f>
        <v>1.3501026106469903E-2</v>
      </c>
      <c r="AM89" s="877"/>
      <c r="AN89" s="883">
        <f>SUMPRODUCT('Input data processed products'!$D28:$AE28,'Input data processed products'!D$90:AE$90)</f>
        <v>2.1437330102231601E-3</v>
      </c>
      <c r="AO89" s="884">
        <f>AN89/(1-'Common input data'!$B$168)</f>
        <v>2.1653868790132932E-3</v>
      </c>
      <c r="AP89" s="885">
        <f>AO89/(1-'Common input data'!$B$182)</f>
        <v>2.4889504356474636E-3</v>
      </c>
      <c r="AQ89" s="877"/>
      <c r="AR89" s="877"/>
      <c r="AS89" s="877"/>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row>
    <row r="90" spans="1:355" s="95" customFormat="1">
      <c r="A90" s="68"/>
      <c r="B90" s="50"/>
      <c r="C90" s="174" t="s">
        <v>317</v>
      </c>
      <c r="D90" s="511"/>
      <c r="E90" s="174"/>
      <c r="F90" s="878">
        <f>SUM(G90:J90)/(1-'Common input data'!$B$165)</f>
        <v>1.3657337045775526</v>
      </c>
      <c r="G90" s="928">
        <f>SUMPRODUCT('Input data processed products'!E$28:AC$28,'Input data processed products'!E$80:AC$80)</f>
        <v>1.1491603341197973</v>
      </c>
      <c r="H90" s="877">
        <v>0</v>
      </c>
      <c r="I90" s="877">
        <f>'Common input data'!B$107</f>
        <v>0.05</v>
      </c>
      <c r="J90" s="886">
        <f>'Common input data'!C$115</f>
        <v>0.03</v>
      </c>
      <c r="K90" s="877"/>
      <c r="L90" s="879"/>
      <c r="M90" s="877"/>
      <c r="N90" s="886"/>
      <c r="O90" s="877"/>
      <c r="P90" s="879"/>
      <c r="Q90" s="877"/>
      <c r="R90" s="886"/>
      <c r="S90" s="877"/>
      <c r="T90" s="879"/>
      <c r="U90" s="877"/>
      <c r="V90" s="886"/>
      <c r="W90" s="877"/>
      <c r="X90" s="879"/>
      <c r="Y90" s="877"/>
      <c r="Z90" s="886"/>
      <c r="AA90" s="877"/>
      <c r="AB90" s="879"/>
      <c r="AC90" s="877"/>
      <c r="AD90" s="886"/>
      <c r="AE90" s="877"/>
      <c r="AF90" s="879"/>
      <c r="AG90" s="877"/>
      <c r="AH90" s="886"/>
      <c r="AI90" s="877"/>
      <c r="AJ90" s="879"/>
      <c r="AK90" s="877"/>
      <c r="AL90" s="886"/>
      <c r="AM90" s="877"/>
      <c r="AN90" s="879"/>
      <c r="AO90" s="877"/>
      <c r="AP90" s="886"/>
      <c r="AQ90" s="877"/>
      <c r="AR90" s="877"/>
      <c r="AS90" s="877"/>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row>
    <row r="91" spans="1:355">
      <c r="A91" s="359"/>
      <c r="B91" s="54"/>
      <c r="C91" s="174" t="s">
        <v>321</v>
      </c>
      <c r="D91" s="511"/>
      <c r="E91" s="174"/>
      <c r="F91" s="878">
        <f>SUM(G91:J91)/(1-'Common input data'!$B$165)</f>
        <v>0</v>
      </c>
      <c r="G91" s="928">
        <v>0</v>
      </c>
      <c r="H91" s="877">
        <v>0</v>
      </c>
      <c r="I91" s="877">
        <v>0</v>
      </c>
      <c r="J91" s="886">
        <v>0</v>
      </c>
      <c r="K91" s="877"/>
      <c r="L91" s="879"/>
      <c r="M91" s="877"/>
      <c r="N91" s="886"/>
      <c r="O91" s="877"/>
      <c r="P91" s="879"/>
      <c r="Q91" s="877"/>
      <c r="R91" s="886"/>
      <c r="S91" s="877"/>
      <c r="T91" s="879"/>
      <c r="U91" s="877"/>
      <c r="V91" s="886"/>
      <c r="W91" s="877"/>
      <c r="X91" s="879"/>
      <c r="Y91" s="877"/>
      <c r="Z91" s="886"/>
      <c r="AA91" s="877"/>
      <c r="AB91" s="879"/>
      <c r="AC91" s="877"/>
      <c r="AD91" s="886"/>
      <c r="AE91" s="877"/>
      <c r="AF91" s="879"/>
      <c r="AG91" s="877"/>
      <c r="AH91" s="886"/>
      <c r="AI91" s="877"/>
      <c r="AJ91" s="879"/>
      <c r="AK91" s="877"/>
      <c r="AL91" s="886"/>
      <c r="AM91" s="877"/>
      <c r="AN91" s="879"/>
      <c r="AO91" s="877"/>
      <c r="AP91" s="886"/>
      <c r="AQ91" s="877"/>
      <c r="AR91" s="877"/>
      <c r="AS91" s="877"/>
    </row>
    <row r="92" spans="1:355">
      <c r="A92" s="359"/>
      <c r="B92" s="54"/>
      <c r="C92" s="174" t="s">
        <v>319</v>
      </c>
      <c r="D92" s="511"/>
      <c r="E92" s="174"/>
      <c r="F92" s="878">
        <f>SUM(G92:J92)/(1-'Common input data'!$B$165)</f>
        <v>7.3257765008296033E-4</v>
      </c>
      <c r="G92" s="928">
        <f>SUMPRODUCT('Input data processed products'!E$28:AC$28,'Input data processed products'!E$81:AC$81)</f>
        <v>6.5931988507466428E-4</v>
      </c>
      <c r="H92" s="877">
        <v>0</v>
      </c>
      <c r="I92" s="877">
        <v>0</v>
      </c>
      <c r="J92" s="886">
        <v>0</v>
      </c>
      <c r="K92" s="877"/>
      <c r="L92" s="879"/>
      <c r="M92" s="877"/>
      <c r="N92" s="886"/>
      <c r="O92" s="877"/>
      <c r="P92" s="879"/>
      <c r="Q92" s="877"/>
      <c r="R92" s="886"/>
      <c r="S92" s="877"/>
      <c r="T92" s="879"/>
      <c r="U92" s="877"/>
      <c r="V92" s="886"/>
      <c r="W92" s="877"/>
      <c r="X92" s="879"/>
      <c r="Y92" s="877"/>
      <c r="Z92" s="886"/>
      <c r="AA92" s="877"/>
      <c r="AB92" s="879"/>
      <c r="AC92" s="877"/>
      <c r="AD92" s="886"/>
      <c r="AE92" s="877"/>
      <c r="AF92" s="879"/>
      <c r="AG92" s="877"/>
      <c r="AH92" s="886"/>
      <c r="AI92" s="877"/>
      <c r="AJ92" s="879"/>
      <c r="AK92" s="877"/>
      <c r="AL92" s="886"/>
      <c r="AM92" s="877"/>
      <c r="AN92" s="879"/>
      <c r="AO92" s="877"/>
      <c r="AP92" s="886"/>
      <c r="AQ92" s="877"/>
      <c r="AR92" s="877"/>
      <c r="AS92" s="877"/>
    </row>
    <row r="93" spans="1:355">
      <c r="A93" s="359"/>
      <c r="B93" s="54"/>
      <c r="C93" s="55" t="s">
        <v>320</v>
      </c>
      <c r="D93" s="514"/>
      <c r="E93" s="56"/>
      <c r="F93" s="933">
        <f>SUM(G93:J93)/(1-'Common input data'!$B$165)</f>
        <v>1.4207325182195255E-3</v>
      </c>
      <c r="G93" s="928">
        <f>SUMPRODUCT('Input data processed products'!E$28:AC$28,'Input data processed products'!E$82:AC$82)</f>
        <v>1.278659266397573E-3</v>
      </c>
      <c r="H93" s="877">
        <v>0</v>
      </c>
      <c r="I93" s="877">
        <v>0</v>
      </c>
      <c r="J93" s="886">
        <v>0</v>
      </c>
      <c r="K93" s="877"/>
      <c r="L93" s="879"/>
      <c r="M93" s="877"/>
      <c r="N93" s="886"/>
      <c r="O93" s="877"/>
      <c r="P93" s="879"/>
      <c r="Q93" s="877"/>
      <c r="R93" s="886"/>
      <c r="S93" s="877"/>
      <c r="T93" s="879"/>
      <c r="U93" s="877"/>
      <c r="V93" s="886"/>
      <c r="W93" s="1185"/>
      <c r="X93" s="879"/>
      <c r="Y93" s="877"/>
      <c r="Z93" s="886"/>
      <c r="AA93" s="1185"/>
      <c r="AB93" s="879"/>
      <c r="AC93" s="877"/>
      <c r="AD93" s="886"/>
      <c r="AE93" s="877"/>
      <c r="AF93" s="879"/>
      <c r="AG93" s="877"/>
      <c r="AH93" s="886"/>
      <c r="AI93" s="877"/>
      <c r="AJ93" s="879"/>
      <c r="AK93" s="877"/>
      <c r="AL93" s="886"/>
      <c r="AM93" s="877"/>
      <c r="AN93" s="879"/>
      <c r="AO93" s="877"/>
      <c r="AP93" s="886"/>
      <c r="AQ93" s="877"/>
      <c r="AR93" s="877"/>
      <c r="AS93" s="877"/>
    </row>
    <row r="94" spans="1:355">
      <c r="A94" s="374" t="s">
        <v>564</v>
      </c>
      <c r="B94" s="376"/>
      <c r="C94" s="377"/>
      <c r="D94" s="507"/>
      <c r="E94" s="462"/>
      <c r="F94" s="870" t="s">
        <v>565</v>
      </c>
      <c r="G94" s="1272"/>
      <c r="H94" s="880"/>
      <c r="I94" s="880"/>
      <c r="J94" s="938"/>
      <c r="K94" s="877"/>
      <c r="L94" s="879"/>
      <c r="M94" s="877"/>
      <c r="N94" s="886"/>
      <c r="O94" s="877"/>
      <c r="P94" s="879"/>
      <c r="Q94" s="877"/>
      <c r="R94" s="886"/>
      <c r="S94" s="877"/>
      <c r="T94" s="879"/>
      <c r="U94" s="877"/>
      <c r="V94" s="886"/>
      <c r="W94" s="877"/>
      <c r="X94" s="879"/>
      <c r="Y94" s="877"/>
      <c r="Z94" s="886"/>
      <c r="AA94" s="835"/>
      <c r="AB94" s="879"/>
      <c r="AC94" s="877"/>
      <c r="AD94" s="886"/>
      <c r="AE94" s="877"/>
      <c r="AF94" s="879"/>
      <c r="AG94" s="877"/>
      <c r="AH94" s="886"/>
      <c r="AI94" s="877"/>
      <c r="AJ94" s="879"/>
      <c r="AK94" s="877"/>
      <c r="AL94" s="886"/>
      <c r="AM94" s="877"/>
      <c r="AN94" s="879"/>
      <c r="AO94" s="877"/>
      <c r="AP94" s="886"/>
      <c r="AQ94" s="877"/>
      <c r="AR94" s="877"/>
      <c r="AS94" s="877"/>
    </row>
    <row r="95" spans="1:355">
      <c r="A95" s="381" t="s">
        <v>122</v>
      </c>
      <c r="B95" s="498">
        <f>'Input data processed products'!C30</f>
        <v>1</v>
      </c>
      <c r="C95" s="384" t="s">
        <v>316</v>
      </c>
      <c r="D95" s="510"/>
      <c r="E95" s="384"/>
      <c r="F95" s="927">
        <f>SUMPRODUCT($AX$3:$AX$6,F96:F99)</f>
        <v>0.39753235967441125</v>
      </c>
      <c r="G95" s="1274"/>
      <c r="H95" s="875"/>
      <c r="I95" s="875"/>
      <c r="J95" s="981"/>
      <c r="K95" s="877"/>
      <c r="L95" s="883">
        <f>SUMPRODUCT('Input data processed products'!$D30:$AE30,'Input data processed products'!D$83:AE$83)</f>
        <v>0.15109882845523359</v>
      </c>
      <c r="M95" s="884">
        <f>L95/(1-'Common input data'!$B$166)</f>
        <v>0.15418247801554449</v>
      </c>
      <c r="N95" s="885">
        <f>M95/(1-'Common input data'!$B$182)</f>
        <v>0.17722123909832702</v>
      </c>
      <c r="O95" s="877"/>
      <c r="P95" s="883">
        <f>SUMPRODUCT('Input data processed products'!$D30:$AE30,'Input data processed products'!D$84:AE$84)</f>
        <v>0</v>
      </c>
      <c r="Q95" s="884">
        <f>P95/(1-'Common input data'!$B$166)</f>
        <v>0</v>
      </c>
      <c r="R95" s="885">
        <f>Q95/(1-'Common input data'!$B$182)</f>
        <v>0</v>
      </c>
      <c r="S95" s="877"/>
      <c r="T95" s="883">
        <f>SUMPRODUCT('Input data processed products'!$D30:$AE30,'Input data processed products'!D$85:AE$85)</f>
        <v>1.4455121255550684E-3</v>
      </c>
      <c r="U95" s="884">
        <f>T95/(1-'Common input data'!$B$166)</f>
        <v>1.4750123730153759E-3</v>
      </c>
      <c r="V95" s="885">
        <f>U95/(1-'Common input data'!$B$182)</f>
        <v>1.6954165207073285E-3</v>
      </c>
      <c r="W95" s="877"/>
      <c r="X95" s="883">
        <f>SUMPRODUCT('Input data processed products'!$D30:$AE30,'Input data processed products'!D$86:AE$86)</f>
        <v>2.5183138075872272E-4</v>
      </c>
      <c r="Y95" s="884">
        <f>X95/(1-'Common input data'!$B$166)</f>
        <v>2.5697079669257419E-4</v>
      </c>
      <c r="Z95" s="885">
        <f>Y95/(1-'Common input data'!$B$182)</f>
        <v>2.9536873183054507E-4</v>
      </c>
      <c r="AA95" s="877"/>
      <c r="AB95" s="883">
        <f>SUMPRODUCT('Input data processed products'!$D30:$AE30,'Input data processed products'!D$87:AE$87)/$AC$2</f>
        <v>4.0319106365027538E-3</v>
      </c>
      <c r="AC95" s="884">
        <f>AB95/(1-'Common input data'!$B$166)</f>
        <v>4.1141945270436265E-3</v>
      </c>
      <c r="AD95" s="885">
        <f>AC95/(1-'Common input data'!$B$182)</f>
        <v>4.7289592264869269E-3</v>
      </c>
      <c r="AE95" s="877"/>
      <c r="AF95" s="883">
        <f>SUMPRODUCT('Input data processed products'!$D30:$AE30,'Input data processed products'!D$88:AE$88)</f>
        <v>1.0688572574609249E-12</v>
      </c>
      <c r="AG95" s="884">
        <f>AF95/(1-'Common input data'!$B$166)</f>
        <v>1.0906706708784949E-12</v>
      </c>
      <c r="AH95" s="885">
        <f>AG95/(1-'Common input data'!$B$182)</f>
        <v>1.2536444492856264E-12</v>
      </c>
      <c r="AI95" s="877"/>
      <c r="AJ95" s="883">
        <f>SUMPRODUCT('Input data processed products'!$D30:$AE30,'Input data processed products'!D$89:AE$89)</f>
        <v>5.1826898160145122E-5</v>
      </c>
      <c r="AK95" s="884">
        <f>AJ95/(1-'Common input data'!$B$166)</f>
        <v>5.2884589959331757E-5</v>
      </c>
      <c r="AL95" s="885">
        <f>AK95/(1-'Common input data'!$B$182)</f>
        <v>6.0786885010726159E-5</v>
      </c>
      <c r="AM95" s="877"/>
      <c r="AN95" s="883">
        <f>SUMPRODUCT('Input data processed products'!$D30:$AE30,'Input data processed products'!D$90:AE$90)</f>
        <v>1.2281183047812256E-4</v>
      </c>
      <c r="AO95" s="884">
        <f>AN95/(1-'Common input data'!$B$166)</f>
        <v>1.2531819436543119E-4</v>
      </c>
      <c r="AP95" s="885">
        <f>AO95/(1-'Common input data'!$B$182)</f>
        <v>1.4404390156946113E-4</v>
      </c>
      <c r="AQ95" s="877"/>
      <c r="AR95" s="877"/>
      <c r="AS95" s="877"/>
    </row>
    <row r="96" spans="1:355">
      <c r="A96" s="68"/>
      <c r="B96" s="50"/>
      <c r="C96" s="174" t="s">
        <v>317</v>
      </c>
      <c r="D96" s="511"/>
      <c r="E96" s="174"/>
      <c r="F96" s="878">
        <f>SUM(G96:J96)/(1-'Common input data'!$B$165)</f>
        <v>0.37674199316613521</v>
      </c>
      <c r="G96" s="928">
        <f>SUMPRODUCT('Input data processed products'!E$30:AC$30,'Input data processed products'!E$80:AC$80)</f>
        <v>0.10906779384952166</v>
      </c>
      <c r="H96" s="877">
        <f>'Input data processed products'!F$101</f>
        <v>0.05</v>
      </c>
      <c r="I96" s="877">
        <f>'Common input data'!B$106</f>
        <v>0.15</v>
      </c>
      <c r="J96" s="886">
        <f>'Common input data'!C$115</f>
        <v>0.03</v>
      </c>
      <c r="K96" s="877"/>
      <c r="L96" s="879"/>
      <c r="M96" s="877"/>
      <c r="N96" s="886"/>
      <c r="O96" s="877"/>
      <c r="P96" s="879"/>
      <c r="Q96" s="877"/>
      <c r="R96" s="886"/>
      <c r="S96" s="877"/>
      <c r="T96" s="879"/>
      <c r="U96" s="877"/>
      <c r="V96" s="886"/>
      <c r="W96" s="1185"/>
      <c r="X96" s="879"/>
      <c r="Y96" s="877"/>
      <c r="Z96" s="886"/>
      <c r="AA96" s="1185"/>
      <c r="AB96" s="879"/>
      <c r="AC96" s="877"/>
      <c r="AD96" s="886"/>
      <c r="AE96" s="877"/>
      <c r="AF96" s="879"/>
      <c r="AG96" s="877"/>
      <c r="AH96" s="886"/>
      <c r="AI96" s="877"/>
      <c r="AJ96" s="879"/>
      <c r="AK96" s="877"/>
      <c r="AL96" s="886"/>
      <c r="AM96" s="877"/>
      <c r="AN96" s="879"/>
      <c r="AO96" s="877"/>
      <c r="AP96" s="886"/>
      <c r="AQ96" s="877"/>
      <c r="AR96" s="877"/>
      <c r="AS96" s="877"/>
    </row>
    <row r="97" spans="1:45">
      <c r="A97" s="359"/>
      <c r="B97" s="54"/>
      <c r="C97" s="174" t="s">
        <v>321</v>
      </c>
      <c r="D97" s="511"/>
      <c r="E97" s="174"/>
      <c r="F97" s="878">
        <f>SUM(G97:J97)/(1-'Common input data'!$B$165)</f>
        <v>0</v>
      </c>
      <c r="G97" s="928">
        <v>0</v>
      </c>
      <c r="H97" s="877">
        <v>0</v>
      </c>
      <c r="I97" s="877">
        <v>0</v>
      </c>
      <c r="J97" s="886">
        <v>0</v>
      </c>
      <c r="K97" s="877"/>
      <c r="L97" s="879"/>
      <c r="M97" s="877"/>
      <c r="N97" s="886"/>
      <c r="O97" s="877"/>
      <c r="P97" s="879"/>
      <c r="Q97" s="877"/>
      <c r="R97" s="886"/>
      <c r="S97" s="877"/>
      <c r="T97" s="879"/>
      <c r="U97" s="877"/>
      <c r="V97" s="886"/>
      <c r="W97" s="1185"/>
      <c r="X97" s="879"/>
      <c r="Y97" s="877"/>
      <c r="Z97" s="886"/>
      <c r="AA97" s="1185"/>
      <c r="AB97" s="879"/>
      <c r="AC97" s="877"/>
      <c r="AD97" s="886"/>
      <c r="AE97" s="877"/>
      <c r="AF97" s="879"/>
      <c r="AG97" s="877"/>
      <c r="AH97" s="886"/>
      <c r="AI97" s="877"/>
      <c r="AJ97" s="879"/>
      <c r="AK97" s="877"/>
      <c r="AL97" s="886"/>
      <c r="AM97" s="877"/>
      <c r="AN97" s="879"/>
      <c r="AO97" s="877"/>
      <c r="AP97" s="886"/>
      <c r="AQ97" s="877"/>
      <c r="AR97" s="877"/>
      <c r="AS97" s="877"/>
    </row>
    <row r="98" spans="1:45">
      <c r="A98" s="359"/>
      <c r="B98" s="54"/>
      <c r="C98" s="174" t="s">
        <v>319</v>
      </c>
      <c r="D98" s="511"/>
      <c r="E98" s="174"/>
      <c r="F98" s="878">
        <f>SUM(G98:J98)/(1-'Common input data'!$B$165)</f>
        <v>3.4333750721706742E-5</v>
      </c>
      <c r="G98" s="928">
        <f>SUMPRODUCT('Input data processed products'!E$30:AC$30,'Input data processed products'!E$81:AC$81)</f>
        <v>3.0900375649536067E-5</v>
      </c>
      <c r="H98" s="877">
        <v>0</v>
      </c>
      <c r="I98" s="877">
        <v>0</v>
      </c>
      <c r="J98" s="886">
        <v>0</v>
      </c>
      <c r="K98" s="877"/>
      <c r="L98" s="879"/>
      <c r="M98" s="877"/>
      <c r="N98" s="886"/>
      <c r="O98" s="877"/>
      <c r="P98" s="879"/>
      <c r="Q98" s="877"/>
      <c r="R98" s="886"/>
      <c r="S98" s="877"/>
      <c r="T98" s="879"/>
      <c r="U98" s="877"/>
      <c r="V98" s="886"/>
      <c r="W98" s="1185"/>
      <c r="X98" s="879"/>
      <c r="Y98" s="877"/>
      <c r="Z98" s="886"/>
      <c r="AA98" s="1185"/>
      <c r="AB98" s="879"/>
      <c r="AC98" s="877"/>
      <c r="AD98" s="886"/>
      <c r="AE98" s="877"/>
      <c r="AF98" s="879"/>
      <c r="AG98" s="877"/>
      <c r="AH98" s="886"/>
      <c r="AI98" s="877"/>
      <c r="AJ98" s="879"/>
      <c r="AK98" s="877"/>
      <c r="AL98" s="886"/>
      <c r="AM98" s="877"/>
      <c r="AN98" s="879"/>
      <c r="AO98" s="877"/>
      <c r="AP98" s="886"/>
      <c r="AQ98" s="877"/>
      <c r="AR98" s="877"/>
      <c r="AS98" s="877"/>
    </row>
    <row r="99" spans="1:45">
      <c r="A99" s="359"/>
      <c r="B99" s="54"/>
      <c r="C99" s="55" t="s">
        <v>320</v>
      </c>
      <c r="D99" s="514"/>
      <c r="E99" s="56"/>
      <c r="F99" s="933">
        <f>SUM(G99:J99)/(1-'Common input data'!$B$165)</f>
        <v>8.8536471587485026E-5</v>
      </c>
      <c r="G99" s="928">
        <f>SUMPRODUCT('Input data processed products'!E$30:AC$30,'Input data processed products'!E$82:AC$82)</f>
        <v>7.9682824428736529E-5</v>
      </c>
      <c r="H99" s="877">
        <v>0</v>
      </c>
      <c r="I99" s="877">
        <v>0</v>
      </c>
      <c r="J99" s="886">
        <v>0</v>
      </c>
      <c r="K99" s="877"/>
      <c r="L99" s="879"/>
      <c r="M99" s="877"/>
      <c r="N99" s="886"/>
      <c r="O99" s="877"/>
      <c r="P99" s="879"/>
      <c r="Q99" s="877"/>
      <c r="R99" s="886"/>
      <c r="S99" s="877"/>
      <c r="T99" s="879"/>
      <c r="U99" s="877"/>
      <c r="V99" s="886"/>
      <c r="W99" s="877"/>
      <c r="X99" s="879"/>
      <c r="Y99" s="877"/>
      <c r="Z99" s="886"/>
      <c r="AA99" s="877"/>
      <c r="AB99" s="879"/>
      <c r="AC99" s="877"/>
      <c r="AD99" s="886"/>
      <c r="AE99" s="877"/>
      <c r="AF99" s="879"/>
      <c r="AG99" s="877"/>
      <c r="AH99" s="886"/>
      <c r="AI99" s="877"/>
      <c r="AJ99" s="879"/>
      <c r="AK99" s="877"/>
      <c r="AL99" s="886"/>
      <c r="AM99" s="877"/>
      <c r="AN99" s="879"/>
      <c r="AO99" s="877"/>
      <c r="AP99" s="886"/>
      <c r="AQ99" s="877"/>
      <c r="AR99" s="877"/>
      <c r="AS99" s="877"/>
    </row>
    <row r="100" spans="1:45">
      <c r="A100" s="374" t="s">
        <v>566</v>
      </c>
      <c r="B100" s="376"/>
      <c r="C100" s="377"/>
      <c r="D100" s="507"/>
      <c r="E100" s="462"/>
      <c r="F100" s="870" t="s">
        <v>567</v>
      </c>
      <c r="G100" s="1272"/>
      <c r="H100" s="880"/>
      <c r="I100" s="880"/>
      <c r="J100" s="938"/>
      <c r="K100" s="877"/>
      <c r="L100" s="879"/>
      <c r="M100" s="877"/>
      <c r="N100" s="886"/>
      <c r="O100" s="877"/>
      <c r="P100" s="879"/>
      <c r="Q100" s="877"/>
      <c r="R100" s="886"/>
      <c r="S100" s="877"/>
      <c r="T100" s="879"/>
      <c r="U100" s="877"/>
      <c r="V100" s="886"/>
      <c r="W100" s="877"/>
      <c r="X100" s="879"/>
      <c r="Y100" s="877"/>
      <c r="Z100" s="886"/>
      <c r="AA100" s="877"/>
      <c r="AB100" s="879"/>
      <c r="AC100" s="877"/>
      <c r="AD100" s="886"/>
      <c r="AE100" s="877"/>
      <c r="AF100" s="879"/>
      <c r="AG100" s="877"/>
      <c r="AH100" s="886"/>
      <c r="AI100" s="877"/>
      <c r="AJ100" s="879"/>
      <c r="AK100" s="877"/>
      <c r="AL100" s="886"/>
      <c r="AM100" s="877"/>
      <c r="AN100" s="879"/>
      <c r="AO100" s="877"/>
      <c r="AP100" s="886"/>
      <c r="AQ100" s="877"/>
      <c r="AR100" s="877"/>
      <c r="AS100" s="877"/>
    </row>
    <row r="101" spans="1:45">
      <c r="A101" s="381" t="s">
        <v>122</v>
      </c>
      <c r="B101" s="498">
        <f>'Input data processed products'!C32</f>
        <v>1</v>
      </c>
      <c r="C101" s="384" t="s">
        <v>316</v>
      </c>
      <c r="D101" s="510"/>
      <c r="E101" s="384"/>
      <c r="F101" s="927">
        <f>SUMPRODUCT($AX$3:$AX$6,F102:F105)</f>
        <v>0.4818781464542467</v>
      </c>
      <c r="G101" s="1274"/>
      <c r="H101" s="875"/>
      <c r="I101" s="875"/>
      <c r="J101" s="981"/>
      <c r="K101" s="877"/>
      <c r="L101" s="883">
        <f>SUMPRODUCT('Input data processed products'!$D32:$AE32,'Input data processed products'!D$83:AE$83)</f>
        <v>0.25953530378462519</v>
      </c>
      <c r="M101" s="884">
        <f>L101/(1-'Common input data'!$B$166)</f>
        <v>0.26483194263737264</v>
      </c>
      <c r="N101" s="885">
        <f>M101/(1-'Common input data'!$B$182)</f>
        <v>0.30440453176709498</v>
      </c>
      <c r="O101" s="877"/>
      <c r="P101" s="883">
        <f>SUMPRODUCT('Input data processed products'!$D32:$AE32,'Input data processed products'!D$84:AE$84)</f>
        <v>0</v>
      </c>
      <c r="Q101" s="884">
        <f>P101/(1-'Common input data'!$B$166)</f>
        <v>0</v>
      </c>
      <c r="R101" s="885">
        <f>Q101/(1-'Common input data'!$B$182)</f>
        <v>0</v>
      </c>
      <c r="S101" s="877"/>
      <c r="T101" s="883">
        <f>SUMPRODUCT('Input data processed products'!$D32:$AE32,'Input data processed products'!D$85:AE$85)</f>
        <v>1.8301889307485743E-3</v>
      </c>
      <c r="U101" s="884">
        <f>T101/(1-'Common input data'!$B$166)</f>
        <v>1.8675397252536474E-3</v>
      </c>
      <c r="V101" s="885">
        <f>U101/(1-'Common input data'!$B$182)</f>
        <v>2.1465973853490201E-3</v>
      </c>
      <c r="W101" s="877"/>
      <c r="X101" s="883">
        <f>SUMPRODUCT('Input data processed products'!$D32:$AE32,'Input data processed products'!D$86:AE$86)</f>
        <v>4.5214014924001061E-4</v>
      </c>
      <c r="Y101" s="884">
        <f>X101/(1-'Common input data'!$B$166)</f>
        <v>4.6136749922450062E-4</v>
      </c>
      <c r="Z101" s="885">
        <f>Y101/(1-'Common input data'!$B$182)</f>
        <v>5.3030747037298919E-4</v>
      </c>
      <c r="AA101" s="877"/>
      <c r="AB101" s="883">
        <f>SUMPRODUCT('Input data processed products'!$D32:$AE32,'Input data processed products'!D$87:AE$87)/$AC$2</f>
        <v>8.8098431495238286E-3</v>
      </c>
      <c r="AC101" s="884">
        <f>AB101/(1-'Common input data'!$B$166)</f>
        <v>8.9896358668610492E-3</v>
      </c>
      <c r="AD101" s="885">
        <f>AC101/(1-'Common input data'!$B$182)</f>
        <v>1.0332914789495459E-2</v>
      </c>
      <c r="AE101" s="877"/>
      <c r="AF101" s="883">
        <f>SUMPRODUCT('Input data processed products'!$D32:$AE32,'Input data processed products'!D$88:AE$88)</f>
        <v>3.0639153055314633E-11</v>
      </c>
      <c r="AG101" s="884">
        <f>AF101/(1-'Common input data'!$B$166)</f>
        <v>3.1264441893178195E-11</v>
      </c>
      <c r="AH101" s="885">
        <f>AG101/(1-'Common input data'!$B$182)</f>
        <v>3.5936140107101377E-11</v>
      </c>
      <c r="AI101" s="877"/>
      <c r="AJ101" s="883">
        <f>SUMPRODUCT('Input data processed products'!$D32:$AE32,'Input data processed products'!D$89:AE$89)</f>
        <v>5.1826898160145122E-5</v>
      </c>
      <c r="AK101" s="884">
        <f>AJ101/(1-'Common input data'!$B$166)</f>
        <v>5.2884589959331757E-5</v>
      </c>
      <c r="AL101" s="885">
        <f>AK101/(1-'Common input data'!$B$182)</f>
        <v>6.0786885010726159E-5</v>
      </c>
      <c r="AM101" s="877"/>
      <c r="AN101" s="883">
        <f>SUMPRODUCT('Input data processed products'!$D32:$AE32,'Input data processed products'!D$90:AE$90)</f>
        <v>1.2281183047812256E-4</v>
      </c>
      <c r="AO101" s="884">
        <f>AN101/(1-'Common input data'!$B$166)</f>
        <v>1.2531819436543119E-4</v>
      </c>
      <c r="AP101" s="885">
        <f>AO101/(1-'Common input data'!$B$182)</f>
        <v>1.4404390156946113E-4</v>
      </c>
      <c r="AQ101" s="877"/>
      <c r="AR101" s="877"/>
      <c r="AS101" s="877"/>
    </row>
    <row r="102" spans="1:45">
      <c r="A102" s="68"/>
      <c r="B102" s="50"/>
      <c r="C102" s="174" t="s">
        <v>317</v>
      </c>
      <c r="D102" s="511"/>
      <c r="E102" s="174"/>
      <c r="F102" s="878">
        <f>SUM(G102:J102)/(1-'Common input data'!$B$165)</f>
        <v>0.45792929332701304</v>
      </c>
      <c r="G102" s="928">
        <f>SUMPRODUCT('Input data processed products'!E$32:AC$32,'Input data processed products'!E$80:AC$80)</f>
        <v>0.18213636399431168</v>
      </c>
      <c r="H102" s="877">
        <f>'Input data processed products'!F$101</f>
        <v>0.05</v>
      </c>
      <c r="I102" s="877">
        <f>'Common input data'!B$106</f>
        <v>0.15</v>
      </c>
      <c r="J102" s="886">
        <f>'Common input data'!C$115</f>
        <v>0.03</v>
      </c>
      <c r="K102" s="877"/>
      <c r="L102" s="879"/>
      <c r="M102" s="877"/>
      <c r="N102" s="886"/>
      <c r="O102" s="877"/>
      <c r="P102" s="879"/>
      <c r="Q102" s="877"/>
      <c r="R102" s="886"/>
      <c r="S102" s="877"/>
      <c r="T102" s="879"/>
      <c r="U102" s="877"/>
      <c r="V102" s="886"/>
      <c r="W102" s="877"/>
      <c r="X102" s="879"/>
      <c r="Y102" s="877"/>
      <c r="Z102" s="886"/>
      <c r="AA102" s="877"/>
      <c r="AB102" s="879"/>
      <c r="AC102" s="877"/>
      <c r="AD102" s="886"/>
      <c r="AE102" s="877"/>
      <c r="AF102" s="879"/>
      <c r="AG102" s="877"/>
      <c r="AH102" s="886"/>
      <c r="AI102" s="877"/>
      <c r="AJ102" s="879"/>
      <c r="AK102" s="877"/>
      <c r="AL102" s="886"/>
      <c r="AM102" s="877"/>
      <c r="AN102" s="879"/>
      <c r="AO102" s="877"/>
      <c r="AP102" s="886"/>
      <c r="AQ102" s="877"/>
      <c r="AR102" s="877"/>
      <c r="AS102" s="877"/>
    </row>
    <row r="103" spans="1:45">
      <c r="A103" s="359"/>
      <c r="B103" s="54"/>
      <c r="C103" s="174" t="s">
        <v>318</v>
      </c>
      <c r="D103" s="511"/>
      <c r="E103" s="174"/>
      <c r="F103" s="878">
        <f>SUM(G103:J103)/(1-'Common input data'!$B$165)</f>
        <v>0</v>
      </c>
      <c r="G103" s="928">
        <v>0</v>
      </c>
      <c r="H103" s="877">
        <v>0</v>
      </c>
      <c r="I103" s="877">
        <v>0</v>
      </c>
      <c r="J103" s="886">
        <v>0</v>
      </c>
      <c r="K103" s="877"/>
      <c r="L103" s="879"/>
      <c r="M103" s="877"/>
      <c r="N103" s="886"/>
      <c r="O103" s="877"/>
      <c r="P103" s="879"/>
      <c r="Q103" s="877"/>
      <c r="R103" s="886"/>
      <c r="S103" s="877"/>
      <c r="T103" s="879"/>
      <c r="U103" s="877"/>
      <c r="V103" s="886"/>
      <c r="W103" s="877"/>
      <c r="X103" s="879"/>
      <c r="Y103" s="877"/>
      <c r="Z103" s="886"/>
      <c r="AA103" s="877"/>
      <c r="AB103" s="879"/>
      <c r="AC103" s="877"/>
      <c r="AD103" s="886"/>
      <c r="AE103" s="877"/>
      <c r="AF103" s="879"/>
      <c r="AG103" s="877"/>
      <c r="AH103" s="886"/>
      <c r="AI103" s="877"/>
      <c r="AJ103" s="879"/>
      <c r="AK103" s="877"/>
      <c r="AL103" s="886"/>
      <c r="AM103" s="877"/>
      <c r="AN103" s="879"/>
      <c r="AO103" s="877"/>
      <c r="AP103" s="886"/>
      <c r="AQ103" s="877"/>
      <c r="AR103" s="877"/>
      <c r="AS103" s="877"/>
    </row>
    <row r="104" spans="1:45">
      <c r="A104" s="359"/>
      <c r="B104" s="54"/>
      <c r="C104" s="174" t="s">
        <v>319</v>
      </c>
      <c r="D104" s="511"/>
      <c r="E104" s="174"/>
      <c r="F104" s="878">
        <f>SUM(G104:J104)/(1-'Common input data'!$B$165)</f>
        <v>4.0751979933268262E-5</v>
      </c>
      <c r="G104" s="928">
        <f>SUMPRODUCT('Input data processed products'!E$32:AC$32,'Input data processed products'!E$81:AC$81)</f>
        <v>3.6676781939941439E-5</v>
      </c>
      <c r="H104" s="877">
        <v>0</v>
      </c>
      <c r="I104" s="877">
        <v>0</v>
      </c>
      <c r="J104" s="886">
        <v>0</v>
      </c>
      <c r="K104" s="877"/>
      <c r="L104" s="879"/>
      <c r="M104" s="877"/>
      <c r="N104" s="886"/>
      <c r="O104" s="877"/>
      <c r="P104" s="879"/>
      <c r="Q104" s="877"/>
      <c r="R104" s="886"/>
      <c r="S104" s="877"/>
      <c r="T104" s="879"/>
      <c r="U104" s="877"/>
      <c r="V104" s="886"/>
      <c r="W104" s="877"/>
      <c r="X104" s="879"/>
      <c r="Y104" s="877"/>
      <c r="Z104" s="886"/>
      <c r="AA104" s="877"/>
      <c r="AB104" s="879"/>
      <c r="AC104" s="877"/>
      <c r="AD104" s="886"/>
      <c r="AE104" s="877"/>
      <c r="AF104" s="879"/>
      <c r="AG104" s="877"/>
      <c r="AH104" s="886"/>
      <c r="AI104" s="877"/>
      <c r="AJ104" s="879"/>
      <c r="AK104" s="877"/>
      <c r="AL104" s="886"/>
      <c r="AM104" s="877"/>
      <c r="AN104" s="879"/>
      <c r="AO104" s="877"/>
      <c r="AP104" s="886"/>
      <c r="AQ104" s="877"/>
      <c r="AR104" s="877"/>
      <c r="AS104" s="877"/>
    </row>
    <row r="105" spans="1:45">
      <c r="A105" s="359"/>
      <c r="B105" s="54"/>
      <c r="C105" s="55" t="s">
        <v>320</v>
      </c>
      <c r="D105" s="514"/>
      <c r="E105" s="56"/>
      <c r="F105" s="933">
        <f>SUM(G105:J105)/(1-'Common input data'!$B$165)</f>
        <v>1.0196274172337891E-4</v>
      </c>
      <c r="G105" s="928">
        <f>SUMPRODUCT('Input data processed products'!E$32:AC$32,'Input data processed products'!E$82:AC$82)</f>
        <v>9.1766467551041017E-5</v>
      </c>
      <c r="H105" s="877">
        <v>0</v>
      </c>
      <c r="I105" s="877">
        <v>0</v>
      </c>
      <c r="J105" s="886">
        <v>0</v>
      </c>
      <c r="K105" s="877"/>
      <c r="L105" s="879"/>
      <c r="M105" s="877"/>
      <c r="N105" s="886"/>
      <c r="O105" s="877"/>
      <c r="P105" s="879"/>
      <c r="Q105" s="877"/>
      <c r="R105" s="886"/>
      <c r="S105" s="877"/>
      <c r="T105" s="879"/>
      <c r="U105" s="877"/>
      <c r="V105" s="886"/>
      <c r="W105" s="877"/>
      <c r="X105" s="879"/>
      <c r="Y105" s="877"/>
      <c r="Z105" s="886"/>
      <c r="AA105" s="877"/>
      <c r="AB105" s="879"/>
      <c r="AC105" s="877"/>
      <c r="AD105" s="886"/>
      <c r="AE105" s="877"/>
      <c r="AF105" s="879"/>
      <c r="AG105" s="877"/>
      <c r="AH105" s="886"/>
      <c r="AI105" s="877"/>
      <c r="AJ105" s="879"/>
      <c r="AK105" s="877"/>
      <c r="AL105" s="886"/>
      <c r="AM105" s="877"/>
      <c r="AN105" s="879"/>
      <c r="AO105" s="877"/>
      <c r="AP105" s="886"/>
      <c r="AQ105" s="877"/>
      <c r="AR105" s="877"/>
      <c r="AS105" s="877"/>
    </row>
    <row r="106" spans="1:45">
      <c r="A106" s="374" t="s">
        <v>568</v>
      </c>
      <c r="B106" s="376"/>
      <c r="C106" s="377"/>
      <c r="D106" s="507"/>
      <c r="E106" s="462"/>
      <c r="F106" s="870" t="s">
        <v>569</v>
      </c>
      <c r="G106" s="1272"/>
      <c r="H106" s="880"/>
      <c r="I106" s="880"/>
      <c r="J106" s="938"/>
      <c r="K106" s="877"/>
      <c r="L106" s="879"/>
      <c r="M106" s="877"/>
      <c r="N106" s="886"/>
      <c r="O106" s="877"/>
      <c r="P106" s="879"/>
      <c r="Q106" s="877"/>
      <c r="R106" s="886"/>
      <c r="S106" s="877"/>
      <c r="T106" s="879"/>
      <c r="U106" s="877"/>
      <c r="V106" s="886"/>
      <c r="W106" s="877"/>
      <c r="X106" s="879"/>
      <c r="Y106" s="877"/>
      <c r="Z106" s="886"/>
      <c r="AA106" s="877"/>
      <c r="AB106" s="879"/>
      <c r="AC106" s="877"/>
      <c r="AD106" s="886"/>
      <c r="AE106" s="877"/>
      <c r="AF106" s="879"/>
      <c r="AG106" s="877"/>
      <c r="AH106" s="886"/>
      <c r="AI106" s="877"/>
      <c r="AJ106" s="879"/>
      <c r="AK106" s="877"/>
      <c r="AL106" s="886"/>
      <c r="AM106" s="877"/>
      <c r="AN106" s="879"/>
      <c r="AO106" s="877"/>
      <c r="AP106" s="886"/>
      <c r="AQ106" s="877"/>
      <c r="AR106" s="877"/>
      <c r="AS106" s="877"/>
    </row>
    <row r="107" spans="1:45">
      <c r="A107" s="381" t="s">
        <v>315</v>
      </c>
      <c r="B107" s="498">
        <f>SUM(B112:B122)</f>
        <v>1</v>
      </c>
      <c r="C107" s="384" t="s">
        <v>316</v>
      </c>
      <c r="D107" s="510"/>
      <c r="E107" s="384"/>
      <c r="F107" s="927">
        <f>SUMPRODUCT($AX$3:$AX$6,F108:F111)</f>
        <v>0.42377045112775913</v>
      </c>
      <c r="G107" s="1274"/>
      <c r="H107" s="875"/>
      <c r="I107" s="875"/>
      <c r="J107" s="981"/>
      <c r="K107" s="877"/>
      <c r="L107" s="883">
        <f>L112*$B$112+L117*$B$117+L122*$B$122</f>
        <v>0.50771168916625731</v>
      </c>
      <c r="M107" s="884">
        <f t="shared" ref="M107:AP107" si="2">M112*$B$112+M117*$B$117+M122*$B$122</f>
        <v>0.51807315221046668</v>
      </c>
      <c r="N107" s="885">
        <f t="shared" si="2"/>
        <v>0.59548638185111114</v>
      </c>
      <c r="O107" s="877"/>
      <c r="P107" s="883">
        <f t="shared" si="2"/>
        <v>0</v>
      </c>
      <c r="Q107" s="884">
        <f t="shared" si="2"/>
        <v>0</v>
      </c>
      <c r="R107" s="885">
        <f t="shared" si="2"/>
        <v>0</v>
      </c>
      <c r="S107" s="877"/>
      <c r="T107" s="883">
        <f t="shared" si="2"/>
        <v>4.6606571505294313E-3</v>
      </c>
      <c r="U107" s="884">
        <f t="shared" si="2"/>
        <v>4.755772602581052E-3</v>
      </c>
      <c r="V107" s="885">
        <f t="shared" si="2"/>
        <v>5.4664052903230492E-3</v>
      </c>
      <c r="W107" s="877"/>
      <c r="X107" s="883">
        <f t="shared" si="2"/>
        <v>2.7943058714289295E-4</v>
      </c>
      <c r="Y107" s="884">
        <f t="shared" si="2"/>
        <v>2.8513325218662545E-4</v>
      </c>
      <c r="Z107" s="885">
        <f t="shared" si="2"/>
        <v>3.2773937032945456E-4</v>
      </c>
      <c r="AA107" s="877"/>
      <c r="AB107" s="883">
        <f>AB112*$B$112+AB117*$B$117+AB122*$B$122</f>
        <v>8.1000000000000006E-4</v>
      </c>
      <c r="AC107" s="884">
        <f t="shared" si="2"/>
        <v>8.2653061224489803E-4</v>
      </c>
      <c r="AD107" s="885">
        <f t="shared" si="2"/>
        <v>9.5003518648838843E-4</v>
      </c>
      <c r="AE107" s="877"/>
      <c r="AF107" s="883">
        <f t="shared" si="2"/>
        <v>3.5914992141972689E-12</v>
      </c>
      <c r="AG107" s="884">
        <f t="shared" si="2"/>
        <v>3.6647951165278254E-12</v>
      </c>
      <c r="AH107" s="885">
        <f t="shared" si="2"/>
        <v>4.212408179917041E-12</v>
      </c>
      <c r="AI107" s="877"/>
      <c r="AJ107" s="883">
        <f t="shared" si="2"/>
        <v>3.2976038715613198E-5</v>
      </c>
      <c r="AK107" s="884">
        <f t="shared" si="2"/>
        <v>3.3649019097564488E-5</v>
      </c>
      <c r="AL107" s="885">
        <f t="shared" si="2"/>
        <v>3.8677033445476426E-5</v>
      </c>
      <c r="AM107" s="877"/>
      <c r="AN107" s="883">
        <f t="shared" si="2"/>
        <v>3.9451925559994336E-4</v>
      </c>
      <c r="AO107" s="884">
        <f t="shared" si="2"/>
        <v>4.0257066897953403E-4</v>
      </c>
      <c r="AP107" s="885">
        <f t="shared" si="2"/>
        <v>4.627249068730276E-4</v>
      </c>
      <c r="AQ107" s="877"/>
      <c r="AR107" s="877"/>
      <c r="AS107" s="877"/>
    </row>
    <row r="108" spans="1:45">
      <c r="A108" s="68"/>
      <c r="B108" s="50"/>
      <c r="C108" s="174" t="s">
        <v>317</v>
      </c>
      <c r="D108" s="517"/>
      <c r="E108" s="50"/>
      <c r="F108" s="1193">
        <f t="shared" ref="F108:J111" si="3">$B$112*F113+$B$117*F118+$B$122*F123</f>
        <v>0.38600555340437193</v>
      </c>
      <c r="G108" s="1318">
        <f t="shared" si="3"/>
        <v>0.1092854423362844</v>
      </c>
      <c r="H108" s="1170">
        <f t="shared" si="3"/>
        <v>5.4500000000000007E-2</v>
      </c>
      <c r="I108" s="1170">
        <f t="shared" si="3"/>
        <v>0.15</v>
      </c>
      <c r="J108" s="1171">
        <f t="shared" si="3"/>
        <v>6.4500000000000002E-2</v>
      </c>
      <c r="K108" s="877"/>
      <c r="L108" s="879"/>
      <c r="M108" s="877"/>
      <c r="N108" s="886"/>
      <c r="O108" s="877"/>
      <c r="P108" s="879"/>
      <c r="Q108" s="877"/>
      <c r="R108" s="886"/>
      <c r="S108" s="877"/>
      <c r="T108" s="879"/>
      <c r="U108" s="877"/>
      <c r="V108" s="886"/>
      <c r="W108" s="877"/>
      <c r="X108" s="879"/>
      <c r="Y108" s="877"/>
      <c r="Z108" s="886"/>
      <c r="AA108" s="877"/>
      <c r="AB108" s="879"/>
      <c r="AC108" s="877"/>
      <c r="AD108" s="886"/>
      <c r="AE108" s="877"/>
      <c r="AF108" s="879"/>
      <c r="AG108" s="877"/>
      <c r="AH108" s="886"/>
      <c r="AI108" s="877"/>
      <c r="AJ108" s="879"/>
      <c r="AK108" s="877"/>
      <c r="AL108" s="886"/>
      <c r="AM108" s="877"/>
      <c r="AN108" s="879"/>
      <c r="AO108" s="877"/>
      <c r="AP108" s="886"/>
      <c r="AQ108" s="877"/>
      <c r="AR108" s="877"/>
      <c r="AS108" s="877"/>
    </row>
    <row r="109" spans="1:45">
      <c r="A109" s="359"/>
      <c r="B109" s="54"/>
      <c r="C109" s="174" t="s">
        <v>321</v>
      </c>
      <c r="D109" s="517"/>
      <c r="E109" s="50"/>
      <c r="F109" s="1193">
        <f t="shared" si="3"/>
        <v>0</v>
      </c>
      <c r="G109" s="1318">
        <f t="shared" si="3"/>
        <v>0</v>
      </c>
      <c r="H109" s="1170">
        <f t="shared" si="3"/>
        <v>0</v>
      </c>
      <c r="I109" s="1170">
        <f t="shared" si="3"/>
        <v>0</v>
      </c>
      <c r="J109" s="1171">
        <f t="shared" si="3"/>
        <v>0</v>
      </c>
      <c r="K109" s="877"/>
      <c r="L109" s="879"/>
      <c r="M109" s="877"/>
      <c r="N109" s="886"/>
      <c r="O109" s="877"/>
      <c r="P109" s="879"/>
      <c r="Q109" s="877"/>
      <c r="R109" s="886"/>
      <c r="S109" s="877"/>
      <c r="T109" s="879"/>
      <c r="U109" s="877"/>
      <c r="V109" s="886"/>
      <c r="W109" s="877"/>
      <c r="X109" s="879"/>
      <c r="Y109" s="877"/>
      <c r="Z109" s="886"/>
      <c r="AA109" s="877"/>
      <c r="AB109" s="879"/>
      <c r="AC109" s="877"/>
      <c r="AD109" s="886"/>
      <c r="AE109" s="877"/>
      <c r="AF109" s="879"/>
      <c r="AG109" s="877"/>
      <c r="AH109" s="886"/>
      <c r="AI109" s="877"/>
      <c r="AJ109" s="879"/>
      <c r="AK109" s="877"/>
      <c r="AL109" s="886"/>
      <c r="AM109" s="877"/>
      <c r="AN109" s="879"/>
      <c r="AO109" s="877"/>
      <c r="AP109" s="886"/>
      <c r="AQ109" s="877"/>
      <c r="AR109" s="877"/>
      <c r="AS109" s="877"/>
    </row>
    <row r="110" spans="1:45">
      <c r="A110" s="360"/>
      <c r="B110" s="54"/>
      <c r="C110" s="174" t="s">
        <v>319</v>
      </c>
      <c r="D110" s="517"/>
      <c r="E110" s="50"/>
      <c r="F110" s="1193">
        <f t="shared" si="3"/>
        <v>2.2193136709225099E-5</v>
      </c>
      <c r="G110" s="1318">
        <f t="shared" si="3"/>
        <v>2.17492739750406E-5</v>
      </c>
      <c r="H110" s="1170">
        <f t="shared" si="3"/>
        <v>0</v>
      </c>
      <c r="I110" s="1170">
        <f t="shared" si="3"/>
        <v>0</v>
      </c>
      <c r="J110" s="1171">
        <f t="shared" si="3"/>
        <v>0</v>
      </c>
      <c r="K110" s="877"/>
      <c r="L110" s="879"/>
      <c r="M110" s="877"/>
      <c r="N110" s="886"/>
      <c r="O110" s="877"/>
      <c r="P110" s="879"/>
      <c r="Q110" s="877"/>
      <c r="R110" s="886"/>
      <c r="S110" s="877"/>
      <c r="T110" s="879"/>
      <c r="U110" s="877"/>
      <c r="V110" s="886"/>
      <c r="W110" s="877"/>
      <c r="X110" s="879"/>
      <c r="Y110" s="877"/>
      <c r="Z110" s="886"/>
      <c r="AA110" s="877"/>
      <c r="AB110" s="879"/>
      <c r="AC110" s="877"/>
      <c r="AD110" s="886"/>
      <c r="AE110" s="877"/>
      <c r="AF110" s="879"/>
      <c r="AG110" s="877"/>
      <c r="AH110" s="886"/>
      <c r="AI110" s="877"/>
      <c r="AJ110" s="879"/>
      <c r="AK110" s="877"/>
      <c r="AL110" s="886"/>
      <c r="AM110" s="877"/>
      <c r="AN110" s="879"/>
      <c r="AO110" s="877"/>
      <c r="AP110" s="886"/>
      <c r="AQ110" s="877"/>
      <c r="AR110" s="877"/>
      <c r="AS110" s="877"/>
    </row>
    <row r="111" spans="1:45">
      <c r="A111" s="360"/>
      <c r="B111" s="54"/>
      <c r="C111" s="55" t="s">
        <v>320</v>
      </c>
      <c r="D111" s="517"/>
      <c r="E111" s="50"/>
      <c r="F111" s="1193">
        <f t="shared" si="3"/>
        <v>1.6163343339422253E-4</v>
      </c>
      <c r="G111" s="1318">
        <f t="shared" si="3"/>
        <v>1.5840076472633808E-4</v>
      </c>
      <c r="H111" s="1170">
        <f t="shared" si="3"/>
        <v>0</v>
      </c>
      <c r="I111" s="1170">
        <f t="shared" si="3"/>
        <v>0</v>
      </c>
      <c r="J111" s="1171">
        <f t="shared" si="3"/>
        <v>0</v>
      </c>
      <c r="K111" s="877"/>
      <c r="L111" s="879"/>
      <c r="M111" s="877"/>
      <c r="N111" s="886"/>
      <c r="O111" s="877"/>
      <c r="P111" s="879"/>
      <c r="Q111" s="877"/>
      <c r="R111" s="886"/>
      <c r="S111" s="877"/>
      <c r="T111" s="879"/>
      <c r="U111" s="877"/>
      <c r="V111" s="886"/>
      <c r="W111" s="877"/>
      <c r="X111" s="879"/>
      <c r="Y111" s="877"/>
      <c r="Z111" s="886"/>
      <c r="AA111" s="877"/>
      <c r="AB111" s="879"/>
      <c r="AC111" s="877"/>
      <c r="AD111" s="886"/>
      <c r="AE111" s="877"/>
      <c r="AF111" s="879"/>
      <c r="AG111" s="877"/>
      <c r="AH111" s="886"/>
      <c r="AI111" s="877"/>
      <c r="AJ111" s="879"/>
      <c r="AK111" s="877"/>
      <c r="AL111" s="886"/>
      <c r="AM111" s="877"/>
      <c r="AN111" s="879"/>
      <c r="AO111" s="877"/>
      <c r="AP111" s="886"/>
      <c r="AQ111" s="877"/>
      <c r="AR111" s="877"/>
      <c r="AS111" s="877"/>
    </row>
    <row r="112" spans="1:45">
      <c r="A112" s="93" t="s">
        <v>122</v>
      </c>
      <c r="B112" s="390">
        <f>'Input data processed products'!C37</f>
        <v>0.76</v>
      </c>
      <c r="C112" s="355" t="s">
        <v>316</v>
      </c>
      <c r="D112" s="513"/>
      <c r="E112" s="355"/>
      <c r="F112" s="873">
        <f>SUMPRODUCT($AX$3:$AX$6,F113:F116)</f>
        <v>0.39590028993621867</v>
      </c>
      <c r="G112" s="1277"/>
      <c r="H112" s="884"/>
      <c r="I112" s="884"/>
      <c r="J112" s="885"/>
      <c r="K112" s="877"/>
      <c r="L112" s="879">
        <f>SUMPRODUCT('Input data processed products'!$D37:$AE37,'Input data processed products'!D$83:AE$83)</f>
        <v>0.50771168916625731</v>
      </c>
      <c r="M112" s="877">
        <f>L112/(1-'Common input data'!$B$166)</f>
        <v>0.51807315221046668</v>
      </c>
      <c r="N112" s="886">
        <f>M112/(1-'Common input data'!$B$182)</f>
        <v>0.59548638185111114</v>
      </c>
      <c r="O112" s="877"/>
      <c r="P112" s="879">
        <f>SUMPRODUCT('Input data processed products'!$D37:$AE37,'Input data processed products'!D$84:AE$84)</f>
        <v>0</v>
      </c>
      <c r="Q112" s="877">
        <f>P112/(1-'Common input data'!$B$166)</f>
        <v>0</v>
      </c>
      <c r="R112" s="886">
        <f>Q112/(1-'Common input data'!$B$182)</f>
        <v>0</v>
      </c>
      <c r="S112" s="877"/>
      <c r="T112" s="879">
        <f>SUMPRODUCT('Input data processed products'!$D37:$AE37,'Input data processed products'!D$85:AE$85)</f>
        <v>4.6606571505294313E-3</v>
      </c>
      <c r="U112" s="877">
        <f>T112/(1-'Common input data'!$B$166)</f>
        <v>4.755772602581052E-3</v>
      </c>
      <c r="V112" s="886">
        <f>U112/(1-'Common input data'!$B$182)</f>
        <v>5.4664052903230483E-3</v>
      </c>
      <c r="W112" s="877"/>
      <c r="X112" s="879">
        <f>SUMPRODUCT('Input data processed products'!$D37:$AE37,'Input data processed products'!D$86:AE$86)</f>
        <v>2.7943058714289295E-4</v>
      </c>
      <c r="Y112" s="877">
        <f>X112/(1-'Common input data'!$B$166)</f>
        <v>2.8513325218662545E-4</v>
      </c>
      <c r="Z112" s="886">
        <f>Y112/(1-'Common input data'!$B$182)</f>
        <v>3.2773937032945456E-4</v>
      </c>
      <c r="AA112" s="877"/>
      <c r="AB112" s="879">
        <f>SUMPRODUCT('Input data processed products'!$D37:$AE37,'Input data processed products'!D$87:AE$87)/$AC$2</f>
        <v>8.1000000000000006E-4</v>
      </c>
      <c r="AC112" s="877">
        <f>AB112/(1-'Common input data'!$B$166)</f>
        <v>8.2653061224489803E-4</v>
      </c>
      <c r="AD112" s="886">
        <f>AC112/(1-'Common input data'!$B$182)</f>
        <v>9.5003518648838854E-4</v>
      </c>
      <c r="AE112" s="877"/>
      <c r="AF112" s="879">
        <f>SUMPRODUCT('Input data processed products'!$D37:$AE37,'Input data processed products'!D$88:AE$88)</f>
        <v>3.5914992141972689E-12</v>
      </c>
      <c r="AG112" s="877">
        <f>AF112/(1-'Common input data'!$B$166)</f>
        <v>3.6647951165278254E-12</v>
      </c>
      <c r="AH112" s="886">
        <f>AG112/(1-'Common input data'!$B$182)</f>
        <v>4.212408179917041E-12</v>
      </c>
      <c r="AI112" s="877"/>
      <c r="AJ112" s="879">
        <f>SUMPRODUCT('Input data processed products'!$D37:$AE37,'Input data processed products'!D$89:AE$89)</f>
        <v>3.2976038715613198E-5</v>
      </c>
      <c r="AK112" s="877">
        <f>AJ112/(1-'Common input data'!$B$166)</f>
        <v>3.3649019097564488E-5</v>
      </c>
      <c r="AL112" s="886">
        <f>AK112/(1-'Common input data'!$B$182)</f>
        <v>3.8677033445476426E-5</v>
      </c>
      <c r="AM112" s="877"/>
      <c r="AN112" s="879">
        <f>SUMPRODUCT('Input data processed products'!$D37:$AE37,'Input data processed products'!D$90:AE$90)</f>
        <v>3.9451925559994336E-4</v>
      </c>
      <c r="AO112" s="877">
        <f>AN112/(1-'Common input data'!$B$166)</f>
        <v>4.0257066897953403E-4</v>
      </c>
      <c r="AP112" s="886">
        <f>AO112/(1-'Common input data'!$B$182)</f>
        <v>4.627249068730276E-4</v>
      </c>
      <c r="AQ112" s="877"/>
      <c r="AR112" s="877"/>
      <c r="AS112" s="877"/>
    </row>
    <row r="113" spans="1:355">
      <c r="A113" s="55"/>
      <c r="B113" s="50"/>
      <c r="C113" s="174" t="s">
        <v>317</v>
      </c>
      <c r="D113" s="511"/>
      <c r="E113" s="174"/>
      <c r="F113" s="878">
        <f>SUM(G113:J113)/(1-'Common input data'!$B$166)</f>
        <v>0.34620963503702495</v>
      </c>
      <c r="G113" s="928">
        <f>SUMPRODUCT('Input data processed products'!E$37:AC$37,'Input data processed products'!E$80:AC$80)</f>
        <v>0.1092854423362844</v>
      </c>
      <c r="H113" s="877">
        <f>'Input data processed products'!F$101</f>
        <v>0.05</v>
      </c>
      <c r="I113" s="877">
        <f>'Common input data'!B$106</f>
        <v>0.15</v>
      </c>
      <c r="J113" s="886">
        <f>'Common input data'!C$115</f>
        <v>0.03</v>
      </c>
      <c r="K113" s="877"/>
      <c r="L113" s="879"/>
      <c r="M113" s="877"/>
      <c r="N113" s="886"/>
      <c r="O113" s="877"/>
      <c r="P113" s="879"/>
      <c r="Q113" s="877"/>
      <c r="R113" s="886"/>
      <c r="S113" s="877"/>
      <c r="T113" s="879"/>
      <c r="U113" s="877"/>
      <c r="V113" s="886"/>
      <c r="W113" s="877"/>
      <c r="X113" s="879"/>
      <c r="Y113" s="877"/>
      <c r="Z113" s="886"/>
      <c r="AA113" s="877"/>
      <c r="AB113" s="879"/>
      <c r="AC113" s="877"/>
      <c r="AD113" s="886"/>
      <c r="AE113" s="877"/>
      <c r="AF113" s="879"/>
      <c r="AG113" s="877"/>
      <c r="AH113" s="886"/>
      <c r="AI113" s="877"/>
      <c r="AJ113" s="879"/>
      <c r="AK113" s="877"/>
      <c r="AL113" s="886"/>
      <c r="AM113" s="877"/>
      <c r="AN113" s="879"/>
      <c r="AO113" s="877"/>
      <c r="AP113" s="886"/>
      <c r="AQ113" s="877"/>
      <c r="AR113" s="877"/>
      <c r="AS113" s="877"/>
    </row>
    <row r="114" spans="1:355">
      <c r="A114" s="360"/>
      <c r="B114" s="54"/>
      <c r="C114" s="174" t="s">
        <v>321</v>
      </c>
      <c r="D114" s="511"/>
      <c r="E114" s="174"/>
      <c r="F114" s="878">
        <f>SUM(G114:J114)/(1-'Common input data'!$B$166)</f>
        <v>0</v>
      </c>
      <c r="G114" s="928">
        <v>0</v>
      </c>
      <c r="H114" s="877">
        <v>0</v>
      </c>
      <c r="I114" s="877">
        <v>0</v>
      </c>
      <c r="J114" s="886">
        <v>0</v>
      </c>
      <c r="K114" s="877"/>
      <c r="L114" s="879"/>
      <c r="M114" s="877"/>
      <c r="N114" s="886"/>
      <c r="O114" s="877"/>
      <c r="P114" s="879"/>
      <c r="Q114" s="877"/>
      <c r="R114" s="886"/>
      <c r="S114" s="877"/>
      <c r="T114" s="879"/>
      <c r="U114" s="877"/>
      <c r="V114" s="886"/>
      <c r="W114" s="877"/>
      <c r="X114" s="879"/>
      <c r="Y114" s="877"/>
      <c r="Z114" s="886"/>
      <c r="AA114" s="877"/>
      <c r="AB114" s="879"/>
      <c r="AC114" s="877"/>
      <c r="AD114" s="886"/>
      <c r="AE114" s="877"/>
      <c r="AF114" s="879"/>
      <c r="AG114" s="877"/>
      <c r="AH114" s="886"/>
      <c r="AI114" s="877"/>
      <c r="AJ114" s="879"/>
      <c r="AK114" s="877"/>
      <c r="AL114" s="886"/>
      <c r="AM114" s="877"/>
      <c r="AN114" s="879"/>
      <c r="AO114" s="877"/>
      <c r="AP114" s="886"/>
      <c r="AQ114" s="877"/>
      <c r="AR114" s="877"/>
      <c r="AS114" s="877"/>
    </row>
    <row r="115" spans="1:355">
      <c r="A115" s="360"/>
      <c r="B115" s="54"/>
      <c r="C115" s="174" t="s">
        <v>319</v>
      </c>
      <c r="D115" s="511"/>
      <c r="E115" s="174"/>
      <c r="F115" s="878">
        <f>SUM(G115:J115)/(1-'Common input data'!$B$166)</f>
        <v>2.9201495670033027E-5</v>
      </c>
      <c r="G115" s="928">
        <f>SUMPRODUCT('Input data processed products'!E$37:AC$37,'Input data processed products'!E$81:AC$81)</f>
        <v>2.8617465756632366E-5</v>
      </c>
      <c r="H115" s="877">
        <v>0</v>
      </c>
      <c r="I115" s="877">
        <v>0</v>
      </c>
      <c r="J115" s="886">
        <v>0</v>
      </c>
      <c r="K115" s="877"/>
      <c r="L115" s="879"/>
      <c r="M115" s="877"/>
      <c r="N115" s="886"/>
      <c r="O115" s="877"/>
      <c r="P115" s="879"/>
      <c r="Q115" s="877"/>
      <c r="R115" s="886"/>
      <c r="S115" s="877"/>
      <c r="T115" s="879"/>
      <c r="U115" s="877"/>
      <c r="V115" s="886"/>
      <c r="W115" s="877"/>
      <c r="X115" s="879"/>
      <c r="Y115" s="877"/>
      <c r="Z115" s="886"/>
      <c r="AA115" s="877"/>
      <c r="AB115" s="879"/>
      <c r="AC115" s="877"/>
      <c r="AD115" s="886"/>
      <c r="AE115" s="877"/>
      <c r="AF115" s="879"/>
      <c r="AG115" s="877"/>
      <c r="AH115" s="886"/>
      <c r="AI115" s="877"/>
      <c r="AJ115" s="879"/>
      <c r="AK115" s="877"/>
      <c r="AL115" s="886"/>
      <c r="AM115" s="877"/>
      <c r="AN115" s="879"/>
      <c r="AO115" s="877"/>
      <c r="AP115" s="886"/>
      <c r="AQ115" s="877"/>
      <c r="AR115" s="877"/>
      <c r="AS115" s="877"/>
    </row>
    <row r="116" spans="1:355">
      <c r="A116" s="360"/>
      <c r="B116" s="54"/>
      <c r="C116" s="55" t="s">
        <v>320</v>
      </c>
      <c r="D116" s="512"/>
      <c r="E116" s="55"/>
      <c r="F116" s="878">
        <f>SUM(G116:J116)/(1-'Common input data'!$B$166)</f>
        <v>2.1267557025555594E-4</v>
      </c>
      <c r="G116" s="928">
        <f>SUMPRODUCT('Input data processed products'!E$37:AC$37,'Input data processed products'!E$82:AC$82)</f>
        <v>2.0842205885044483E-4</v>
      </c>
      <c r="H116" s="877">
        <v>0</v>
      </c>
      <c r="I116" s="877">
        <v>0</v>
      </c>
      <c r="J116" s="886">
        <v>0</v>
      </c>
      <c r="K116" s="877"/>
      <c r="L116" s="879"/>
      <c r="M116" s="877"/>
      <c r="N116" s="886"/>
      <c r="O116" s="877"/>
      <c r="P116" s="879"/>
      <c r="Q116" s="877"/>
      <c r="R116" s="886"/>
      <c r="S116" s="877"/>
      <c r="T116" s="879"/>
      <c r="U116" s="877"/>
      <c r="V116" s="886"/>
      <c r="W116" s="877"/>
      <c r="X116" s="879"/>
      <c r="Y116" s="877"/>
      <c r="Z116" s="886"/>
      <c r="AA116" s="877"/>
      <c r="AB116" s="879"/>
      <c r="AC116" s="877"/>
      <c r="AD116" s="886"/>
      <c r="AE116" s="877"/>
      <c r="AF116" s="879"/>
      <c r="AG116" s="877"/>
      <c r="AH116" s="886"/>
      <c r="AI116" s="877"/>
      <c r="AJ116" s="879"/>
      <c r="AK116" s="877"/>
      <c r="AL116" s="886"/>
      <c r="AM116" s="877"/>
      <c r="AN116" s="879"/>
      <c r="AO116" s="877"/>
      <c r="AP116" s="886"/>
      <c r="AQ116" s="877"/>
      <c r="AR116" s="877"/>
      <c r="AS116" s="877"/>
    </row>
    <row r="117" spans="1:355">
      <c r="A117" s="93" t="s">
        <v>176</v>
      </c>
      <c r="B117" s="390">
        <f>'Input data processed products'!C38</f>
        <v>0.09</v>
      </c>
      <c r="C117" s="355" t="s">
        <v>316</v>
      </c>
      <c r="D117" s="518"/>
      <c r="E117" s="93"/>
      <c r="F117" s="873">
        <f>SUMPRODUCT($AX$3:$AX$6,F118:F121)</f>
        <v>0.39723004320029026</v>
      </c>
      <c r="G117" s="1277"/>
      <c r="H117" s="884"/>
      <c r="I117" s="884"/>
      <c r="J117" s="885"/>
      <c r="K117" s="877"/>
      <c r="L117" s="879">
        <f>SUMPRODUCT('Input data processed products'!$D38:$AE38,'Input data processed products'!D$83:AE$83)</f>
        <v>0.50771168916625731</v>
      </c>
      <c r="M117" s="877">
        <f>L117/(1-'Common input data'!$B$166)</f>
        <v>0.51807315221046668</v>
      </c>
      <c r="N117" s="886">
        <f>M117/(1-'Common input data'!$B$182)</f>
        <v>0.59548638185111114</v>
      </c>
      <c r="O117" s="877"/>
      <c r="P117" s="879">
        <f>SUMPRODUCT('Input data processed products'!$D38:$AE38,'Input data processed products'!D$84:AE$84)</f>
        <v>0</v>
      </c>
      <c r="Q117" s="877">
        <f>P117/(1-'Common input data'!$B$166)</f>
        <v>0</v>
      </c>
      <c r="R117" s="886">
        <f>Q117/(1-'Common input data'!$B$182)</f>
        <v>0</v>
      </c>
      <c r="S117" s="877"/>
      <c r="T117" s="879">
        <f>SUMPRODUCT('Input data processed products'!$D38:$AE38,'Input data processed products'!D$85:AE$85)</f>
        <v>4.6606571505294313E-3</v>
      </c>
      <c r="U117" s="877">
        <f>T117/(1-'Common input data'!$B$166)</f>
        <v>4.755772602581052E-3</v>
      </c>
      <c r="V117" s="886">
        <f>U117/(1-'Common input data'!$B$182)</f>
        <v>5.4664052903230483E-3</v>
      </c>
      <c r="W117" s="877"/>
      <c r="X117" s="879">
        <f>SUMPRODUCT('Input data processed products'!$D38:$AE38,'Input data processed products'!D$86:AE$86)</f>
        <v>2.7943058714289295E-4</v>
      </c>
      <c r="Y117" s="877">
        <f>X117/(1-'Common input data'!$B$166)</f>
        <v>2.8513325218662545E-4</v>
      </c>
      <c r="Z117" s="886">
        <f>Y117/(1-'Common input data'!$B$182)</f>
        <v>3.2773937032945456E-4</v>
      </c>
      <c r="AA117" s="877"/>
      <c r="AB117" s="879">
        <f>SUMPRODUCT('Input data processed products'!$D38:$AE38,'Input data processed products'!D$87:AE$87)/$AC$2</f>
        <v>8.1000000000000006E-4</v>
      </c>
      <c r="AC117" s="877">
        <f>AB117/(1-'Common input data'!$B$166)</f>
        <v>8.2653061224489803E-4</v>
      </c>
      <c r="AD117" s="886">
        <f>AC117/(1-'Common input data'!$B$182)</f>
        <v>9.5003518648838854E-4</v>
      </c>
      <c r="AE117" s="877"/>
      <c r="AF117" s="879">
        <f>SUMPRODUCT('Input data processed products'!$D38:$AE38,'Input data processed products'!D$88:AE$88)</f>
        <v>3.5914992141972689E-12</v>
      </c>
      <c r="AG117" s="877">
        <f>AF117/(1-'Common input data'!$B$166)</f>
        <v>3.6647951165278254E-12</v>
      </c>
      <c r="AH117" s="886">
        <f>AG117/(1-'Common input data'!$B$182)</f>
        <v>4.212408179917041E-12</v>
      </c>
      <c r="AI117" s="877"/>
      <c r="AJ117" s="879">
        <f>SUMPRODUCT('Input data processed products'!$D38:$AE38,'Input data processed products'!D$89:AE$89)</f>
        <v>3.2976038715613198E-5</v>
      </c>
      <c r="AK117" s="877">
        <f>AJ117/(1-'Common input data'!$B$166)</f>
        <v>3.3649019097564488E-5</v>
      </c>
      <c r="AL117" s="886">
        <f>AK117/(1-'Common input data'!$B$182)</f>
        <v>3.8677033445476426E-5</v>
      </c>
      <c r="AM117" s="877"/>
      <c r="AN117" s="879">
        <f>SUMPRODUCT('Input data processed products'!$D38:$AE38,'Input data processed products'!D$90:AE$90)</f>
        <v>3.9451925559994336E-4</v>
      </c>
      <c r="AO117" s="877">
        <f>AN117/(1-'Common input data'!$B$166)</f>
        <v>4.0257066897953403E-4</v>
      </c>
      <c r="AP117" s="886">
        <f>AO117/(1-'Common input data'!$B$182)</f>
        <v>4.627249068730276E-4</v>
      </c>
      <c r="AQ117" s="877"/>
      <c r="AR117" s="877"/>
      <c r="AS117" s="877"/>
    </row>
    <row r="118" spans="1:355">
      <c r="A118" s="55"/>
      <c r="B118" s="50"/>
      <c r="C118" s="174" t="s">
        <v>317</v>
      </c>
      <c r="D118" s="512"/>
      <c r="E118" s="55"/>
      <c r="F118" s="878">
        <f>SUM(G118:J118)/(1-'Common input data'!$B$166)</f>
        <v>0.39723004320029026</v>
      </c>
      <c r="G118" s="928">
        <f>SUMPRODUCT('Input data processed products'!E$38:AC$38,'Input data processed products'!E$80:AC$80)</f>
        <v>0.1092854423362844</v>
      </c>
      <c r="H118" s="877">
        <f>'Input data processed products'!F$101</f>
        <v>0.05</v>
      </c>
      <c r="I118" s="877">
        <f>'Common input data'!B$106</f>
        <v>0.15</v>
      </c>
      <c r="J118" s="886">
        <f>'Common input data'!B115+'Common input data'!C115</f>
        <v>0.08</v>
      </c>
      <c r="K118" s="877"/>
      <c r="L118" s="879"/>
      <c r="M118" s="877"/>
      <c r="N118" s="886"/>
      <c r="O118" s="877"/>
      <c r="P118" s="879"/>
      <c r="Q118" s="877"/>
      <c r="R118" s="886"/>
      <c r="S118" s="877"/>
      <c r="T118" s="879"/>
      <c r="U118" s="877"/>
      <c r="V118" s="886"/>
      <c r="W118" s="877"/>
      <c r="X118" s="879"/>
      <c r="Y118" s="877"/>
      <c r="Z118" s="886"/>
      <c r="AA118" s="877"/>
      <c r="AB118" s="879"/>
      <c r="AC118" s="877"/>
      <c r="AD118" s="886"/>
      <c r="AE118" s="877"/>
      <c r="AF118" s="879"/>
      <c r="AG118" s="877"/>
      <c r="AH118" s="886"/>
      <c r="AI118" s="877"/>
      <c r="AJ118" s="879"/>
      <c r="AK118" s="877"/>
      <c r="AL118" s="886"/>
      <c r="AM118" s="877"/>
      <c r="AN118" s="879"/>
      <c r="AO118" s="877"/>
      <c r="AP118" s="886"/>
      <c r="AQ118" s="877"/>
      <c r="AR118" s="877"/>
      <c r="AS118" s="877"/>
    </row>
    <row r="119" spans="1:355">
      <c r="A119" s="360"/>
      <c r="B119" s="54"/>
      <c r="C119" s="174" t="s">
        <v>321</v>
      </c>
      <c r="D119" s="512"/>
      <c r="E119" s="55"/>
      <c r="F119" s="878">
        <f>SUM(G119:J119)/(1-'Common input data'!$B$166)</f>
        <v>0</v>
      </c>
      <c r="G119" s="928">
        <v>0</v>
      </c>
      <c r="H119" s="877">
        <v>0</v>
      </c>
      <c r="I119" s="877">
        <v>0</v>
      </c>
      <c r="J119" s="886">
        <v>0</v>
      </c>
      <c r="K119" s="877"/>
      <c r="L119" s="879"/>
      <c r="M119" s="877"/>
      <c r="N119" s="886"/>
      <c r="O119" s="877"/>
      <c r="P119" s="879"/>
      <c r="Q119" s="877"/>
      <c r="R119" s="886"/>
      <c r="S119" s="877"/>
      <c r="T119" s="879"/>
      <c r="U119" s="877"/>
      <c r="V119" s="886"/>
      <c r="W119" s="877"/>
      <c r="X119" s="879"/>
      <c r="Y119" s="877"/>
      <c r="Z119" s="886"/>
      <c r="AA119" s="877"/>
      <c r="AB119" s="879"/>
      <c r="AC119" s="877"/>
      <c r="AD119" s="886"/>
      <c r="AE119" s="877"/>
      <c r="AF119" s="879"/>
      <c r="AG119" s="877"/>
      <c r="AH119" s="886"/>
      <c r="AI119" s="877"/>
      <c r="AJ119" s="879"/>
      <c r="AK119" s="877"/>
      <c r="AL119" s="886"/>
      <c r="AM119" s="877"/>
      <c r="AN119" s="879"/>
      <c r="AO119" s="877"/>
      <c r="AP119" s="886"/>
      <c r="AQ119" s="877"/>
      <c r="AR119" s="877"/>
      <c r="AS119" s="877"/>
    </row>
    <row r="120" spans="1:355">
      <c r="A120" s="360"/>
      <c r="B120" s="54"/>
      <c r="C120" s="174" t="s">
        <v>319</v>
      </c>
      <c r="D120" s="512"/>
      <c r="E120" s="55"/>
      <c r="F120" s="878">
        <f>SUM(G120:J120)/(1-'Common input data'!$B$166)</f>
        <v>0</v>
      </c>
      <c r="G120" s="928">
        <v>0</v>
      </c>
      <c r="H120" s="877">
        <v>0</v>
      </c>
      <c r="I120" s="877">
        <v>0</v>
      </c>
      <c r="J120" s="886">
        <v>0</v>
      </c>
      <c r="K120" s="877"/>
      <c r="L120" s="879"/>
      <c r="M120" s="877"/>
      <c r="N120" s="886"/>
      <c r="O120" s="877"/>
      <c r="P120" s="879"/>
      <c r="Q120" s="877"/>
      <c r="R120" s="886"/>
      <c r="S120" s="877"/>
      <c r="T120" s="879"/>
      <c r="U120" s="877"/>
      <c r="V120" s="886"/>
      <c r="W120" s="877"/>
      <c r="X120" s="879"/>
      <c r="Y120" s="877"/>
      <c r="Z120" s="886"/>
      <c r="AA120" s="877"/>
      <c r="AB120" s="879"/>
      <c r="AC120" s="877"/>
      <c r="AD120" s="886"/>
      <c r="AE120" s="877"/>
      <c r="AF120" s="879"/>
      <c r="AG120" s="877"/>
      <c r="AH120" s="886"/>
      <c r="AI120" s="877"/>
      <c r="AJ120" s="879"/>
      <c r="AK120" s="877"/>
      <c r="AL120" s="886"/>
      <c r="AM120" s="877"/>
      <c r="AN120" s="879"/>
      <c r="AO120" s="877"/>
      <c r="AP120" s="886"/>
      <c r="AQ120" s="877"/>
      <c r="AR120" s="877"/>
      <c r="AS120" s="877"/>
    </row>
    <row r="121" spans="1:355">
      <c r="A121" s="360"/>
      <c r="B121" s="54"/>
      <c r="C121" s="55" t="s">
        <v>320</v>
      </c>
      <c r="D121" s="512"/>
      <c r="E121" s="55"/>
      <c r="F121" s="878">
        <f>SUM(G121:J121)/(1-'Common input data'!$B$166)</f>
        <v>0</v>
      </c>
      <c r="G121" s="928">
        <v>0</v>
      </c>
      <c r="H121" s="877">
        <v>0</v>
      </c>
      <c r="I121" s="877">
        <v>0</v>
      </c>
      <c r="J121" s="886">
        <v>0</v>
      </c>
      <c r="K121" s="877"/>
      <c r="L121" s="879"/>
      <c r="M121" s="877"/>
      <c r="N121" s="886"/>
      <c r="O121" s="877"/>
      <c r="P121" s="879"/>
      <c r="Q121" s="877"/>
      <c r="R121" s="886"/>
      <c r="S121" s="877"/>
      <c r="T121" s="879"/>
      <c r="U121" s="877"/>
      <c r="V121" s="886"/>
      <c r="W121" s="877"/>
      <c r="X121" s="879"/>
      <c r="Y121" s="877"/>
      <c r="Z121" s="886"/>
      <c r="AA121" s="877"/>
      <c r="AB121" s="879"/>
      <c r="AC121" s="877"/>
      <c r="AD121" s="886"/>
      <c r="AE121" s="877"/>
      <c r="AF121" s="879"/>
      <c r="AG121" s="877"/>
      <c r="AH121" s="886"/>
      <c r="AI121" s="877"/>
      <c r="AJ121" s="879"/>
      <c r="AK121" s="877"/>
      <c r="AL121" s="886"/>
      <c r="AM121" s="877"/>
      <c r="AN121" s="879"/>
      <c r="AO121" s="877"/>
      <c r="AP121" s="886"/>
      <c r="AQ121" s="877"/>
      <c r="AR121" s="877"/>
      <c r="AS121" s="877"/>
    </row>
    <row r="122" spans="1:355">
      <c r="A122" s="93" t="s">
        <v>125</v>
      </c>
      <c r="B122" s="390">
        <f>'Input data processed products'!C39</f>
        <v>0.15</v>
      </c>
      <c r="C122" s="355" t="s">
        <v>316</v>
      </c>
      <c r="D122" s="518"/>
      <c r="E122" s="93"/>
      <c r="F122" s="873">
        <f>SUMPRODUCT($AX$3:$AX$6,F123:F126)</f>
        <v>0.5809035125880454</v>
      </c>
      <c r="G122" s="1277"/>
      <c r="H122" s="884"/>
      <c r="I122" s="884"/>
      <c r="J122" s="885"/>
      <c r="K122" s="877"/>
      <c r="L122" s="879">
        <f>SUMPRODUCT('Input data processed products'!$D39:$AE39,'Input data processed products'!D$83:AE$83)</f>
        <v>0.50771168916625731</v>
      </c>
      <c r="M122" s="877">
        <f>L122/(1-'Common input data'!$B$166)</f>
        <v>0.51807315221046668</v>
      </c>
      <c r="N122" s="886">
        <f>M122/(1-'Common input data'!$B$182)</f>
        <v>0.59548638185111114</v>
      </c>
      <c r="O122" s="877"/>
      <c r="P122" s="879">
        <f>SUMPRODUCT('Input data processed products'!$D39:$AE39,'Input data processed products'!D$84:AE$84)</f>
        <v>0</v>
      </c>
      <c r="Q122" s="877">
        <f>P122/(1-'Common input data'!$B$166)</f>
        <v>0</v>
      </c>
      <c r="R122" s="886">
        <f>Q122/(1-'Common input data'!$B$182)</f>
        <v>0</v>
      </c>
      <c r="S122" s="877"/>
      <c r="T122" s="879">
        <f>SUMPRODUCT('Input data processed products'!$D39:$AE39,'Input data processed products'!D$85:AE$85)</f>
        <v>4.6606571505294313E-3</v>
      </c>
      <c r="U122" s="877">
        <f>T122/(1-'Common input data'!$B$166)</f>
        <v>4.755772602581052E-3</v>
      </c>
      <c r="V122" s="886">
        <f>U122/(1-'Common input data'!$B$182)</f>
        <v>5.4664052903230483E-3</v>
      </c>
      <c r="W122" s="877"/>
      <c r="X122" s="879">
        <f>SUMPRODUCT('Input data processed products'!$D39:$AE39,'Input data processed products'!D$86:AE$86)</f>
        <v>2.7943058714289295E-4</v>
      </c>
      <c r="Y122" s="877">
        <f>X122/(1-'Common input data'!$B$166)</f>
        <v>2.8513325218662545E-4</v>
      </c>
      <c r="Z122" s="886">
        <f>Y122/(1-'Common input data'!$B$182)</f>
        <v>3.2773937032945456E-4</v>
      </c>
      <c r="AA122" s="877"/>
      <c r="AB122" s="879">
        <f>SUMPRODUCT('Input data processed products'!$D39:$AE39,'Input data processed products'!D$87:AE$87)/$AC$2</f>
        <v>8.1000000000000006E-4</v>
      </c>
      <c r="AC122" s="877">
        <f>AB122/(1-'Common input data'!$B$166)</f>
        <v>8.2653061224489803E-4</v>
      </c>
      <c r="AD122" s="886">
        <f>AC122/(1-'Common input data'!$B$182)</f>
        <v>9.5003518648838854E-4</v>
      </c>
      <c r="AE122" s="877"/>
      <c r="AF122" s="879">
        <f>SUMPRODUCT('Input data processed products'!$D39:$AE39,'Input data processed products'!D$88:AE$88)</f>
        <v>3.5914992141972689E-12</v>
      </c>
      <c r="AG122" s="877">
        <f>AF122/(1-'Common input data'!$B$166)</f>
        <v>3.6647951165278254E-12</v>
      </c>
      <c r="AH122" s="886">
        <f>AG122/(1-'Common input data'!$B$182)</f>
        <v>4.212408179917041E-12</v>
      </c>
      <c r="AI122" s="877"/>
      <c r="AJ122" s="879">
        <f>SUMPRODUCT('Input data processed products'!$D39:$AE39,'Input data processed products'!D$89:AE$89)</f>
        <v>3.2976038715613198E-5</v>
      </c>
      <c r="AK122" s="877">
        <f>AJ122/(1-'Common input data'!$B$166)</f>
        <v>3.3649019097564488E-5</v>
      </c>
      <c r="AL122" s="886">
        <f>AK122/(1-'Common input data'!$B$182)</f>
        <v>3.8677033445476426E-5</v>
      </c>
      <c r="AM122" s="877"/>
      <c r="AN122" s="879">
        <f>SUMPRODUCT('Input data processed products'!$D39:$AE39,'Input data processed products'!D$90:AE$90)</f>
        <v>3.9451925559994336E-4</v>
      </c>
      <c r="AO122" s="877">
        <f>AN122/(1-'Common input data'!$B$166)</f>
        <v>4.0257066897953403E-4</v>
      </c>
      <c r="AP122" s="886">
        <f>AO122/(1-'Common input data'!$B$182)</f>
        <v>4.627249068730276E-4</v>
      </c>
      <c r="AQ122" s="877"/>
      <c r="AR122" s="877"/>
      <c r="AS122" s="877"/>
    </row>
    <row r="123" spans="1:355" s="515" customFormat="1">
      <c r="A123" s="55"/>
      <c r="B123" s="50"/>
      <c r="C123" s="174" t="s">
        <v>317</v>
      </c>
      <c r="D123" s="512"/>
      <c r="E123" s="55"/>
      <c r="F123" s="878">
        <f>SUM(G123:J123)/(1-'Common input data'!$B$166)</f>
        <v>0.5809035125880454</v>
      </c>
      <c r="G123" s="928">
        <f>SUMPRODUCT('Input data processed products'!E$39:AC$39,'Input data processed products'!E$80:AC$80)</f>
        <v>0.1092854423362844</v>
      </c>
      <c r="H123" s="877">
        <f>'Input data processed products'!F103</f>
        <v>0.08</v>
      </c>
      <c r="I123" s="877">
        <f>'Common input data'!B$106</f>
        <v>0.15</v>
      </c>
      <c r="J123" s="886">
        <f>'Common input data'!B119+'Common input data'!C119</f>
        <v>0.23000000000000004</v>
      </c>
      <c r="K123" s="877"/>
      <c r="L123" s="879"/>
      <c r="M123" s="877"/>
      <c r="N123" s="886"/>
      <c r="O123" s="877"/>
      <c r="P123" s="879"/>
      <c r="Q123" s="877"/>
      <c r="R123" s="886"/>
      <c r="S123" s="877"/>
      <c r="T123" s="879"/>
      <c r="U123" s="877"/>
      <c r="V123" s="886"/>
      <c r="W123" s="877"/>
      <c r="X123" s="879"/>
      <c r="Y123" s="877"/>
      <c r="Z123" s="886"/>
      <c r="AA123" s="877"/>
      <c r="AB123" s="879"/>
      <c r="AC123" s="877"/>
      <c r="AD123" s="886"/>
      <c r="AE123" s="877"/>
      <c r="AF123" s="879"/>
      <c r="AG123" s="877"/>
      <c r="AH123" s="886"/>
      <c r="AI123" s="877"/>
      <c r="AJ123" s="879"/>
      <c r="AK123" s="877"/>
      <c r="AL123" s="886"/>
      <c r="AM123" s="877"/>
      <c r="AN123" s="879"/>
      <c r="AO123" s="877"/>
      <c r="AP123" s="886"/>
      <c r="AQ123" s="877"/>
      <c r="AR123" s="877"/>
      <c r="AS123" s="877"/>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row>
    <row r="124" spans="1:355" s="95" customFormat="1">
      <c r="A124" s="359"/>
      <c r="B124" s="54"/>
      <c r="C124" s="174" t="s">
        <v>321</v>
      </c>
      <c r="D124" s="512"/>
      <c r="E124" s="55"/>
      <c r="F124" s="878">
        <f>SUM(G124:J124)/(1-'Common input data'!$B$166)</f>
        <v>0</v>
      </c>
      <c r="G124" s="928">
        <v>0</v>
      </c>
      <c r="H124" s="877">
        <v>0</v>
      </c>
      <c r="I124" s="877">
        <v>0</v>
      </c>
      <c r="J124" s="886">
        <v>0</v>
      </c>
      <c r="K124" s="877"/>
      <c r="L124" s="879"/>
      <c r="M124" s="877"/>
      <c r="N124" s="886"/>
      <c r="O124" s="877"/>
      <c r="P124" s="879"/>
      <c r="Q124" s="877"/>
      <c r="R124" s="886"/>
      <c r="S124" s="877"/>
      <c r="T124" s="879"/>
      <c r="U124" s="877"/>
      <c r="V124" s="886"/>
      <c r="W124" s="877"/>
      <c r="X124" s="879"/>
      <c r="Y124" s="877"/>
      <c r="Z124" s="886"/>
      <c r="AA124" s="877"/>
      <c r="AB124" s="879"/>
      <c r="AC124" s="877"/>
      <c r="AD124" s="886"/>
      <c r="AE124" s="877"/>
      <c r="AF124" s="879"/>
      <c r="AG124" s="877"/>
      <c r="AH124" s="886"/>
      <c r="AI124" s="877"/>
      <c r="AJ124" s="879"/>
      <c r="AK124" s="877"/>
      <c r="AL124" s="886"/>
      <c r="AM124" s="877"/>
      <c r="AN124" s="879"/>
      <c r="AO124" s="877"/>
      <c r="AP124" s="886"/>
      <c r="AQ124" s="877"/>
      <c r="AR124" s="877"/>
      <c r="AS124" s="877"/>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c r="MA124"/>
      <c r="MB124"/>
      <c r="MC124"/>
      <c r="MD124"/>
      <c r="ME124"/>
      <c r="MF124"/>
      <c r="MG124"/>
      <c r="MH124"/>
      <c r="MI124"/>
      <c r="MJ124"/>
      <c r="MK124"/>
      <c r="ML124"/>
      <c r="MM124"/>
      <c r="MN124"/>
      <c r="MO124"/>
      <c r="MP124"/>
      <c r="MQ124"/>
    </row>
    <row r="125" spans="1:355">
      <c r="A125" s="359"/>
      <c r="B125" s="54"/>
      <c r="C125" s="174" t="s">
        <v>319</v>
      </c>
      <c r="D125" s="512"/>
      <c r="E125" s="55"/>
      <c r="F125" s="878">
        <f>SUM(G125:J125)/(1-'Common input data'!$B$166)</f>
        <v>0</v>
      </c>
      <c r="G125" s="928">
        <v>0</v>
      </c>
      <c r="H125" s="877">
        <v>0</v>
      </c>
      <c r="I125" s="877">
        <v>0</v>
      </c>
      <c r="J125" s="886">
        <v>0</v>
      </c>
      <c r="K125" s="877"/>
      <c r="L125" s="879"/>
      <c r="M125" s="877"/>
      <c r="N125" s="886"/>
      <c r="O125" s="877"/>
      <c r="P125" s="879"/>
      <c r="Q125" s="877"/>
      <c r="R125" s="886"/>
      <c r="S125" s="877"/>
      <c r="T125" s="879"/>
      <c r="U125" s="877"/>
      <c r="V125" s="886"/>
      <c r="W125" s="877"/>
      <c r="X125" s="879"/>
      <c r="Y125" s="877"/>
      <c r="Z125" s="886"/>
      <c r="AA125" s="877"/>
      <c r="AB125" s="879"/>
      <c r="AC125" s="877"/>
      <c r="AD125" s="886"/>
      <c r="AE125" s="877"/>
      <c r="AF125" s="879"/>
      <c r="AG125" s="877"/>
      <c r="AH125" s="886"/>
      <c r="AI125" s="877"/>
      <c r="AJ125" s="879"/>
      <c r="AK125" s="877"/>
      <c r="AL125" s="886"/>
      <c r="AM125" s="877"/>
      <c r="AN125" s="879"/>
      <c r="AO125" s="877"/>
      <c r="AP125" s="886"/>
      <c r="AQ125" s="877"/>
      <c r="AR125" s="877"/>
      <c r="AS125" s="877"/>
    </row>
    <row r="126" spans="1:355">
      <c r="A126" s="359"/>
      <c r="B126" s="54"/>
      <c r="C126" s="55" t="s">
        <v>320</v>
      </c>
      <c r="D126" s="514"/>
      <c r="E126" s="56"/>
      <c r="F126" s="933">
        <f>SUM(G126:J126)/(1-'Common input data'!$B$166)</f>
        <v>0</v>
      </c>
      <c r="G126" s="928">
        <v>0</v>
      </c>
      <c r="H126" s="877">
        <v>0</v>
      </c>
      <c r="I126" s="877">
        <v>0</v>
      </c>
      <c r="J126" s="886">
        <v>0</v>
      </c>
      <c r="K126" s="877"/>
      <c r="L126" s="879"/>
      <c r="M126" s="877"/>
      <c r="N126" s="886"/>
      <c r="O126" s="877"/>
      <c r="P126" s="879"/>
      <c r="Q126" s="877"/>
      <c r="R126" s="886"/>
      <c r="S126" s="877"/>
      <c r="T126" s="879"/>
      <c r="U126" s="877"/>
      <c r="V126" s="886"/>
      <c r="W126" s="877"/>
      <c r="X126" s="879"/>
      <c r="Y126" s="877"/>
      <c r="Z126" s="886"/>
      <c r="AA126" s="877"/>
      <c r="AB126" s="879"/>
      <c r="AC126" s="877"/>
      <c r="AD126" s="886"/>
      <c r="AE126" s="877"/>
      <c r="AF126" s="879"/>
      <c r="AG126" s="877"/>
      <c r="AH126" s="886"/>
      <c r="AI126" s="877"/>
      <c r="AJ126" s="879"/>
      <c r="AK126" s="877"/>
      <c r="AL126" s="886"/>
      <c r="AM126" s="877"/>
      <c r="AN126" s="879"/>
      <c r="AO126" s="877"/>
      <c r="AP126" s="886"/>
      <c r="AQ126" s="877"/>
      <c r="AR126" s="877"/>
      <c r="AS126" s="877"/>
    </row>
    <row r="127" spans="1:355">
      <c r="A127" s="374" t="s">
        <v>570</v>
      </c>
      <c r="B127" s="376"/>
      <c r="C127" s="377"/>
      <c r="D127" s="507"/>
      <c r="E127" s="462"/>
      <c r="F127" s="870" t="s">
        <v>571</v>
      </c>
      <c r="G127" s="1272"/>
      <c r="H127" s="880"/>
      <c r="I127" s="880"/>
      <c r="J127" s="938"/>
      <c r="K127" s="877"/>
      <c r="L127" s="879"/>
      <c r="M127" s="877"/>
      <c r="N127" s="886"/>
      <c r="O127" s="877"/>
      <c r="P127" s="879"/>
      <c r="Q127" s="877"/>
      <c r="R127" s="886"/>
      <c r="S127" s="877"/>
      <c r="T127" s="879"/>
      <c r="U127" s="877"/>
      <c r="V127" s="886"/>
      <c r="W127" s="877"/>
      <c r="X127" s="879"/>
      <c r="Y127" s="877"/>
      <c r="Z127" s="886"/>
      <c r="AA127" s="877"/>
      <c r="AB127" s="879"/>
      <c r="AC127" s="877"/>
      <c r="AD127" s="886"/>
      <c r="AE127" s="877"/>
      <c r="AF127" s="879"/>
      <c r="AG127" s="877"/>
      <c r="AH127" s="886"/>
      <c r="AI127" s="877"/>
      <c r="AJ127" s="879"/>
      <c r="AK127" s="877"/>
      <c r="AL127" s="886"/>
      <c r="AM127" s="877"/>
      <c r="AN127" s="879"/>
      <c r="AO127" s="877"/>
      <c r="AP127" s="886"/>
      <c r="AQ127" s="877"/>
      <c r="AR127" s="877"/>
      <c r="AS127" s="877"/>
    </row>
    <row r="128" spans="1:355" s="515" customFormat="1">
      <c r="A128" s="381" t="s">
        <v>315</v>
      </c>
      <c r="B128" s="498">
        <f>SUM(B133:B143)</f>
        <v>1</v>
      </c>
      <c r="C128" s="384" t="s">
        <v>316</v>
      </c>
      <c r="D128" s="510"/>
      <c r="E128" s="384"/>
      <c r="F128" s="927">
        <f>SUMPRODUCT($AX$3:$AX$6,F129:F132)</f>
        <v>0.27724057772117233</v>
      </c>
      <c r="G128" s="1274"/>
      <c r="H128" s="875"/>
      <c r="I128" s="875"/>
      <c r="J128" s="981"/>
      <c r="K128" s="877"/>
      <c r="L128" s="883">
        <f>L133*$B$133+L138*$B$138+L143*$B$143</f>
        <v>0</v>
      </c>
      <c r="M128" s="884">
        <f t="shared" ref="M128:AP128" si="4">M133*$B$133+M138*$B$138+M143*$B$143</f>
        <v>0</v>
      </c>
      <c r="N128" s="885">
        <f t="shared" si="4"/>
        <v>0</v>
      </c>
      <c r="O128" s="877"/>
      <c r="P128" s="883">
        <f t="shared" si="4"/>
        <v>0</v>
      </c>
      <c r="Q128" s="884">
        <f t="shared" si="4"/>
        <v>0</v>
      </c>
      <c r="R128" s="885">
        <f t="shared" si="4"/>
        <v>0</v>
      </c>
      <c r="S128" s="877"/>
      <c r="T128" s="883">
        <f t="shared" si="4"/>
        <v>0</v>
      </c>
      <c r="U128" s="884">
        <f t="shared" si="4"/>
        <v>0</v>
      </c>
      <c r="V128" s="885">
        <f t="shared" si="4"/>
        <v>0</v>
      </c>
      <c r="W128" s="877"/>
      <c r="X128" s="883">
        <f t="shared" si="4"/>
        <v>0</v>
      </c>
      <c r="Y128" s="884">
        <f t="shared" si="4"/>
        <v>0</v>
      </c>
      <c r="Z128" s="885">
        <f t="shared" si="4"/>
        <v>0</v>
      </c>
      <c r="AA128" s="877"/>
      <c r="AB128" s="883">
        <f t="shared" si="4"/>
        <v>1E-3</v>
      </c>
      <c r="AC128" s="884">
        <f t="shared" si="4"/>
        <v>0</v>
      </c>
      <c r="AD128" s="885">
        <f t="shared" si="4"/>
        <v>0</v>
      </c>
      <c r="AE128" s="877"/>
      <c r="AF128" s="883">
        <f t="shared" si="4"/>
        <v>0</v>
      </c>
      <c r="AG128" s="884">
        <f t="shared" si="4"/>
        <v>0</v>
      </c>
      <c r="AH128" s="885">
        <f t="shared" si="4"/>
        <v>0</v>
      </c>
      <c r="AI128" s="877"/>
      <c r="AJ128" s="883">
        <f t="shared" si="4"/>
        <v>0</v>
      </c>
      <c r="AK128" s="884">
        <f t="shared" si="4"/>
        <v>0</v>
      </c>
      <c r="AL128" s="885">
        <f t="shared" si="4"/>
        <v>0</v>
      </c>
      <c r="AM128" s="877"/>
      <c r="AN128" s="883">
        <f t="shared" si="4"/>
        <v>0</v>
      </c>
      <c r="AO128" s="884">
        <f t="shared" si="4"/>
        <v>0</v>
      </c>
      <c r="AP128" s="885">
        <f t="shared" si="4"/>
        <v>0</v>
      </c>
      <c r="AQ128" s="877"/>
      <c r="AR128" s="877"/>
      <c r="AS128" s="877"/>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c r="MA128"/>
      <c r="MB128"/>
      <c r="MC128"/>
      <c r="MD128"/>
      <c r="ME128"/>
      <c r="MF128"/>
      <c r="MG128"/>
      <c r="MH128"/>
      <c r="MI128"/>
      <c r="MJ128"/>
      <c r="MK128"/>
      <c r="ML128"/>
      <c r="MM128"/>
      <c r="MN128"/>
      <c r="MO128"/>
      <c r="MP128"/>
      <c r="MQ128"/>
    </row>
    <row r="129" spans="1:355" s="95" customFormat="1">
      <c r="A129" s="68"/>
      <c r="B129" s="50"/>
      <c r="C129" s="174" t="s">
        <v>317</v>
      </c>
      <c r="D129" s="511"/>
      <c r="E129" s="174"/>
      <c r="F129" s="878">
        <f t="shared" ref="F129:J130" si="5">$B$133*F134+$B$138*F139+$B$143*F144</f>
        <v>0.27724057772117233</v>
      </c>
      <c r="G129" s="928">
        <f t="shared" si="5"/>
        <v>0</v>
      </c>
      <c r="H129" s="877">
        <f t="shared" si="5"/>
        <v>5.4742176954745134E-2</v>
      </c>
      <c r="I129" s="877">
        <f t="shared" si="5"/>
        <v>0.15</v>
      </c>
      <c r="J129" s="886">
        <f t="shared" si="5"/>
        <v>7.2498400766427162E-2</v>
      </c>
      <c r="K129" s="877"/>
      <c r="L129" s="879"/>
      <c r="M129" s="877"/>
      <c r="N129" s="886"/>
      <c r="O129" s="877"/>
      <c r="P129" s="879"/>
      <c r="Q129" s="877"/>
      <c r="R129" s="886"/>
      <c r="S129" s="877"/>
      <c r="T129" s="879"/>
      <c r="U129" s="877"/>
      <c r="V129" s="886"/>
      <c r="W129" s="877"/>
      <c r="X129" s="879"/>
      <c r="Y129" s="877"/>
      <c r="Z129" s="886"/>
      <c r="AA129" s="877"/>
      <c r="AB129" s="879"/>
      <c r="AC129" s="877"/>
      <c r="AD129" s="886"/>
      <c r="AE129" s="877"/>
      <c r="AF129" s="879"/>
      <c r="AG129" s="877"/>
      <c r="AH129" s="886"/>
      <c r="AI129" s="877"/>
      <c r="AJ129" s="879"/>
      <c r="AK129" s="877"/>
      <c r="AL129" s="886"/>
      <c r="AM129" s="877"/>
      <c r="AN129" s="879"/>
      <c r="AO129" s="877"/>
      <c r="AP129" s="886"/>
      <c r="AQ129" s="877"/>
      <c r="AR129" s="877"/>
      <c r="AS129" s="877"/>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c r="MO129"/>
      <c r="MP129"/>
      <c r="MQ129"/>
    </row>
    <row r="130" spans="1:355">
      <c r="A130" s="359"/>
      <c r="B130" s="54"/>
      <c r="C130" s="174" t="s">
        <v>321</v>
      </c>
      <c r="D130" s="511"/>
      <c r="E130" s="174"/>
      <c r="F130" s="878">
        <f t="shared" si="5"/>
        <v>0</v>
      </c>
      <c r="G130" s="928">
        <f t="shared" si="5"/>
        <v>0</v>
      </c>
      <c r="H130" s="877">
        <f t="shared" si="5"/>
        <v>0</v>
      </c>
      <c r="I130" s="877">
        <f t="shared" si="5"/>
        <v>0</v>
      </c>
      <c r="J130" s="886">
        <f t="shared" si="5"/>
        <v>0</v>
      </c>
      <c r="K130" s="877"/>
      <c r="L130" s="879"/>
      <c r="M130" s="877"/>
      <c r="N130" s="886"/>
      <c r="O130" s="877"/>
      <c r="P130" s="879"/>
      <c r="Q130" s="877"/>
      <c r="R130" s="886"/>
      <c r="S130" s="877"/>
      <c r="T130" s="879"/>
      <c r="U130" s="877"/>
      <c r="V130" s="886"/>
      <c r="W130" s="877"/>
      <c r="X130" s="879"/>
      <c r="Y130" s="877"/>
      <c r="Z130" s="886"/>
      <c r="AA130" s="877"/>
      <c r="AB130" s="879"/>
      <c r="AC130" s="877"/>
      <c r="AD130" s="886"/>
      <c r="AE130" s="877"/>
      <c r="AF130" s="879"/>
      <c r="AG130" s="877"/>
      <c r="AH130" s="886"/>
      <c r="AI130" s="877"/>
      <c r="AJ130" s="879"/>
      <c r="AK130" s="877"/>
      <c r="AL130" s="886"/>
      <c r="AM130" s="877"/>
      <c r="AN130" s="879"/>
      <c r="AO130" s="877"/>
      <c r="AP130" s="886"/>
      <c r="AQ130" s="877"/>
      <c r="AR130" s="877"/>
      <c r="AS130" s="877"/>
    </row>
    <row r="131" spans="1:355">
      <c r="A131" s="359"/>
      <c r="B131" s="54"/>
      <c r="C131" s="174" t="s">
        <v>319</v>
      </c>
      <c r="D131" s="511"/>
      <c r="E131" s="174"/>
      <c r="F131" s="878">
        <f>$B$133*F136+$B$138*F141+$B$143*F146</f>
        <v>0</v>
      </c>
      <c r="G131" s="928">
        <v>0</v>
      </c>
      <c r="H131" s="877">
        <v>0</v>
      </c>
      <c r="I131" s="877">
        <v>0</v>
      </c>
      <c r="J131" s="886">
        <v>0</v>
      </c>
      <c r="K131" s="877"/>
      <c r="L131" s="879"/>
      <c r="M131" s="877"/>
      <c r="N131" s="886"/>
      <c r="O131" s="877"/>
      <c r="P131" s="879"/>
      <c r="Q131" s="877"/>
      <c r="R131" s="886"/>
      <c r="S131" s="877"/>
      <c r="T131" s="879"/>
      <c r="U131" s="877"/>
      <c r="V131" s="886"/>
      <c r="W131" s="877"/>
      <c r="X131" s="879"/>
      <c r="Y131" s="877"/>
      <c r="Z131" s="886"/>
      <c r="AA131" s="877"/>
      <c r="AB131" s="879"/>
      <c r="AC131" s="877"/>
      <c r="AD131" s="886"/>
      <c r="AE131" s="877"/>
      <c r="AF131" s="879"/>
      <c r="AG131" s="877"/>
      <c r="AH131" s="886"/>
      <c r="AI131" s="877"/>
      <c r="AJ131" s="879"/>
      <c r="AK131" s="877"/>
      <c r="AL131" s="886"/>
      <c r="AM131" s="877"/>
      <c r="AN131" s="879"/>
      <c r="AO131" s="877"/>
      <c r="AP131" s="886"/>
      <c r="AQ131" s="877"/>
      <c r="AR131" s="877"/>
      <c r="AS131" s="877"/>
    </row>
    <row r="132" spans="1:355">
      <c r="A132" s="359"/>
      <c r="B132" s="54"/>
      <c r="C132" s="55" t="s">
        <v>320</v>
      </c>
      <c r="D132" s="512"/>
      <c r="E132" s="55"/>
      <c r="F132" s="878">
        <f>$B$133*F137+$B$138*F142+$B$143*F147</f>
        <v>0</v>
      </c>
      <c r="G132" s="928">
        <f>$B$133*G137+$B$138*G142+$B$143*G147</f>
        <v>0</v>
      </c>
      <c r="H132" s="877">
        <f>$B$133*H137+$B$138*H142+$B$143*H147</f>
        <v>0</v>
      </c>
      <c r="I132" s="877">
        <f>$B$133*I137+$B$138*I142+$B$143*I147</f>
        <v>0</v>
      </c>
      <c r="J132" s="886">
        <f>$B$133*J137+$B$138*J142+$B$143*J147</f>
        <v>0</v>
      </c>
      <c r="K132" s="877"/>
      <c r="L132" s="879"/>
      <c r="M132" s="877"/>
      <c r="N132" s="886"/>
      <c r="O132" s="877"/>
      <c r="P132" s="879"/>
      <c r="Q132" s="877"/>
      <c r="R132" s="886"/>
      <c r="S132" s="877"/>
      <c r="T132" s="879"/>
      <c r="U132" s="877"/>
      <c r="V132" s="886"/>
      <c r="W132" s="877"/>
      <c r="X132" s="879"/>
      <c r="Y132" s="877"/>
      <c r="Z132" s="886"/>
      <c r="AA132" s="877"/>
      <c r="AB132" s="879"/>
      <c r="AC132" s="877"/>
      <c r="AD132" s="886"/>
      <c r="AE132" s="877"/>
      <c r="AF132" s="879"/>
      <c r="AG132" s="877"/>
      <c r="AH132" s="886"/>
      <c r="AI132" s="877"/>
      <c r="AJ132" s="879"/>
      <c r="AK132" s="877"/>
      <c r="AL132" s="886"/>
      <c r="AM132" s="877"/>
      <c r="AN132" s="879"/>
      <c r="AO132" s="877"/>
      <c r="AP132" s="886"/>
      <c r="AQ132" s="877"/>
      <c r="AR132" s="877"/>
      <c r="AS132" s="877"/>
    </row>
    <row r="133" spans="1:355" s="515" customFormat="1">
      <c r="A133" s="93" t="s">
        <v>122</v>
      </c>
      <c r="B133" s="390">
        <f>'Input data processed products'!C43</f>
        <v>0.62424968014597004</v>
      </c>
      <c r="C133" s="355" t="s">
        <v>316</v>
      </c>
      <c r="D133" s="513"/>
      <c r="E133" s="355"/>
      <c r="F133" s="873">
        <f>SUMPRODUCT($AX$3:$AX$6,F134:F137)</f>
        <v>0.23</v>
      </c>
      <c r="G133" s="1277"/>
      <c r="H133" s="884"/>
      <c r="I133" s="884"/>
      <c r="J133" s="885"/>
      <c r="K133" s="877"/>
      <c r="L133" s="879">
        <f>SUMPRODUCT('Input data processed products'!$D43:$AE43,'Input data processed products'!D$83:AE$83)</f>
        <v>0</v>
      </c>
      <c r="M133" s="1248"/>
      <c r="N133" s="1249"/>
      <c r="O133" s="877"/>
      <c r="P133" s="879">
        <f>SUMPRODUCT('Input data processed products'!$D43:$AE43,'Input data processed products'!D$84:AE$84)</f>
        <v>0</v>
      </c>
      <c r="Q133" s="1248"/>
      <c r="R133" s="1249"/>
      <c r="S133" s="877"/>
      <c r="T133" s="879">
        <f>SUMPRODUCT('Input data processed products'!$D43:$AE43,'Input data processed products'!D$85:AE$85)</f>
        <v>0</v>
      </c>
      <c r="U133" s="1248"/>
      <c r="V133" s="1249"/>
      <c r="W133" s="877"/>
      <c r="X133" s="879">
        <f>SUMPRODUCT('Input data processed products'!$D43:$AE43,'Input data processed products'!D$86:AE$86)</f>
        <v>0</v>
      </c>
      <c r="Y133" s="1248"/>
      <c r="Z133" s="1249"/>
      <c r="AA133" s="877"/>
      <c r="AB133" s="879">
        <f>SUMPRODUCT('Input data processed products'!$D43:$AE43,'Input data processed products'!D$87:AE$87)/$AC$2</f>
        <v>1E-3</v>
      </c>
      <c r="AC133" s="1248"/>
      <c r="AD133" s="1249"/>
      <c r="AE133" s="877"/>
      <c r="AF133" s="879">
        <f>SUMPRODUCT('Input data processed products'!$D43:$AE43,'Input data processed products'!D$88:AE$88)</f>
        <v>0</v>
      </c>
      <c r="AG133" s="1248"/>
      <c r="AH133" s="1249"/>
      <c r="AI133" s="877"/>
      <c r="AJ133" s="879">
        <f>SUMPRODUCT('Input data processed products'!$D43:$AE43,'Input data processed products'!D$89:AE$89)</f>
        <v>0</v>
      </c>
      <c r="AK133" s="1248"/>
      <c r="AL133" s="1249"/>
      <c r="AM133" s="877"/>
      <c r="AN133" s="879">
        <f>SUMPRODUCT('Input data processed products'!$D43:$AE43,'Input data processed products'!D$90:AE$90)</f>
        <v>0</v>
      </c>
      <c r="AO133" s="1248"/>
      <c r="AP133" s="1249"/>
      <c r="AQ133" s="877"/>
      <c r="AR133" s="877"/>
      <c r="AS133" s="877"/>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row>
    <row r="134" spans="1:355" s="95" customFormat="1">
      <c r="A134" s="68"/>
      <c r="B134" s="50"/>
      <c r="C134" s="174" t="s">
        <v>317</v>
      </c>
      <c r="D134" s="511"/>
      <c r="E134" s="174"/>
      <c r="F134" s="878">
        <f>SUM(G134:J134)</f>
        <v>0.23</v>
      </c>
      <c r="G134" s="928">
        <v>0</v>
      </c>
      <c r="H134" s="877">
        <f>'Input data processed products'!F$101</f>
        <v>0.05</v>
      </c>
      <c r="I134" s="877">
        <f>'Common input data'!B$106</f>
        <v>0.15</v>
      </c>
      <c r="J134" s="886">
        <f>'Common input data'!C$115</f>
        <v>0.03</v>
      </c>
      <c r="K134" s="877"/>
      <c r="L134" s="879"/>
      <c r="M134" s="877"/>
      <c r="N134" s="886"/>
      <c r="O134" s="877"/>
      <c r="P134" s="879"/>
      <c r="Q134" s="877"/>
      <c r="R134" s="886"/>
      <c r="S134" s="877"/>
      <c r="T134" s="879"/>
      <c r="U134" s="877"/>
      <c r="V134" s="886"/>
      <c r="W134" s="877"/>
      <c r="X134" s="879"/>
      <c r="Y134" s="877"/>
      <c r="Z134" s="886"/>
      <c r="AA134" s="877"/>
      <c r="AB134" s="879"/>
      <c r="AC134" s="877"/>
      <c r="AD134" s="886"/>
      <c r="AE134" s="877"/>
      <c r="AF134" s="879"/>
      <c r="AG134" s="877"/>
      <c r="AH134" s="886"/>
      <c r="AI134" s="877"/>
      <c r="AJ134" s="879"/>
      <c r="AK134" s="877"/>
      <c r="AL134" s="886"/>
      <c r="AM134" s="877"/>
      <c r="AN134" s="879"/>
      <c r="AO134" s="877"/>
      <c r="AP134" s="886"/>
      <c r="AQ134" s="877"/>
      <c r="AR134" s="877"/>
      <c r="AS134" s="877"/>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row>
    <row r="135" spans="1:355">
      <c r="A135" s="359"/>
      <c r="B135" s="54"/>
      <c r="C135" s="174" t="s">
        <v>321</v>
      </c>
      <c r="D135" s="511"/>
      <c r="E135" s="174"/>
      <c r="F135" s="878">
        <f>SUM(G135:J135)</f>
        <v>0</v>
      </c>
      <c r="G135" s="928">
        <v>0</v>
      </c>
      <c r="H135" s="877">
        <v>0</v>
      </c>
      <c r="I135" s="877">
        <v>0</v>
      </c>
      <c r="J135" s="886">
        <v>0</v>
      </c>
      <c r="K135" s="877"/>
      <c r="L135" s="879"/>
      <c r="M135" s="877"/>
      <c r="N135" s="886"/>
      <c r="O135" s="877"/>
      <c r="P135" s="879"/>
      <c r="Q135" s="877"/>
      <c r="R135" s="886"/>
      <c r="S135" s="877"/>
      <c r="T135" s="879"/>
      <c r="U135" s="877"/>
      <c r="V135" s="886"/>
      <c r="W135" s="877"/>
      <c r="X135" s="879"/>
      <c r="Y135" s="877"/>
      <c r="Z135" s="886"/>
      <c r="AA135" s="877"/>
      <c r="AB135" s="879"/>
      <c r="AC135" s="877"/>
      <c r="AD135" s="886"/>
      <c r="AE135" s="877"/>
      <c r="AF135" s="879"/>
      <c r="AG135" s="877"/>
      <c r="AH135" s="886"/>
      <c r="AI135" s="877"/>
      <c r="AJ135" s="879"/>
      <c r="AK135" s="877"/>
      <c r="AL135" s="886"/>
      <c r="AM135" s="877"/>
      <c r="AN135" s="879"/>
      <c r="AO135" s="877"/>
      <c r="AP135" s="886"/>
      <c r="AQ135" s="877"/>
      <c r="AR135" s="877"/>
      <c r="AS135" s="877"/>
    </row>
    <row r="136" spans="1:355">
      <c r="A136" s="359"/>
      <c r="B136" s="54"/>
      <c r="C136" s="174" t="s">
        <v>319</v>
      </c>
      <c r="D136" s="511"/>
      <c r="E136" s="174"/>
      <c r="F136" s="878">
        <f>SUM(G136:J136)</f>
        <v>0</v>
      </c>
      <c r="G136" s="928">
        <v>0</v>
      </c>
      <c r="H136" s="877">
        <v>0</v>
      </c>
      <c r="I136" s="877">
        <v>0</v>
      </c>
      <c r="J136" s="886">
        <v>0</v>
      </c>
      <c r="K136" s="877"/>
      <c r="L136" s="879"/>
      <c r="M136" s="877"/>
      <c r="N136" s="886"/>
      <c r="O136" s="877"/>
      <c r="P136" s="879"/>
      <c r="Q136" s="877"/>
      <c r="R136" s="886"/>
      <c r="S136" s="877"/>
      <c r="T136" s="879"/>
      <c r="U136" s="877"/>
      <c r="V136" s="886"/>
      <c r="W136" s="877"/>
      <c r="X136" s="879"/>
      <c r="Y136" s="877"/>
      <c r="Z136" s="886"/>
      <c r="AA136" s="877"/>
      <c r="AB136" s="879"/>
      <c r="AC136" s="877"/>
      <c r="AD136" s="886"/>
      <c r="AE136" s="877"/>
      <c r="AF136" s="879"/>
      <c r="AG136" s="877"/>
      <c r="AH136" s="886"/>
      <c r="AI136" s="877"/>
      <c r="AJ136" s="879"/>
      <c r="AK136" s="877"/>
      <c r="AL136" s="886"/>
      <c r="AM136" s="877"/>
      <c r="AN136" s="879"/>
      <c r="AO136" s="877"/>
      <c r="AP136" s="886"/>
      <c r="AQ136" s="877"/>
      <c r="AR136" s="877"/>
      <c r="AS136" s="877"/>
    </row>
    <row r="137" spans="1:355">
      <c r="A137" s="359"/>
      <c r="B137" s="54"/>
      <c r="C137" s="55" t="s">
        <v>320</v>
      </c>
      <c r="D137" s="512"/>
      <c r="E137" s="55"/>
      <c r="F137" s="878">
        <f>SUM(G137:J137)</f>
        <v>0</v>
      </c>
      <c r="G137" s="928">
        <v>0</v>
      </c>
      <c r="H137" s="877">
        <v>0</v>
      </c>
      <c r="I137" s="877">
        <v>0</v>
      </c>
      <c r="J137" s="886">
        <v>0</v>
      </c>
      <c r="K137" s="877"/>
      <c r="L137" s="879"/>
      <c r="M137" s="877"/>
      <c r="N137" s="886"/>
      <c r="O137" s="877"/>
      <c r="P137" s="879"/>
      <c r="Q137" s="877"/>
      <c r="R137" s="886"/>
      <c r="S137" s="877"/>
      <c r="T137" s="879"/>
      <c r="U137" s="877"/>
      <c r="V137" s="886"/>
      <c r="W137" s="877"/>
      <c r="X137" s="879"/>
      <c r="Y137" s="877"/>
      <c r="Z137" s="886"/>
      <c r="AA137" s="877"/>
      <c r="AB137" s="879"/>
      <c r="AC137" s="877"/>
      <c r="AD137" s="886"/>
      <c r="AE137" s="877"/>
      <c r="AF137" s="879"/>
      <c r="AG137" s="877"/>
      <c r="AH137" s="886"/>
      <c r="AI137" s="877"/>
      <c r="AJ137" s="879"/>
      <c r="AK137" s="877"/>
      <c r="AL137" s="886"/>
      <c r="AM137" s="877"/>
      <c r="AN137" s="879"/>
      <c r="AO137" s="877"/>
      <c r="AP137" s="886"/>
      <c r="AQ137" s="877"/>
      <c r="AR137" s="877"/>
      <c r="AS137" s="877"/>
    </row>
    <row r="138" spans="1:355" s="515" customFormat="1">
      <c r="A138" s="93" t="s">
        <v>217</v>
      </c>
      <c r="B138" s="390">
        <f>'Input data processed products'!C44</f>
        <v>0.21767775469585898</v>
      </c>
      <c r="C138" s="355" t="s">
        <v>316</v>
      </c>
      <c r="D138" s="513"/>
      <c r="E138" s="355"/>
      <c r="F138" s="873">
        <f>SUMPRODUCT($AX$3:$AX$6,F139:F142)</f>
        <v>0.28000000000000003</v>
      </c>
      <c r="G138" s="1277"/>
      <c r="H138" s="884"/>
      <c r="I138" s="884"/>
      <c r="J138" s="885"/>
      <c r="K138" s="877"/>
      <c r="L138" s="879">
        <f>SUMPRODUCT('Input data processed products'!$D44:$AE44,'Input data processed products'!D$83:AE$83)</f>
        <v>0</v>
      </c>
      <c r="M138" s="1248"/>
      <c r="N138" s="1249"/>
      <c r="O138" s="877"/>
      <c r="P138" s="879">
        <f>SUMPRODUCT('Input data processed products'!$D44:$AE44,'Input data processed products'!D$84:AE$84)</f>
        <v>0</v>
      </c>
      <c r="Q138" s="1248"/>
      <c r="R138" s="1249"/>
      <c r="S138" s="877"/>
      <c r="T138" s="879">
        <f>SUMPRODUCT('Input data processed products'!$D44:$AE44,'Input data processed products'!D$85:AE$85)</f>
        <v>0</v>
      </c>
      <c r="U138" s="1248"/>
      <c r="V138" s="1249"/>
      <c r="W138" s="877"/>
      <c r="X138" s="879">
        <f>SUMPRODUCT('Input data processed products'!$D44:$AE44,'Input data processed products'!D$86:AE$86)</f>
        <v>0</v>
      </c>
      <c r="Y138" s="1248"/>
      <c r="Z138" s="1249"/>
      <c r="AA138" s="877"/>
      <c r="AB138" s="879">
        <f>SUMPRODUCT('Input data processed products'!$D44:$AE44,'Input data processed products'!D$87:AE$87)/$AC$2</f>
        <v>1E-3</v>
      </c>
      <c r="AC138" s="1248"/>
      <c r="AD138" s="1249"/>
      <c r="AE138" s="877"/>
      <c r="AF138" s="879">
        <f>SUMPRODUCT('Input data processed products'!$D44:$AE44,'Input data processed products'!D$88:AE$88)</f>
        <v>0</v>
      </c>
      <c r="AG138" s="1248"/>
      <c r="AH138" s="1249"/>
      <c r="AI138" s="877"/>
      <c r="AJ138" s="879">
        <f>SUMPRODUCT('Input data processed products'!$D44:$AE44,'Input data processed products'!D$89:AE$89)</f>
        <v>0</v>
      </c>
      <c r="AK138" s="1248"/>
      <c r="AL138" s="1249"/>
      <c r="AM138" s="877"/>
      <c r="AN138" s="879">
        <f>SUMPRODUCT('Input data processed products'!$D44:$AE44,'Input data processed products'!D$90:AE$90)</f>
        <v>0</v>
      </c>
      <c r="AO138" s="1248"/>
      <c r="AP138" s="1249"/>
      <c r="AQ138" s="877"/>
      <c r="AR138" s="877"/>
      <c r="AS138" s="877"/>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row>
    <row r="139" spans="1:355" s="95" customFormat="1">
      <c r="A139" s="68"/>
      <c r="B139" s="50"/>
      <c r="C139" s="174" t="s">
        <v>317</v>
      </c>
      <c r="D139" s="511"/>
      <c r="E139" s="174"/>
      <c r="F139" s="878">
        <f>SUM(G139:J139)</f>
        <v>0.28000000000000003</v>
      </c>
      <c r="G139" s="928">
        <v>0</v>
      </c>
      <c r="H139" s="877">
        <f>'Input data processed products'!F$101</f>
        <v>0.05</v>
      </c>
      <c r="I139" s="877">
        <f>'Common input data'!B$106</f>
        <v>0.15</v>
      </c>
      <c r="J139" s="886">
        <f>'Common input data'!B115+'Common input data'!C115</f>
        <v>0.08</v>
      </c>
      <c r="K139" s="877"/>
      <c r="L139" s="879"/>
      <c r="M139" s="877"/>
      <c r="N139" s="886"/>
      <c r="O139" s="877"/>
      <c r="P139" s="879"/>
      <c r="Q139" s="877"/>
      <c r="R139" s="886"/>
      <c r="S139" s="877"/>
      <c r="T139" s="879"/>
      <c r="U139" s="877"/>
      <c r="V139" s="886"/>
      <c r="W139" s="877"/>
      <c r="X139" s="879"/>
      <c r="Y139" s="877"/>
      <c r="Z139" s="886"/>
      <c r="AA139" s="877"/>
      <c r="AB139" s="879"/>
      <c r="AC139" s="877"/>
      <c r="AD139" s="886"/>
      <c r="AE139" s="877"/>
      <c r="AF139" s="879"/>
      <c r="AG139" s="877"/>
      <c r="AH139" s="886"/>
      <c r="AI139" s="877"/>
      <c r="AJ139" s="879"/>
      <c r="AK139" s="877"/>
      <c r="AL139" s="886"/>
      <c r="AM139" s="877"/>
      <c r="AN139" s="879"/>
      <c r="AO139" s="877"/>
      <c r="AP139" s="886"/>
      <c r="AQ139" s="877"/>
      <c r="AR139" s="877"/>
      <c r="AS139" s="877"/>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row>
    <row r="140" spans="1:355">
      <c r="A140" s="359"/>
      <c r="B140" s="54"/>
      <c r="C140" s="174" t="s">
        <v>321</v>
      </c>
      <c r="D140" s="511"/>
      <c r="E140" s="174"/>
      <c r="F140" s="878">
        <f>SUM(G140:J140)</f>
        <v>0</v>
      </c>
      <c r="G140" s="928">
        <v>0</v>
      </c>
      <c r="H140" s="877">
        <v>0</v>
      </c>
      <c r="I140" s="877">
        <v>0</v>
      </c>
      <c r="J140" s="886">
        <v>0</v>
      </c>
      <c r="K140" s="877"/>
      <c r="L140" s="879"/>
      <c r="M140" s="877"/>
      <c r="N140" s="886"/>
      <c r="O140" s="877"/>
      <c r="P140" s="879"/>
      <c r="Q140" s="877"/>
      <c r="R140" s="886"/>
      <c r="S140" s="877"/>
      <c r="T140" s="879"/>
      <c r="U140" s="877"/>
      <c r="V140" s="886"/>
      <c r="W140" s="877"/>
      <c r="X140" s="879"/>
      <c r="Y140" s="877"/>
      <c r="Z140" s="886"/>
      <c r="AA140" s="877"/>
      <c r="AB140" s="879"/>
      <c r="AC140" s="877"/>
      <c r="AD140" s="886"/>
      <c r="AE140" s="877"/>
      <c r="AF140" s="879"/>
      <c r="AG140" s="877"/>
      <c r="AH140" s="886"/>
      <c r="AI140" s="877"/>
      <c r="AJ140" s="879"/>
      <c r="AK140" s="877"/>
      <c r="AL140" s="886"/>
      <c r="AM140" s="877"/>
      <c r="AN140" s="879"/>
      <c r="AO140" s="877"/>
      <c r="AP140" s="886"/>
      <c r="AQ140" s="877"/>
      <c r="AR140" s="877"/>
      <c r="AS140" s="877"/>
    </row>
    <row r="141" spans="1:355">
      <c r="A141" s="359"/>
      <c r="B141" s="54"/>
      <c r="C141" s="174" t="s">
        <v>319</v>
      </c>
      <c r="D141" s="511"/>
      <c r="E141" s="174"/>
      <c r="F141" s="878">
        <f>SUM(G141:J141)</f>
        <v>0</v>
      </c>
      <c r="G141" s="928">
        <v>0</v>
      </c>
      <c r="H141" s="877">
        <v>0</v>
      </c>
      <c r="I141" s="877">
        <v>0</v>
      </c>
      <c r="J141" s="886">
        <v>0</v>
      </c>
      <c r="K141" s="877"/>
      <c r="L141" s="879"/>
      <c r="M141" s="877"/>
      <c r="N141" s="886"/>
      <c r="O141" s="877"/>
      <c r="P141" s="879"/>
      <c r="Q141" s="877"/>
      <c r="R141" s="886"/>
      <c r="S141" s="877"/>
      <c r="T141" s="879"/>
      <c r="U141" s="877"/>
      <c r="V141" s="886"/>
      <c r="W141" s="877"/>
      <c r="X141" s="879"/>
      <c r="Y141" s="877"/>
      <c r="Z141" s="886"/>
      <c r="AA141" s="877"/>
      <c r="AB141" s="879"/>
      <c r="AC141" s="877"/>
      <c r="AD141" s="886"/>
      <c r="AE141" s="877"/>
      <c r="AF141" s="879"/>
      <c r="AG141" s="877"/>
      <c r="AH141" s="886"/>
      <c r="AI141" s="877"/>
      <c r="AJ141" s="879"/>
      <c r="AK141" s="877"/>
      <c r="AL141" s="886"/>
      <c r="AM141" s="877"/>
      <c r="AN141" s="879"/>
      <c r="AO141" s="877"/>
      <c r="AP141" s="886"/>
      <c r="AQ141" s="877"/>
      <c r="AR141" s="877"/>
      <c r="AS141" s="877"/>
    </row>
    <row r="142" spans="1:355">
      <c r="A142" s="359"/>
      <c r="B142" s="54"/>
      <c r="C142" s="55" t="s">
        <v>320</v>
      </c>
      <c r="D142" s="512"/>
      <c r="E142" s="55"/>
      <c r="F142" s="878">
        <f>SUM(G142:J142)</f>
        <v>0</v>
      </c>
      <c r="G142" s="928">
        <v>0</v>
      </c>
      <c r="H142" s="877">
        <v>0</v>
      </c>
      <c r="I142" s="877">
        <v>0</v>
      </c>
      <c r="J142" s="886">
        <v>0</v>
      </c>
      <c r="K142" s="877"/>
      <c r="L142" s="879"/>
      <c r="M142" s="877"/>
      <c r="N142" s="886"/>
      <c r="O142" s="877"/>
      <c r="P142" s="879"/>
      <c r="Q142" s="877"/>
      <c r="R142" s="886"/>
      <c r="S142" s="877"/>
      <c r="T142" s="879"/>
      <c r="U142" s="877"/>
      <c r="V142" s="886"/>
      <c r="W142" s="877"/>
      <c r="X142" s="879"/>
      <c r="Y142" s="877"/>
      <c r="Z142" s="886"/>
      <c r="AA142" s="877"/>
      <c r="AB142" s="879"/>
      <c r="AC142" s="877"/>
      <c r="AD142" s="886"/>
      <c r="AE142" s="877"/>
      <c r="AF142" s="879"/>
      <c r="AG142" s="877"/>
      <c r="AH142" s="886"/>
      <c r="AI142" s="877"/>
      <c r="AJ142" s="879"/>
      <c r="AK142" s="877"/>
      <c r="AL142" s="886"/>
      <c r="AM142" s="877"/>
      <c r="AN142" s="879"/>
      <c r="AO142" s="877"/>
      <c r="AP142" s="886"/>
      <c r="AQ142" s="877"/>
      <c r="AR142" s="877"/>
      <c r="AS142" s="877"/>
    </row>
    <row r="143" spans="1:355" s="515" customFormat="1">
      <c r="A143" s="93" t="s">
        <v>125</v>
      </c>
      <c r="B143" s="390">
        <f>'Input data processed products'!C45</f>
        <v>0.158072565158171</v>
      </c>
      <c r="C143" s="355" t="s">
        <v>316</v>
      </c>
      <c r="D143" s="513"/>
      <c r="E143" s="355"/>
      <c r="F143" s="873">
        <f>SUMPRODUCT($AX$3:$AX$6,F144:F147)</f>
        <v>0.46</v>
      </c>
      <c r="G143" s="1277"/>
      <c r="H143" s="884"/>
      <c r="I143" s="884"/>
      <c r="J143" s="885"/>
      <c r="K143" s="877"/>
      <c r="L143" s="879">
        <f>SUMPRODUCT('Input data processed products'!$D45:$AE45,'Input data processed products'!D$83:AE$83)</f>
        <v>0</v>
      </c>
      <c r="M143" s="1248"/>
      <c r="N143" s="1249"/>
      <c r="O143" s="877"/>
      <c r="P143" s="879">
        <f>SUMPRODUCT('Input data processed products'!$D45:$AE45,'Input data processed products'!D$84:AE$84)</f>
        <v>0</v>
      </c>
      <c r="Q143" s="1248"/>
      <c r="R143" s="1249"/>
      <c r="S143" s="877"/>
      <c r="T143" s="879">
        <f>SUMPRODUCT('Input data processed products'!$D45:$AE45,'Input data processed products'!D$85:AE$85)</f>
        <v>0</v>
      </c>
      <c r="U143" s="1248"/>
      <c r="V143" s="1249"/>
      <c r="W143" s="877"/>
      <c r="X143" s="879">
        <f>SUMPRODUCT('Input data processed products'!$D45:$AE45,'Input data processed products'!D$86:AE$86)</f>
        <v>0</v>
      </c>
      <c r="Y143" s="1248"/>
      <c r="Z143" s="1249"/>
      <c r="AA143" s="877"/>
      <c r="AB143" s="879">
        <f>SUMPRODUCT('Input data processed products'!$D45:$AE45,'Input data processed products'!D$87:AE$87)/$AC$2</f>
        <v>1E-3</v>
      </c>
      <c r="AC143" s="1248"/>
      <c r="AD143" s="1249"/>
      <c r="AE143" s="877"/>
      <c r="AF143" s="879">
        <f>SUMPRODUCT('Input data processed products'!$D45:$AE45,'Input data processed products'!D$88:AE$88)</f>
        <v>0</v>
      </c>
      <c r="AG143" s="1248"/>
      <c r="AH143" s="1249"/>
      <c r="AI143" s="877"/>
      <c r="AJ143" s="879">
        <f>SUMPRODUCT('Input data processed products'!$D45:$AE45,'Input data processed products'!D$89:AE$89)</f>
        <v>0</v>
      </c>
      <c r="AK143" s="1248"/>
      <c r="AL143" s="1249"/>
      <c r="AM143" s="877"/>
      <c r="AN143" s="879">
        <f>SUMPRODUCT('Input data processed products'!$D45:$AE45,'Input data processed products'!D$90:AE$90)</f>
        <v>0</v>
      </c>
      <c r="AO143" s="1248"/>
      <c r="AP143" s="1249"/>
      <c r="AQ143" s="877"/>
      <c r="AR143" s="877"/>
      <c r="AS143" s="877"/>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c r="MA143"/>
      <c r="MB143"/>
      <c r="MC143"/>
      <c r="MD143"/>
      <c r="ME143"/>
      <c r="MF143"/>
      <c r="MG143"/>
      <c r="MH143"/>
      <c r="MI143"/>
      <c r="MJ143"/>
      <c r="MK143"/>
      <c r="ML143"/>
      <c r="MM143"/>
      <c r="MN143"/>
      <c r="MO143"/>
      <c r="MP143"/>
      <c r="MQ143"/>
    </row>
    <row r="144" spans="1:355" s="95" customFormat="1">
      <c r="A144" s="68"/>
      <c r="B144" s="50"/>
      <c r="C144" s="174" t="s">
        <v>317</v>
      </c>
      <c r="D144" s="511"/>
      <c r="E144" s="174"/>
      <c r="F144" s="878">
        <f>SUM(G144:J144)</f>
        <v>0.46</v>
      </c>
      <c r="G144" s="928">
        <v>0</v>
      </c>
      <c r="H144" s="877">
        <f>'Input data processed products'!F$103</f>
        <v>0.08</v>
      </c>
      <c r="I144" s="877">
        <f>'Common input data'!B$106</f>
        <v>0.15</v>
      </c>
      <c r="J144" s="886">
        <f>'Common input data'!B119+'Common input data'!C119</f>
        <v>0.23000000000000004</v>
      </c>
      <c r="K144" s="877"/>
      <c r="L144" s="879"/>
      <c r="M144" s="877"/>
      <c r="N144" s="886"/>
      <c r="O144" s="877"/>
      <c r="P144" s="879"/>
      <c r="Q144" s="877"/>
      <c r="R144" s="886"/>
      <c r="S144" s="877"/>
      <c r="T144" s="879"/>
      <c r="U144" s="877"/>
      <c r="V144" s="886"/>
      <c r="W144" s="877"/>
      <c r="X144" s="879"/>
      <c r="Y144" s="877"/>
      <c r="Z144" s="886"/>
      <c r="AA144" s="877"/>
      <c r="AB144" s="879"/>
      <c r="AC144" s="877"/>
      <c r="AD144" s="886"/>
      <c r="AE144" s="877"/>
      <c r="AF144" s="879"/>
      <c r="AG144" s="877"/>
      <c r="AH144" s="886"/>
      <c r="AI144" s="877"/>
      <c r="AJ144" s="879"/>
      <c r="AK144" s="877"/>
      <c r="AL144" s="886"/>
      <c r="AM144" s="877"/>
      <c r="AN144" s="879"/>
      <c r="AO144" s="877"/>
      <c r="AP144" s="886"/>
      <c r="AQ144" s="877"/>
      <c r="AR144" s="877"/>
      <c r="AS144" s="877"/>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row>
    <row r="145" spans="1:355">
      <c r="A145" s="359"/>
      <c r="B145" s="54"/>
      <c r="C145" s="174" t="s">
        <v>321</v>
      </c>
      <c r="D145" s="511"/>
      <c r="E145" s="174"/>
      <c r="F145" s="878">
        <f>SUM(G145:J145)</f>
        <v>0</v>
      </c>
      <c r="G145" s="928">
        <v>0</v>
      </c>
      <c r="H145" s="877">
        <v>0</v>
      </c>
      <c r="I145" s="877">
        <v>0</v>
      </c>
      <c r="J145" s="886">
        <v>0</v>
      </c>
      <c r="K145" s="877"/>
      <c r="L145" s="879"/>
      <c r="M145" s="877"/>
      <c r="N145" s="886"/>
      <c r="O145" s="877"/>
      <c r="P145" s="879"/>
      <c r="Q145" s="877"/>
      <c r="R145" s="886"/>
      <c r="S145" s="877"/>
      <c r="T145" s="879"/>
      <c r="U145" s="877"/>
      <c r="V145" s="886"/>
      <c r="W145" s="877"/>
      <c r="X145" s="879"/>
      <c r="Y145" s="877"/>
      <c r="Z145" s="886"/>
      <c r="AA145" s="877"/>
      <c r="AB145" s="879"/>
      <c r="AC145" s="877"/>
      <c r="AD145" s="886"/>
      <c r="AE145" s="877"/>
      <c r="AF145" s="879"/>
      <c r="AG145" s="877"/>
      <c r="AH145" s="886"/>
      <c r="AI145" s="877"/>
      <c r="AJ145" s="879"/>
      <c r="AK145" s="877"/>
      <c r="AL145" s="886"/>
      <c r="AM145" s="877"/>
      <c r="AN145" s="879"/>
      <c r="AO145" s="877"/>
      <c r="AP145" s="886"/>
      <c r="AQ145" s="877"/>
      <c r="AR145" s="877"/>
      <c r="AS145" s="877"/>
    </row>
    <row r="146" spans="1:355">
      <c r="A146" s="359"/>
      <c r="B146" s="54"/>
      <c r="C146" s="174" t="s">
        <v>319</v>
      </c>
      <c r="D146" s="511"/>
      <c r="E146" s="174"/>
      <c r="F146" s="878">
        <f>SUM(G146:J146)</f>
        <v>0</v>
      </c>
      <c r="G146" s="928">
        <v>0</v>
      </c>
      <c r="H146" s="877">
        <v>0</v>
      </c>
      <c r="I146" s="877">
        <v>0</v>
      </c>
      <c r="J146" s="886">
        <v>0</v>
      </c>
      <c r="K146" s="877"/>
      <c r="L146" s="879"/>
      <c r="M146" s="877"/>
      <c r="N146" s="886"/>
      <c r="O146" s="877"/>
      <c r="P146" s="879"/>
      <c r="Q146" s="877"/>
      <c r="R146" s="886"/>
      <c r="S146" s="877"/>
      <c r="T146" s="879"/>
      <c r="U146" s="877"/>
      <c r="V146" s="886"/>
      <c r="W146" s="877"/>
      <c r="X146" s="879"/>
      <c r="Y146" s="877"/>
      <c r="Z146" s="886"/>
      <c r="AA146" s="877"/>
      <c r="AB146" s="879"/>
      <c r="AC146" s="877"/>
      <c r="AD146" s="886"/>
      <c r="AE146" s="877"/>
      <c r="AF146" s="879"/>
      <c r="AG146" s="877"/>
      <c r="AH146" s="886"/>
      <c r="AI146" s="877"/>
      <c r="AJ146" s="879"/>
      <c r="AK146" s="877"/>
      <c r="AL146" s="886"/>
      <c r="AM146" s="877"/>
      <c r="AN146" s="879"/>
      <c r="AO146" s="877"/>
      <c r="AP146" s="886"/>
      <c r="AQ146" s="877"/>
      <c r="AR146" s="877"/>
      <c r="AS146" s="877"/>
    </row>
    <row r="147" spans="1:355">
      <c r="A147" s="359"/>
      <c r="B147" s="54"/>
      <c r="C147" s="55" t="s">
        <v>320</v>
      </c>
      <c r="D147" s="514"/>
      <c r="E147" s="56"/>
      <c r="F147" s="933">
        <f>SUM(G147:J147)</f>
        <v>0</v>
      </c>
      <c r="G147" s="928">
        <v>0</v>
      </c>
      <c r="H147" s="877">
        <v>0</v>
      </c>
      <c r="I147" s="877">
        <v>0</v>
      </c>
      <c r="J147" s="897">
        <v>0</v>
      </c>
      <c r="K147" s="877"/>
      <c r="L147" s="879"/>
      <c r="M147" s="877"/>
      <c r="N147" s="886"/>
      <c r="O147" s="877"/>
      <c r="P147" s="879"/>
      <c r="Q147" s="877"/>
      <c r="R147" s="886"/>
      <c r="S147" s="877"/>
      <c r="T147" s="879"/>
      <c r="U147" s="877"/>
      <c r="V147" s="886"/>
      <c r="W147" s="877"/>
      <c r="X147" s="879"/>
      <c r="Y147" s="877"/>
      <c r="Z147" s="886"/>
      <c r="AA147" s="877"/>
      <c r="AB147" s="879"/>
      <c r="AC147" s="877"/>
      <c r="AD147" s="886"/>
      <c r="AE147" s="877"/>
      <c r="AF147" s="879"/>
      <c r="AG147" s="877"/>
      <c r="AH147" s="886"/>
      <c r="AI147" s="877"/>
      <c r="AJ147" s="879"/>
      <c r="AK147" s="877"/>
      <c r="AL147" s="886"/>
      <c r="AM147" s="877"/>
      <c r="AN147" s="879"/>
      <c r="AO147" s="877"/>
      <c r="AP147" s="886"/>
      <c r="AQ147" s="877"/>
      <c r="AR147" s="877"/>
      <c r="AS147" s="877"/>
    </row>
    <row r="148" spans="1:355" s="515" customFormat="1">
      <c r="A148" s="374" t="s">
        <v>572</v>
      </c>
      <c r="B148" s="376"/>
      <c r="C148" s="377"/>
      <c r="D148" s="507"/>
      <c r="E148" s="462"/>
      <c r="F148" s="870" t="s">
        <v>573</v>
      </c>
      <c r="G148" s="1272"/>
      <c r="H148" s="880"/>
      <c r="I148" s="880"/>
      <c r="J148" s="938"/>
      <c r="K148" s="877"/>
      <c r="L148" s="879"/>
      <c r="M148" s="877"/>
      <c r="N148" s="886"/>
      <c r="O148" s="877"/>
      <c r="P148" s="879"/>
      <c r="Q148" s="877"/>
      <c r="R148" s="886"/>
      <c r="S148" s="877"/>
      <c r="T148" s="879"/>
      <c r="U148" s="877"/>
      <c r="V148" s="886"/>
      <c r="W148" s="877"/>
      <c r="X148" s="879"/>
      <c r="Y148" s="877"/>
      <c r="Z148" s="886"/>
      <c r="AA148" s="877"/>
      <c r="AB148" s="879"/>
      <c r="AC148" s="877"/>
      <c r="AD148" s="886"/>
      <c r="AE148" s="877"/>
      <c r="AF148" s="879"/>
      <c r="AG148" s="877"/>
      <c r="AH148" s="886"/>
      <c r="AI148" s="877"/>
      <c r="AJ148" s="879"/>
      <c r="AK148" s="877"/>
      <c r="AL148" s="886"/>
      <c r="AM148" s="877"/>
      <c r="AN148" s="879"/>
      <c r="AO148" s="877"/>
      <c r="AP148" s="886"/>
      <c r="AQ148" s="877"/>
      <c r="AR148" s="877"/>
      <c r="AS148" s="877"/>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row>
    <row r="149" spans="1:355" s="95" customFormat="1">
      <c r="A149" s="381" t="s">
        <v>122</v>
      </c>
      <c r="B149" s="498">
        <f>SUM(B155,B161)</f>
        <v>1</v>
      </c>
      <c r="C149" s="384" t="s">
        <v>316</v>
      </c>
      <c r="D149" s="510"/>
      <c r="E149" s="384"/>
      <c r="F149" s="927">
        <f>SUMPRODUCT($AX$3:$AX$6,F150:F153)</f>
        <v>1.007123481915946</v>
      </c>
      <c r="G149" s="1274"/>
      <c r="H149" s="875"/>
      <c r="I149" s="875"/>
      <c r="J149" s="981"/>
      <c r="K149" s="877"/>
      <c r="L149" s="883">
        <f>SUMPRODUCT('Input data processed products'!$D46:$AE46,'Input data processed products'!D$83:AE$83)</f>
        <v>0</v>
      </c>
      <c r="M149" s="884">
        <f>L149/(1-'Common input data'!$B$165)</f>
        <v>0</v>
      </c>
      <c r="N149" s="885">
        <f>M149/(1-'Common input data'!$B$182)</f>
        <v>0</v>
      </c>
      <c r="O149" s="877"/>
      <c r="P149" s="883">
        <f>SUMPRODUCT('Input data processed products'!$D46:$AE46,'Input data processed products'!D$84:AE$84)</f>
        <v>0</v>
      </c>
      <c r="Q149" s="884">
        <f>P149/(1-'Common input data'!$B$165)</f>
        <v>0</v>
      </c>
      <c r="R149" s="885">
        <f>Q149/(1-'Common input data'!$B$182)</f>
        <v>0</v>
      </c>
      <c r="S149" s="877"/>
      <c r="T149" s="883">
        <f>SUMPRODUCT('Input data processed products'!$D46:$AE46,'Input data processed products'!D$85:AE$85)</f>
        <v>0</v>
      </c>
      <c r="U149" s="884">
        <f>T149/(1-'Common input data'!$B$165)</f>
        <v>0</v>
      </c>
      <c r="V149" s="885">
        <f>U149/(1-'Common input data'!$B$182)</f>
        <v>0</v>
      </c>
      <c r="W149" s="877"/>
      <c r="X149" s="883">
        <f>SUMPRODUCT('Input data processed products'!$D46:$AE46,'Input data processed products'!D$86:AE$86)</f>
        <v>0</v>
      </c>
      <c r="Y149" s="884">
        <f>X149/(1-'Common input data'!$B$165)</f>
        <v>0</v>
      </c>
      <c r="Z149" s="885">
        <f>Y149/(1-'Common input data'!$B$182)</f>
        <v>0</v>
      </c>
      <c r="AA149" s="877"/>
      <c r="AB149" s="883">
        <f>SUMPRODUCT('Input data processed products'!$D46:$AE46,'Input data processed products'!D$87:AE$87)/$AC$2</f>
        <v>0</v>
      </c>
      <c r="AC149" s="884">
        <f>AB149/(1-'Common input data'!$B$165)</f>
        <v>0</v>
      </c>
      <c r="AD149" s="885">
        <f>AC149/(1-'Common input data'!$B$182)</f>
        <v>0</v>
      </c>
      <c r="AE149" s="877"/>
      <c r="AF149" s="883">
        <f>SUMPRODUCT('Input data processed products'!$D46:$AE46,'Input data processed products'!D$88:AE$88)</f>
        <v>0</v>
      </c>
      <c r="AG149" s="884">
        <f>AF149/(1-'Common input data'!$B$165)</f>
        <v>0</v>
      </c>
      <c r="AH149" s="885">
        <f>AG149/(1-'Common input data'!$B$182)</f>
        <v>0</v>
      </c>
      <c r="AI149" s="877"/>
      <c r="AJ149" s="883">
        <f>SUMPRODUCT('Input data processed products'!$D46:$AE46,'Input data processed products'!D$89:AE$89)</f>
        <v>0</v>
      </c>
      <c r="AK149" s="884">
        <f>AJ149/(1-'Common input data'!$B$165)</f>
        <v>0</v>
      </c>
      <c r="AL149" s="885">
        <f>AK149/(1-'Common input data'!$B$182)</f>
        <v>0</v>
      </c>
      <c r="AM149" s="877"/>
      <c r="AN149" s="883">
        <f>SUMPRODUCT('Input data processed products'!$D46:$AE46,'Input data processed products'!D$90:AE$90)</f>
        <v>0</v>
      </c>
      <c r="AO149" s="884">
        <f>AN149/(1-'Common input data'!$B$165)</f>
        <v>0</v>
      </c>
      <c r="AP149" s="885">
        <f>AO149/(1-'Common input data'!$B$182)</f>
        <v>0</v>
      </c>
      <c r="AQ149" s="877"/>
      <c r="AR149" s="877"/>
      <c r="AS149" s="877"/>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c r="MA149"/>
      <c r="MB149"/>
      <c r="MC149"/>
      <c r="MD149"/>
      <c r="ME149"/>
      <c r="MF149"/>
      <c r="MG149"/>
      <c r="MH149"/>
      <c r="MI149"/>
      <c r="MJ149"/>
      <c r="MK149"/>
      <c r="ML149"/>
      <c r="MM149"/>
      <c r="MN149"/>
      <c r="MO149"/>
      <c r="MP149"/>
      <c r="MQ149"/>
    </row>
    <row r="150" spans="1:355">
      <c r="A150" s="68"/>
      <c r="B150" s="50"/>
      <c r="C150" s="174" t="s">
        <v>317</v>
      </c>
      <c r="D150" s="511"/>
      <c r="E150" s="174"/>
      <c r="F150" s="878">
        <f>$B$155*F156+$B$161*F162</f>
        <v>0.94776539311095243</v>
      </c>
      <c r="G150" s="928">
        <f>$B$155*G156+$B$161*G162</f>
        <v>0.57298885379985731</v>
      </c>
      <c r="H150" s="877">
        <f>$B$155*H156+$B$161*H162</f>
        <v>0.1</v>
      </c>
      <c r="I150" s="877">
        <f>$B$155*I156+$B$161*I162</f>
        <v>0.15</v>
      </c>
      <c r="J150" s="886">
        <f>$B$155*J156+$B$161*J162</f>
        <v>0.03</v>
      </c>
      <c r="K150" s="877"/>
      <c r="L150" s="879"/>
      <c r="M150" s="877"/>
      <c r="N150" s="886"/>
      <c r="O150" s="877"/>
      <c r="P150" s="879"/>
      <c r="Q150" s="877"/>
      <c r="R150" s="886"/>
      <c r="S150" s="877"/>
      <c r="T150" s="879"/>
      <c r="U150" s="877"/>
      <c r="V150" s="886"/>
      <c r="W150" s="877"/>
      <c r="X150" s="879"/>
      <c r="Y150" s="877"/>
      <c r="Z150" s="886"/>
      <c r="AA150" s="877"/>
      <c r="AB150" s="879"/>
      <c r="AC150" s="877"/>
      <c r="AD150" s="886"/>
      <c r="AE150" s="877"/>
      <c r="AF150" s="879"/>
      <c r="AG150" s="877"/>
      <c r="AH150" s="886"/>
      <c r="AI150" s="877"/>
      <c r="AJ150" s="879"/>
      <c r="AK150" s="877"/>
      <c r="AL150" s="886"/>
      <c r="AM150" s="877"/>
      <c r="AN150" s="879"/>
      <c r="AO150" s="877"/>
      <c r="AP150" s="886"/>
      <c r="AQ150" s="877"/>
      <c r="AR150" s="877"/>
      <c r="AS150" s="877"/>
    </row>
    <row r="151" spans="1:355">
      <c r="A151" s="359"/>
      <c r="B151" s="54"/>
      <c r="C151" s="174" t="s">
        <v>321</v>
      </c>
      <c r="D151" s="511"/>
      <c r="E151" s="174"/>
      <c r="F151" s="878">
        <f>$B$155*F157+$B$161*F163</f>
        <v>0</v>
      </c>
      <c r="G151" s="928">
        <v>0</v>
      </c>
      <c r="H151" s="877">
        <f>$B$155*H157+$B$161*H163</f>
        <v>0</v>
      </c>
      <c r="I151" s="877">
        <f>$B$155*I157+$B$161*I163</f>
        <v>0</v>
      </c>
      <c r="J151" s="886">
        <f>$B$155*J157+$B$161*J163</f>
        <v>0</v>
      </c>
      <c r="K151" s="877"/>
      <c r="L151" s="879"/>
      <c r="M151" s="877"/>
      <c r="N151" s="886"/>
      <c r="O151" s="877"/>
      <c r="P151" s="879"/>
      <c r="Q151" s="877"/>
      <c r="R151" s="886"/>
      <c r="S151" s="877"/>
      <c r="T151" s="879"/>
      <c r="U151" s="877"/>
      <c r="V151" s="886"/>
      <c r="W151" s="877"/>
      <c r="X151" s="879"/>
      <c r="Y151" s="877"/>
      <c r="Z151" s="886"/>
      <c r="AA151" s="877"/>
      <c r="AB151" s="879"/>
      <c r="AC151" s="877"/>
      <c r="AD151" s="886"/>
      <c r="AE151" s="877"/>
      <c r="AF151" s="879"/>
      <c r="AG151" s="877"/>
      <c r="AH151" s="886"/>
      <c r="AI151" s="877"/>
      <c r="AJ151" s="879"/>
      <c r="AK151" s="877"/>
      <c r="AL151" s="886"/>
      <c r="AM151" s="877"/>
      <c r="AN151" s="879"/>
      <c r="AO151" s="877"/>
      <c r="AP151" s="886"/>
      <c r="AQ151" s="877"/>
      <c r="AR151" s="877"/>
      <c r="AS151" s="877"/>
    </row>
    <row r="152" spans="1:355">
      <c r="A152" s="359"/>
      <c r="B152" s="54"/>
      <c r="C152" s="174" t="s">
        <v>319</v>
      </c>
      <c r="D152" s="511"/>
      <c r="E152" s="174"/>
      <c r="F152" s="878">
        <f>$B$155*F158+$B$161*F164</f>
        <v>1.1785141127297484E-4</v>
      </c>
      <c r="G152" s="928">
        <f>$B$155*G158+$B$161*G164</f>
        <v>1.0606627014567736E-4</v>
      </c>
      <c r="H152" s="877">
        <v>0</v>
      </c>
      <c r="I152" s="877">
        <v>0</v>
      </c>
      <c r="J152" s="886">
        <v>0</v>
      </c>
      <c r="K152" s="877"/>
      <c r="L152" s="879"/>
      <c r="M152" s="877"/>
      <c r="N152" s="886"/>
      <c r="O152" s="877"/>
      <c r="P152" s="879"/>
      <c r="Q152" s="877"/>
      <c r="R152" s="886"/>
      <c r="S152" s="877"/>
      <c r="T152" s="879"/>
      <c r="U152" s="877"/>
      <c r="V152" s="886"/>
      <c r="W152" s="877"/>
      <c r="X152" s="879"/>
      <c r="Y152" s="877"/>
      <c r="Z152" s="886"/>
      <c r="AA152" s="877"/>
      <c r="AB152" s="879"/>
      <c r="AC152" s="877"/>
      <c r="AD152" s="886"/>
      <c r="AE152" s="877"/>
      <c r="AF152" s="879"/>
      <c r="AG152" s="877"/>
      <c r="AH152" s="886"/>
      <c r="AI152" s="877"/>
      <c r="AJ152" s="879"/>
      <c r="AK152" s="877"/>
      <c r="AL152" s="886"/>
      <c r="AM152" s="877"/>
      <c r="AN152" s="879"/>
      <c r="AO152" s="877"/>
      <c r="AP152" s="886"/>
      <c r="AQ152" s="877"/>
      <c r="AR152" s="877"/>
      <c r="AS152" s="877"/>
    </row>
    <row r="153" spans="1:355" s="515" customFormat="1">
      <c r="A153" s="359"/>
      <c r="B153" s="54"/>
      <c r="C153" s="55" t="s">
        <v>320</v>
      </c>
      <c r="D153" s="514"/>
      <c r="E153" s="56"/>
      <c r="F153" s="933">
        <f>$B$155*F159+$B$161*F165</f>
        <v>2.5237848571678378E-4</v>
      </c>
      <c r="G153" s="928">
        <f>$B$155*G159+$B$161*G165</f>
        <v>2.2714063714510542E-4</v>
      </c>
      <c r="H153" s="877">
        <f>$B$155*H159+$B$161*H165</f>
        <v>0</v>
      </c>
      <c r="I153" s="877">
        <f>$B$155*I159+$B$161*I165</f>
        <v>0</v>
      </c>
      <c r="J153" s="886">
        <f>$B$155*J159+$B$161*J165</f>
        <v>0</v>
      </c>
      <c r="K153" s="877"/>
      <c r="L153" s="879"/>
      <c r="M153" s="877"/>
      <c r="N153" s="886"/>
      <c r="O153" s="877"/>
      <c r="P153" s="879"/>
      <c r="Q153" s="877"/>
      <c r="R153" s="886"/>
      <c r="S153" s="877"/>
      <c r="T153" s="879"/>
      <c r="U153" s="877"/>
      <c r="V153" s="886"/>
      <c r="W153" s="877"/>
      <c r="X153" s="879"/>
      <c r="Y153" s="877"/>
      <c r="Z153" s="886"/>
      <c r="AA153" s="877"/>
      <c r="AB153" s="879"/>
      <c r="AC153" s="877"/>
      <c r="AD153" s="886"/>
      <c r="AE153" s="877"/>
      <c r="AF153" s="879"/>
      <c r="AG153" s="877"/>
      <c r="AH153" s="886"/>
      <c r="AI153" s="877"/>
      <c r="AJ153" s="879"/>
      <c r="AK153" s="877"/>
      <c r="AL153" s="886"/>
      <c r="AM153" s="877"/>
      <c r="AN153" s="879"/>
      <c r="AO153" s="877"/>
      <c r="AP153" s="886"/>
      <c r="AQ153" s="877"/>
      <c r="AR153" s="877"/>
      <c r="AS153" s="877"/>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c r="MO153"/>
      <c r="MP153"/>
      <c r="MQ153"/>
    </row>
    <row r="154" spans="1:355" s="95" customFormat="1">
      <c r="A154" s="374" t="s">
        <v>574</v>
      </c>
      <c r="B154" s="376"/>
      <c r="C154" s="377"/>
      <c r="D154" s="507"/>
      <c r="E154" s="462"/>
      <c r="F154" s="870" t="s">
        <v>575</v>
      </c>
      <c r="G154" s="1272"/>
      <c r="H154" s="880"/>
      <c r="I154" s="880"/>
      <c r="J154" s="938"/>
      <c r="K154" s="877"/>
      <c r="L154" s="879"/>
      <c r="M154" s="877"/>
      <c r="N154" s="886"/>
      <c r="O154" s="877"/>
      <c r="P154" s="879"/>
      <c r="Q154" s="877"/>
      <c r="R154" s="886"/>
      <c r="S154" s="877"/>
      <c r="T154" s="879"/>
      <c r="U154" s="877"/>
      <c r="V154" s="886"/>
      <c r="W154" s="877"/>
      <c r="X154" s="879"/>
      <c r="Y154" s="877"/>
      <c r="Z154" s="886"/>
      <c r="AA154" s="877"/>
      <c r="AB154" s="879"/>
      <c r="AC154" s="877"/>
      <c r="AD154" s="886"/>
      <c r="AE154" s="877"/>
      <c r="AF154" s="879"/>
      <c r="AG154" s="877"/>
      <c r="AH154" s="886"/>
      <c r="AI154" s="877"/>
      <c r="AJ154" s="879"/>
      <c r="AK154" s="877"/>
      <c r="AL154" s="886"/>
      <c r="AM154" s="877"/>
      <c r="AN154" s="879"/>
      <c r="AO154" s="877"/>
      <c r="AP154" s="886"/>
      <c r="AQ154" s="877"/>
      <c r="AR154" s="877"/>
      <c r="AS154" s="877"/>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c r="MK154"/>
      <c r="ML154"/>
      <c r="MM154"/>
      <c r="MN154"/>
      <c r="MO154"/>
      <c r="MP154"/>
      <c r="MQ154"/>
    </row>
    <row r="155" spans="1:355">
      <c r="A155" s="381" t="s">
        <v>122</v>
      </c>
      <c r="B155" s="498">
        <f>'Input data processed products'!C48</f>
        <v>0.5</v>
      </c>
      <c r="C155" s="384" t="s">
        <v>316</v>
      </c>
      <c r="D155" s="510"/>
      <c r="E155" s="384"/>
      <c r="F155" s="927">
        <f>SUMPRODUCT($AX$3:$AX$6,F156:F159)</f>
        <v>1.3107583933549678</v>
      </c>
      <c r="G155" s="1274"/>
      <c r="H155" s="875"/>
      <c r="I155" s="875"/>
      <c r="J155" s="981"/>
      <c r="K155" s="877"/>
      <c r="L155" s="883">
        <f>SUMPRODUCT('Input data processed products'!$D48:$AE48,'Input data processed products'!D$83:AE$83)</f>
        <v>1.0544647319213283</v>
      </c>
      <c r="M155" s="884">
        <f>L155/(1-'Common input data'!$B$165)</f>
        <v>1.171627479912587</v>
      </c>
      <c r="N155" s="885">
        <f>M155/(1-'Common input data'!$B$182)</f>
        <v>1.3466982527730884</v>
      </c>
      <c r="O155" s="877"/>
      <c r="P155" s="883">
        <f>SUMPRODUCT('Input data processed products'!$D48:$AE48,'Input data processed products'!D$84:AE$84)</f>
        <v>0</v>
      </c>
      <c r="Q155" s="884">
        <f>P155/(1-'Common input data'!$B$165)</f>
        <v>0</v>
      </c>
      <c r="R155" s="885">
        <f>Q155/(1-'Common input data'!$B$182)</f>
        <v>0</v>
      </c>
      <c r="S155" s="877"/>
      <c r="T155" s="883">
        <f>SUMPRODUCT('Input data processed products'!$D48:$AE48,'Input data processed products'!D$85:AE$85)</f>
        <v>1.7818219136110289E-2</v>
      </c>
      <c r="U155" s="884">
        <f>T155/(1-'Common input data'!$B$165)</f>
        <v>1.9798021262344766E-2</v>
      </c>
      <c r="V155" s="885">
        <f>U155/(1-'Common input data'!$B$182)</f>
        <v>2.2756346278557202E-2</v>
      </c>
      <c r="W155" s="877"/>
      <c r="X155" s="883">
        <f>SUMPRODUCT('Input data processed products'!$D48:$AE48,'Input data processed products'!D$86:AE$86)</f>
        <v>5.6214454200930577E-3</v>
      </c>
      <c r="Y155" s="884">
        <f>X155/(1-'Common input data'!$B$165)</f>
        <v>6.246050466770064E-3</v>
      </c>
      <c r="Z155" s="885">
        <f>Y155/(1-'Common input data'!$B$182)</f>
        <v>7.1793683526092692E-3</v>
      </c>
      <c r="AA155" s="877"/>
      <c r="AB155" s="883">
        <f>SUMPRODUCT('Input data processed products'!$D48:$AE48,'Input data processed products'!D$87:AE$87)/$AC$2</f>
        <v>0.27279541417226383</v>
      </c>
      <c r="AC155" s="884">
        <f>AB155/(1-'Common input data'!$B$165)</f>
        <v>0.30310601574695978</v>
      </c>
      <c r="AD155" s="885">
        <f>AC155/(1-'Common input data'!$B$182)</f>
        <v>0.34839771924937907</v>
      </c>
      <c r="AE155" s="877"/>
      <c r="AF155" s="883">
        <f>SUMPRODUCT('Input data processed products'!$D48:$AE48,'Input data processed products'!D$88:AE$88)</f>
        <v>1.7864907917217488E-9</v>
      </c>
      <c r="AG155" s="884">
        <f>AF155/(1-'Common input data'!$B$165)</f>
        <v>1.9849897685797208E-9</v>
      </c>
      <c r="AH155" s="885">
        <f>AG155/(1-'Common input data'!$B$182)</f>
        <v>2.2815974351491042E-9</v>
      </c>
      <c r="AI155" s="877"/>
      <c r="AJ155" s="883">
        <f>SUMPRODUCT('Input data processed products'!$D48:$AE48,'Input data processed products'!D$89:AE$89)</f>
        <v>8.8965561022815224E-4</v>
      </c>
      <c r="AK155" s="884">
        <f>AJ155/(1-'Common input data'!$B$165)</f>
        <v>9.8850623358683574E-4</v>
      </c>
      <c r="AL155" s="885">
        <f>AK155/(1-'Common input data'!$B$182)</f>
        <v>1.136214061594064E-3</v>
      </c>
      <c r="AM155" s="877"/>
      <c r="AN155" s="883">
        <f>SUMPRODUCT('Input data processed products'!$D48:$AE48,'Input data processed products'!D$90:AE$90)</f>
        <v>5.4787474932105915E-4</v>
      </c>
      <c r="AO155" s="884">
        <f>AN155/(1-'Common input data'!$B$165)</f>
        <v>6.0874972146784348E-4</v>
      </c>
      <c r="AP155" s="885">
        <f>AO155/(1-'Common input data'!$B$182)</f>
        <v>6.997123235262569E-4</v>
      </c>
      <c r="AQ155" s="877"/>
      <c r="AR155" s="877"/>
      <c r="AS155" s="877"/>
    </row>
    <row r="156" spans="1:355">
      <c r="A156" s="68"/>
      <c r="B156" s="50"/>
      <c r="C156" s="174" t="s">
        <v>317</v>
      </c>
      <c r="D156" s="511"/>
      <c r="E156" s="174"/>
      <c r="F156" s="878">
        <f>SUM(G156:J156)/(1-'Common input data'!$B$165)</f>
        <v>1.2116317064197362</v>
      </c>
      <c r="G156" s="928">
        <f>SUMPRODUCT('Input data processed products'!E$48:AC$48,'Input data processed products'!E$80:AC$80)</f>
        <v>0.81046853577776268</v>
      </c>
      <c r="H156" s="877">
        <f>'Input data processed products'!G$101</f>
        <v>0.1</v>
      </c>
      <c r="I156" s="877">
        <f>'Common input data'!B$106</f>
        <v>0.15</v>
      </c>
      <c r="J156" s="886">
        <f>'Common input data'!C$115</f>
        <v>0.03</v>
      </c>
      <c r="K156" s="877"/>
      <c r="L156" s="879"/>
      <c r="M156" s="877"/>
      <c r="N156" s="886"/>
      <c r="O156" s="877"/>
      <c r="P156" s="879"/>
      <c r="Q156" s="877"/>
      <c r="R156" s="886"/>
      <c r="S156" s="877"/>
      <c r="T156" s="879"/>
      <c r="U156" s="877"/>
      <c r="V156" s="886"/>
      <c r="W156" s="877"/>
      <c r="X156" s="879"/>
      <c r="Y156" s="877"/>
      <c r="Z156" s="886"/>
      <c r="AA156" s="877"/>
      <c r="AB156" s="879"/>
      <c r="AC156" s="877"/>
      <c r="AD156" s="886"/>
      <c r="AE156" s="877"/>
      <c r="AF156" s="879"/>
      <c r="AG156" s="877"/>
      <c r="AH156" s="886"/>
      <c r="AI156" s="877"/>
      <c r="AJ156" s="879"/>
      <c r="AK156" s="877"/>
      <c r="AL156" s="886"/>
      <c r="AM156" s="877"/>
      <c r="AN156" s="879"/>
      <c r="AO156" s="877"/>
      <c r="AP156" s="886"/>
      <c r="AQ156" s="877"/>
      <c r="AR156" s="877"/>
      <c r="AS156" s="877"/>
    </row>
    <row r="157" spans="1:355">
      <c r="A157" s="359"/>
      <c r="B157" s="54"/>
      <c r="C157" s="174" t="s">
        <v>321</v>
      </c>
      <c r="D157" s="511"/>
      <c r="E157" s="174"/>
      <c r="F157" s="878">
        <f>SUM(G157:J157)/(1-'Common input data'!$B$165)</f>
        <v>0</v>
      </c>
      <c r="G157" s="928">
        <v>0</v>
      </c>
      <c r="H157" s="877">
        <v>0</v>
      </c>
      <c r="I157" s="877">
        <v>0</v>
      </c>
      <c r="J157" s="886">
        <v>0</v>
      </c>
      <c r="K157" s="877"/>
      <c r="L157" s="879"/>
      <c r="M157" s="877"/>
      <c r="N157" s="886"/>
      <c r="O157" s="877"/>
      <c r="P157" s="879"/>
      <c r="Q157" s="877"/>
      <c r="R157" s="886"/>
      <c r="S157" s="877"/>
      <c r="T157" s="879"/>
      <c r="U157" s="877"/>
      <c r="V157" s="886"/>
      <c r="W157" s="877"/>
      <c r="X157" s="879"/>
      <c r="Y157" s="877"/>
      <c r="Z157" s="886"/>
      <c r="AA157" s="877"/>
      <c r="AB157" s="879"/>
      <c r="AC157" s="877"/>
      <c r="AD157" s="886"/>
      <c r="AE157" s="877"/>
      <c r="AF157" s="879"/>
      <c r="AG157" s="877"/>
      <c r="AH157" s="886"/>
      <c r="AI157" s="877"/>
      <c r="AJ157" s="879"/>
      <c r="AK157" s="877"/>
      <c r="AL157" s="886"/>
      <c r="AM157" s="877"/>
      <c r="AN157" s="879"/>
      <c r="AO157" s="877"/>
      <c r="AP157" s="886"/>
      <c r="AQ157" s="877"/>
      <c r="AR157" s="877"/>
      <c r="AS157" s="877"/>
    </row>
    <row r="158" spans="1:355" s="515" customFormat="1">
      <c r="A158" s="359"/>
      <c r="B158" s="54"/>
      <c r="C158" s="174" t="s">
        <v>319</v>
      </c>
      <c r="D158" s="511"/>
      <c r="E158" s="174"/>
      <c r="F158" s="878">
        <f>SUM(G158:J158)/(1-'Common input data'!$B$165)</f>
        <v>1.7984955066752408E-4</v>
      </c>
      <c r="G158" s="928">
        <f>SUMPRODUCT('Input data processed products'!E$48:AC$48,'Input data processed products'!E$81:AC$81)</f>
        <v>1.6186459560077167E-4</v>
      </c>
      <c r="H158" s="877">
        <v>0</v>
      </c>
      <c r="I158" s="877">
        <v>0</v>
      </c>
      <c r="J158" s="886">
        <v>0</v>
      </c>
      <c r="K158" s="877"/>
      <c r="L158" s="879"/>
      <c r="M158" s="877"/>
      <c r="N158" s="886"/>
      <c r="O158" s="877"/>
      <c r="P158" s="879"/>
      <c r="Q158" s="877"/>
      <c r="R158" s="886"/>
      <c r="S158" s="877"/>
      <c r="T158" s="879"/>
      <c r="U158" s="877"/>
      <c r="V158" s="886"/>
      <c r="W158" s="877"/>
      <c r="X158" s="879"/>
      <c r="Y158" s="877"/>
      <c r="Z158" s="886"/>
      <c r="AA158" s="877"/>
      <c r="AB158" s="879"/>
      <c r="AC158" s="877"/>
      <c r="AD158" s="886"/>
      <c r="AE158" s="877"/>
      <c r="AF158" s="879"/>
      <c r="AG158" s="877"/>
      <c r="AH158" s="886"/>
      <c r="AI158" s="877"/>
      <c r="AJ158" s="879"/>
      <c r="AK158" s="877"/>
      <c r="AL158" s="886"/>
      <c r="AM158" s="877"/>
      <c r="AN158" s="879"/>
      <c r="AO158" s="877"/>
      <c r="AP158" s="886"/>
      <c r="AQ158" s="877"/>
      <c r="AR158" s="877"/>
      <c r="AS158" s="877"/>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c r="MA158"/>
      <c r="MB158"/>
      <c r="MC158"/>
      <c r="MD158"/>
      <c r="ME158"/>
      <c r="MF158"/>
      <c r="MG158"/>
      <c r="MH158"/>
      <c r="MI158"/>
      <c r="MJ158"/>
      <c r="MK158"/>
      <c r="ML158"/>
      <c r="MM158"/>
      <c r="MN158"/>
      <c r="MO158"/>
      <c r="MP158"/>
      <c r="MQ158"/>
    </row>
    <row r="159" spans="1:355" s="95" customFormat="1">
      <c r="A159" s="359"/>
      <c r="B159" s="54"/>
      <c r="C159" s="55" t="s">
        <v>320</v>
      </c>
      <c r="D159" s="514"/>
      <c r="E159" s="56"/>
      <c r="F159" s="933">
        <f>SUM(G159:J159)/(1-'Common input data'!$B$165)</f>
        <v>4.218085581420356E-4</v>
      </c>
      <c r="G159" s="928">
        <f>SUMPRODUCT('Input data processed products'!E$48:AC$48,'Input data processed products'!E$82:AC$82)</f>
        <v>3.7962770232783207E-4</v>
      </c>
      <c r="H159" s="877">
        <v>0</v>
      </c>
      <c r="I159" s="877">
        <v>0</v>
      </c>
      <c r="J159" s="886">
        <v>0</v>
      </c>
      <c r="K159" s="877"/>
      <c r="L159" s="879"/>
      <c r="M159" s="877"/>
      <c r="N159" s="886"/>
      <c r="O159" s="877"/>
      <c r="P159" s="879"/>
      <c r="Q159" s="877"/>
      <c r="R159" s="886"/>
      <c r="S159" s="877"/>
      <c r="T159" s="879"/>
      <c r="U159" s="877"/>
      <c r="V159" s="886"/>
      <c r="W159" s="877"/>
      <c r="X159" s="879"/>
      <c r="Y159" s="877"/>
      <c r="Z159" s="886"/>
      <c r="AA159" s="877"/>
      <c r="AB159" s="879"/>
      <c r="AC159" s="877"/>
      <c r="AD159" s="886"/>
      <c r="AE159" s="877"/>
      <c r="AF159" s="879"/>
      <c r="AG159" s="877"/>
      <c r="AH159" s="886"/>
      <c r="AI159" s="877"/>
      <c r="AJ159" s="879"/>
      <c r="AK159" s="877"/>
      <c r="AL159" s="886"/>
      <c r="AM159" s="877"/>
      <c r="AN159" s="879"/>
      <c r="AO159" s="877"/>
      <c r="AP159" s="886"/>
      <c r="AQ159" s="877"/>
      <c r="AR159" s="877"/>
      <c r="AS159" s="877"/>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row>
    <row r="160" spans="1:355">
      <c r="A160" s="374" t="s">
        <v>576</v>
      </c>
      <c r="B160" s="376"/>
      <c r="C160" s="377"/>
      <c r="D160" s="507"/>
      <c r="E160" s="462"/>
      <c r="F160" s="870" t="s">
        <v>577</v>
      </c>
      <c r="G160" s="1272"/>
      <c r="H160" s="880"/>
      <c r="I160" s="880"/>
      <c r="J160" s="938"/>
      <c r="K160" s="877"/>
      <c r="L160" s="879"/>
      <c r="M160" s="877"/>
      <c r="N160" s="886"/>
      <c r="O160" s="877"/>
      <c r="P160" s="879"/>
      <c r="Q160" s="877"/>
      <c r="R160" s="886"/>
      <c r="S160" s="877"/>
      <c r="T160" s="879"/>
      <c r="U160" s="877"/>
      <c r="V160" s="886"/>
      <c r="W160" s="877"/>
      <c r="X160" s="879"/>
      <c r="Y160" s="877"/>
      <c r="Z160" s="886"/>
      <c r="AA160" s="877"/>
      <c r="AB160" s="879"/>
      <c r="AC160" s="877"/>
      <c r="AD160" s="886"/>
      <c r="AE160" s="877"/>
      <c r="AF160" s="879"/>
      <c r="AG160" s="877"/>
      <c r="AH160" s="886"/>
      <c r="AI160" s="877"/>
      <c r="AJ160" s="879"/>
      <c r="AK160" s="877"/>
      <c r="AL160" s="886"/>
      <c r="AM160" s="877"/>
      <c r="AN160" s="879"/>
      <c r="AO160" s="877"/>
      <c r="AP160" s="886"/>
      <c r="AQ160" s="877"/>
      <c r="AR160" s="877"/>
      <c r="AS160" s="877"/>
    </row>
    <row r="161" spans="1:355">
      <c r="A161" s="381" t="s">
        <v>122</v>
      </c>
      <c r="B161" s="498">
        <f>'Input data processed products'!C50</f>
        <v>0.5</v>
      </c>
      <c r="C161" s="384" t="s">
        <v>316</v>
      </c>
      <c r="D161" s="510"/>
      <c r="E161" s="384"/>
      <c r="F161" s="927">
        <f>SUMPRODUCT($AX$3:$AX$6,F162:F165)</f>
        <v>0.70348857047692437</v>
      </c>
      <c r="G161" s="1274"/>
      <c r="H161" s="875"/>
      <c r="I161" s="875"/>
      <c r="J161" s="981"/>
      <c r="K161" s="877"/>
      <c r="L161" s="883">
        <f>SUMPRODUCT('Input data processed products'!$D50:$AE50,'Input data processed products'!D$83:AE$83)</f>
        <v>0.67085730428463941</v>
      </c>
      <c r="M161" s="884">
        <f>L161/(1-'Common input data'!$B$165)</f>
        <v>0.74539700476071047</v>
      </c>
      <c r="N161" s="885">
        <f>M161/(1-'Common input data'!$B$182)</f>
        <v>0.85677816639162119</v>
      </c>
      <c r="O161" s="877"/>
      <c r="P161" s="883">
        <f>SUMPRODUCT('Input data processed products'!$D50:$AE50,'Input data processed products'!D$84:AE$84)</f>
        <v>0</v>
      </c>
      <c r="Q161" s="884">
        <f>P161/(1-'Common input data'!$B$165)</f>
        <v>0</v>
      </c>
      <c r="R161" s="885">
        <f>Q161/(1-'Common input data'!$B$182)</f>
        <v>0</v>
      </c>
      <c r="S161" s="877"/>
      <c r="T161" s="883">
        <f>SUMPRODUCT('Input data processed products'!$D50:$AE50,'Input data processed products'!D$85:AE$85)</f>
        <v>2.340161576751266E-3</v>
      </c>
      <c r="U161" s="884">
        <f>T161/(1-'Common input data'!$B$165)</f>
        <v>2.6001795297236289E-3</v>
      </c>
      <c r="V161" s="885">
        <f>U161/(1-'Common input data'!$B$182)</f>
        <v>2.9887121031306079E-3</v>
      </c>
      <c r="W161" s="877"/>
      <c r="X161" s="883">
        <f>SUMPRODUCT('Input data processed products'!$D50:$AE50,'Input data processed products'!D$86:AE$86)</f>
        <v>1.2945877425204664E-3</v>
      </c>
      <c r="Y161" s="884">
        <f>X161/(1-'Common input data'!$B$165)</f>
        <v>1.4384308250227403E-3</v>
      </c>
      <c r="Z161" s="885">
        <f>Y161/(1-'Common input data'!$B$182)</f>
        <v>1.6533687643939545E-3</v>
      </c>
      <c r="AA161" s="877"/>
      <c r="AB161" s="883">
        <f>SUMPRODUCT('Input data processed products'!$D50:$AE50,'Input data processed products'!D$87:AE$87)/$AC$2</f>
        <v>2.9461199965188586E-2</v>
      </c>
      <c r="AC161" s="884">
        <f>AB161/(1-'Common input data'!$B$165)</f>
        <v>3.2734666627987317E-2</v>
      </c>
      <c r="AD161" s="885">
        <f>AC161/(1-'Common input data'!$B$182)</f>
        <v>3.7626053595387725E-2</v>
      </c>
      <c r="AE161" s="877"/>
      <c r="AF161" s="883">
        <f>SUMPRODUCT('Input data processed products'!$D50:$AE50,'Input data processed products'!D$88:AE$88)</f>
        <v>2.8886641508804904E-10</v>
      </c>
      <c r="AG161" s="884">
        <f>AF161/(1-'Common input data'!$B$165)</f>
        <v>3.2096268343116559E-10</v>
      </c>
      <c r="AH161" s="885">
        <f>AG161/(1-'Common input data'!$B$182)</f>
        <v>3.6892262463352369E-10</v>
      </c>
      <c r="AI161" s="877"/>
      <c r="AJ161" s="883">
        <f>SUMPRODUCT('Input data processed products'!$D50:$AE50,'Input data processed products'!D$89:AE$89)</f>
        <v>4.7298504611234955E-4</v>
      </c>
      <c r="AK161" s="884">
        <f>AJ161/(1-'Common input data'!$B$165)</f>
        <v>5.2553894012483278E-4</v>
      </c>
      <c r="AL161" s="885">
        <f>AK161/(1-'Common input data'!$B$182)</f>
        <v>6.0406774726992271E-4</v>
      </c>
      <c r="AM161" s="877"/>
      <c r="AN161" s="883">
        <f>SUMPRODUCT('Input data processed products'!$D50:$AE50,'Input data processed products'!D$90:AE$90)</f>
        <v>5.9753061189881275E-5</v>
      </c>
      <c r="AO161" s="884">
        <f>AN161/(1-'Common input data'!$B$165)</f>
        <v>6.6392290210979187E-5</v>
      </c>
      <c r="AP161" s="885">
        <f>AO161/(1-'Common input data'!$B$182)</f>
        <v>7.6312977253999062E-5</v>
      </c>
      <c r="AQ161" s="877"/>
      <c r="AR161" s="877"/>
      <c r="AS161" s="877"/>
    </row>
    <row r="162" spans="1:355">
      <c r="C162" s="174" t="s">
        <v>317</v>
      </c>
      <c r="D162" s="511"/>
      <c r="F162" s="878">
        <f>SUM(G162:J162)/(1-'Common input data'!$B$165)</f>
        <v>0.6838990798021688</v>
      </c>
      <c r="G162" s="928">
        <f>SUMPRODUCT('Input data processed products'!E$50:AC$50,'Input data processed products'!E$80:AC$80)</f>
        <v>0.33550917182195189</v>
      </c>
      <c r="H162" s="877">
        <f>'Input data processed products'!G$101</f>
        <v>0.1</v>
      </c>
      <c r="I162" s="877">
        <f>'Common input data'!B$106</f>
        <v>0.15</v>
      </c>
      <c r="J162" s="886">
        <f>'Common input data'!C$115</f>
        <v>0.03</v>
      </c>
      <c r="K162" s="877"/>
      <c r="L162" s="879"/>
      <c r="M162" s="877"/>
      <c r="N162" s="886"/>
      <c r="O162" s="877"/>
      <c r="P162" s="879"/>
      <c r="Q162" s="877"/>
      <c r="R162" s="886"/>
      <c r="S162" s="877"/>
      <c r="T162" s="879"/>
      <c r="U162" s="877"/>
      <c r="V162" s="886"/>
      <c r="W162" s="877"/>
      <c r="X162" s="879"/>
      <c r="Y162" s="877"/>
      <c r="Z162" s="886"/>
      <c r="AA162" s="877"/>
      <c r="AB162" s="879"/>
      <c r="AC162" s="877"/>
      <c r="AD162" s="886"/>
      <c r="AE162" s="877"/>
      <c r="AF162" s="879"/>
      <c r="AG162" s="877"/>
      <c r="AH162" s="886"/>
      <c r="AI162" s="877"/>
      <c r="AJ162" s="879"/>
      <c r="AK162" s="877"/>
      <c r="AL162" s="886"/>
      <c r="AM162" s="877"/>
      <c r="AN162" s="879"/>
      <c r="AO162" s="877"/>
      <c r="AP162" s="886"/>
      <c r="AQ162" s="877"/>
      <c r="AR162" s="877"/>
      <c r="AS162" s="877"/>
    </row>
    <row r="163" spans="1:355" s="515" customFormat="1">
      <c r="A163" s="68"/>
      <c r="B163" s="50"/>
      <c r="C163" s="174" t="s">
        <v>321</v>
      </c>
      <c r="D163" s="511"/>
      <c r="E163"/>
      <c r="F163" s="878">
        <f>SUM(G163:J163)/(1-'Common input data'!$B$165)</f>
        <v>0</v>
      </c>
      <c r="G163" s="928">
        <v>0</v>
      </c>
      <c r="H163" s="877">
        <v>0</v>
      </c>
      <c r="I163" s="877">
        <v>0</v>
      </c>
      <c r="J163" s="886">
        <v>0</v>
      </c>
      <c r="K163" s="877"/>
      <c r="L163" s="879"/>
      <c r="M163" s="877"/>
      <c r="N163" s="886"/>
      <c r="O163" s="877"/>
      <c r="P163" s="879"/>
      <c r="Q163" s="877"/>
      <c r="R163" s="886"/>
      <c r="S163" s="877"/>
      <c r="T163" s="879"/>
      <c r="U163" s="877"/>
      <c r="V163" s="886"/>
      <c r="W163" s="877"/>
      <c r="X163" s="879"/>
      <c r="Y163" s="877"/>
      <c r="Z163" s="886"/>
      <c r="AA163" s="877"/>
      <c r="AB163" s="879"/>
      <c r="AC163" s="877"/>
      <c r="AD163" s="886"/>
      <c r="AE163" s="877"/>
      <c r="AF163" s="879"/>
      <c r="AG163" s="877"/>
      <c r="AH163" s="886"/>
      <c r="AI163" s="877"/>
      <c r="AJ163" s="879"/>
      <c r="AK163" s="877"/>
      <c r="AL163" s="886"/>
      <c r="AM163" s="877"/>
      <c r="AN163" s="879"/>
      <c r="AO163" s="877"/>
      <c r="AP163" s="886"/>
      <c r="AQ163" s="877"/>
      <c r="AR163" s="877"/>
      <c r="AS163" s="877"/>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c r="MO163"/>
      <c r="MP163"/>
      <c r="MQ163"/>
    </row>
    <row r="164" spans="1:355" s="95" customFormat="1">
      <c r="A164" s="68"/>
      <c r="B164" s="50"/>
      <c r="C164" s="174" t="s">
        <v>319</v>
      </c>
      <c r="D164" s="511"/>
      <c r="E164"/>
      <c r="F164" s="878">
        <f>SUM(G164:J164)/(1-'Common input data'!$B$165)</f>
        <v>5.5853271878425611E-5</v>
      </c>
      <c r="G164" s="928">
        <f>SUMPRODUCT('Input data processed products'!E$50:AC$50,'Input data processed products'!E$81:AC$81)</f>
        <v>5.0267944690583049E-5</v>
      </c>
      <c r="H164" s="877">
        <v>0</v>
      </c>
      <c r="I164" s="877">
        <v>0</v>
      </c>
      <c r="J164" s="886">
        <v>0</v>
      </c>
      <c r="K164" s="877"/>
      <c r="L164" s="879"/>
      <c r="M164" s="877"/>
      <c r="N164" s="886"/>
      <c r="O164" s="877"/>
      <c r="P164" s="879"/>
      <c r="Q164" s="877"/>
      <c r="R164" s="886"/>
      <c r="S164" s="877"/>
      <c r="T164" s="879"/>
      <c r="U164" s="877"/>
      <c r="V164" s="886"/>
      <c r="W164" s="877"/>
      <c r="X164" s="879"/>
      <c r="Y164" s="877"/>
      <c r="Z164" s="886"/>
      <c r="AA164" s="877"/>
      <c r="AB164" s="879"/>
      <c r="AC164" s="877"/>
      <c r="AD164" s="886"/>
      <c r="AE164" s="877"/>
      <c r="AF164" s="879"/>
      <c r="AG164" s="877"/>
      <c r="AH164" s="886"/>
      <c r="AI164" s="877"/>
      <c r="AJ164" s="879"/>
      <c r="AK164" s="877"/>
      <c r="AL164" s="886"/>
      <c r="AM164" s="877"/>
      <c r="AN164" s="879"/>
      <c r="AO164" s="877"/>
      <c r="AP164" s="886"/>
      <c r="AQ164" s="877"/>
      <c r="AR164" s="877"/>
      <c r="AS164" s="877"/>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c r="MA164"/>
      <c r="MB164"/>
      <c r="MC164"/>
      <c r="MD164"/>
      <c r="ME164"/>
      <c r="MF164"/>
      <c r="MG164"/>
      <c r="MH164"/>
      <c r="MI164"/>
      <c r="MJ164"/>
      <c r="MK164"/>
      <c r="ML164"/>
      <c r="MM164"/>
      <c r="MN164"/>
      <c r="MO164"/>
      <c r="MP164"/>
      <c r="MQ164"/>
    </row>
    <row r="165" spans="1:355">
      <c r="A165" s="359"/>
      <c r="B165" s="54"/>
      <c r="C165" s="55" t="s">
        <v>320</v>
      </c>
      <c r="D165" s="514"/>
      <c r="E165" s="65"/>
      <c r="F165" s="933">
        <f>SUM(G165:J165)/(1-'Common input data'!$B$165)</f>
        <v>8.2948413291531958E-5</v>
      </c>
      <c r="G165" s="932">
        <f>SUMPRODUCT('Input data processed products'!E$50:AC$50,'Input data processed products'!E$82:AC$82)</f>
        <v>7.4653571962378764E-5</v>
      </c>
      <c r="H165" s="896">
        <v>0</v>
      </c>
      <c r="I165" s="896">
        <v>0</v>
      </c>
      <c r="J165" s="897">
        <v>0</v>
      </c>
      <c r="K165" s="877"/>
      <c r="L165" s="879"/>
      <c r="M165" s="877"/>
      <c r="N165" s="886"/>
      <c r="O165" s="877"/>
      <c r="P165" s="879"/>
      <c r="Q165" s="877"/>
      <c r="R165" s="886"/>
      <c r="S165" s="877"/>
      <c r="T165" s="879"/>
      <c r="U165" s="877"/>
      <c r="V165" s="886"/>
      <c r="W165" s="877"/>
      <c r="X165" s="879"/>
      <c r="Y165" s="877"/>
      <c r="Z165" s="886"/>
      <c r="AA165" s="877"/>
      <c r="AB165" s="879"/>
      <c r="AC165" s="877"/>
      <c r="AD165" s="886"/>
      <c r="AE165" s="877"/>
      <c r="AF165" s="879"/>
      <c r="AG165" s="877"/>
      <c r="AH165" s="886"/>
      <c r="AI165" s="877"/>
      <c r="AJ165" s="879"/>
      <c r="AK165" s="877"/>
      <c r="AL165" s="886"/>
      <c r="AM165" s="877"/>
      <c r="AN165" s="879"/>
      <c r="AO165" s="877"/>
      <c r="AP165" s="886"/>
      <c r="AQ165" s="877"/>
      <c r="AR165" s="877"/>
      <c r="AS165" s="877"/>
    </row>
    <row r="166" spans="1:355">
      <c r="A166" s="374" t="s">
        <v>578</v>
      </c>
      <c r="B166" s="376"/>
      <c r="C166" s="377"/>
      <c r="D166" s="507"/>
      <c r="E166" s="462"/>
      <c r="F166" s="870" t="s">
        <v>579</v>
      </c>
      <c r="G166" s="1316"/>
      <c r="H166" s="871"/>
      <c r="I166" s="871"/>
      <c r="J166" s="1317"/>
      <c r="K166" s="877"/>
      <c r="L166" s="879"/>
      <c r="M166" s="877"/>
      <c r="N166" s="886"/>
      <c r="O166" s="877"/>
      <c r="P166" s="879"/>
      <c r="Q166" s="877"/>
      <c r="R166" s="886"/>
      <c r="S166" s="877"/>
      <c r="T166" s="879"/>
      <c r="U166" s="877"/>
      <c r="V166" s="886"/>
      <c r="W166" s="877"/>
      <c r="X166" s="879"/>
      <c r="Y166" s="877"/>
      <c r="Z166" s="886"/>
      <c r="AA166" s="877"/>
      <c r="AB166" s="879"/>
      <c r="AC166" s="877"/>
      <c r="AD166" s="886"/>
      <c r="AE166" s="877"/>
      <c r="AF166" s="879"/>
      <c r="AG166" s="877"/>
      <c r="AH166" s="886"/>
      <c r="AI166" s="877"/>
      <c r="AJ166" s="879"/>
      <c r="AK166" s="877"/>
      <c r="AL166" s="886"/>
      <c r="AM166" s="877"/>
      <c r="AN166" s="879"/>
      <c r="AO166" s="877"/>
      <c r="AP166" s="886"/>
      <c r="AQ166" s="877"/>
      <c r="AR166" s="877"/>
      <c r="AS166" s="877"/>
    </row>
    <row r="167" spans="1:355">
      <c r="A167" s="381" t="s">
        <v>122</v>
      </c>
      <c r="B167" s="498">
        <f>SUM(B173,B179)</f>
        <v>1</v>
      </c>
      <c r="C167" s="384" t="s">
        <v>316</v>
      </c>
      <c r="D167" s="510"/>
      <c r="E167" s="384"/>
      <c r="F167" s="927">
        <f>SUMPRODUCT($AX$3:$AX$6,F168:F171)</f>
        <v>1.0527075187960453</v>
      </c>
      <c r="G167" s="1274"/>
      <c r="H167" s="875"/>
      <c r="I167" s="875"/>
      <c r="J167" s="981"/>
      <c r="K167" s="877"/>
      <c r="L167" s="883">
        <f>SUMPRODUCT('Input data processed products'!$D52:$AE52,'Input data processed products'!D$83:AE$83)</f>
        <v>0</v>
      </c>
      <c r="M167" s="884">
        <f>L167/(1-'Common input data'!$B$165)</f>
        <v>0</v>
      </c>
      <c r="N167" s="885">
        <f>M167/(1-'Common input data'!$B$182)</f>
        <v>0</v>
      </c>
      <c r="O167" s="877"/>
      <c r="P167" s="883">
        <f>SUMPRODUCT('Input data processed products'!$D52:$AE52,'Input data processed products'!D$84:AE$84)</f>
        <v>0</v>
      </c>
      <c r="Q167" s="884">
        <f>P167/(1-'Common input data'!$B$165)</f>
        <v>0</v>
      </c>
      <c r="R167" s="885">
        <f>Q167/(1-'Common input data'!$B$182)</f>
        <v>0</v>
      </c>
      <c r="S167" s="877"/>
      <c r="T167" s="883">
        <f>SUMPRODUCT('Input data processed products'!$D52:$AE52,'Input data processed products'!D$85:AE$85)</f>
        <v>0</v>
      </c>
      <c r="U167" s="884">
        <f>T167/(1-'Common input data'!$B$165)</f>
        <v>0</v>
      </c>
      <c r="V167" s="885">
        <f>U167/(1-'Common input data'!$B$182)</f>
        <v>0</v>
      </c>
      <c r="W167" s="877"/>
      <c r="X167" s="883">
        <f>SUMPRODUCT('Input data processed products'!$D52:$AE52,'Input data processed products'!D$86:AE$86)</f>
        <v>0</v>
      </c>
      <c r="Y167" s="884">
        <f>X167/(1-'Common input data'!$B$165)</f>
        <v>0</v>
      </c>
      <c r="Z167" s="885">
        <f>Y167/(1-'Common input data'!$B$182)</f>
        <v>0</v>
      </c>
      <c r="AA167" s="877"/>
      <c r="AB167" s="883">
        <f>SUMPRODUCT('Input data processed products'!$D52:$AE52,'Input data processed products'!D$87:AE$87)/$AC$2</f>
        <v>0</v>
      </c>
      <c r="AC167" s="884">
        <f>AB167/(1-'Common input data'!$B$165)</f>
        <v>0</v>
      </c>
      <c r="AD167" s="885">
        <f>AC167/(1-'Common input data'!$B$182)</f>
        <v>0</v>
      </c>
      <c r="AE167" s="877"/>
      <c r="AF167" s="883">
        <f>SUMPRODUCT('Input data processed products'!$D52:$AE52,'Input data processed products'!D$88:AE$88)</f>
        <v>0</v>
      </c>
      <c r="AG167" s="884">
        <f>AF167/(1-'Common input data'!$B$165)</f>
        <v>0</v>
      </c>
      <c r="AH167" s="885">
        <f>AG167/(1-'Common input data'!$B$182)</f>
        <v>0</v>
      </c>
      <c r="AI167" s="877"/>
      <c r="AJ167" s="883">
        <f>SUMPRODUCT('Input data processed products'!$D52:$AE52,'Input data processed products'!D$89:AE$89)</f>
        <v>0</v>
      </c>
      <c r="AK167" s="884">
        <f>AJ167/(1-'Common input data'!$B$165)</f>
        <v>0</v>
      </c>
      <c r="AL167" s="885">
        <f>AK167/(1-'Common input data'!$B$182)</f>
        <v>0</v>
      </c>
      <c r="AM167" s="877"/>
      <c r="AN167" s="883">
        <f>SUMPRODUCT('Input data processed products'!$D52:$AE52,'Input data processed products'!D$90:AE$90)</f>
        <v>0</v>
      </c>
      <c r="AO167" s="884">
        <f>AN167/(1-'Common input data'!$B$165)</f>
        <v>0</v>
      </c>
      <c r="AP167" s="885">
        <f>AO167/(1-'Common input data'!$B$182)</f>
        <v>0</v>
      </c>
      <c r="AQ167" s="877"/>
      <c r="AR167" s="877"/>
      <c r="AS167" s="877"/>
    </row>
    <row r="168" spans="1:355">
      <c r="A168" s="68"/>
      <c r="B168" s="50"/>
      <c r="C168" s="174" t="s">
        <v>317</v>
      </c>
      <c r="D168" s="511"/>
      <c r="E168" s="174"/>
      <c r="F168" s="878">
        <f>$B$173*F174+$B$179*F180</f>
        <v>0.89170877631447931</v>
      </c>
      <c r="G168" s="928">
        <f>$B$173*G174+$B$179*G180</f>
        <v>0.52253789868303135</v>
      </c>
      <c r="H168" s="877">
        <f>$B$173*H174+$B$179*H180</f>
        <v>0.1</v>
      </c>
      <c r="I168" s="877">
        <f>$B$173*I174+$B$179*I180</f>
        <v>0.15</v>
      </c>
      <c r="J168" s="886">
        <f>$B$155*J174+$B$161*J180</f>
        <v>0.03</v>
      </c>
      <c r="K168" s="877"/>
      <c r="L168" s="879"/>
      <c r="M168" s="877"/>
      <c r="N168" s="886"/>
      <c r="O168" s="877"/>
      <c r="P168" s="879"/>
      <c r="Q168" s="877"/>
      <c r="R168" s="886"/>
      <c r="S168" s="877"/>
      <c r="T168" s="879"/>
      <c r="U168" s="877"/>
      <c r="V168" s="886"/>
      <c r="W168" s="877"/>
      <c r="X168" s="879"/>
      <c r="Y168" s="877"/>
      <c r="Z168" s="886"/>
      <c r="AA168" s="877"/>
      <c r="AB168" s="879"/>
      <c r="AC168" s="877"/>
      <c r="AD168" s="886"/>
      <c r="AE168" s="877"/>
      <c r="AF168" s="879"/>
      <c r="AG168" s="877"/>
      <c r="AH168" s="886"/>
      <c r="AI168" s="877"/>
      <c r="AJ168" s="879"/>
      <c r="AK168" s="877"/>
      <c r="AL168" s="886"/>
      <c r="AM168" s="877"/>
      <c r="AN168" s="879"/>
      <c r="AO168" s="877"/>
      <c r="AP168" s="886"/>
      <c r="AQ168" s="877"/>
      <c r="AR168" s="877"/>
      <c r="AS168" s="877"/>
    </row>
    <row r="169" spans="1:355">
      <c r="A169" s="359"/>
      <c r="B169" s="54"/>
      <c r="C169" s="174" t="s">
        <v>321</v>
      </c>
      <c r="D169" s="511"/>
      <c r="E169" s="174"/>
      <c r="F169" s="878">
        <f>$B$173*F175+$B$179*F181</f>
        <v>0</v>
      </c>
      <c r="G169" s="928">
        <v>0</v>
      </c>
      <c r="H169" s="877">
        <f>$B$173*H175+$B$179*H181</f>
        <v>0</v>
      </c>
      <c r="I169" s="877">
        <f>$B$173*I175+$B$179*I181</f>
        <v>0</v>
      </c>
      <c r="J169" s="886">
        <f>$B$173*J175+$B$179*J181</f>
        <v>0</v>
      </c>
      <c r="K169" s="877"/>
      <c r="L169" s="879"/>
      <c r="M169" s="877"/>
      <c r="N169" s="886"/>
      <c r="O169" s="877"/>
      <c r="P169" s="879"/>
      <c r="Q169" s="877"/>
      <c r="R169" s="886"/>
      <c r="S169" s="877"/>
      <c r="T169" s="879"/>
      <c r="U169" s="877"/>
      <c r="V169" s="886"/>
      <c r="W169" s="877"/>
      <c r="X169" s="879"/>
      <c r="Y169" s="877"/>
      <c r="Z169" s="886"/>
      <c r="AA169" s="877"/>
      <c r="AB169" s="879"/>
      <c r="AC169" s="877"/>
      <c r="AD169" s="886"/>
      <c r="AE169" s="877"/>
      <c r="AF169" s="879"/>
      <c r="AG169" s="877"/>
      <c r="AH169" s="886"/>
      <c r="AI169" s="877"/>
      <c r="AJ169" s="879"/>
      <c r="AK169" s="877"/>
      <c r="AL169" s="886"/>
      <c r="AM169" s="877"/>
      <c r="AN169" s="879"/>
      <c r="AO169" s="877"/>
      <c r="AP169" s="886"/>
      <c r="AQ169" s="877"/>
      <c r="AR169" s="877"/>
      <c r="AS169" s="877"/>
    </row>
    <row r="170" spans="1:355">
      <c r="A170" s="359"/>
      <c r="B170" s="54"/>
      <c r="C170" s="174" t="s">
        <v>319</v>
      </c>
      <c r="D170" s="511"/>
      <c r="E170" s="174"/>
      <c r="F170" s="878">
        <f>$B$173*F176+$B$179*F182</f>
        <v>8.9604849167934837E-4</v>
      </c>
      <c r="G170" s="928">
        <f>$B$173*G176+$B$179*G182</f>
        <v>8.0644364251141354E-4</v>
      </c>
      <c r="H170" s="877">
        <v>0</v>
      </c>
      <c r="I170" s="877">
        <v>0</v>
      </c>
      <c r="J170" s="886">
        <v>0</v>
      </c>
      <c r="K170" s="877"/>
      <c r="L170" s="879"/>
      <c r="M170" s="877"/>
      <c r="N170" s="886"/>
      <c r="O170" s="877"/>
      <c r="P170" s="879"/>
      <c r="Q170" s="877"/>
      <c r="R170" s="886"/>
      <c r="S170" s="877"/>
      <c r="T170" s="879"/>
      <c r="U170" s="877"/>
      <c r="V170" s="886"/>
      <c r="W170" s="877"/>
      <c r="X170" s="879"/>
      <c r="Y170" s="877"/>
      <c r="Z170" s="886"/>
      <c r="AA170" s="877"/>
      <c r="AB170" s="879"/>
      <c r="AC170" s="877"/>
      <c r="AD170" s="886"/>
      <c r="AE170" s="877"/>
      <c r="AF170" s="879"/>
      <c r="AG170" s="877"/>
      <c r="AH170" s="886"/>
      <c r="AI170" s="877"/>
      <c r="AJ170" s="879"/>
      <c r="AK170" s="877"/>
      <c r="AL170" s="886"/>
      <c r="AM170" s="877"/>
      <c r="AN170" s="879"/>
      <c r="AO170" s="877"/>
      <c r="AP170" s="886"/>
      <c r="AQ170" s="877"/>
      <c r="AR170" s="877"/>
      <c r="AS170" s="877"/>
    </row>
    <row r="171" spans="1:355">
      <c r="A171" s="359"/>
      <c r="B171" s="54"/>
      <c r="C171" s="55" t="s">
        <v>320</v>
      </c>
      <c r="D171" s="514"/>
      <c r="E171" s="56"/>
      <c r="F171" s="933">
        <f>$B$173*F177+$B$179*F183</f>
        <v>6.7290692948786756E-4</v>
      </c>
      <c r="G171" s="928">
        <f>$B$173*G177+$B$179*G183</f>
        <v>6.0561623653908087E-4</v>
      </c>
      <c r="H171" s="877">
        <f>$B$173*H177+$B$179*H183</f>
        <v>0</v>
      </c>
      <c r="I171" s="877">
        <f>$B$173*I177+$B$179*I183</f>
        <v>0</v>
      </c>
      <c r="J171" s="886">
        <f>$B$173*J177+$B$179*J183</f>
        <v>0</v>
      </c>
      <c r="K171" s="877"/>
      <c r="L171" s="879"/>
      <c r="M171" s="877"/>
      <c r="N171" s="886"/>
      <c r="O171" s="877"/>
      <c r="P171" s="879"/>
      <c r="Q171" s="877"/>
      <c r="R171" s="886"/>
      <c r="S171" s="877"/>
      <c r="T171" s="879"/>
      <c r="U171" s="877"/>
      <c r="V171" s="886"/>
      <c r="W171" s="877"/>
      <c r="X171" s="879"/>
      <c r="Y171" s="877"/>
      <c r="Z171" s="886"/>
      <c r="AA171" s="877"/>
      <c r="AB171" s="879"/>
      <c r="AC171" s="877"/>
      <c r="AD171" s="886"/>
      <c r="AE171" s="877"/>
      <c r="AF171" s="879"/>
      <c r="AG171" s="877"/>
      <c r="AH171" s="886"/>
      <c r="AI171" s="877"/>
      <c r="AJ171" s="879"/>
      <c r="AK171" s="877"/>
      <c r="AL171" s="886"/>
      <c r="AM171" s="877"/>
      <c r="AN171" s="879"/>
      <c r="AO171" s="877"/>
      <c r="AP171" s="886"/>
      <c r="AQ171" s="877"/>
      <c r="AR171" s="877"/>
      <c r="AS171" s="877"/>
      <c r="AT171" s="189"/>
      <c r="AU171" s="189"/>
      <c r="AV171" s="189"/>
      <c r="AW171" s="189"/>
      <c r="AX171" s="189"/>
      <c r="AY171" s="189"/>
      <c r="AZ171" s="189"/>
      <c r="BA171" s="189"/>
      <c r="BB171" s="189"/>
      <c r="BC171" s="189"/>
    </row>
    <row r="172" spans="1:355">
      <c r="A172" s="374" t="s">
        <v>580</v>
      </c>
      <c r="B172" s="376"/>
      <c r="C172" s="377"/>
      <c r="D172" s="507"/>
      <c r="E172" s="462"/>
      <c r="F172" s="870" t="s">
        <v>581</v>
      </c>
      <c r="G172" s="1272"/>
      <c r="H172" s="880"/>
      <c r="I172" s="880"/>
      <c r="J172" s="938"/>
      <c r="K172" s="877"/>
      <c r="L172" s="879"/>
      <c r="M172" s="877"/>
      <c r="N172" s="886"/>
      <c r="O172" s="877"/>
      <c r="P172" s="879"/>
      <c r="Q172" s="877"/>
      <c r="R172" s="886"/>
      <c r="S172" s="877"/>
      <c r="T172" s="879"/>
      <c r="U172" s="877"/>
      <c r="V172" s="886"/>
      <c r="W172" s="877"/>
      <c r="X172" s="879"/>
      <c r="Y172" s="877"/>
      <c r="Z172" s="886"/>
      <c r="AA172" s="877"/>
      <c r="AB172" s="879"/>
      <c r="AC172" s="877"/>
      <c r="AD172" s="886"/>
      <c r="AE172" s="877"/>
      <c r="AF172" s="879"/>
      <c r="AG172" s="877"/>
      <c r="AH172" s="886"/>
      <c r="AI172" s="877"/>
      <c r="AJ172" s="879"/>
      <c r="AK172" s="877"/>
      <c r="AL172" s="886"/>
      <c r="AM172" s="877"/>
      <c r="AN172" s="879"/>
      <c r="AO172" s="877"/>
      <c r="AP172" s="886"/>
      <c r="AQ172" s="877"/>
      <c r="AR172" s="877"/>
      <c r="AS172" s="834"/>
      <c r="AT172" s="292"/>
      <c r="AU172" s="292"/>
      <c r="AV172" s="292"/>
      <c r="AW172" s="292"/>
      <c r="AX172" s="292"/>
      <c r="AY172" s="189"/>
      <c r="AZ172" s="292"/>
      <c r="BA172" s="292"/>
      <c r="BB172" s="292"/>
      <c r="BC172" s="292"/>
      <c r="BD172" s="292"/>
      <c r="BE172" s="292"/>
      <c r="BF172" s="189"/>
      <c r="BG172" s="292"/>
      <c r="BH172" s="292"/>
      <c r="BI172" s="292"/>
      <c r="BJ172" s="292"/>
      <c r="BK172" s="292"/>
      <c r="BM172" s="189"/>
      <c r="BN172" s="292"/>
      <c r="BO172" s="292"/>
      <c r="BP172" s="292"/>
      <c r="BQ172" s="292"/>
    </row>
    <row r="173" spans="1:355" ht="16.5" customHeight="1">
      <c r="A173" s="381" t="s">
        <v>122</v>
      </c>
      <c r="B173" s="498">
        <f>'Input data processed products'!C54</f>
        <v>0.5</v>
      </c>
      <c r="C173" s="384" t="s">
        <v>316</v>
      </c>
      <c r="D173" s="510"/>
      <c r="E173" s="384"/>
      <c r="F173" s="927">
        <f>SUMPRODUCT($AX$3:$AX$6,F174:F177)</f>
        <v>1.0346473811842163</v>
      </c>
      <c r="G173" s="1274"/>
      <c r="H173" s="875"/>
      <c r="I173" s="875"/>
      <c r="J173" s="981"/>
      <c r="K173" s="877"/>
      <c r="L173" s="883">
        <f>SUMPRODUCT('Input data processed products'!$D54:$AE54,'Input data processed products'!D$83:AE$83)</f>
        <v>1.6734513118558016</v>
      </c>
      <c r="M173" s="884">
        <f>L173/(1-'Common input data'!$B$165)</f>
        <v>1.8593903465064463</v>
      </c>
      <c r="N173" s="885">
        <f>M173/(1-'Common input data'!$B$182)</f>
        <v>2.1372302833407431</v>
      </c>
      <c r="O173" s="877"/>
      <c r="P173" s="883">
        <f>SUMPRODUCT('Input data processed products'!$D54:$AE54,'Input data processed products'!D$84:AE$84)</f>
        <v>0</v>
      </c>
      <c r="Q173" s="884">
        <f>P173/(1-'Common input data'!$B$165)</f>
        <v>0</v>
      </c>
      <c r="R173" s="885">
        <f>Q173/(1-'Common input data'!$B$182)</f>
        <v>0</v>
      </c>
      <c r="S173" s="877"/>
      <c r="T173" s="883">
        <f>SUMPRODUCT('Input data processed products'!$D54:$AE54,'Input data processed products'!D$85:AE$85)</f>
        <v>6.9729188874468086E-3</v>
      </c>
      <c r="U173" s="884">
        <f>T173/(1-'Common input data'!$B$165)</f>
        <v>7.7476876527186756E-3</v>
      </c>
      <c r="V173" s="885">
        <f>U173/(1-'Common input data'!$B$182)</f>
        <v>8.9053881065731897E-3</v>
      </c>
      <c r="W173" s="877"/>
      <c r="X173" s="883">
        <f>SUMPRODUCT('Input data processed products'!$D54:$AE54,'Input data processed products'!D$86:AE$86)</f>
        <v>2.8619810305552406E-3</v>
      </c>
      <c r="Y173" s="884">
        <f>X173/(1-'Common input data'!$B$165)</f>
        <v>3.1799789228391562E-3</v>
      </c>
      <c r="Z173" s="885">
        <f>Y173/(1-'Common input data'!$B$182)</f>
        <v>3.6551481871714441E-3</v>
      </c>
      <c r="AA173" s="877"/>
      <c r="AB173" s="883">
        <f>SUMPRODUCT('Input data processed products'!$D54:$AE54,'Input data processed products'!D$87:AE$87)/$AC$2</f>
        <v>0.10650644914014497</v>
      </c>
      <c r="AC173" s="884">
        <f>AB173/(1-'Common input data'!$B$165)</f>
        <v>0.11834049904460552</v>
      </c>
      <c r="AD173" s="885">
        <f>AC173/(1-'Common input data'!$B$182)</f>
        <v>0.13602356212023622</v>
      </c>
      <c r="AE173" s="877"/>
      <c r="AF173" s="883">
        <f>SUMPRODUCT('Input data processed products'!$D54:$AE54,'Input data processed products'!D$88:AE$88)</f>
        <v>1.4054886114024397E-11</v>
      </c>
      <c r="AG173" s="884">
        <f>AF173/(1-'Common input data'!$B$165)</f>
        <v>1.5616540126693774E-11</v>
      </c>
      <c r="AH173" s="885">
        <f>AG173/(1-'Common input data'!$B$182)</f>
        <v>1.7950046122636522E-11</v>
      </c>
      <c r="AI173" s="877"/>
      <c r="AJ173" s="883">
        <f>SUMPRODUCT('Input data processed products'!$D54:$AE54,'Input data processed products'!D$89:AE$89)</f>
        <v>8.5377419993249435E-4</v>
      </c>
      <c r="AK173" s="884">
        <f>AJ173/(1-'Common input data'!$B$165)</f>
        <v>9.4863799992499372E-4</v>
      </c>
      <c r="AL173" s="885">
        <f>AK173/(1-'Common input data'!$B$182)</f>
        <v>1.0903885056609123E-3</v>
      </c>
      <c r="AM173" s="877"/>
      <c r="AN173" s="883">
        <f>SUMPRODUCT('Input data processed products'!$D54:$AE54,'Input data processed products'!D$90:AE$90)</f>
        <v>2.2958615580697788E-4</v>
      </c>
      <c r="AO173" s="884">
        <f>AN173/(1-'Common input data'!$B$165)</f>
        <v>2.5509572867441984E-4</v>
      </c>
      <c r="AP173" s="885">
        <f>AO173/(1-'Common input data'!$B$182)</f>
        <v>2.9321348123496536E-4</v>
      </c>
      <c r="AQ173" s="877"/>
      <c r="AR173" s="877"/>
      <c r="AS173" s="877"/>
      <c r="AT173" s="268"/>
      <c r="AU173" s="1008"/>
      <c r="AV173" s="1008"/>
      <c r="AW173" s="268"/>
      <c r="AX173" s="268"/>
      <c r="AY173" s="268"/>
      <c r="AZ173" s="268"/>
      <c r="BA173" s="268"/>
      <c r="BB173" s="1008"/>
      <c r="BC173" s="1008"/>
      <c r="BD173" s="268"/>
      <c r="BE173" s="268"/>
      <c r="BF173" s="268"/>
      <c r="BG173" s="268"/>
      <c r="BH173" s="268"/>
      <c r="BI173" s="1008"/>
      <c r="BJ173" s="1008"/>
      <c r="BK173" s="268"/>
      <c r="BM173" s="268"/>
      <c r="BN173" s="268"/>
      <c r="BO173" s="268"/>
      <c r="BP173" s="1008"/>
      <c r="BQ173" s="1008"/>
      <c r="CG173" s="971"/>
      <c r="CH173" s="971"/>
    </row>
    <row r="174" spans="1:355">
      <c r="A174" s="68"/>
      <c r="B174" s="50"/>
      <c r="C174" s="174" t="s">
        <v>317</v>
      </c>
      <c r="D174" s="511"/>
      <c r="E174" s="174"/>
      <c r="F174" s="878">
        <f>SUM(G174:J174)/(1-'Common input data'!$B$165)</f>
        <v>0.9596237176003406</v>
      </c>
      <c r="G174" s="928">
        <f>SUMPRODUCT('Input data processed products'!E$54:AC$54,'Input data processed products'!E$80:AC$80)</f>
        <v>0.58366134584030649</v>
      </c>
      <c r="H174" s="877">
        <f>'Input data processed products'!G$101</f>
        <v>0.1</v>
      </c>
      <c r="I174" s="877">
        <f>'Common input data'!B$106</f>
        <v>0.15</v>
      </c>
      <c r="J174" s="886">
        <f>'Common input data'!C$115</f>
        <v>0.03</v>
      </c>
      <c r="K174" s="877"/>
      <c r="L174" s="879"/>
      <c r="M174" s="877"/>
      <c r="N174" s="886"/>
      <c r="O174" s="877"/>
      <c r="P174" s="879"/>
      <c r="Q174" s="877"/>
      <c r="R174" s="886"/>
      <c r="S174" s="877"/>
      <c r="T174" s="879"/>
      <c r="U174" s="877"/>
      <c r="V174" s="886"/>
      <c r="W174" s="877"/>
      <c r="X174" s="879"/>
      <c r="Y174" s="877"/>
      <c r="Z174" s="886"/>
      <c r="AA174" s="877"/>
      <c r="AB174" s="879"/>
      <c r="AC174" s="877"/>
      <c r="AD174" s="886"/>
      <c r="AE174" s="877"/>
      <c r="AF174" s="879"/>
      <c r="AG174" s="877"/>
      <c r="AH174" s="886"/>
      <c r="AI174" s="877"/>
      <c r="AJ174" s="879"/>
      <c r="AK174" s="877"/>
      <c r="AL174" s="886"/>
      <c r="AM174" s="877"/>
      <c r="AN174" s="879"/>
      <c r="AO174" s="877"/>
      <c r="AP174" s="886"/>
      <c r="AQ174" s="877"/>
      <c r="AR174" s="877"/>
      <c r="AS174" s="877"/>
    </row>
    <row r="175" spans="1:355">
      <c r="A175" s="359"/>
      <c r="B175" s="54"/>
      <c r="C175" s="174" t="s">
        <v>321</v>
      </c>
      <c r="D175" s="511"/>
      <c r="E175" s="174"/>
      <c r="F175" s="878">
        <f>SUM(G175:J175)/(1-'Common input data'!$B$165)</f>
        <v>0</v>
      </c>
      <c r="G175" s="928">
        <v>0</v>
      </c>
      <c r="H175" s="877">
        <v>0</v>
      </c>
      <c r="I175" s="877">
        <v>0</v>
      </c>
      <c r="J175" s="886">
        <v>0</v>
      </c>
      <c r="K175" s="877"/>
      <c r="L175" s="879"/>
      <c r="M175" s="877"/>
      <c r="N175" s="886"/>
      <c r="O175" s="877"/>
      <c r="P175" s="879"/>
      <c r="Q175" s="877"/>
      <c r="R175" s="886"/>
      <c r="S175" s="877"/>
      <c r="T175" s="879"/>
      <c r="U175" s="877"/>
      <c r="V175" s="886"/>
      <c r="W175" s="877"/>
      <c r="X175" s="879"/>
      <c r="Y175" s="877"/>
      <c r="Z175" s="886"/>
      <c r="AA175" s="877"/>
      <c r="AB175" s="879"/>
      <c r="AC175" s="877"/>
      <c r="AD175" s="886"/>
      <c r="AE175" s="877"/>
      <c r="AF175" s="879"/>
      <c r="AG175" s="877"/>
      <c r="AH175" s="886"/>
      <c r="AI175" s="877"/>
      <c r="AJ175" s="879"/>
      <c r="AK175" s="877"/>
      <c r="AL175" s="886"/>
      <c r="AM175" s="877"/>
      <c r="AN175" s="879"/>
      <c r="AO175" s="877"/>
      <c r="AP175" s="886"/>
      <c r="AQ175" s="877"/>
      <c r="AR175" s="877"/>
      <c r="AS175" s="877"/>
    </row>
    <row r="176" spans="1:355">
      <c r="A176" s="359"/>
      <c r="B176" s="54"/>
      <c r="C176" s="174" t="s">
        <v>319</v>
      </c>
      <c r="D176" s="511"/>
      <c r="E176" s="174"/>
      <c r="F176" s="878">
        <f>SUM(G176:J176)/(1-'Common input data'!$B$165)</f>
        <v>1.5167224792621962E-3</v>
      </c>
      <c r="G176" s="928">
        <f>SUMPRODUCT('Input data processed products'!E$54:AC$54,'Input data processed products'!E$81:AC$81)</f>
        <v>1.3650502313359767E-3</v>
      </c>
      <c r="H176" s="877">
        <v>0</v>
      </c>
      <c r="I176" s="877">
        <v>0</v>
      </c>
      <c r="J176" s="886">
        <v>0</v>
      </c>
      <c r="K176" s="877"/>
      <c r="L176" s="879"/>
      <c r="M176" s="877"/>
      <c r="N176" s="886"/>
      <c r="O176" s="877"/>
      <c r="P176" s="879"/>
      <c r="Q176" s="877"/>
      <c r="R176" s="886"/>
      <c r="S176" s="877"/>
      <c r="T176" s="879"/>
      <c r="U176" s="877"/>
      <c r="V176" s="886"/>
      <c r="W176" s="877"/>
      <c r="X176" s="879"/>
      <c r="Y176" s="877"/>
      <c r="Z176" s="886"/>
      <c r="AA176" s="877"/>
      <c r="AB176" s="879"/>
      <c r="AC176" s="877"/>
      <c r="AD176" s="886"/>
      <c r="AE176" s="877"/>
      <c r="AF176" s="879"/>
      <c r="AG176" s="877"/>
      <c r="AH176" s="886"/>
      <c r="AI176" s="877"/>
      <c r="AJ176" s="879"/>
      <c r="AK176" s="877"/>
      <c r="AL176" s="886"/>
      <c r="AM176" s="877"/>
      <c r="AN176" s="879"/>
      <c r="AO176" s="877"/>
      <c r="AP176" s="886"/>
      <c r="AQ176" s="877"/>
      <c r="AR176" s="877"/>
      <c r="AS176" s="877"/>
    </row>
    <row r="177" spans="1:56">
      <c r="A177" s="359"/>
      <c r="B177" s="54"/>
      <c r="C177" s="55" t="s">
        <v>320</v>
      </c>
      <c r="D177" s="514"/>
      <c r="E177" s="56"/>
      <c r="F177" s="933">
        <f>SUM(G177:J177)/(1-'Common input data'!$B$165)</f>
        <v>2.9139514133623792E-4</v>
      </c>
      <c r="G177" s="928">
        <f>SUMPRODUCT('Input data processed products'!E$54:AC$54,'Input data processed products'!E$82:AC$82)</f>
        <v>2.6225562720261415E-4</v>
      </c>
      <c r="H177" s="877">
        <v>0</v>
      </c>
      <c r="I177" s="877">
        <v>0</v>
      </c>
      <c r="J177" s="886">
        <v>0</v>
      </c>
      <c r="K177" s="877"/>
      <c r="L177" s="879"/>
      <c r="M177" s="877"/>
      <c r="N177" s="886"/>
      <c r="O177" s="877"/>
      <c r="P177" s="879"/>
      <c r="Q177" s="877"/>
      <c r="R177" s="886"/>
      <c r="S177" s="877"/>
      <c r="T177" s="879"/>
      <c r="U177" s="877"/>
      <c r="V177" s="886"/>
      <c r="W177" s="877"/>
      <c r="X177" s="879"/>
      <c r="Y177" s="877"/>
      <c r="Z177" s="886"/>
      <c r="AA177" s="877"/>
      <c r="AB177" s="879"/>
      <c r="AC177" s="877"/>
      <c r="AD177" s="886"/>
      <c r="AE177" s="877"/>
      <c r="AF177" s="879"/>
      <c r="AG177" s="877"/>
      <c r="AH177" s="886"/>
      <c r="AI177" s="877"/>
      <c r="AJ177" s="879"/>
      <c r="AK177" s="877"/>
      <c r="AL177" s="886"/>
      <c r="AM177" s="877"/>
      <c r="AN177" s="879"/>
      <c r="AO177" s="877"/>
      <c r="AP177" s="886"/>
      <c r="AQ177" s="877"/>
      <c r="AR177" s="877"/>
      <c r="AS177" s="877"/>
    </row>
    <row r="178" spans="1:56">
      <c r="A178" s="374" t="s">
        <v>582</v>
      </c>
      <c r="B178" s="376"/>
      <c r="C178" s="377"/>
      <c r="D178" s="507"/>
      <c r="E178" s="462"/>
      <c r="F178" s="870" t="s">
        <v>583</v>
      </c>
      <c r="G178" s="1272"/>
      <c r="H178" s="880"/>
      <c r="I178" s="880"/>
      <c r="J178" s="938"/>
      <c r="K178" s="877"/>
      <c r="L178" s="879"/>
      <c r="M178" s="877"/>
      <c r="N178" s="886"/>
      <c r="O178" s="877"/>
      <c r="P178" s="879"/>
      <c r="Q178" s="877"/>
      <c r="R178" s="886"/>
      <c r="S178" s="877"/>
      <c r="T178" s="879"/>
      <c r="U178" s="877"/>
      <c r="V178" s="886"/>
      <c r="W178" s="877"/>
      <c r="X178" s="879"/>
      <c r="Y178" s="877"/>
      <c r="Z178" s="886"/>
      <c r="AA178" s="877"/>
      <c r="AB178" s="879"/>
      <c r="AC178" s="877"/>
      <c r="AD178" s="886"/>
      <c r="AE178" s="877"/>
      <c r="AF178" s="879"/>
      <c r="AG178" s="877"/>
      <c r="AH178" s="886"/>
      <c r="AI178" s="877"/>
      <c r="AJ178" s="879"/>
      <c r="AK178" s="877"/>
      <c r="AL178" s="886"/>
      <c r="AM178" s="877"/>
      <c r="AN178" s="879"/>
      <c r="AO178" s="877"/>
      <c r="AP178" s="886"/>
      <c r="AQ178" s="877"/>
      <c r="AR178" s="877"/>
      <c r="AS178" s="877"/>
    </row>
    <row r="179" spans="1:56">
      <c r="A179" s="381" t="s">
        <v>122</v>
      </c>
      <c r="B179" s="498">
        <f>'Input data processed products'!C56</f>
        <v>0.5</v>
      </c>
      <c r="C179" s="384" t="s">
        <v>316</v>
      </c>
      <c r="D179" s="510"/>
      <c r="E179" s="384"/>
      <c r="F179" s="927">
        <f>SUMPRODUCT($AX$3:$AX$6,F180:F183)</f>
        <v>1.0707676564078745</v>
      </c>
      <c r="G179" s="1274"/>
      <c r="H179" s="875"/>
      <c r="I179" s="875"/>
      <c r="J179" s="981"/>
      <c r="K179" s="877"/>
      <c r="L179" s="883">
        <f>SUMPRODUCT('Input data processed products'!$D56:$AE56,'Input data processed products'!D$83:AE$83)</f>
        <v>9.0659297073140147E-2</v>
      </c>
      <c r="M179" s="884">
        <f>L179/(1-'Common input data'!$B$165)</f>
        <v>0.10073255230348904</v>
      </c>
      <c r="N179" s="885">
        <f>M179/(1-'Common input data'!$B$182)</f>
        <v>0.11578454287757362</v>
      </c>
      <c r="O179" s="877"/>
      <c r="P179" s="883">
        <f>SUMPRODUCT('Input data processed products'!$D56:$AE56,'Input data processed products'!D$84:AE$84)</f>
        <v>0</v>
      </c>
      <c r="Q179" s="884">
        <f>P179/(1-'Common input data'!$B$165)</f>
        <v>0</v>
      </c>
      <c r="R179" s="885">
        <f>Q179/(1-'Common input data'!$B$182)</f>
        <v>0</v>
      </c>
      <c r="S179" s="877"/>
      <c r="T179" s="883">
        <f>SUMPRODUCT('Input data processed products'!$D56:$AE56,'Input data processed products'!D$85:AE$85)</f>
        <v>8.6730727533304098E-4</v>
      </c>
      <c r="U179" s="884">
        <f>T179/(1-'Common input data'!$B$165)</f>
        <v>9.6367475037004548E-4</v>
      </c>
      <c r="V179" s="885">
        <f>U179/(1-'Common input data'!$B$182)</f>
        <v>1.1076721268621212E-3</v>
      </c>
      <c r="W179" s="877"/>
      <c r="X179" s="883">
        <f>SUMPRODUCT('Input data processed products'!$D56:$AE56,'Input data processed products'!D$86:AE$86)</f>
        <v>1.5109882845523362E-4</v>
      </c>
      <c r="Y179" s="884">
        <f>X179/(1-'Common input data'!$B$165)</f>
        <v>1.6788758717248181E-4</v>
      </c>
      <c r="Z179" s="885">
        <f>Y179/(1-'Common input data'!$B$182)</f>
        <v>1.9297423812928943E-4</v>
      </c>
      <c r="AA179" s="877"/>
      <c r="AB179" s="883">
        <f>SUMPRODUCT('Input data processed products'!$D56:$AE56,'Input data processed products'!D$87:AE$87)/$AC$2</f>
        <v>1.879146381901652E-3</v>
      </c>
      <c r="AC179" s="884">
        <f>AB179/(1-'Common input data'!$B$165)</f>
        <v>2.0879404243351689E-3</v>
      </c>
      <c r="AD179" s="885">
        <f>AC179/(1-'Common input data'!$B$182)</f>
        <v>2.399931522224332E-3</v>
      </c>
      <c r="AE179" s="877"/>
      <c r="AF179" s="883">
        <f>SUMPRODUCT('Input data processed products'!$D56:$AE56,'Input data processed products'!D$88:AE$88)</f>
        <v>6.4131435447655497E-13</v>
      </c>
      <c r="AG179" s="884">
        <f>AF179/(1-'Common input data'!$B$165)</f>
        <v>7.1257150497394993E-13</v>
      </c>
      <c r="AH179" s="885">
        <f>AG179/(1-'Common input data'!$B$182)</f>
        <v>8.1904770686660914E-13</v>
      </c>
      <c r="AI179" s="877"/>
      <c r="AJ179" s="883">
        <f>SUMPRODUCT('Input data processed products'!$D56:$AE56,'Input data processed products'!D$89:AE$89)</f>
        <v>3.1096138896087071E-5</v>
      </c>
      <c r="AK179" s="884">
        <f>AJ179/(1-'Common input data'!$B$165)</f>
        <v>3.4551265440096744E-5</v>
      </c>
      <c r="AL179" s="885">
        <f>AK179/(1-'Common input data'!$B$182)</f>
        <v>3.9714098207007752E-5</v>
      </c>
      <c r="AM179" s="877"/>
      <c r="AN179" s="883">
        <f>SUMPRODUCT('Input data processed products'!$D56:$AE56,'Input data processed products'!D$90:AE$90)</f>
        <v>7.3687098286873541E-5</v>
      </c>
      <c r="AO179" s="884">
        <f>AN179/(1-'Common input data'!$B$165)</f>
        <v>8.1874553652081709E-5</v>
      </c>
      <c r="AP179" s="885">
        <f>AO179/(1-'Common input data'!$B$182)</f>
        <v>9.4108682358714604E-5</v>
      </c>
      <c r="AQ179" s="877"/>
      <c r="AR179" s="877"/>
      <c r="AS179" s="877"/>
      <c r="AT179" s="189"/>
      <c r="AU179" s="189"/>
      <c r="AV179" s="189"/>
      <c r="AW179" s="189"/>
      <c r="AX179" s="189"/>
      <c r="AY179" s="189"/>
      <c r="AZ179" s="189"/>
      <c r="BA179" s="189"/>
      <c r="BB179" s="189"/>
      <c r="BC179" s="189"/>
      <c r="BD179" s="189"/>
    </row>
    <row r="180" spans="1:56">
      <c r="A180" s="68"/>
      <c r="B180" s="50"/>
      <c r="C180" s="174" t="s">
        <v>317</v>
      </c>
      <c r="D180" s="511"/>
      <c r="E180" s="174"/>
      <c r="F180" s="878">
        <f>SUM(G180:J180)/(1-'Common input data'!$B$165)</f>
        <v>0.82379383502861814</v>
      </c>
      <c r="G180" s="928">
        <f>SUMPRODUCT('Input data processed products'!E$56:AC$56,'Input data processed products'!E$80:AC$80)</f>
        <v>0.46141445152575628</v>
      </c>
      <c r="H180" s="877">
        <f>'Input data processed products'!G$101</f>
        <v>0.1</v>
      </c>
      <c r="I180" s="877">
        <f>'Common input data'!B$106</f>
        <v>0.15</v>
      </c>
      <c r="J180" s="886">
        <f>'Common input data'!C$115</f>
        <v>0.03</v>
      </c>
      <c r="K180" s="877"/>
      <c r="L180" s="879"/>
      <c r="M180" s="877"/>
      <c r="N180" s="886"/>
      <c r="O180" s="877"/>
      <c r="P180" s="879"/>
      <c r="Q180" s="877"/>
      <c r="R180" s="886"/>
      <c r="S180" s="877"/>
      <c r="T180" s="879"/>
      <c r="U180" s="877"/>
      <c r="V180" s="886"/>
      <c r="W180" s="877"/>
      <c r="X180" s="879"/>
      <c r="Y180" s="877"/>
      <c r="Z180" s="886"/>
      <c r="AA180" s="877"/>
      <c r="AB180" s="879"/>
      <c r="AC180" s="877"/>
      <c r="AD180" s="886"/>
      <c r="AE180" s="877"/>
      <c r="AF180" s="879"/>
      <c r="AG180" s="877"/>
      <c r="AH180" s="886"/>
      <c r="AI180" s="877"/>
      <c r="AJ180" s="879"/>
      <c r="AK180" s="877"/>
      <c r="AL180" s="886"/>
      <c r="AM180" s="877"/>
      <c r="AN180" s="879"/>
      <c r="AO180" s="877"/>
      <c r="AP180" s="886"/>
      <c r="AQ180" s="877"/>
      <c r="AR180" s="877"/>
      <c r="AS180" s="877"/>
      <c r="AT180" s="189"/>
      <c r="AU180" s="189"/>
      <c r="AV180" s="189"/>
      <c r="AW180" s="189"/>
      <c r="AX180" s="189"/>
      <c r="AY180" s="189"/>
      <c r="AZ180" s="189"/>
      <c r="BA180" s="189"/>
      <c r="BB180" s="189"/>
      <c r="BC180" s="189"/>
      <c r="BD180" s="189"/>
    </row>
    <row r="181" spans="1:56">
      <c r="A181" s="359"/>
      <c r="B181" s="54"/>
      <c r="C181" s="174" t="s">
        <v>321</v>
      </c>
      <c r="D181" s="511"/>
      <c r="E181" s="174"/>
      <c r="F181" s="878">
        <f>SUM(G181:J181)/(1-'Common input data'!$B$165)</f>
        <v>0</v>
      </c>
      <c r="G181" s="928">
        <v>0</v>
      </c>
      <c r="H181" s="877">
        <v>0</v>
      </c>
      <c r="I181" s="877">
        <v>0</v>
      </c>
      <c r="J181" s="886">
        <v>0</v>
      </c>
      <c r="K181" s="877"/>
      <c r="L181" s="879"/>
      <c r="M181" s="877"/>
      <c r="N181" s="886"/>
      <c r="O181" s="877"/>
      <c r="P181" s="879"/>
      <c r="Q181" s="877"/>
      <c r="R181" s="886"/>
      <c r="S181" s="877"/>
      <c r="T181" s="879"/>
      <c r="U181" s="877"/>
      <c r="V181" s="886"/>
      <c r="W181" s="877"/>
      <c r="X181" s="879"/>
      <c r="Y181" s="877"/>
      <c r="Z181" s="886"/>
      <c r="AA181" s="877"/>
      <c r="AB181" s="879"/>
      <c r="AC181" s="877"/>
      <c r="AD181" s="886"/>
      <c r="AE181" s="877"/>
      <c r="AF181" s="879"/>
      <c r="AG181" s="877"/>
      <c r="AH181" s="886"/>
      <c r="AI181" s="877"/>
      <c r="AJ181" s="879"/>
      <c r="AK181" s="877"/>
      <c r="AL181" s="886"/>
      <c r="AM181" s="877"/>
      <c r="AN181" s="879"/>
      <c r="AO181" s="877"/>
      <c r="AP181" s="886"/>
      <c r="AQ181" s="877"/>
      <c r="AR181" s="877"/>
      <c r="AS181" s="877"/>
      <c r="AT181" s="189"/>
      <c r="AU181" s="189"/>
      <c r="AV181" s="189"/>
      <c r="AW181" s="189"/>
      <c r="AX181" s="189"/>
      <c r="AY181" s="189"/>
      <c r="AZ181" s="189"/>
      <c r="BA181" s="189"/>
      <c r="BB181" s="189"/>
      <c r="BC181" s="189"/>
      <c r="BD181" s="189"/>
    </row>
    <row r="182" spans="1:56">
      <c r="A182" s="359"/>
      <c r="B182" s="54"/>
      <c r="C182" s="174" t="s">
        <v>319</v>
      </c>
      <c r="D182" s="511"/>
      <c r="E182" s="174"/>
      <c r="F182" s="878">
        <f>SUM(G182:J182)/(1-'Common input data'!$B$165)</f>
        <v>2.7537450409650054E-4</v>
      </c>
      <c r="G182" s="928">
        <f>SUMPRODUCT('Input data processed products'!E$56:AC$56,'Input data processed products'!E$81:AC$81)</f>
        <v>2.4783705368685048E-4</v>
      </c>
      <c r="H182" s="877">
        <v>0</v>
      </c>
      <c r="I182" s="877">
        <v>0</v>
      </c>
      <c r="J182" s="886">
        <v>0</v>
      </c>
      <c r="K182" s="877"/>
      <c r="L182" s="1220"/>
      <c r="M182" s="877"/>
      <c r="N182" s="886"/>
      <c r="O182" s="877"/>
      <c r="P182" s="1220"/>
      <c r="Q182" s="877"/>
      <c r="R182" s="886"/>
      <c r="S182" s="877"/>
      <c r="T182" s="1220"/>
      <c r="U182" s="877"/>
      <c r="V182" s="886"/>
      <c r="W182" s="877"/>
      <c r="X182" s="1220"/>
      <c r="Y182" s="877"/>
      <c r="Z182" s="886"/>
      <c r="AA182" s="877"/>
      <c r="AB182" s="1220"/>
      <c r="AC182" s="877"/>
      <c r="AD182" s="886"/>
      <c r="AE182" s="877"/>
      <c r="AF182" s="1220"/>
      <c r="AG182" s="877"/>
      <c r="AH182" s="886"/>
      <c r="AI182" s="877"/>
      <c r="AJ182" s="1220"/>
      <c r="AK182" s="877"/>
      <c r="AL182" s="886"/>
      <c r="AM182" s="877"/>
      <c r="AN182" s="1220"/>
      <c r="AO182" s="877"/>
      <c r="AP182" s="886"/>
      <c r="AQ182" s="877"/>
      <c r="AR182" s="877"/>
      <c r="AS182" s="877"/>
      <c r="AT182" s="189"/>
      <c r="AU182" s="189"/>
      <c r="AV182" s="189"/>
      <c r="AW182" s="189"/>
      <c r="AX182" s="189"/>
      <c r="AY182" s="189"/>
      <c r="AZ182" s="189"/>
      <c r="BA182" s="189"/>
      <c r="BB182" s="189"/>
      <c r="BC182" s="189"/>
      <c r="BD182" s="189"/>
    </row>
    <row r="183" spans="1:56">
      <c r="A183" s="359"/>
      <c r="B183" s="54"/>
      <c r="C183" s="55" t="s">
        <v>320</v>
      </c>
      <c r="D183" s="514"/>
      <c r="E183" s="56"/>
      <c r="F183" s="933">
        <f>SUM(G183:J183)/(1-'Common input data'!$B$165)</f>
        <v>1.0544187176394972E-3</v>
      </c>
      <c r="G183" s="928">
        <f>SUMPRODUCT('Input data processed products'!E$56:AC$56,'Input data processed products'!E$82:AC$82)</f>
        <v>9.4897684587554759E-4</v>
      </c>
      <c r="H183" s="877">
        <v>0</v>
      </c>
      <c r="I183" s="877">
        <v>0</v>
      </c>
      <c r="J183" s="886">
        <v>0</v>
      </c>
      <c r="K183" s="877"/>
      <c r="L183" s="879"/>
      <c r="M183" s="877"/>
      <c r="N183" s="886"/>
      <c r="O183" s="877"/>
      <c r="P183" s="879"/>
      <c r="Q183" s="877"/>
      <c r="R183" s="886"/>
      <c r="S183" s="877"/>
      <c r="T183" s="879"/>
      <c r="U183" s="877"/>
      <c r="V183" s="886"/>
      <c r="W183" s="877"/>
      <c r="X183" s="879"/>
      <c r="Y183" s="877"/>
      <c r="Z183" s="886"/>
      <c r="AA183" s="877"/>
      <c r="AB183" s="879"/>
      <c r="AC183" s="877"/>
      <c r="AD183" s="886"/>
      <c r="AE183" s="877"/>
      <c r="AF183" s="879"/>
      <c r="AG183" s="877"/>
      <c r="AH183" s="886"/>
      <c r="AI183" s="877"/>
      <c r="AJ183" s="879"/>
      <c r="AK183" s="877"/>
      <c r="AL183" s="886"/>
      <c r="AM183" s="877"/>
      <c r="AN183" s="879"/>
      <c r="AO183" s="877"/>
      <c r="AP183" s="886"/>
      <c r="AQ183" s="877"/>
      <c r="AR183" s="877"/>
      <c r="AS183" s="877"/>
      <c r="AT183" s="189"/>
      <c r="AU183" s="189"/>
      <c r="AV183" s="189"/>
      <c r="AW183" s="189"/>
      <c r="AX183" s="189"/>
      <c r="AY183" s="189"/>
      <c r="AZ183" s="189"/>
      <c r="BA183" s="189"/>
      <c r="BB183" s="189"/>
      <c r="BC183" s="189"/>
      <c r="BD183" s="189"/>
    </row>
    <row r="184" spans="1:56">
      <c r="A184" s="374" t="s">
        <v>584</v>
      </c>
      <c r="B184" s="376"/>
      <c r="C184" s="377"/>
      <c r="D184" s="507"/>
      <c r="E184" s="462"/>
      <c r="F184" s="870" t="s">
        <v>585</v>
      </c>
      <c r="G184" s="1272"/>
      <c r="H184" s="880"/>
      <c r="I184" s="880"/>
      <c r="J184" s="938"/>
      <c r="K184" s="877"/>
      <c r="L184" s="1220"/>
      <c r="M184" s="877"/>
      <c r="N184" s="886"/>
      <c r="O184" s="877"/>
      <c r="P184" s="1220"/>
      <c r="Q184" s="877"/>
      <c r="R184" s="886"/>
      <c r="S184" s="877"/>
      <c r="T184" s="1220"/>
      <c r="U184" s="877"/>
      <c r="V184" s="886"/>
      <c r="W184" s="877"/>
      <c r="X184" s="1220"/>
      <c r="Y184" s="877"/>
      <c r="Z184" s="886"/>
      <c r="AA184" s="877"/>
      <c r="AB184" s="1220"/>
      <c r="AC184" s="877"/>
      <c r="AD184" s="886"/>
      <c r="AE184" s="877"/>
      <c r="AF184" s="1220"/>
      <c r="AG184" s="877"/>
      <c r="AH184" s="886"/>
      <c r="AI184" s="877"/>
      <c r="AJ184" s="1220"/>
      <c r="AK184" s="877"/>
      <c r="AL184" s="886"/>
      <c r="AM184" s="877"/>
      <c r="AN184" s="1220"/>
      <c r="AO184" s="877"/>
      <c r="AP184" s="886"/>
      <c r="AQ184" s="877"/>
      <c r="AR184" s="877"/>
      <c r="AS184" s="877"/>
      <c r="AT184" s="189"/>
      <c r="AU184" s="189"/>
      <c r="AV184" s="189"/>
      <c r="AW184" s="189"/>
      <c r="AX184" s="189"/>
      <c r="AY184" s="189"/>
      <c r="AZ184" s="189"/>
      <c r="BA184" s="189"/>
      <c r="BB184" s="189"/>
      <c r="BC184" s="189"/>
      <c r="BD184" s="189"/>
    </row>
    <row r="185" spans="1:56">
      <c r="A185" s="381" t="s">
        <v>122</v>
      </c>
      <c r="B185" s="498">
        <f>'Input data processed products'!C58</f>
        <v>1</v>
      </c>
      <c r="C185" s="384" t="s">
        <v>316</v>
      </c>
      <c r="D185" s="510"/>
      <c r="E185" s="384"/>
      <c r="F185" s="927">
        <f>SUMPRODUCT($AX$3:$AX$6,F186:F189)</f>
        <v>3.206930292731776</v>
      </c>
      <c r="G185" s="1274"/>
      <c r="H185" s="875"/>
      <c r="I185" s="875"/>
      <c r="J185" s="981"/>
      <c r="K185" s="877"/>
      <c r="L185" s="883">
        <f>SUMPRODUCT('Input data processed products'!$D58:$AE58,'Input data processed products'!D$83:AE$83)</f>
        <v>35.31612213757807</v>
      </c>
      <c r="M185" s="884">
        <f>L185/(1-'Common input data'!$B$168)</f>
        <v>35.672850644018254</v>
      </c>
      <c r="N185" s="885">
        <f>M185/(1-'Common input data'!$B$182)</f>
        <v>41.003276602319829</v>
      </c>
      <c r="O185" s="877"/>
      <c r="P185" s="883">
        <f>SUMPRODUCT('Input data processed products'!$D58:$AE58,'Input data processed products'!D$84:AE$84)</f>
        <v>5.7128745687756872</v>
      </c>
      <c r="Q185" s="884">
        <f>P185/(1-'Common input data'!$B$168)</f>
        <v>5.7705803725006941</v>
      </c>
      <c r="R185" s="885">
        <f>Q185/(1-'Common input data'!$B$182)</f>
        <v>6.6328510028743608</v>
      </c>
      <c r="S185" s="877"/>
      <c r="T185" s="883">
        <f>SUMPRODUCT('Input data processed products'!$D58:$AE58,'Input data processed products'!D$85:AE$85)</f>
        <v>0.22423729380633642</v>
      </c>
      <c r="U185" s="884">
        <f>T185/(1-'Common input data'!$B$168)</f>
        <v>0.22650231697609741</v>
      </c>
      <c r="V185" s="885">
        <f>U185/(1-'Common input data'!$B$182)</f>
        <v>0.26034749077712344</v>
      </c>
      <c r="W185" s="877"/>
      <c r="X185" s="883">
        <f>SUMPRODUCT('Input data processed products'!$D58:$AE58,'Input data processed products'!D$86:AE$86)</f>
        <v>0.15188394337630115</v>
      </c>
      <c r="Y185" s="884">
        <f>X185/(1-'Common input data'!$B$168)</f>
        <v>0.15341812462252641</v>
      </c>
      <c r="Z185" s="885">
        <f>Y185/(1-'Common input data'!$B$182)</f>
        <v>0.17634267197991541</v>
      </c>
      <c r="AA185" s="877"/>
      <c r="AB185" s="883">
        <f>SUMPRODUCT('Input data processed products'!$D58:$AE58,'Input data processed products'!D$87:AE$87)/$AC$2</f>
        <v>2.8097547410971247E-2</v>
      </c>
      <c r="AC185" s="884">
        <f>AB185/(1-'Common input data'!$B$168)</f>
        <v>2.8381361021183077E-2</v>
      </c>
      <c r="AD185" s="885">
        <f>AC185/(1-'Common input data'!$B$182)</f>
        <v>3.2622254047336867E-2</v>
      </c>
      <c r="AE185" s="877"/>
      <c r="AF185" s="883">
        <f>SUMPRODUCT('Input data processed products'!$D58:$AE58,'Input data processed products'!D$88:AE$88)</f>
        <v>1.7731658791172186E-8</v>
      </c>
      <c r="AG185" s="884">
        <f>AF185/(1-'Common input data'!$B$168)</f>
        <v>1.791076645572948E-8</v>
      </c>
      <c r="AH185" s="885">
        <f>AG185/(1-'Common input data'!$B$182)</f>
        <v>2.0587087880148828E-8</v>
      </c>
      <c r="AI185" s="877"/>
      <c r="AJ185" s="883">
        <f>SUMPRODUCT('Input data processed products'!$D58:$AE58,'Input data processed products'!D$89:AE$89)</f>
        <v>2.2491470919310485E-2</v>
      </c>
      <c r="AK185" s="884">
        <f>AJ185/(1-'Common input data'!$B$168)</f>
        <v>2.2718657494253017E-2</v>
      </c>
      <c r="AL185" s="885">
        <f>AK185/(1-'Common input data'!$B$182)</f>
        <v>2.611339941868163E-2</v>
      </c>
      <c r="AM185" s="877"/>
      <c r="AN185" s="883">
        <f>SUMPRODUCT('Input data processed products'!$D58:$AE58,'Input data processed products'!D$90:AE$90)</f>
        <v>1.3087688760406906E-2</v>
      </c>
      <c r="AO185" s="884">
        <f>AN185/(1-'Common input data'!$B$168)</f>
        <v>1.3219887636774653E-2</v>
      </c>
      <c r="AP185" s="885">
        <f>AO185/(1-'Common input data'!$B$182)</f>
        <v>1.5195273145717992E-2</v>
      </c>
      <c r="AQ185" s="877"/>
      <c r="AR185" s="877"/>
      <c r="AS185" s="877"/>
      <c r="AT185" s="189"/>
      <c r="AU185" s="189"/>
      <c r="AV185" s="189"/>
      <c r="AW185" s="189"/>
      <c r="AX185" s="189"/>
      <c r="AY185" s="189"/>
      <c r="AZ185" s="189"/>
      <c r="BA185" s="189"/>
      <c r="BB185" s="189"/>
      <c r="BC185" s="189"/>
      <c r="BD185" s="189"/>
    </row>
    <row r="186" spans="1:56">
      <c r="A186" s="68"/>
      <c r="B186" s="50"/>
      <c r="C186" s="174" t="s">
        <v>317</v>
      </c>
      <c r="D186" s="511"/>
      <c r="E186" s="174"/>
      <c r="F186" s="878">
        <f>SUM(G186:J186)/(1-'Common input data'!$B$165)</f>
        <v>1.9229148311980127</v>
      </c>
      <c r="G186" s="928">
        <f>SUMPRODUCT('Input data processed products'!E$58:AC$58,'Input data processed products'!E$80:AC$80)</f>
        <v>1.6506233480782113</v>
      </c>
      <c r="H186" s="877">
        <f>'Input data processed products'!H$101</f>
        <v>0</v>
      </c>
      <c r="I186" s="877">
        <f>'Common input data'!B$107</f>
        <v>0.05</v>
      </c>
      <c r="J186" s="886">
        <f>'Common input data'!C$115</f>
        <v>0.03</v>
      </c>
      <c r="K186" s="877"/>
      <c r="L186" s="1220"/>
      <c r="M186" s="877"/>
      <c r="N186" s="886"/>
      <c r="O186" s="877"/>
      <c r="P186" s="1220"/>
      <c r="Q186" s="877"/>
      <c r="R186" s="886"/>
      <c r="S186" s="877"/>
      <c r="T186" s="1220"/>
      <c r="U186" s="877"/>
      <c r="V186" s="886"/>
      <c r="W186" s="877"/>
      <c r="X186" s="1220"/>
      <c r="Y186" s="877"/>
      <c r="Z186" s="886"/>
      <c r="AA186" s="877"/>
      <c r="AB186" s="1220"/>
      <c r="AC186" s="877"/>
      <c r="AD186" s="886"/>
      <c r="AE186" s="877"/>
      <c r="AF186" s="1220"/>
      <c r="AG186" s="877"/>
      <c r="AH186" s="886"/>
      <c r="AI186" s="877"/>
      <c r="AJ186" s="1220"/>
      <c r="AK186" s="877"/>
      <c r="AL186" s="886"/>
      <c r="AM186" s="877"/>
      <c r="AN186" s="1220"/>
      <c r="AO186" s="877"/>
      <c r="AP186" s="886"/>
      <c r="AQ186" s="877"/>
      <c r="AR186" s="877"/>
      <c r="AS186" s="877"/>
      <c r="AT186" s="189"/>
      <c r="AU186" s="189"/>
      <c r="AV186" s="189"/>
      <c r="AW186" s="189"/>
      <c r="AX186" s="189"/>
      <c r="AY186" s="189"/>
      <c r="AZ186" s="189"/>
      <c r="BA186" s="189"/>
      <c r="BB186" s="189"/>
      <c r="BC186" s="189"/>
      <c r="BD186" s="189"/>
    </row>
    <row r="187" spans="1:56">
      <c r="A187" s="359"/>
      <c r="B187" s="54"/>
      <c r="C187" s="174" t="s">
        <v>321</v>
      </c>
      <c r="D187" s="511"/>
      <c r="E187" s="174"/>
      <c r="F187" s="878">
        <f>SUM(G187:J187)/(1-'Common input data'!$B$165)</f>
        <v>5.50717829765838E-2</v>
      </c>
      <c r="G187" s="928">
        <f>SUMPRODUCT('Input data processed products'!E$58:AC$58,'Input data processed products'!E$81:AC$81)</f>
        <v>4.9564604678925421E-2</v>
      </c>
      <c r="H187" s="877">
        <v>0</v>
      </c>
      <c r="I187" s="877">
        <v>0</v>
      </c>
      <c r="J187" s="886">
        <v>0</v>
      </c>
      <c r="K187" s="877"/>
      <c r="L187" s="879"/>
      <c r="M187" s="877"/>
      <c r="N187" s="886"/>
      <c r="O187" s="877"/>
      <c r="P187" s="879"/>
      <c r="Q187" s="877"/>
      <c r="R187" s="886"/>
      <c r="S187" s="877"/>
      <c r="T187" s="879"/>
      <c r="U187" s="877"/>
      <c r="V187" s="886"/>
      <c r="W187" s="877"/>
      <c r="X187" s="879"/>
      <c r="Y187" s="877"/>
      <c r="Z187" s="886"/>
      <c r="AA187" s="877"/>
      <c r="AB187" s="879"/>
      <c r="AC187" s="877"/>
      <c r="AD187" s="886"/>
      <c r="AE187" s="877"/>
      <c r="AF187" s="879"/>
      <c r="AG187" s="877"/>
      <c r="AH187" s="886"/>
      <c r="AI187" s="877"/>
      <c r="AJ187" s="879"/>
      <c r="AK187" s="877"/>
      <c r="AL187" s="886"/>
      <c r="AM187" s="877"/>
      <c r="AN187" s="879"/>
      <c r="AO187" s="877"/>
      <c r="AP187" s="886"/>
      <c r="AQ187" s="877"/>
      <c r="AR187" s="877"/>
      <c r="AS187" s="877"/>
      <c r="AT187" s="189"/>
      <c r="AU187" s="189"/>
      <c r="AV187" s="189"/>
      <c r="AW187" s="189"/>
      <c r="AX187" s="189"/>
      <c r="AY187" s="189"/>
      <c r="AZ187" s="189"/>
      <c r="BA187" s="189"/>
      <c r="BB187" s="189"/>
      <c r="BC187" s="189"/>
      <c r="BD187" s="189"/>
    </row>
    <row r="188" spans="1:56">
      <c r="A188" s="359"/>
      <c r="B188" s="54"/>
      <c r="C188" s="174" t="s">
        <v>319</v>
      </c>
      <c r="D188" s="511"/>
      <c r="E188" s="174"/>
      <c r="F188" s="878">
        <f>SUM(G188:J188)/(1-'Common input data'!$B$165)</f>
        <v>0</v>
      </c>
      <c r="G188" s="928">
        <v>0</v>
      </c>
      <c r="H188" s="877">
        <v>0</v>
      </c>
      <c r="I188" s="877">
        <v>0</v>
      </c>
      <c r="J188" s="886">
        <v>0</v>
      </c>
      <c r="K188" s="877"/>
      <c r="L188" s="1220"/>
      <c r="M188" s="877"/>
      <c r="N188" s="886"/>
      <c r="O188" s="877"/>
      <c r="P188" s="1220"/>
      <c r="Q188" s="877"/>
      <c r="R188" s="886"/>
      <c r="S188" s="877"/>
      <c r="T188" s="1220"/>
      <c r="U188" s="877"/>
      <c r="V188" s="886"/>
      <c r="W188" s="877"/>
      <c r="X188" s="1220"/>
      <c r="Y188" s="877"/>
      <c r="Z188" s="886"/>
      <c r="AA188" s="877"/>
      <c r="AB188" s="1220"/>
      <c r="AC188" s="877"/>
      <c r="AD188" s="886"/>
      <c r="AE188" s="877"/>
      <c r="AF188" s="1220"/>
      <c r="AG188" s="877"/>
      <c r="AH188" s="886"/>
      <c r="AI188" s="877"/>
      <c r="AJ188" s="1220"/>
      <c r="AK188" s="877"/>
      <c r="AL188" s="886"/>
      <c r="AM188" s="877"/>
      <c r="AN188" s="1220"/>
      <c r="AO188" s="877"/>
      <c r="AP188" s="886"/>
      <c r="AQ188" s="877"/>
      <c r="AR188" s="877"/>
      <c r="AS188" s="877"/>
      <c r="AT188" s="189"/>
      <c r="AU188" s="189"/>
      <c r="AV188" s="189"/>
      <c r="AW188" s="189"/>
      <c r="AX188" s="189"/>
      <c r="AY188" s="189"/>
      <c r="AZ188" s="189"/>
      <c r="BA188" s="189"/>
      <c r="BB188" s="189"/>
      <c r="BC188" s="189"/>
      <c r="BD188" s="189"/>
    </row>
    <row r="189" spans="1:56">
      <c r="A189" s="359"/>
      <c r="B189" s="54"/>
      <c r="C189" s="55" t="s">
        <v>320</v>
      </c>
      <c r="D189" s="514"/>
      <c r="E189" s="56"/>
      <c r="F189" s="933">
        <f>SUM(G189:J189)/(1-'Common input data'!$B$165)</f>
        <v>4.3999059293726162E-3</v>
      </c>
      <c r="G189" s="928">
        <f>SUMPRODUCT('Input data processed products'!E$58:AC$58,'Input data processed products'!E$82:AC$82)</f>
        <v>3.9599153364353549E-3</v>
      </c>
      <c r="H189" s="877">
        <v>0</v>
      </c>
      <c r="I189" s="877">
        <v>0</v>
      </c>
      <c r="J189" s="886">
        <v>0</v>
      </c>
      <c r="K189" s="877"/>
      <c r="L189" s="879"/>
      <c r="M189" s="877"/>
      <c r="N189" s="886"/>
      <c r="O189" s="877"/>
      <c r="P189" s="879"/>
      <c r="Q189" s="877"/>
      <c r="R189" s="886"/>
      <c r="S189" s="877"/>
      <c r="T189" s="879"/>
      <c r="U189" s="877"/>
      <c r="V189" s="886"/>
      <c r="W189" s="877"/>
      <c r="X189" s="879"/>
      <c r="Y189" s="877"/>
      <c r="Z189" s="886"/>
      <c r="AA189" s="877"/>
      <c r="AB189" s="879"/>
      <c r="AC189" s="877"/>
      <c r="AD189" s="886"/>
      <c r="AE189" s="877"/>
      <c r="AF189" s="879"/>
      <c r="AG189" s="877"/>
      <c r="AH189" s="886"/>
      <c r="AI189" s="877"/>
      <c r="AJ189" s="879"/>
      <c r="AK189" s="877"/>
      <c r="AL189" s="886"/>
      <c r="AM189" s="877"/>
      <c r="AN189" s="879"/>
      <c r="AO189" s="877"/>
      <c r="AP189" s="886"/>
      <c r="AQ189" s="877"/>
      <c r="AR189" s="877"/>
      <c r="AS189" s="877"/>
      <c r="AT189" s="189"/>
      <c r="AU189" s="189"/>
      <c r="AV189" s="189"/>
      <c r="AW189" s="189"/>
      <c r="AX189" s="189"/>
      <c r="AY189" s="189"/>
      <c r="AZ189" s="189"/>
      <c r="BA189" s="189"/>
      <c r="BB189" s="189"/>
      <c r="BC189" s="189"/>
      <c r="BD189" s="189"/>
    </row>
    <row r="190" spans="1:56">
      <c r="A190" s="374" t="s">
        <v>586</v>
      </c>
      <c r="B190" s="376"/>
      <c r="C190" s="377"/>
      <c r="D190" s="507"/>
      <c r="E190" s="462"/>
      <c r="F190" s="870" t="s">
        <v>587</v>
      </c>
      <c r="G190" s="1272"/>
      <c r="H190" s="880"/>
      <c r="I190" s="880"/>
      <c r="J190" s="938"/>
      <c r="K190" s="877"/>
      <c r="L190" s="1220"/>
      <c r="M190" s="877"/>
      <c r="N190" s="886"/>
      <c r="O190" s="877"/>
      <c r="P190" s="1220"/>
      <c r="Q190" s="877"/>
      <c r="R190" s="886"/>
      <c r="S190" s="877"/>
      <c r="T190" s="1220"/>
      <c r="U190" s="877"/>
      <c r="V190" s="886"/>
      <c r="W190" s="877"/>
      <c r="X190" s="1220"/>
      <c r="Y190" s="877"/>
      <c r="Z190" s="886"/>
      <c r="AA190" s="877"/>
      <c r="AB190" s="1220"/>
      <c r="AC190" s="877"/>
      <c r="AD190" s="886"/>
      <c r="AE190" s="877"/>
      <c r="AF190" s="1220"/>
      <c r="AG190" s="877"/>
      <c r="AH190" s="886"/>
      <c r="AI190" s="877"/>
      <c r="AJ190" s="1220"/>
      <c r="AK190" s="877"/>
      <c r="AL190" s="886"/>
      <c r="AM190" s="877"/>
      <c r="AN190" s="1220"/>
      <c r="AO190" s="877"/>
      <c r="AP190" s="886"/>
      <c r="AQ190" s="877"/>
      <c r="AR190" s="877"/>
      <c r="AS190" s="877"/>
      <c r="AT190" s="189"/>
      <c r="AU190" s="189"/>
      <c r="AV190" s="189"/>
      <c r="AW190" s="189"/>
      <c r="AX190" s="189"/>
      <c r="AY190" s="189"/>
      <c r="AZ190" s="189"/>
      <c r="BA190" s="189"/>
      <c r="BB190" s="189"/>
      <c r="BC190" s="189"/>
      <c r="BD190" s="189"/>
    </row>
    <row r="191" spans="1:56">
      <c r="A191" s="381" t="s">
        <v>122</v>
      </c>
      <c r="B191" s="498">
        <f>'Input data processed products'!C60</f>
        <v>1</v>
      </c>
      <c r="C191" s="384" t="s">
        <v>316</v>
      </c>
      <c r="D191" s="510"/>
      <c r="E191" s="384"/>
      <c r="F191" s="927">
        <f>SUMPRODUCT($AX$3:$AX$6,F192:F195)</f>
        <v>3.1768584237978672</v>
      </c>
      <c r="G191" s="1274"/>
      <c r="H191" s="875"/>
      <c r="I191" s="875"/>
      <c r="J191" s="981"/>
      <c r="K191" s="877"/>
      <c r="L191" s="883">
        <f>SUMPRODUCT('Input data processed products'!$D60:$AE60,'Input data processed products'!D$83:AE$83)</f>
        <v>2.0658284775284574</v>
      </c>
      <c r="M191" s="884">
        <f>L191/(1-'Common input data'!$B$166)</f>
        <v>2.1079882423759768</v>
      </c>
      <c r="N191" s="885">
        <f>M191/(1-'Common input data'!$B$182)</f>
        <v>2.4229749912367549</v>
      </c>
      <c r="O191" s="877"/>
      <c r="P191" s="883">
        <f>SUMPRODUCT('Input data processed products'!$D60:$AE60,'Input data processed products'!D$84:AE$84)</f>
        <v>0</v>
      </c>
      <c r="Q191" s="884">
        <f>P191/(1-'Common input data'!$B$166)</f>
        <v>0</v>
      </c>
      <c r="R191" s="885">
        <f>Q191/(1-'Common input data'!$B$182)</f>
        <v>0</v>
      </c>
      <c r="S191" s="877"/>
      <c r="T191" s="883">
        <f>SUMPRODUCT('Input data processed products'!$D60:$AE60,'Input data processed products'!D$85:AE$85)</f>
        <v>2.0968230452558023E-2</v>
      </c>
      <c r="U191" s="884">
        <f>T191/(1-'Common input data'!$B$166)</f>
        <v>2.139615352301839E-2</v>
      </c>
      <c r="V191" s="885">
        <f>U191/(1-'Common input data'!$B$182)</f>
        <v>2.459327991151539E-2</v>
      </c>
      <c r="W191" s="877"/>
      <c r="X191" s="883">
        <f>SUMPRODUCT('Input data processed products'!$D60:$AE60,'Input data processed products'!D$86:AE$86)</f>
        <v>8.5711532521433771E-3</v>
      </c>
      <c r="Y191" s="884">
        <f>X191/(1-'Common input data'!$B$166)</f>
        <v>8.7460747470850791E-3</v>
      </c>
      <c r="Z191" s="885">
        <f>Y191/(1-'Common input data'!$B$182)</f>
        <v>1.0052959479408137E-2</v>
      </c>
      <c r="AA191" s="877"/>
      <c r="AB191" s="883">
        <f>SUMPRODUCT('Input data processed products'!$D60:$AE60,'Input data processed products'!D$87:AE$87)/$AC$2</f>
        <v>3.7424830911828778E-2</v>
      </c>
      <c r="AC191" s="884">
        <f>AB191/(1-'Common input data'!$B$166)</f>
        <v>3.8188602971253857E-2</v>
      </c>
      <c r="AD191" s="885">
        <f>AC191/(1-'Common input data'!$B$182)</f>
        <v>4.3894945943969949E-2</v>
      </c>
      <c r="AE191" s="877"/>
      <c r="AF191" s="883">
        <f>SUMPRODUCT('Input data processed products'!$D60:$AE60,'Input data processed products'!D$88:AE$88)</f>
        <v>1.5617418984771775E-9</v>
      </c>
      <c r="AG191" s="884">
        <f>AF191/(1-'Common input data'!$B$166)</f>
        <v>1.5936141821195689E-9</v>
      </c>
      <c r="AH191" s="885">
        <f>AG191/(1-'Common input data'!$B$182)</f>
        <v>1.8317404392178954E-9</v>
      </c>
      <c r="AI191" s="877"/>
      <c r="AJ191" s="883">
        <f>SUMPRODUCT('Input data processed products'!$D60:$AE60,'Input data processed products'!D$89:AE$89)</f>
        <v>1.0821750526237577E-4</v>
      </c>
      <c r="AK191" s="884">
        <f>AJ191/(1-'Common input data'!$B$166)</f>
        <v>1.1042602577793446E-4</v>
      </c>
      <c r="AL191" s="885">
        <f>AK191/(1-'Common input data'!$B$182)</f>
        <v>1.2692646641141892E-4</v>
      </c>
      <c r="AM191" s="877"/>
      <c r="AN191" s="883">
        <f>SUMPRODUCT('Input data processed products'!$D60:$AE60,'Input data processed products'!D$90:AE$90)</f>
        <v>2.0028205671557934E-4</v>
      </c>
      <c r="AO191" s="884">
        <f>AN191/(1-'Common input data'!$B$166)</f>
        <v>2.043694456281422E-4</v>
      </c>
      <c r="AP191" s="885">
        <f>AO191/(1-'Common input data'!$B$182)</f>
        <v>2.3490740876797953E-4</v>
      </c>
      <c r="AQ191" s="877"/>
      <c r="AR191" s="877"/>
      <c r="AS191" s="877"/>
      <c r="AT191" s="189"/>
      <c r="AU191" s="189"/>
      <c r="AV191" s="189"/>
      <c r="AW191" s="189"/>
      <c r="AX191" s="189"/>
      <c r="AY191" s="189"/>
      <c r="AZ191" s="189"/>
      <c r="BA191" s="189"/>
      <c r="BB191" s="189"/>
      <c r="BC191" s="189"/>
      <c r="BD191" s="189"/>
    </row>
    <row r="192" spans="1:56">
      <c r="A192" s="68"/>
      <c r="B192" s="50"/>
      <c r="C192" s="174" t="s">
        <v>317</v>
      </c>
      <c r="D192" s="511"/>
      <c r="E192" s="174"/>
      <c r="F192" s="878">
        <f>SUM(G192:J192)/(1-'Common input data'!$B$167)</f>
        <v>2.9741660334892419</v>
      </c>
      <c r="G192" s="928">
        <f>SUMPRODUCT('Input data processed products'!E$60:AC$60,'Input data processed products'!E$80:AC$80)</f>
        <v>1.8859744111449954</v>
      </c>
      <c r="H192" s="877">
        <f>'Input data processed products'!I$101</f>
        <v>0.8</v>
      </c>
      <c r="I192" s="877">
        <f>'Common input data'!B$107</f>
        <v>0.05</v>
      </c>
      <c r="J192" s="886">
        <f>'Common input data'!C$115</f>
        <v>0.03</v>
      </c>
      <c r="K192" s="877"/>
      <c r="L192" s="1220"/>
      <c r="M192" s="877"/>
      <c r="N192" s="886"/>
      <c r="O192" s="877"/>
      <c r="P192" s="1220"/>
      <c r="Q192" s="877"/>
      <c r="R192" s="886"/>
      <c r="S192" s="877"/>
      <c r="T192" s="1220"/>
      <c r="U192" s="877"/>
      <c r="V192" s="886"/>
      <c r="W192" s="877"/>
      <c r="X192" s="1220"/>
      <c r="Y192" s="877"/>
      <c r="Z192" s="886"/>
      <c r="AA192" s="877"/>
      <c r="AB192" s="1220"/>
      <c r="AC192" s="877"/>
      <c r="AD192" s="886"/>
      <c r="AE192" s="877"/>
      <c r="AF192" s="1220"/>
      <c r="AG192" s="877"/>
      <c r="AH192" s="886"/>
      <c r="AI192" s="877"/>
      <c r="AJ192" s="1220"/>
      <c r="AK192" s="877"/>
      <c r="AL192" s="886"/>
      <c r="AM192" s="877"/>
      <c r="AN192" s="1220"/>
      <c r="AO192" s="877"/>
      <c r="AP192" s="886"/>
      <c r="AQ192" s="877"/>
      <c r="AR192" s="877"/>
      <c r="AS192" s="877"/>
      <c r="AT192" s="189"/>
      <c r="AU192" s="189"/>
      <c r="AV192" s="189"/>
      <c r="AW192" s="189"/>
      <c r="AX192" s="189"/>
      <c r="AY192" s="189"/>
      <c r="AZ192" s="189"/>
      <c r="BA192" s="189"/>
      <c r="BB192" s="189"/>
      <c r="BC192" s="189"/>
      <c r="BD192" s="189"/>
    </row>
    <row r="193" spans="1:56">
      <c r="A193" s="359"/>
      <c r="B193" s="54"/>
      <c r="C193" s="174" t="s">
        <v>321</v>
      </c>
      <c r="D193" s="511"/>
      <c r="E193" s="174"/>
      <c r="F193" s="878">
        <f>SUM(G193:J193)/(1-'Common input data'!$B$167)</f>
        <v>0</v>
      </c>
      <c r="G193" s="928">
        <v>0</v>
      </c>
      <c r="H193" s="877">
        <v>0</v>
      </c>
      <c r="I193" s="877">
        <v>0</v>
      </c>
      <c r="J193" s="886">
        <v>0</v>
      </c>
      <c r="K193" s="877"/>
      <c r="L193" s="879"/>
      <c r="M193" s="877"/>
      <c r="N193" s="886"/>
      <c r="O193" s="877"/>
      <c r="P193" s="879"/>
      <c r="Q193" s="877"/>
      <c r="R193" s="886"/>
      <c r="S193" s="877"/>
      <c r="T193" s="879"/>
      <c r="U193" s="877"/>
      <c r="V193" s="886"/>
      <c r="W193" s="877"/>
      <c r="X193" s="879"/>
      <c r="Y193" s="877"/>
      <c r="Z193" s="886"/>
      <c r="AA193" s="877"/>
      <c r="AB193" s="879"/>
      <c r="AC193" s="877"/>
      <c r="AD193" s="886"/>
      <c r="AE193" s="877"/>
      <c r="AF193" s="879"/>
      <c r="AG193" s="877"/>
      <c r="AH193" s="886"/>
      <c r="AI193" s="877"/>
      <c r="AJ193" s="879"/>
      <c r="AK193" s="877"/>
      <c r="AL193" s="886"/>
      <c r="AM193" s="877"/>
      <c r="AN193" s="879"/>
      <c r="AO193" s="877"/>
      <c r="AP193" s="886"/>
      <c r="AQ193" s="877"/>
      <c r="AR193" s="877"/>
      <c r="AS193" s="877"/>
      <c r="AT193" s="189"/>
      <c r="AU193" s="189"/>
      <c r="AV193" s="189"/>
      <c r="AW193" s="189"/>
      <c r="AX193" s="189"/>
      <c r="AY193" s="189"/>
      <c r="AZ193" s="189"/>
      <c r="BA193" s="189"/>
      <c r="BB193" s="189"/>
      <c r="BC193" s="189"/>
      <c r="BD193" s="189"/>
    </row>
    <row r="194" spans="1:56">
      <c r="A194" s="359"/>
      <c r="B194" s="54"/>
      <c r="C194" s="174" t="s">
        <v>319</v>
      </c>
      <c r="D194" s="511"/>
      <c r="E194" s="174"/>
      <c r="F194" s="878">
        <f>SUM(G194:J194)/(1-'Common input data'!$B$167)</f>
        <v>2.8042563868302259E-4</v>
      </c>
      <c r="G194" s="928">
        <f>SUMPRODUCT('Input data processed products'!E$60:AC$60,'Input data processed products'!E$81:AC$81)</f>
        <v>2.6079584397521098E-4</v>
      </c>
      <c r="H194" s="877">
        <v>0</v>
      </c>
      <c r="I194" s="877">
        <v>0</v>
      </c>
      <c r="J194" s="886">
        <v>0</v>
      </c>
      <c r="K194" s="877"/>
      <c r="L194" s="1220"/>
      <c r="M194" s="877"/>
      <c r="N194" s="886"/>
      <c r="O194" s="877"/>
      <c r="P194" s="1220"/>
      <c r="Q194" s="877"/>
      <c r="R194" s="886"/>
      <c r="S194" s="877"/>
      <c r="T194" s="1220"/>
      <c r="U194" s="877"/>
      <c r="V194" s="886"/>
      <c r="W194" s="877"/>
      <c r="X194" s="1220"/>
      <c r="Y194" s="877"/>
      <c r="Z194" s="886"/>
      <c r="AA194" s="877"/>
      <c r="AB194" s="1220"/>
      <c r="AC194" s="877"/>
      <c r="AD194" s="886"/>
      <c r="AE194" s="877"/>
      <c r="AF194" s="1220"/>
      <c r="AG194" s="877"/>
      <c r="AH194" s="886"/>
      <c r="AI194" s="877"/>
      <c r="AJ194" s="1220"/>
      <c r="AK194" s="877"/>
      <c r="AL194" s="886"/>
      <c r="AM194" s="877"/>
      <c r="AN194" s="1220"/>
      <c r="AO194" s="877"/>
      <c r="AP194" s="886"/>
      <c r="AQ194" s="877"/>
      <c r="AR194" s="877"/>
      <c r="AS194" s="877"/>
      <c r="AT194" s="189"/>
      <c r="AU194" s="189"/>
      <c r="AV194" s="189"/>
      <c r="AW194" s="189"/>
      <c r="AX194" s="189"/>
      <c r="AY194" s="189"/>
      <c r="AZ194" s="189"/>
      <c r="BA194" s="189"/>
      <c r="BB194" s="189"/>
      <c r="BC194" s="189"/>
      <c r="BD194" s="189"/>
    </row>
    <row r="195" spans="1:56">
      <c r="A195" s="359"/>
      <c r="B195" s="54"/>
      <c r="C195" s="55" t="s">
        <v>320</v>
      </c>
      <c r="D195" s="514"/>
      <c r="E195" s="56"/>
      <c r="F195" s="933">
        <f>SUM(G195:J195)/(1-'Common input data'!$B$167)</f>
        <v>8.6426776741122457E-4</v>
      </c>
      <c r="G195" s="928">
        <f>SUMPRODUCT('Input data processed products'!E$60:AC$60,'Input data processed products'!E$82:AC$82)</f>
        <v>8.0376902369243882E-4</v>
      </c>
      <c r="H195" s="877">
        <v>0</v>
      </c>
      <c r="I195" s="877">
        <v>0</v>
      </c>
      <c r="J195" s="886">
        <v>0</v>
      </c>
      <c r="K195" s="877"/>
      <c r="L195" s="879"/>
      <c r="M195" s="877"/>
      <c r="N195" s="886"/>
      <c r="O195" s="877"/>
      <c r="P195" s="879"/>
      <c r="Q195" s="877"/>
      <c r="R195" s="886"/>
      <c r="S195" s="877"/>
      <c r="T195" s="879"/>
      <c r="U195" s="877"/>
      <c r="V195" s="886"/>
      <c r="W195" s="877"/>
      <c r="X195" s="879"/>
      <c r="Y195" s="877"/>
      <c r="Z195" s="886"/>
      <c r="AA195" s="877"/>
      <c r="AB195" s="879"/>
      <c r="AC195" s="877"/>
      <c r="AD195" s="886"/>
      <c r="AE195" s="877"/>
      <c r="AF195" s="879"/>
      <c r="AG195" s="877"/>
      <c r="AH195" s="886"/>
      <c r="AI195" s="877"/>
      <c r="AJ195" s="879"/>
      <c r="AK195" s="877"/>
      <c r="AL195" s="886"/>
      <c r="AM195" s="877"/>
      <c r="AN195" s="879"/>
      <c r="AO195" s="877"/>
      <c r="AP195" s="886"/>
      <c r="AQ195" s="877"/>
      <c r="AR195" s="877"/>
      <c r="AS195" s="877"/>
      <c r="AT195" s="189"/>
      <c r="AU195" s="189"/>
      <c r="AV195" s="189"/>
      <c r="AW195" s="189"/>
      <c r="AX195" s="189"/>
      <c r="AY195" s="189"/>
      <c r="AZ195" s="189"/>
      <c r="BA195" s="189"/>
      <c r="BB195" s="189"/>
      <c r="BC195" s="189"/>
      <c r="BD195" s="189"/>
    </row>
    <row r="196" spans="1:56">
      <c r="A196" s="374" t="s">
        <v>588</v>
      </c>
      <c r="B196" s="376"/>
      <c r="C196" s="377"/>
      <c r="D196" s="507"/>
      <c r="E196" s="462"/>
      <c r="F196" s="870" t="s">
        <v>589</v>
      </c>
      <c r="G196" s="1272"/>
      <c r="H196" s="880"/>
      <c r="I196" s="880"/>
      <c r="J196" s="938"/>
      <c r="K196" s="877"/>
      <c r="L196" s="1220"/>
      <c r="M196" s="877"/>
      <c r="N196" s="886"/>
      <c r="O196" s="877"/>
      <c r="P196" s="1220"/>
      <c r="Q196" s="877"/>
      <c r="R196" s="886"/>
      <c r="S196" s="877"/>
      <c r="T196" s="1220"/>
      <c r="U196" s="877"/>
      <c r="V196" s="886"/>
      <c r="W196" s="877"/>
      <c r="X196" s="1220"/>
      <c r="Y196" s="877"/>
      <c r="Z196" s="886"/>
      <c r="AA196" s="877"/>
      <c r="AB196" s="1220"/>
      <c r="AC196" s="877"/>
      <c r="AD196" s="886"/>
      <c r="AE196" s="877"/>
      <c r="AF196" s="1220"/>
      <c r="AG196" s="877"/>
      <c r="AH196" s="886"/>
      <c r="AI196" s="877"/>
      <c r="AJ196" s="1220"/>
      <c r="AK196" s="877"/>
      <c r="AL196" s="886"/>
      <c r="AM196" s="877"/>
      <c r="AN196" s="1220"/>
      <c r="AO196" s="877"/>
      <c r="AP196" s="886"/>
      <c r="AQ196" s="877"/>
      <c r="AR196" s="877"/>
      <c r="AS196" s="877"/>
    </row>
    <row r="197" spans="1:56">
      <c r="A197" s="381" t="s">
        <v>122</v>
      </c>
      <c r="B197" s="498">
        <f>'Input data processed products'!C62</f>
        <v>1</v>
      </c>
      <c r="C197" s="384" t="s">
        <v>316</v>
      </c>
      <c r="D197" s="510"/>
      <c r="E197" s="384"/>
      <c r="F197" s="927">
        <f>SUMPRODUCT($AX$3:$AX$6,F198:F201)</f>
        <v>1.9835285172498662</v>
      </c>
      <c r="G197" s="1274"/>
      <c r="H197" s="875"/>
      <c r="I197" s="875"/>
      <c r="J197" s="981"/>
      <c r="K197" s="877"/>
      <c r="L197" s="883">
        <f>SUMPRODUCT('Input data processed products'!$D62:$AE62,'Input data processed products'!D$83:AE$83)</f>
        <v>5.7288553011710981</v>
      </c>
      <c r="M197" s="884">
        <f>L197/(1-'Common input data'!$B$169)</f>
        <v>5.7576435187649224</v>
      </c>
      <c r="N197" s="885">
        <f>M197/(1-'Common input data'!$B$182)</f>
        <v>6.6179810560516348</v>
      </c>
      <c r="O197" s="877"/>
      <c r="P197" s="883">
        <f>SUMPRODUCT('Input data processed products'!$D62:$AE62,'Input data processed products'!D$84:AE$84)</f>
        <v>6.0648412670390357</v>
      </c>
      <c r="Q197" s="884">
        <f>P197/(1-'Common input data'!$B$169)</f>
        <v>6.0953178563206389</v>
      </c>
      <c r="R197" s="885">
        <f>Q197/(1-'Common input data'!$B$182)</f>
        <v>7.0061124785294702</v>
      </c>
      <c r="S197" s="877"/>
      <c r="T197" s="883">
        <f>SUMPRODUCT('Input data processed products'!$D62:$AE62,'Input data processed products'!D$85:AE$85)</f>
        <v>0.1311523236748624</v>
      </c>
      <c r="U197" s="884">
        <f>T197/(1-'Common input data'!$B$169)</f>
        <v>0.13181138057775116</v>
      </c>
      <c r="V197" s="885">
        <f>U197/(1-'Common input data'!$B$182)</f>
        <v>0.15150733399741512</v>
      </c>
      <c r="W197" s="877"/>
      <c r="X197" s="883">
        <f>SUMPRODUCT('Input data processed products'!$D62:$AE62,'Input data processed products'!D$86:AE$86)</f>
        <v>4.6704582045664902E-3</v>
      </c>
      <c r="Y197" s="884">
        <f>X197/(1-'Common input data'!$B$169)</f>
        <v>4.6939278437854171E-3</v>
      </c>
      <c r="Z197" s="885">
        <f>Y197/(1-'Common input data'!$B$182)</f>
        <v>5.3953193606728934E-3</v>
      </c>
      <c r="AA197" s="877"/>
      <c r="AB197" s="883">
        <f>SUMPRODUCT('Input data processed products'!$D62:$AE62,'Input data processed products'!D$87:AE$87)/$AC$2</f>
        <v>1.7552649858075663E-2</v>
      </c>
      <c r="AC197" s="884">
        <f>AB197/(1-'Common input data'!$B$169)</f>
        <v>1.7640854128719258E-2</v>
      </c>
      <c r="AD197" s="885">
        <f>AC197/(1-'Common input data'!$B$182)</f>
        <v>2.027684382611409E-2</v>
      </c>
      <c r="AE197" s="877"/>
      <c r="AF197" s="883">
        <f>SUMPRODUCT('Input data processed products'!$D62:$AE62,'Input data processed products'!D$88:AE$88)</f>
        <v>1.5888953150764762E-10</v>
      </c>
      <c r="AG197" s="884">
        <f>AF197/(1-'Common input data'!$B$169)</f>
        <v>1.5968797136446996E-10</v>
      </c>
      <c r="AH197" s="885">
        <f>AG197/(1-'Common input data'!$B$182)</f>
        <v>1.8354939237295399E-10</v>
      </c>
      <c r="AI197" s="877"/>
      <c r="AJ197" s="883">
        <f>SUMPRODUCT('Input data processed products'!$D62:$AE62,'Input data processed products'!D$89:AE$89)</f>
        <v>3.5115542225275877E-4</v>
      </c>
      <c r="AK197" s="884">
        <f>AJ197/(1-'Common input data'!$B$169)</f>
        <v>3.5292002236458165E-4</v>
      </c>
      <c r="AL197" s="885">
        <f>AK197/(1-'Common input data'!$B$182)</f>
        <v>4.0565519812020881E-4</v>
      </c>
      <c r="AM197" s="877"/>
      <c r="AN197" s="883">
        <f>SUMPRODUCT('Input data processed products'!$D62:$AE62,'Input data processed products'!D$90:AE$90)</f>
        <v>1.090189876739142E-2</v>
      </c>
      <c r="AO197" s="884">
        <f>AN197/(1-'Common input data'!$B$169)</f>
        <v>1.0956682178282834E-2</v>
      </c>
      <c r="AP197" s="885">
        <f>AO197/(1-'Common input data'!$B$182)</f>
        <v>1.2593887561244636E-2</v>
      </c>
      <c r="AQ197" s="877"/>
      <c r="AR197" s="877"/>
      <c r="AS197" s="877"/>
    </row>
    <row r="198" spans="1:56">
      <c r="C198" s="174" t="s">
        <v>317</v>
      </c>
      <c r="D198" s="511"/>
      <c r="E198" s="174"/>
      <c r="F198" s="878">
        <f>SUM(G198:J198)/(1-'Common input data'!$B$169)</f>
        <v>1.1458069647989859</v>
      </c>
      <c r="G198" s="928">
        <f>SUMPRODUCT('Input data processed products'!E$62:AC$62,'Input data processed products'!E$80:AC$80)</f>
        <v>0.76007792997499091</v>
      </c>
      <c r="H198" s="877">
        <f>'Input data processed products'!J$101</f>
        <v>0.3</v>
      </c>
      <c r="I198" s="877">
        <f>'Common input data'!B$107</f>
        <v>0.05</v>
      </c>
      <c r="J198" s="886">
        <f>'Common input data'!C$115</f>
        <v>0.03</v>
      </c>
      <c r="K198" s="877"/>
      <c r="L198" s="1220"/>
      <c r="M198" s="877"/>
      <c r="N198" s="886"/>
      <c r="O198" s="877"/>
      <c r="P198" s="1220"/>
      <c r="Q198" s="877"/>
      <c r="R198" s="886"/>
      <c r="S198" s="877"/>
      <c r="T198" s="1220"/>
      <c r="U198" s="877"/>
      <c r="V198" s="886"/>
      <c r="W198" s="877"/>
      <c r="X198" s="1220"/>
      <c r="Y198" s="877"/>
      <c r="Z198" s="886"/>
      <c r="AA198" s="877"/>
      <c r="AB198" s="1220"/>
      <c r="AC198" s="877"/>
      <c r="AD198" s="886"/>
      <c r="AE198" s="877"/>
      <c r="AF198" s="1220"/>
      <c r="AG198" s="877"/>
      <c r="AH198" s="886"/>
      <c r="AI198" s="877"/>
      <c r="AJ198" s="1220"/>
      <c r="AK198" s="877"/>
      <c r="AL198" s="886"/>
      <c r="AM198" s="877"/>
      <c r="AN198" s="1220"/>
      <c r="AO198" s="877"/>
      <c r="AP198" s="886"/>
      <c r="AQ198" s="877"/>
      <c r="AR198" s="877"/>
      <c r="AS198" s="877"/>
    </row>
    <row r="199" spans="1:56">
      <c r="A199" s="68"/>
      <c r="B199" s="50"/>
      <c r="C199" s="174" t="s">
        <v>321</v>
      </c>
      <c r="D199" s="511"/>
      <c r="E199" s="174"/>
      <c r="F199" s="878">
        <f>SUM(G199:J199)/(1-'Common input data'!$B$169)</f>
        <v>4.9888377957315051E-2</v>
      </c>
      <c r="G199" s="928">
        <f>SUMPRODUCT('Input data processed products'!E$62:AC$62,'Input data processed products'!E$81:AC$81)</f>
        <v>4.9638936067528477E-2</v>
      </c>
      <c r="H199" s="877">
        <v>0</v>
      </c>
      <c r="I199" s="877">
        <v>0</v>
      </c>
      <c r="J199" s="886">
        <v>0</v>
      </c>
      <c r="K199" s="877"/>
      <c r="L199" s="879"/>
      <c r="M199" s="877"/>
      <c r="N199" s="886"/>
      <c r="O199" s="877"/>
      <c r="P199" s="879"/>
      <c r="Q199" s="877"/>
      <c r="R199" s="886"/>
      <c r="S199" s="877"/>
      <c r="T199" s="879"/>
      <c r="U199" s="877"/>
      <c r="V199" s="886"/>
      <c r="W199" s="877"/>
      <c r="X199" s="879"/>
      <c r="Y199" s="877"/>
      <c r="Z199" s="886"/>
      <c r="AA199" s="877"/>
      <c r="AB199" s="879"/>
      <c r="AC199" s="877"/>
      <c r="AD199" s="886"/>
      <c r="AE199" s="877"/>
      <c r="AF199" s="879"/>
      <c r="AG199" s="877"/>
      <c r="AH199" s="886"/>
      <c r="AI199" s="877"/>
      <c r="AJ199" s="879"/>
      <c r="AK199" s="877"/>
      <c r="AL199" s="886"/>
      <c r="AM199" s="877"/>
      <c r="AN199" s="879"/>
      <c r="AO199" s="877"/>
      <c r="AP199" s="886"/>
      <c r="AQ199" s="877"/>
      <c r="AR199" s="877"/>
      <c r="AS199" s="877"/>
    </row>
    <row r="200" spans="1:56">
      <c r="A200" s="68"/>
      <c r="B200" s="50"/>
      <c r="C200" s="174" t="s">
        <v>319</v>
      </c>
      <c r="D200" s="511"/>
      <c r="E200" s="174"/>
      <c r="F200" s="878">
        <f>SUM(G200:J200)/(1-'Common input data'!$B$169)</f>
        <v>0</v>
      </c>
      <c r="G200" s="928">
        <v>0</v>
      </c>
      <c r="H200" s="877">
        <v>0</v>
      </c>
      <c r="I200" s="877">
        <v>0</v>
      </c>
      <c r="J200" s="886">
        <v>0</v>
      </c>
      <c r="K200" s="877"/>
      <c r="L200" s="879"/>
      <c r="M200" s="877"/>
      <c r="N200" s="886"/>
      <c r="O200" s="877"/>
      <c r="P200" s="879"/>
      <c r="Q200" s="877"/>
      <c r="R200" s="886"/>
      <c r="S200" s="877"/>
      <c r="T200" s="879"/>
      <c r="U200" s="877"/>
      <c r="V200" s="886"/>
      <c r="W200" s="877"/>
      <c r="X200" s="879"/>
      <c r="Y200" s="877"/>
      <c r="Z200" s="886"/>
      <c r="AA200" s="877"/>
      <c r="AB200" s="879"/>
      <c r="AC200" s="877"/>
      <c r="AD200" s="886"/>
      <c r="AE200" s="877"/>
      <c r="AF200" s="879"/>
      <c r="AG200" s="877"/>
      <c r="AH200" s="886"/>
      <c r="AI200" s="877"/>
      <c r="AJ200" s="879"/>
      <c r="AK200" s="877"/>
      <c r="AL200" s="886"/>
      <c r="AM200" s="877"/>
      <c r="AN200" s="879"/>
      <c r="AO200" s="877"/>
      <c r="AP200" s="886"/>
      <c r="AQ200" s="877"/>
      <c r="AR200" s="877"/>
      <c r="AS200" s="877"/>
    </row>
    <row r="201" spans="1:56">
      <c r="A201" s="437"/>
      <c r="B201" s="81"/>
      <c r="C201" s="56" t="s">
        <v>320</v>
      </c>
      <c r="D201" s="512"/>
      <c r="E201" s="55"/>
      <c r="F201" s="878">
        <f>SUM(G201:J201)/(1-'Common input data'!$B$169)</f>
        <v>2.5890393821952776E-3</v>
      </c>
      <c r="G201" s="932">
        <f>SUMPRODUCT('Input data processed products'!E$62:AC$62,'Input data processed products'!E$82:AC$82)</f>
        <v>2.576094185284301E-3</v>
      </c>
      <c r="H201" s="896">
        <v>0</v>
      </c>
      <c r="I201" s="896">
        <v>0</v>
      </c>
      <c r="J201" s="897">
        <v>0</v>
      </c>
      <c r="K201" s="877"/>
      <c r="L201" s="879"/>
      <c r="M201" s="877"/>
      <c r="N201" s="886"/>
      <c r="O201" s="877"/>
      <c r="P201" s="879"/>
      <c r="Q201" s="877"/>
      <c r="R201" s="886"/>
      <c r="S201" s="877"/>
      <c r="T201" s="879"/>
      <c r="U201" s="877"/>
      <c r="V201" s="886"/>
      <c r="W201" s="877"/>
      <c r="X201" s="879"/>
      <c r="Y201" s="877"/>
      <c r="Z201" s="886"/>
      <c r="AA201" s="877"/>
      <c r="AB201" s="879"/>
      <c r="AC201" s="877"/>
      <c r="AD201" s="886"/>
      <c r="AE201" s="877"/>
      <c r="AF201" s="879"/>
      <c r="AG201" s="877"/>
      <c r="AH201" s="886"/>
      <c r="AI201" s="877"/>
      <c r="AJ201" s="879"/>
      <c r="AK201" s="877"/>
      <c r="AL201" s="886"/>
      <c r="AM201" s="877"/>
      <c r="AN201" s="879"/>
      <c r="AO201" s="877"/>
      <c r="AP201" s="886"/>
      <c r="AQ201" s="877"/>
      <c r="AR201" s="877"/>
      <c r="AS201" s="877"/>
    </row>
    <row r="202" spans="1:56">
      <c r="A202" s="374" t="s">
        <v>590</v>
      </c>
      <c r="B202" s="376"/>
      <c r="C202" s="377"/>
      <c r="D202" s="939"/>
      <c r="E202" s="364"/>
      <c r="F202" s="970" t="s">
        <v>591</v>
      </c>
      <c r="G202" s="1272"/>
      <c r="H202" s="880"/>
      <c r="I202" s="880"/>
      <c r="J202" s="938"/>
      <c r="K202" s="877"/>
      <c r="L202" s="879"/>
      <c r="M202" s="877"/>
      <c r="N202" s="886"/>
      <c r="O202" s="877"/>
      <c r="P202" s="879"/>
      <c r="Q202" s="877"/>
      <c r="R202" s="886"/>
      <c r="S202" s="877"/>
      <c r="T202" s="879"/>
      <c r="U202" s="877"/>
      <c r="V202" s="886"/>
      <c r="W202" s="877"/>
      <c r="X202" s="879"/>
      <c r="Y202" s="877"/>
      <c r="Z202" s="886"/>
      <c r="AA202" s="877"/>
      <c r="AB202" s="879"/>
      <c r="AC202" s="877"/>
      <c r="AD202" s="886"/>
      <c r="AE202" s="877"/>
      <c r="AF202" s="879"/>
      <c r="AG202" s="877"/>
      <c r="AH202" s="886"/>
      <c r="AI202" s="877"/>
      <c r="AJ202" s="879"/>
      <c r="AK202" s="877"/>
      <c r="AL202" s="886"/>
      <c r="AM202" s="877"/>
      <c r="AN202" s="879"/>
      <c r="AO202" s="877"/>
      <c r="AP202" s="886"/>
      <c r="AQ202" s="877"/>
      <c r="AR202" s="877"/>
      <c r="AS202" s="877"/>
    </row>
    <row r="203" spans="1:56">
      <c r="A203" s="381" t="s">
        <v>122</v>
      </c>
      <c r="B203" s="498">
        <v>1</v>
      </c>
      <c r="C203" s="384" t="s">
        <v>316</v>
      </c>
      <c r="D203" s="510"/>
      <c r="E203" s="384"/>
      <c r="F203" s="927">
        <f>SUMPRODUCT($AX$3:$AX$6,F204:F207)</f>
        <v>3.0753768844221097</v>
      </c>
      <c r="G203" s="1274"/>
      <c r="H203" s="875"/>
      <c r="I203" s="875"/>
      <c r="J203" s="981"/>
      <c r="K203" s="877"/>
      <c r="L203" s="883"/>
      <c r="M203" s="884"/>
      <c r="N203" s="885"/>
      <c r="O203" s="877"/>
      <c r="P203" s="883"/>
      <c r="Q203" s="884"/>
      <c r="R203" s="885"/>
      <c r="S203" s="877"/>
      <c r="T203" s="883"/>
      <c r="U203" s="884"/>
      <c r="V203" s="885"/>
      <c r="W203" s="877"/>
      <c r="X203" s="883"/>
      <c r="Y203" s="884"/>
      <c r="Z203" s="885"/>
      <c r="AA203" s="877"/>
      <c r="AB203" s="883"/>
      <c r="AC203" s="884"/>
      <c r="AD203" s="885"/>
      <c r="AE203" s="877"/>
      <c r="AF203" s="883"/>
      <c r="AG203" s="884"/>
      <c r="AH203" s="885"/>
      <c r="AI203" s="877"/>
      <c r="AJ203" s="883"/>
      <c r="AK203" s="884"/>
      <c r="AL203" s="885"/>
      <c r="AM203" s="877"/>
      <c r="AN203" s="883"/>
      <c r="AO203" s="884"/>
      <c r="AP203" s="885"/>
      <c r="AQ203" s="877"/>
      <c r="AR203" s="877"/>
      <c r="AS203" s="877"/>
    </row>
    <row r="204" spans="1:56">
      <c r="C204" s="174" t="s">
        <v>317</v>
      </c>
      <c r="D204" s="511"/>
      <c r="E204" s="174"/>
      <c r="F204" s="878">
        <f>SUM(G204:J204)/(1-'Common input data'!$B$169)</f>
        <v>3.0753768844221097</v>
      </c>
      <c r="G204" s="928">
        <v>2.9799999999999995</v>
      </c>
      <c r="H204" s="877">
        <v>0</v>
      </c>
      <c r="I204" s="877">
        <f>'Common input data'!$B$107</f>
        <v>0.05</v>
      </c>
      <c r="J204" s="886">
        <f>'Common input data'!C$115</f>
        <v>0.03</v>
      </c>
      <c r="K204" s="877"/>
      <c r="L204" s="879"/>
      <c r="M204" s="877"/>
      <c r="N204" s="886"/>
      <c r="O204" s="877"/>
      <c r="P204" s="879"/>
      <c r="Q204" s="877"/>
      <c r="R204" s="886"/>
      <c r="S204" s="877"/>
      <c r="T204" s="879"/>
      <c r="U204" s="877"/>
      <c r="V204" s="886"/>
      <c r="W204" s="877"/>
      <c r="X204" s="879"/>
      <c r="Y204" s="877"/>
      <c r="Z204" s="886"/>
      <c r="AA204" s="877"/>
      <c r="AB204" s="879"/>
      <c r="AC204" s="877"/>
      <c r="AD204" s="886"/>
      <c r="AE204" s="877"/>
      <c r="AF204" s="879"/>
      <c r="AG204" s="877"/>
      <c r="AH204" s="886"/>
      <c r="AI204" s="877"/>
      <c r="AJ204" s="879"/>
      <c r="AK204" s="877"/>
      <c r="AL204" s="886"/>
      <c r="AM204" s="877"/>
      <c r="AN204" s="879"/>
      <c r="AO204" s="877"/>
      <c r="AP204" s="886"/>
      <c r="AQ204" s="877"/>
      <c r="AR204" s="877"/>
      <c r="AS204" s="877"/>
    </row>
    <row r="205" spans="1:56">
      <c r="A205" s="68"/>
      <c r="B205" s="50"/>
      <c r="C205" s="174" t="s">
        <v>321</v>
      </c>
      <c r="D205" s="511"/>
      <c r="E205" s="174"/>
      <c r="F205" s="878">
        <f>SUM(G205:J205)/(1-'Common input data'!$B$169)</f>
        <v>0</v>
      </c>
      <c r="G205" s="928">
        <v>0</v>
      </c>
      <c r="H205" s="877">
        <v>0</v>
      </c>
      <c r="I205" s="877">
        <v>0</v>
      </c>
      <c r="J205" s="886">
        <v>0</v>
      </c>
      <c r="K205" s="877"/>
      <c r="L205" s="879"/>
      <c r="M205" s="877"/>
      <c r="N205" s="886"/>
      <c r="O205" s="877"/>
      <c r="P205" s="879"/>
      <c r="Q205" s="877"/>
      <c r="R205" s="886"/>
      <c r="S205" s="877"/>
      <c r="T205" s="879"/>
      <c r="U205" s="877"/>
      <c r="V205" s="886"/>
      <c r="W205" s="877"/>
      <c r="X205" s="879"/>
      <c r="Y205" s="877"/>
      <c r="Z205" s="886"/>
      <c r="AA205" s="877"/>
      <c r="AB205" s="879"/>
      <c r="AC205" s="877"/>
      <c r="AD205" s="886"/>
      <c r="AE205" s="877"/>
      <c r="AF205" s="879"/>
      <c r="AG205" s="877"/>
      <c r="AH205" s="886"/>
      <c r="AI205" s="877"/>
      <c r="AJ205" s="879"/>
      <c r="AK205" s="877"/>
      <c r="AL205" s="886"/>
      <c r="AM205" s="877"/>
      <c r="AN205" s="879"/>
      <c r="AO205" s="877"/>
      <c r="AP205" s="886"/>
      <c r="AQ205" s="877"/>
      <c r="AR205" s="877"/>
      <c r="AS205" s="877"/>
    </row>
    <row r="206" spans="1:56">
      <c r="A206" s="68"/>
      <c r="B206" s="50"/>
      <c r="C206" s="174" t="s">
        <v>319</v>
      </c>
      <c r="D206" s="511"/>
      <c r="E206" s="174"/>
      <c r="F206" s="878">
        <f>SUM(G206:J206)/(1-'Common input data'!$B$169)</f>
        <v>0</v>
      </c>
      <c r="G206" s="928">
        <v>0</v>
      </c>
      <c r="H206" s="877">
        <v>0</v>
      </c>
      <c r="I206" s="877">
        <v>0</v>
      </c>
      <c r="J206" s="886">
        <v>0</v>
      </c>
      <c r="K206" s="877"/>
      <c r="L206" s="879"/>
      <c r="M206" s="877"/>
      <c r="N206" s="886"/>
      <c r="O206" s="877"/>
      <c r="P206" s="879"/>
      <c r="Q206" s="877"/>
      <c r="R206" s="886"/>
      <c r="S206" s="877"/>
      <c r="T206" s="879"/>
      <c r="U206" s="877"/>
      <c r="V206" s="886"/>
      <c r="W206" s="877"/>
      <c r="X206" s="879"/>
      <c r="Y206" s="877"/>
      <c r="Z206" s="886"/>
      <c r="AA206" s="877"/>
      <c r="AB206" s="879"/>
      <c r="AC206" s="877"/>
      <c r="AD206" s="886"/>
      <c r="AE206" s="877"/>
      <c r="AF206" s="879"/>
      <c r="AG206" s="877"/>
      <c r="AH206" s="886"/>
      <c r="AI206" s="877"/>
      <c r="AJ206" s="879"/>
      <c r="AK206" s="877"/>
      <c r="AL206" s="886"/>
      <c r="AM206" s="877"/>
      <c r="AN206" s="879"/>
      <c r="AO206" s="877"/>
      <c r="AP206" s="886"/>
      <c r="AQ206" s="877"/>
      <c r="AR206" s="877"/>
      <c r="AS206" s="877"/>
    </row>
    <row r="207" spans="1:56">
      <c r="A207" s="437"/>
      <c r="B207" s="81"/>
      <c r="C207" s="56" t="s">
        <v>320</v>
      </c>
      <c r="D207" s="512"/>
      <c r="E207" s="55"/>
      <c r="F207" s="878">
        <f>SUM(G207:J207)/(1-'Common input data'!$B$169)</f>
        <v>0</v>
      </c>
      <c r="G207" s="928">
        <v>0</v>
      </c>
      <c r="H207" s="896">
        <v>0</v>
      </c>
      <c r="I207" s="896">
        <v>0</v>
      </c>
      <c r="J207" s="897">
        <v>0</v>
      </c>
      <c r="K207" s="877"/>
      <c r="L207" s="879"/>
      <c r="M207" s="877"/>
      <c r="N207" s="886"/>
      <c r="O207" s="877"/>
      <c r="P207" s="879"/>
      <c r="Q207" s="877"/>
      <c r="R207" s="886"/>
      <c r="S207" s="877"/>
      <c r="T207" s="879"/>
      <c r="U207" s="877"/>
      <c r="V207" s="886"/>
      <c r="W207" s="877"/>
      <c r="X207" s="879"/>
      <c r="Y207" s="877"/>
      <c r="Z207" s="886"/>
      <c r="AA207" s="877"/>
      <c r="AB207" s="879"/>
      <c r="AC207" s="877"/>
      <c r="AD207" s="886"/>
      <c r="AE207" s="877"/>
      <c r="AF207" s="879"/>
      <c r="AG207" s="877"/>
      <c r="AH207" s="886"/>
      <c r="AI207" s="877"/>
      <c r="AJ207" s="879"/>
      <c r="AK207" s="877"/>
      <c r="AL207" s="886"/>
      <c r="AM207" s="877"/>
      <c r="AN207" s="879"/>
      <c r="AO207" s="877"/>
      <c r="AP207" s="886"/>
      <c r="AQ207" s="877"/>
      <c r="AR207" s="877"/>
      <c r="AS207" s="877"/>
    </row>
    <row r="208" spans="1:56">
      <c r="A208" s="374" t="s">
        <v>592</v>
      </c>
      <c r="B208" s="376"/>
      <c r="C208" s="377"/>
      <c r="D208" s="939"/>
      <c r="E208" s="364"/>
      <c r="F208" s="970" t="s">
        <v>593</v>
      </c>
      <c r="G208" s="1279"/>
      <c r="H208" s="889"/>
      <c r="I208" s="889"/>
      <c r="J208" s="960"/>
      <c r="K208" s="877"/>
      <c r="L208" s="879"/>
      <c r="M208" s="877"/>
      <c r="N208" s="886"/>
      <c r="O208" s="877"/>
      <c r="P208" s="879"/>
      <c r="Q208" s="877"/>
      <c r="R208" s="886"/>
      <c r="S208" s="877"/>
      <c r="T208" s="879"/>
      <c r="U208" s="877"/>
      <c r="V208" s="886"/>
      <c r="W208" s="877"/>
      <c r="X208" s="879"/>
      <c r="Y208" s="877"/>
      <c r="Z208" s="886"/>
      <c r="AA208" s="877"/>
      <c r="AB208" s="879"/>
      <c r="AC208" s="877"/>
      <c r="AD208" s="886"/>
      <c r="AE208" s="877"/>
      <c r="AF208" s="879"/>
      <c r="AG208" s="877"/>
      <c r="AH208" s="886"/>
      <c r="AI208" s="877"/>
      <c r="AJ208" s="879"/>
      <c r="AK208" s="877"/>
      <c r="AL208" s="886"/>
      <c r="AM208" s="877"/>
      <c r="AN208" s="879"/>
      <c r="AO208" s="877"/>
      <c r="AP208" s="886"/>
      <c r="AQ208" s="877"/>
      <c r="AR208" s="877"/>
      <c r="AS208" s="877"/>
    </row>
    <row r="209" spans="1:45">
      <c r="A209" s="381" t="s">
        <v>315</v>
      </c>
      <c r="B209" s="498">
        <f>SUM(B214:B230)</f>
        <v>1</v>
      </c>
      <c r="C209" s="384" t="s">
        <v>316</v>
      </c>
      <c r="D209" s="510"/>
      <c r="E209" s="384"/>
      <c r="F209" s="927">
        <f>SUMPRODUCT($AX$3:$AX$6,F210:F213)</f>
        <v>1.9842012521040182</v>
      </c>
      <c r="G209" s="1274"/>
      <c r="H209" s="875"/>
      <c r="I209" s="875"/>
      <c r="J209" s="981"/>
      <c r="K209" s="877"/>
      <c r="L209" s="883">
        <f>L214*$B$214+L219*$B$219+L224*$B$224+L229*$B$229</f>
        <v>1.8001727042986486</v>
      </c>
      <c r="M209" s="884">
        <f t="shared" ref="M209:AP209" si="6">M214*$B$214+M219*$B$219+M224*$B$224+M229*$B$229</f>
        <v>2.000191893665165</v>
      </c>
      <c r="N209" s="885">
        <f t="shared" si="6"/>
        <v>2.2990711421438679</v>
      </c>
      <c r="O209" s="877"/>
      <c r="P209" s="883">
        <f t="shared" si="6"/>
        <v>0</v>
      </c>
      <c r="Q209" s="884">
        <f t="shared" si="6"/>
        <v>0</v>
      </c>
      <c r="R209" s="885">
        <f t="shared" si="6"/>
        <v>0</v>
      </c>
      <c r="S209" s="877"/>
      <c r="T209" s="883">
        <f t="shared" si="6"/>
        <v>3.2366630862871466E-3</v>
      </c>
      <c r="U209" s="884">
        <f t="shared" si="6"/>
        <v>3.5962923180968298E-3</v>
      </c>
      <c r="V209" s="885">
        <f t="shared" si="6"/>
        <v>4.1336693311457813E-3</v>
      </c>
      <c r="W209" s="877"/>
      <c r="X209" s="883">
        <f t="shared" si="6"/>
        <v>2.1523809523809525E-3</v>
      </c>
      <c r="Y209" s="884">
        <f t="shared" si="6"/>
        <v>2.3915343915343916E-3</v>
      </c>
      <c r="Z209" s="885">
        <f t="shared" si="6"/>
        <v>2.7488901052119446E-3</v>
      </c>
      <c r="AA209" s="877"/>
      <c r="AB209" s="883">
        <f t="shared" si="6"/>
        <v>0.14013191114091239</v>
      </c>
      <c r="AC209" s="884">
        <f t="shared" si="6"/>
        <v>0.15570212348990264</v>
      </c>
      <c r="AD209" s="885">
        <f t="shared" si="6"/>
        <v>0.17896795803437082</v>
      </c>
      <c r="AE209" s="877"/>
      <c r="AF209" s="883">
        <f t="shared" si="6"/>
        <v>6.41281167959362E-10</v>
      </c>
      <c r="AG209" s="884">
        <f t="shared" si="6"/>
        <v>7.1253463106595764E-10</v>
      </c>
      <c r="AH209" s="885">
        <f t="shared" si="6"/>
        <v>8.190053230643191E-10</v>
      </c>
      <c r="AI209" s="877"/>
      <c r="AJ209" s="883">
        <f t="shared" si="6"/>
        <v>1.5615173111151509E-3</v>
      </c>
      <c r="AK209" s="884">
        <f t="shared" si="6"/>
        <v>1.7350192345723897E-3</v>
      </c>
      <c r="AL209" s="885">
        <f t="shared" si="6"/>
        <v>1.9942749822671147E-3</v>
      </c>
      <c r="AM209" s="877"/>
      <c r="AN209" s="883">
        <f t="shared" si="6"/>
        <v>8.2644091488090558E-5</v>
      </c>
      <c r="AO209" s="884">
        <f t="shared" si="6"/>
        <v>9.1826768320100614E-5</v>
      </c>
      <c r="AP209" s="885">
        <f t="shared" si="6"/>
        <v>1.0554800956333402E-4</v>
      </c>
      <c r="AQ209" s="877"/>
      <c r="AR209" s="877"/>
      <c r="AS209" s="877"/>
    </row>
    <row r="210" spans="1:45">
      <c r="A210" s="68"/>
      <c r="B210" s="50"/>
      <c r="C210" s="174" t="s">
        <v>317</v>
      </c>
      <c r="D210" s="511"/>
      <c r="E210" s="174"/>
      <c r="F210" s="878">
        <f>$B$214*F215+$B$219*F220+$B$224*F225+F230*$B$229</f>
        <v>1.9842012521040182</v>
      </c>
      <c r="G210" s="928">
        <f t="shared" ref="G210:J210" si="7">$B$214*G215+$B$219*G220+$B$224*G225+G230*$B$229</f>
        <v>1.1599999999999997</v>
      </c>
      <c r="H210" s="877">
        <f t="shared" si="7"/>
        <v>0.28000000000000003</v>
      </c>
      <c r="I210" s="877">
        <f t="shared" si="7"/>
        <v>0.14999999999999997</v>
      </c>
      <c r="J210" s="886">
        <f t="shared" si="7"/>
        <v>0.39420125210401846</v>
      </c>
      <c r="K210" s="877"/>
      <c r="L210" s="879"/>
      <c r="M210" s="877"/>
      <c r="N210" s="886"/>
      <c r="O210" s="877"/>
      <c r="P210" s="879"/>
      <c r="Q210" s="877"/>
      <c r="R210" s="886"/>
      <c r="S210" s="877"/>
      <c r="T210" s="879"/>
      <c r="U210" s="877"/>
      <c r="V210" s="886"/>
      <c r="W210" s="877"/>
      <c r="X210" s="879"/>
      <c r="Y210" s="877"/>
      <c r="Z210" s="886"/>
      <c r="AA210" s="877"/>
      <c r="AB210" s="879"/>
      <c r="AC210" s="877"/>
      <c r="AD210" s="886"/>
      <c r="AE210" s="877"/>
      <c r="AF210" s="879"/>
      <c r="AG210" s="877"/>
      <c r="AH210" s="886"/>
      <c r="AI210" s="877"/>
      <c r="AJ210" s="879"/>
      <c r="AK210" s="877"/>
      <c r="AL210" s="886"/>
      <c r="AM210" s="877"/>
      <c r="AN210" s="879"/>
      <c r="AO210" s="877"/>
      <c r="AP210" s="886"/>
      <c r="AQ210" s="877"/>
      <c r="AR210" s="877"/>
      <c r="AS210" s="877"/>
    </row>
    <row r="211" spans="1:45">
      <c r="A211" s="359"/>
      <c r="B211" s="54"/>
      <c r="C211" s="174" t="s">
        <v>321</v>
      </c>
      <c r="D211" s="511"/>
      <c r="E211" s="174"/>
      <c r="F211" s="878">
        <f t="shared" ref="F211:J213" si="8">$B$214*F216+$B$219*F221+$B$224*F226+F231*$B$229</f>
        <v>0</v>
      </c>
      <c r="G211" s="928">
        <f t="shared" si="8"/>
        <v>0</v>
      </c>
      <c r="H211" s="877">
        <f t="shared" si="8"/>
        <v>0</v>
      </c>
      <c r="I211" s="877">
        <f t="shared" si="8"/>
        <v>0</v>
      </c>
      <c r="J211" s="886">
        <f t="shared" si="8"/>
        <v>0</v>
      </c>
      <c r="K211" s="877"/>
      <c r="L211" s="879"/>
      <c r="M211" s="877"/>
      <c r="N211" s="886"/>
      <c r="O211" s="877"/>
      <c r="P211" s="879"/>
      <c r="Q211" s="877"/>
      <c r="R211" s="886"/>
      <c r="S211" s="877"/>
      <c r="T211" s="879"/>
      <c r="U211" s="877"/>
      <c r="V211" s="886"/>
      <c r="W211" s="877"/>
      <c r="X211" s="879"/>
      <c r="Y211" s="877"/>
      <c r="Z211" s="886"/>
      <c r="AA211" s="877"/>
      <c r="AB211" s="879"/>
      <c r="AC211" s="877"/>
      <c r="AD211" s="886"/>
      <c r="AE211" s="877"/>
      <c r="AF211" s="879"/>
      <c r="AG211" s="877"/>
      <c r="AH211" s="886"/>
      <c r="AI211" s="877"/>
      <c r="AJ211" s="879"/>
      <c r="AK211" s="877"/>
      <c r="AL211" s="886"/>
      <c r="AM211" s="877"/>
      <c r="AN211" s="879"/>
      <c r="AO211" s="877"/>
      <c r="AP211" s="886"/>
      <c r="AQ211" s="877"/>
      <c r="AR211" s="877"/>
      <c r="AS211" s="877"/>
    </row>
    <row r="212" spans="1:45">
      <c r="A212" s="359"/>
      <c r="B212" s="54"/>
      <c r="C212" s="174" t="s">
        <v>319</v>
      </c>
      <c r="D212" s="511"/>
      <c r="E212" s="174"/>
      <c r="F212" s="878">
        <f t="shared" si="8"/>
        <v>0</v>
      </c>
      <c r="G212" s="928">
        <f t="shared" si="8"/>
        <v>0</v>
      </c>
      <c r="H212" s="877">
        <f t="shared" si="8"/>
        <v>0</v>
      </c>
      <c r="I212" s="877">
        <f t="shared" si="8"/>
        <v>0</v>
      </c>
      <c r="J212" s="886">
        <f t="shared" si="8"/>
        <v>0</v>
      </c>
      <c r="K212" s="877"/>
      <c r="L212" s="879"/>
      <c r="M212" s="877"/>
      <c r="N212" s="886"/>
      <c r="O212" s="877"/>
      <c r="P212" s="879"/>
      <c r="Q212" s="877"/>
      <c r="R212" s="886"/>
      <c r="S212" s="877"/>
      <c r="T212" s="879"/>
      <c r="U212" s="877"/>
      <c r="V212" s="886"/>
      <c r="W212" s="877"/>
      <c r="X212" s="879"/>
      <c r="Y212" s="877"/>
      <c r="Z212" s="886"/>
      <c r="AA212" s="877"/>
      <c r="AB212" s="879"/>
      <c r="AC212" s="877"/>
      <c r="AD212" s="886"/>
      <c r="AE212" s="877"/>
      <c r="AF212" s="879"/>
      <c r="AG212" s="877"/>
      <c r="AH212" s="886"/>
      <c r="AI212" s="877"/>
      <c r="AJ212" s="879"/>
      <c r="AK212" s="877"/>
      <c r="AL212" s="886"/>
      <c r="AM212" s="877"/>
      <c r="AN212" s="879"/>
      <c r="AO212" s="877"/>
      <c r="AP212" s="886"/>
      <c r="AQ212" s="877"/>
      <c r="AR212" s="877"/>
      <c r="AS212" s="877"/>
    </row>
    <row r="213" spans="1:45">
      <c r="A213" s="359"/>
      <c r="B213" s="54"/>
      <c r="C213" s="55" t="s">
        <v>320</v>
      </c>
      <c r="D213" s="512"/>
      <c r="E213" s="55"/>
      <c r="F213" s="878">
        <f t="shared" si="8"/>
        <v>0</v>
      </c>
      <c r="G213" s="928">
        <f t="shared" si="8"/>
        <v>0</v>
      </c>
      <c r="H213" s="877">
        <f t="shared" si="8"/>
        <v>0</v>
      </c>
      <c r="I213" s="877">
        <f t="shared" si="8"/>
        <v>0</v>
      </c>
      <c r="J213" s="886">
        <f t="shared" si="8"/>
        <v>0</v>
      </c>
      <c r="K213" s="877"/>
      <c r="L213" s="879"/>
      <c r="M213" s="877"/>
      <c r="N213" s="886"/>
      <c r="O213" s="877"/>
      <c r="P213" s="879"/>
      <c r="Q213" s="877"/>
      <c r="R213" s="886"/>
      <c r="S213" s="877"/>
      <c r="T213" s="879"/>
      <c r="U213" s="877"/>
      <c r="V213" s="886"/>
      <c r="W213" s="877"/>
      <c r="X213" s="879"/>
      <c r="Y213" s="877"/>
      <c r="Z213" s="886"/>
      <c r="AA213" s="877"/>
      <c r="AB213" s="879"/>
      <c r="AC213" s="877"/>
      <c r="AD213" s="886"/>
      <c r="AE213" s="877"/>
      <c r="AF213" s="879"/>
      <c r="AG213" s="877"/>
      <c r="AH213" s="886"/>
      <c r="AI213" s="877"/>
      <c r="AJ213" s="879"/>
      <c r="AK213" s="877"/>
      <c r="AL213" s="886"/>
      <c r="AM213" s="877"/>
      <c r="AN213" s="879"/>
      <c r="AO213" s="877"/>
      <c r="AP213" s="886"/>
      <c r="AQ213" s="877"/>
      <c r="AR213" s="877"/>
      <c r="AS213" s="877"/>
    </row>
    <row r="214" spans="1:45">
      <c r="A214" s="93" t="s">
        <v>123</v>
      </c>
      <c r="B214" s="170">
        <v>0.12550094711264553</v>
      </c>
      <c r="C214" s="355" t="s">
        <v>316</v>
      </c>
      <c r="D214" s="513"/>
      <c r="E214" s="355"/>
      <c r="F214" s="873">
        <f>SUMPRODUCT($AX$3:$AX$6,F215:F218)</f>
        <v>1.8199999999999998</v>
      </c>
      <c r="G214" s="1277"/>
      <c r="H214" s="884"/>
      <c r="I214" s="884"/>
      <c r="J214" s="885"/>
      <c r="K214" s="877"/>
      <c r="L214" s="879">
        <f>SUMPRODUCT('Input data processed products'!$D68:$AE68,'Input data processed products'!D$83:AE$83)</f>
        <v>1.8001727042986488</v>
      </c>
      <c r="M214" s="877">
        <f>L214/(1-'Common input data'!$B$165)</f>
        <v>2.0001918936651655</v>
      </c>
      <c r="N214" s="886">
        <f>M214/(1-'Common input data'!$B$182)</f>
        <v>2.2990711421438683</v>
      </c>
      <c r="O214" s="877"/>
      <c r="P214" s="879">
        <f>SUMPRODUCT('Input data processed products'!$D68:$AE68,'Input data processed products'!D$84:AE$84)</f>
        <v>0</v>
      </c>
      <c r="Q214" s="877">
        <f>P214/(1-'Common input data'!$B$165)</f>
        <v>0</v>
      </c>
      <c r="R214" s="886">
        <f>Q214/(1-'Common input data'!$B$182)</f>
        <v>0</v>
      </c>
      <c r="S214" s="877"/>
      <c r="T214" s="879">
        <f>SUMPRODUCT('Input data processed products'!$D68:$AE68,'Input data processed products'!D$85:AE$85)</f>
        <v>3.236663086287147E-3</v>
      </c>
      <c r="U214" s="877">
        <f>T214/(1-'Common input data'!$B$165)</f>
        <v>3.5962923180968298E-3</v>
      </c>
      <c r="V214" s="886">
        <f>U214/(1-'Common input data'!$B$182)</f>
        <v>4.1336693311457813E-3</v>
      </c>
      <c r="W214" s="877"/>
      <c r="X214" s="879">
        <f>SUMPRODUCT('Input data processed products'!$D68:$AE68,'Input data processed products'!D$86:AE$86)</f>
        <v>2.1523809523809525E-3</v>
      </c>
      <c r="Y214" s="877">
        <f>X214/(1-'Common input data'!$B$165)</f>
        <v>2.3915343915343916E-3</v>
      </c>
      <c r="Z214" s="886">
        <f>Y214/(1-'Common input data'!$B$182)</f>
        <v>2.7488901052119446E-3</v>
      </c>
      <c r="AA214" s="877"/>
      <c r="AB214" s="879">
        <f>SUMPRODUCT('Input data processed products'!$D68:$AE68,'Input data processed products'!D$87:AE$87)/$AC$2</f>
        <v>0.14013191114091239</v>
      </c>
      <c r="AC214" s="877">
        <f>AB214/(1-'Common input data'!$B$165)</f>
        <v>0.15570212348990264</v>
      </c>
      <c r="AD214" s="886">
        <f>AC214/(1-'Common input data'!$B$182)</f>
        <v>0.17896795803437085</v>
      </c>
      <c r="AE214" s="877"/>
      <c r="AF214" s="879">
        <f>SUMPRODUCT('Input data processed products'!$D68:$AE68,'Input data processed products'!D$88:AE$88)</f>
        <v>6.41281167959362E-10</v>
      </c>
      <c r="AG214" s="877">
        <f>AF214/(1-'Common input data'!$B$165)</f>
        <v>7.1253463106595774E-10</v>
      </c>
      <c r="AH214" s="886">
        <f>AG214/(1-'Common input data'!$B$182)</f>
        <v>8.190053230643192E-10</v>
      </c>
      <c r="AI214" s="877"/>
      <c r="AJ214" s="879">
        <f>SUMPRODUCT('Input data processed products'!$D68:$AE68,'Input data processed products'!D$89:AE$89)</f>
        <v>1.5615173111151509E-3</v>
      </c>
      <c r="AK214" s="877">
        <f>AJ214/(1-'Common input data'!$B$165)</f>
        <v>1.7350192345723899E-3</v>
      </c>
      <c r="AL214" s="886">
        <f>AK214/(1-'Common input data'!$B$182)</f>
        <v>1.9942749822671147E-3</v>
      </c>
      <c r="AM214" s="877"/>
      <c r="AN214" s="879">
        <f>SUMPRODUCT('Input data processed products'!$D68:$AE68,'Input data processed products'!D$90:AE$90)</f>
        <v>8.2644091488090558E-5</v>
      </c>
      <c r="AO214" s="877">
        <f>AN214/(1-'Common input data'!$B$165)</f>
        <v>9.1826768320100614E-5</v>
      </c>
      <c r="AP214" s="886">
        <f>AO214/(1-'Common input data'!$B$182)</f>
        <v>1.0554800956333404E-4</v>
      </c>
      <c r="AQ214" s="877"/>
      <c r="AR214" s="877"/>
      <c r="AS214" s="877"/>
    </row>
    <row r="215" spans="1:45">
      <c r="A215" s="68"/>
      <c r="B215" s="50"/>
      <c r="C215" s="174" t="s">
        <v>317</v>
      </c>
      <c r="D215" s="511"/>
      <c r="E215" s="174"/>
      <c r="F215" s="878">
        <f>SUM(G215:J215)</f>
        <v>1.8199999999999998</v>
      </c>
      <c r="G215" s="928">
        <v>1.1599999999999999</v>
      </c>
      <c r="H215" s="877">
        <v>0.28000000000000003</v>
      </c>
      <c r="I215" s="877">
        <f>'Common input data'!B$106</f>
        <v>0.15</v>
      </c>
      <c r="J215" s="886">
        <f>'Common input data'!$B$117+'Common input data'!$C$117</f>
        <v>0.23</v>
      </c>
      <c r="K215" s="877"/>
      <c r="L215" s="879"/>
      <c r="M215" s="877"/>
      <c r="N215" s="886"/>
      <c r="O215" s="877"/>
      <c r="P215" s="879"/>
      <c r="Q215" s="877"/>
      <c r="R215" s="886"/>
      <c r="S215" s="877"/>
      <c r="T215" s="879"/>
      <c r="U215" s="877"/>
      <c r="V215" s="886"/>
      <c r="W215" s="877"/>
      <c r="X215" s="879"/>
      <c r="Y215" s="877"/>
      <c r="Z215" s="886"/>
      <c r="AA215" s="877"/>
      <c r="AB215" s="879"/>
      <c r="AC215" s="877"/>
      <c r="AD215" s="886"/>
      <c r="AE215" s="877"/>
      <c r="AF215" s="879"/>
      <c r="AG215" s="877"/>
      <c r="AH215" s="886"/>
      <c r="AI215" s="877"/>
      <c r="AJ215" s="879"/>
      <c r="AK215" s="877"/>
      <c r="AL215" s="886"/>
      <c r="AM215" s="877"/>
      <c r="AN215" s="879"/>
      <c r="AO215" s="877"/>
      <c r="AP215" s="886"/>
      <c r="AQ215" s="877"/>
      <c r="AR215" s="877"/>
      <c r="AS215" s="877"/>
    </row>
    <row r="216" spans="1:45">
      <c r="A216" s="359"/>
      <c r="B216" s="54"/>
      <c r="C216" s="174" t="s">
        <v>321</v>
      </c>
      <c r="D216" s="511"/>
      <c r="E216" s="174"/>
      <c r="F216" s="878">
        <f>SUM(G216:J216)</f>
        <v>0</v>
      </c>
      <c r="G216" s="928">
        <v>0</v>
      </c>
      <c r="H216" s="877">
        <v>0</v>
      </c>
      <c r="I216" s="877">
        <v>0</v>
      </c>
      <c r="J216" s="886">
        <v>0</v>
      </c>
      <c r="K216" s="877"/>
      <c r="L216" s="879"/>
      <c r="M216" s="877"/>
      <c r="N216" s="886"/>
      <c r="O216" s="877"/>
      <c r="P216" s="879"/>
      <c r="Q216" s="877"/>
      <c r="R216" s="886"/>
      <c r="S216" s="877"/>
      <c r="T216" s="879"/>
      <c r="U216" s="877"/>
      <c r="V216" s="886"/>
      <c r="W216" s="877"/>
      <c r="X216" s="879"/>
      <c r="Y216" s="877"/>
      <c r="Z216" s="886"/>
      <c r="AA216" s="877"/>
      <c r="AB216" s="879"/>
      <c r="AC216" s="877"/>
      <c r="AD216" s="886"/>
      <c r="AE216" s="877"/>
      <c r="AF216" s="879"/>
      <c r="AG216" s="877"/>
      <c r="AH216" s="886"/>
      <c r="AI216" s="877"/>
      <c r="AJ216" s="879"/>
      <c r="AK216" s="877"/>
      <c r="AL216" s="886"/>
      <c r="AM216" s="877"/>
      <c r="AN216" s="879"/>
      <c r="AO216" s="877"/>
      <c r="AP216" s="886"/>
      <c r="AQ216" s="877"/>
      <c r="AR216" s="877"/>
      <c r="AS216" s="877"/>
    </row>
    <row r="217" spans="1:45">
      <c r="A217" s="359"/>
      <c r="B217" s="54"/>
      <c r="C217" s="174" t="s">
        <v>319</v>
      </c>
      <c r="D217" s="511"/>
      <c r="E217" s="174"/>
      <c r="F217" s="878">
        <f>SUM(G217:J217)</f>
        <v>0</v>
      </c>
      <c r="G217" s="928">
        <v>0</v>
      </c>
      <c r="H217" s="877">
        <v>0</v>
      </c>
      <c r="I217" s="877">
        <v>0</v>
      </c>
      <c r="J217" s="886">
        <v>0</v>
      </c>
      <c r="K217" s="877"/>
      <c r="L217" s="879"/>
      <c r="M217" s="877"/>
      <c r="N217" s="886"/>
      <c r="O217" s="877"/>
      <c r="P217" s="879"/>
      <c r="Q217" s="877"/>
      <c r="R217" s="886"/>
      <c r="S217" s="877"/>
      <c r="T217" s="879"/>
      <c r="U217" s="877"/>
      <c r="V217" s="886"/>
      <c r="W217" s="877"/>
      <c r="X217" s="879"/>
      <c r="Y217" s="877"/>
      <c r="Z217" s="886"/>
      <c r="AA217" s="877"/>
      <c r="AB217" s="879"/>
      <c r="AC217" s="877"/>
      <c r="AD217" s="886"/>
      <c r="AE217" s="877"/>
      <c r="AF217" s="879"/>
      <c r="AG217" s="877"/>
      <c r="AH217" s="886"/>
      <c r="AI217" s="877"/>
      <c r="AJ217" s="879"/>
      <c r="AK217" s="877"/>
      <c r="AL217" s="886"/>
      <c r="AM217" s="877"/>
      <c r="AN217" s="879"/>
      <c r="AO217" s="877"/>
      <c r="AP217" s="886"/>
      <c r="AQ217" s="877"/>
      <c r="AR217" s="877"/>
      <c r="AS217" s="877"/>
    </row>
    <row r="218" spans="1:45">
      <c r="A218" s="359"/>
      <c r="B218" s="54"/>
      <c r="C218" s="55" t="s">
        <v>320</v>
      </c>
      <c r="D218" s="512"/>
      <c r="E218" s="55"/>
      <c r="F218" s="878">
        <f>SUM(G218:J218)</f>
        <v>0</v>
      </c>
      <c r="G218" s="928">
        <v>0</v>
      </c>
      <c r="H218" s="877">
        <v>0</v>
      </c>
      <c r="I218" s="877">
        <v>0</v>
      </c>
      <c r="J218" s="886">
        <v>0</v>
      </c>
      <c r="K218" s="877"/>
      <c r="L218" s="879"/>
      <c r="M218" s="877"/>
      <c r="N218" s="886"/>
      <c r="O218" s="877"/>
      <c r="P218" s="879"/>
      <c r="Q218" s="877"/>
      <c r="R218" s="886"/>
      <c r="S218" s="877"/>
      <c r="T218" s="879"/>
      <c r="U218" s="877"/>
      <c r="V218" s="886"/>
      <c r="W218" s="877"/>
      <c r="X218" s="879"/>
      <c r="Y218" s="877"/>
      <c r="Z218" s="886"/>
      <c r="AA218" s="877"/>
      <c r="AB218" s="879"/>
      <c r="AC218" s="877"/>
      <c r="AD218" s="886"/>
      <c r="AE218" s="877"/>
      <c r="AF218" s="879"/>
      <c r="AG218" s="877"/>
      <c r="AH218" s="886"/>
      <c r="AI218" s="877"/>
      <c r="AJ218" s="879"/>
      <c r="AK218" s="877"/>
      <c r="AL218" s="886"/>
      <c r="AM218" s="877"/>
      <c r="AN218" s="879"/>
      <c r="AO218" s="877"/>
      <c r="AP218" s="886"/>
      <c r="AQ218" s="877"/>
      <c r="AR218" s="877"/>
      <c r="AS218" s="877"/>
    </row>
    <row r="219" spans="1:45">
      <c r="A219" s="93" t="s">
        <v>153</v>
      </c>
      <c r="B219" s="170">
        <v>0.20957728098324416</v>
      </c>
      <c r="C219" s="355" t="s">
        <v>316</v>
      </c>
      <c r="D219" s="513"/>
      <c r="E219" s="355"/>
      <c r="F219" s="873">
        <f>SUMPRODUCT($AX$3:$AX$6,F220:F223)</f>
        <v>2.02</v>
      </c>
      <c r="G219" s="1277"/>
      <c r="H219" s="884"/>
      <c r="I219" s="884"/>
      <c r="J219" s="885"/>
      <c r="K219" s="877"/>
      <c r="L219" s="879">
        <f>SUMPRODUCT('Input data processed products'!$D67:$AE67,'Input data processed products'!D$83:AE$83)</f>
        <v>1.8001727042986488</v>
      </c>
      <c r="M219" s="877">
        <f>L219/(1-'Common input data'!$B$165)</f>
        <v>2.0001918936651655</v>
      </c>
      <c r="N219" s="886">
        <f>M219/(1-'Common input data'!$B$182)</f>
        <v>2.2990711421438683</v>
      </c>
      <c r="O219" s="877"/>
      <c r="P219" s="879">
        <f>SUMPRODUCT('Input data processed products'!$D67:$AE67,'Input data processed products'!D$84:AE$84)</f>
        <v>0</v>
      </c>
      <c r="Q219" s="877">
        <f>P219/(1-'Common input data'!$B$165)</f>
        <v>0</v>
      </c>
      <c r="R219" s="886">
        <f>Q219/(1-'Common input data'!$B$182)</f>
        <v>0</v>
      </c>
      <c r="S219" s="877"/>
      <c r="T219" s="879">
        <f>SUMPRODUCT('Input data processed products'!$D67:$AE67,'Input data processed products'!D$85:AE$85)</f>
        <v>3.236663086287147E-3</v>
      </c>
      <c r="U219" s="877">
        <f>T219/(1-'Common input data'!$B$165)</f>
        <v>3.5962923180968298E-3</v>
      </c>
      <c r="V219" s="886">
        <f>U219/(1-'Common input data'!$B$182)</f>
        <v>4.1336693311457813E-3</v>
      </c>
      <c r="W219" s="877"/>
      <c r="X219" s="879">
        <f>SUMPRODUCT('Input data processed products'!$D67:$AE67,'Input data processed products'!D$86:AE$86)</f>
        <v>2.1523809523809525E-3</v>
      </c>
      <c r="Y219" s="877">
        <f>X219/(1-'Common input data'!$B$165)</f>
        <v>2.3915343915343916E-3</v>
      </c>
      <c r="Z219" s="886">
        <f>Y219/(1-'Common input data'!$B$182)</f>
        <v>2.7488901052119446E-3</v>
      </c>
      <c r="AA219" s="877"/>
      <c r="AB219" s="879">
        <f>SUMPRODUCT('Input data processed products'!$D67:$AE67,'Input data processed products'!D$87:AE$87)/$AC$2</f>
        <v>0.14013191114091239</v>
      </c>
      <c r="AC219" s="877">
        <f>AB219/(1-'Common input data'!$B$165)</f>
        <v>0.15570212348990264</v>
      </c>
      <c r="AD219" s="886">
        <f>AC219/(1-'Common input data'!$B$182)</f>
        <v>0.17896795803437085</v>
      </c>
      <c r="AE219" s="877"/>
      <c r="AF219" s="879">
        <f>SUMPRODUCT('Input data processed products'!$D67:$AE67,'Input data processed products'!D$88:AE$88)</f>
        <v>6.41281167959362E-10</v>
      </c>
      <c r="AG219" s="877">
        <f>AF219/(1-'Common input data'!$B$165)</f>
        <v>7.1253463106595774E-10</v>
      </c>
      <c r="AH219" s="886">
        <f>AG219/(1-'Common input data'!$B$182)</f>
        <v>8.190053230643192E-10</v>
      </c>
      <c r="AI219" s="877"/>
      <c r="AJ219" s="879">
        <f>SUMPRODUCT('Input data processed products'!$D67:$AE67,'Input data processed products'!D$89:AE$89)</f>
        <v>1.5615173111151509E-3</v>
      </c>
      <c r="AK219" s="877">
        <f>AJ219/(1-'Common input data'!$B$165)</f>
        <v>1.7350192345723899E-3</v>
      </c>
      <c r="AL219" s="886">
        <f>AK219/(1-'Common input data'!$B$182)</f>
        <v>1.9942749822671147E-3</v>
      </c>
      <c r="AM219" s="877"/>
      <c r="AN219" s="879">
        <f>SUMPRODUCT('Input data processed products'!$D67:$AE67,'Input data processed products'!D$90:AE$90)</f>
        <v>8.2644091488090558E-5</v>
      </c>
      <c r="AO219" s="877">
        <f>AN219/(1-'Common input data'!$B$165)</f>
        <v>9.1826768320100614E-5</v>
      </c>
      <c r="AP219" s="886">
        <f>AO219/(1-'Common input data'!$B$182)</f>
        <v>1.0554800956333404E-4</v>
      </c>
      <c r="AQ219" s="877"/>
      <c r="AR219" s="877"/>
      <c r="AS219" s="877"/>
    </row>
    <row r="220" spans="1:45">
      <c r="A220" s="68"/>
      <c r="B220" s="50"/>
      <c r="C220" s="174" t="s">
        <v>317</v>
      </c>
      <c r="D220" s="511"/>
      <c r="E220" s="174"/>
      <c r="F220" s="878">
        <f>SUM(G220:J220)</f>
        <v>2.02</v>
      </c>
      <c r="G220" s="928">
        <v>1.1599999999999999</v>
      </c>
      <c r="H220" s="877">
        <v>0.28000000000000003</v>
      </c>
      <c r="I220" s="877">
        <f>'Common input data'!B$106</f>
        <v>0.15</v>
      </c>
      <c r="J220" s="886">
        <f>'Common input data'!$B$128+'Common input data'!$C$128</f>
        <v>0.43000000000000005</v>
      </c>
      <c r="K220" s="877"/>
      <c r="L220" s="879"/>
      <c r="M220" s="877"/>
      <c r="N220" s="886"/>
      <c r="O220" s="877"/>
      <c r="P220" s="879"/>
      <c r="Q220" s="877"/>
      <c r="R220" s="886"/>
      <c r="S220" s="877"/>
      <c r="T220" s="879"/>
      <c r="U220" s="877"/>
      <c r="V220" s="886"/>
      <c r="W220" s="877"/>
      <c r="X220" s="879"/>
      <c r="Y220" s="877"/>
      <c r="Z220" s="886"/>
      <c r="AA220" s="877"/>
      <c r="AB220" s="879"/>
      <c r="AC220" s="877"/>
      <c r="AD220" s="886"/>
      <c r="AE220" s="877"/>
      <c r="AF220" s="879"/>
      <c r="AG220" s="877"/>
      <c r="AH220" s="886"/>
      <c r="AI220" s="877"/>
      <c r="AJ220" s="879"/>
      <c r="AK220" s="877"/>
      <c r="AL220" s="886"/>
      <c r="AM220" s="877"/>
      <c r="AN220" s="879"/>
      <c r="AO220" s="877"/>
      <c r="AP220" s="886"/>
      <c r="AQ220" s="877"/>
      <c r="AR220" s="877"/>
      <c r="AS220" s="877"/>
    </row>
    <row r="221" spans="1:45">
      <c r="A221" s="359"/>
      <c r="B221" s="54"/>
      <c r="C221" s="174" t="s">
        <v>321</v>
      </c>
      <c r="D221" s="511"/>
      <c r="E221" s="174"/>
      <c r="F221" s="878">
        <f>SUM(G221:J221)</f>
        <v>0</v>
      </c>
      <c r="G221" s="928">
        <v>0</v>
      </c>
      <c r="H221" s="877">
        <v>0</v>
      </c>
      <c r="I221" s="877">
        <v>0</v>
      </c>
      <c r="J221" s="886">
        <v>0</v>
      </c>
      <c r="K221" s="877"/>
      <c r="L221" s="879"/>
      <c r="M221" s="877"/>
      <c r="N221" s="886"/>
      <c r="O221" s="877"/>
      <c r="P221" s="879"/>
      <c r="Q221" s="877"/>
      <c r="R221" s="886"/>
      <c r="S221" s="877"/>
      <c r="T221" s="879"/>
      <c r="U221" s="877"/>
      <c r="V221" s="886"/>
      <c r="W221" s="877"/>
      <c r="X221" s="879"/>
      <c r="Y221" s="877"/>
      <c r="Z221" s="886"/>
      <c r="AA221" s="877"/>
      <c r="AB221" s="879"/>
      <c r="AC221" s="877"/>
      <c r="AD221" s="886"/>
      <c r="AE221" s="877"/>
      <c r="AF221" s="879"/>
      <c r="AG221" s="877"/>
      <c r="AH221" s="886"/>
      <c r="AI221" s="877"/>
      <c r="AJ221" s="879"/>
      <c r="AK221" s="877"/>
      <c r="AL221" s="886"/>
      <c r="AM221" s="877"/>
      <c r="AN221" s="879"/>
      <c r="AO221" s="877"/>
      <c r="AP221" s="886"/>
      <c r="AQ221" s="877"/>
      <c r="AR221" s="877"/>
      <c r="AS221" s="877"/>
    </row>
    <row r="222" spans="1:45">
      <c r="A222" s="359"/>
      <c r="B222" s="54"/>
      <c r="C222" s="174" t="s">
        <v>319</v>
      </c>
      <c r="D222" s="511"/>
      <c r="E222" s="174"/>
      <c r="F222" s="878">
        <f>SUM(G222:J222)</f>
        <v>0</v>
      </c>
      <c r="G222" s="928">
        <v>0</v>
      </c>
      <c r="H222" s="877">
        <v>0</v>
      </c>
      <c r="I222" s="877">
        <v>0</v>
      </c>
      <c r="J222" s="886">
        <v>0</v>
      </c>
      <c r="K222" s="877"/>
      <c r="L222" s="879"/>
      <c r="M222" s="877"/>
      <c r="N222" s="886"/>
      <c r="O222" s="877"/>
      <c r="P222" s="879"/>
      <c r="Q222" s="877"/>
      <c r="R222" s="886"/>
      <c r="S222" s="877"/>
      <c r="T222" s="879"/>
      <c r="U222" s="877"/>
      <c r="V222" s="886"/>
      <c r="W222" s="877"/>
      <c r="X222" s="879"/>
      <c r="Y222" s="877"/>
      <c r="Z222" s="886"/>
      <c r="AA222" s="877"/>
      <c r="AB222" s="879"/>
      <c r="AC222" s="877"/>
      <c r="AD222" s="886"/>
      <c r="AE222" s="877"/>
      <c r="AF222" s="879"/>
      <c r="AG222" s="877"/>
      <c r="AH222" s="886"/>
      <c r="AI222" s="877"/>
      <c r="AJ222" s="879"/>
      <c r="AK222" s="877"/>
      <c r="AL222" s="886"/>
      <c r="AM222" s="877"/>
      <c r="AN222" s="879"/>
      <c r="AO222" s="877"/>
      <c r="AP222" s="886"/>
      <c r="AQ222" s="877"/>
      <c r="AR222" s="877"/>
      <c r="AS222" s="877"/>
    </row>
    <row r="223" spans="1:45">
      <c r="A223" s="359"/>
      <c r="B223" s="54"/>
      <c r="C223" s="55" t="s">
        <v>320</v>
      </c>
      <c r="D223" s="512"/>
      <c r="E223" s="55"/>
      <c r="F223" s="878">
        <f>SUM(G223:J223)</f>
        <v>0</v>
      </c>
      <c r="G223" s="928">
        <v>0</v>
      </c>
      <c r="H223" s="877">
        <v>0</v>
      </c>
      <c r="I223" s="877">
        <v>0</v>
      </c>
      <c r="J223" s="886">
        <v>0</v>
      </c>
      <c r="K223" s="877"/>
      <c r="L223" s="879"/>
      <c r="M223" s="877"/>
      <c r="N223" s="886"/>
      <c r="O223" s="877"/>
      <c r="P223" s="879"/>
      <c r="Q223" s="877"/>
      <c r="R223" s="886"/>
      <c r="S223" s="877"/>
      <c r="T223" s="879"/>
      <c r="U223" s="877"/>
      <c r="V223" s="886"/>
      <c r="W223" s="877"/>
      <c r="X223" s="879"/>
      <c r="Y223" s="877"/>
      <c r="Z223" s="886"/>
      <c r="AA223" s="877"/>
      <c r="AB223" s="879"/>
      <c r="AC223" s="877"/>
      <c r="AD223" s="886"/>
      <c r="AE223" s="877"/>
      <c r="AF223" s="879"/>
      <c r="AG223" s="877"/>
      <c r="AH223" s="886"/>
      <c r="AI223" s="877"/>
      <c r="AJ223" s="879"/>
      <c r="AK223" s="877"/>
      <c r="AL223" s="886"/>
      <c r="AM223" s="877"/>
      <c r="AN223" s="879"/>
      <c r="AO223" s="877"/>
      <c r="AP223" s="886"/>
      <c r="AQ223" s="877"/>
      <c r="AR223" s="877"/>
      <c r="AS223" s="877"/>
    </row>
    <row r="224" spans="1:45">
      <c r="A224" s="93" t="s">
        <v>247</v>
      </c>
      <c r="B224" s="170">
        <v>0.10698558473452441</v>
      </c>
      <c r="C224" s="355" t="s">
        <v>316</v>
      </c>
      <c r="D224" s="513"/>
      <c r="E224" s="355"/>
      <c r="F224" s="873">
        <f>SUMPRODUCT($AX$3:$AX$6,F225:F228)</f>
        <v>1.92</v>
      </c>
      <c r="G224" s="1277"/>
      <c r="H224" s="884"/>
      <c r="I224" s="884"/>
      <c r="J224" s="885"/>
      <c r="K224" s="877"/>
      <c r="L224" s="879">
        <f>SUMPRODUCT('Input data processed products'!$D69:$AE69,'Input data processed products'!D$83:AE$83)</f>
        <v>1.8001727042986488</v>
      </c>
      <c r="M224" s="877">
        <f>L224/(1-'Common input data'!$B$165)</f>
        <v>2.0001918936651655</v>
      </c>
      <c r="N224" s="886">
        <f>M224/(1-'Common input data'!$B$182)</f>
        <v>2.2990711421438683</v>
      </c>
      <c r="O224" s="877"/>
      <c r="P224" s="879">
        <f>SUMPRODUCT('Input data processed products'!$D69:$AE69,'Input data processed products'!D$84:AE$84)</f>
        <v>0</v>
      </c>
      <c r="Q224" s="877">
        <f>P224/(1-'Common input data'!$B$165)</f>
        <v>0</v>
      </c>
      <c r="R224" s="886">
        <f>Q224/(1-'Common input data'!$B$182)</f>
        <v>0</v>
      </c>
      <c r="S224" s="877"/>
      <c r="T224" s="879">
        <f>SUMPRODUCT('Input data processed products'!$D69:$AE69,'Input data processed products'!D$85:AE$85)</f>
        <v>3.236663086287147E-3</v>
      </c>
      <c r="U224" s="877">
        <f>T224/(1-'Common input data'!$B$165)</f>
        <v>3.5962923180968298E-3</v>
      </c>
      <c r="V224" s="886">
        <f>U224/(1-'Common input data'!$B$182)</f>
        <v>4.1336693311457813E-3</v>
      </c>
      <c r="W224" s="877"/>
      <c r="X224" s="879">
        <f>SUMPRODUCT('Input data processed products'!$D69:$AE69,'Input data processed products'!D$86:AE$86)</f>
        <v>2.1523809523809525E-3</v>
      </c>
      <c r="Y224" s="877">
        <f>X224/(1-'Common input data'!$B$165)</f>
        <v>2.3915343915343916E-3</v>
      </c>
      <c r="Z224" s="886">
        <f>Y224/(1-'Common input data'!$B$182)</f>
        <v>2.7488901052119446E-3</v>
      </c>
      <c r="AA224" s="877"/>
      <c r="AB224" s="879">
        <f>SUMPRODUCT('Input data processed products'!$D69:$AE69,'Input data processed products'!D$87:AE$87)/$AC$2</f>
        <v>0.14013191114091239</v>
      </c>
      <c r="AC224" s="877">
        <f>AB224/(1-'Common input data'!$B$165)</f>
        <v>0.15570212348990264</v>
      </c>
      <c r="AD224" s="886">
        <f>AC224/(1-'Common input data'!$B$182)</f>
        <v>0.17896795803437085</v>
      </c>
      <c r="AE224" s="877"/>
      <c r="AF224" s="879">
        <f>SUMPRODUCT('Input data processed products'!$D69:$AE69,'Input data processed products'!D$88:AE$88)</f>
        <v>6.41281167959362E-10</v>
      </c>
      <c r="AG224" s="877">
        <f>AF224/(1-'Common input data'!$B$165)</f>
        <v>7.1253463106595774E-10</v>
      </c>
      <c r="AH224" s="886">
        <f>AG224/(1-'Common input data'!$B$182)</f>
        <v>8.190053230643192E-10</v>
      </c>
      <c r="AI224" s="877"/>
      <c r="AJ224" s="879">
        <f>SUMPRODUCT('Input data processed products'!$D69:$AE69,'Input data processed products'!D$89:AE$89)</f>
        <v>1.5615173111151509E-3</v>
      </c>
      <c r="AK224" s="877">
        <f>AJ224/(1-'Common input data'!$B$165)</f>
        <v>1.7350192345723899E-3</v>
      </c>
      <c r="AL224" s="886">
        <f>AK224/(1-'Common input data'!$B$182)</f>
        <v>1.9942749822671147E-3</v>
      </c>
      <c r="AM224" s="877"/>
      <c r="AN224" s="879">
        <f>SUMPRODUCT('Input data processed products'!$D69:$AE69,'Input data processed products'!D$90:AE$90)</f>
        <v>8.2644091488090558E-5</v>
      </c>
      <c r="AO224" s="877">
        <f>AN224/(1-'Common input data'!$B$165)</f>
        <v>9.1826768320100614E-5</v>
      </c>
      <c r="AP224" s="886">
        <f>AO224/(1-'Common input data'!$B$182)</f>
        <v>1.0554800956333404E-4</v>
      </c>
      <c r="AQ224" s="877"/>
      <c r="AR224" s="877"/>
      <c r="AS224" s="877"/>
    </row>
    <row r="225" spans="1:45">
      <c r="A225" s="68"/>
      <c r="B225" s="50"/>
      <c r="C225" s="174" t="s">
        <v>317</v>
      </c>
      <c r="D225" s="511"/>
      <c r="E225" s="174"/>
      <c r="F225" s="878">
        <f>SUM(G225:J225)</f>
        <v>1.92</v>
      </c>
      <c r="G225" s="928">
        <v>1.1599999999999999</v>
      </c>
      <c r="H225" s="877">
        <v>0.28000000000000003</v>
      </c>
      <c r="I225" s="877">
        <f>'Common input data'!B$106</f>
        <v>0.15</v>
      </c>
      <c r="J225" s="886">
        <f>'Common input data'!$B$123+'Common input data'!$C$123</f>
        <v>0.32999999999999996</v>
      </c>
      <c r="K225" s="877"/>
      <c r="L225" s="879"/>
      <c r="M225" s="877"/>
      <c r="N225" s="886"/>
      <c r="O225" s="877"/>
      <c r="P225" s="879"/>
      <c r="Q225" s="877"/>
      <c r="R225" s="886"/>
      <c r="S225" s="877"/>
      <c r="T225" s="879"/>
      <c r="U225" s="877"/>
      <c r="V225" s="886"/>
      <c r="W225" s="877"/>
      <c r="X225" s="879"/>
      <c r="Y225" s="877"/>
      <c r="Z225" s="886"/>
      <c r="AA225" s="877"/>
      <c r="AB225" s="879"/>
      <c r="AC225" s="877"/>
      <c r="AD225" s="886"/>
      <c r="AE225" s="877"/>
      <c r="AF225" s="879"/>
      <c r="AG225" s="877"/>
      <c r="AH225" s="886"/>
      <c r="AI225" s="877"/>
      <c r="AJ225" s="879"/>
      <c r="AK225" s="877"/>
      <c r="AL225" s="886"/>
      <c r="AM225" s="877"/>
      <c r="AN225" s="879"/>
      <c r="AO225" s="877"/>
      <c r="AP225" s="886"/>
      <c r="AQ225" s="877"/>
      <c r="AR225" s="877"/>
      <c r="AS225" s="877"/>
    </row>
    <row r="226" spans="1:45">
      <c r="A226" s="359"/>
      <c r="B226" s="54"/>
      <c r="C226" s="174" t="s">
        <v>321</v>
      </c>
      <c r="D226" s="511"/>
      <c r="E226" s="174"/>
      <c r="F226" s="878">
        <f>SUM(G226:J226)</f>
        <v>0</v>
      </c>
      <c r="G226" s="928">
        <v>0</v>
      </c>
      <c r="H226" s="877">
        <v>0</v>
      </c>
      <c r="I226" s="877">
        <v>0</v>
      </c>
      <c r="J226" s="886">
        <v>0</v>
      </c>
      <c r="K226" s="877"/>
      <c r="L226" s="879"/>
      <c r="M226" s="877"/>
      <c r="N226" s="886"/>
      <c r="O226" s="877"/>
      <c r="P226" s="879"/>
      <c r="Q226" s="877"/>
      <c r="R226" s="886"/>
      <c r="S226" s="877"/>
      <c r="T226" s="879"/>
      <c r="U226" s="877"/>
      <c r="V226" s="886"/>
      <c r="W226" s="877"/>
      <c r="X226" s="879"/>
      <c r="Y226" s="877"/>
      <c r="Z226" s="886"/>
      <c r="AA226" s="877"/>
      <c r="AB226" s="879"/>
      <c r="AC226" s="877"/>
      <c r="AD226" s="886"/>
      <c r="AE226" s="877"/>
      <c r="AF226" s="879"/>
      <c r="AG226" s="877"/>
      <c r="AH226" s="886"/>
      <c r="AI226" s="877"/>
      <c r="AJ226" s="879"/>
      <c r="AK226" s="877"/>
      <c r="AL226" s="886"/>
      <c r="AM226" s="877"/>
      <c r="AN226" s="879"/>
      <c r="AO226" s="877"/>
      <c r="AP226" s="886"/>
      <c r="AQ226" s="877"/>
      <c r="AR226" s="877"/>
      <c r="AS226" s="877"/>
    </row>
    <row r="227" spans="1:45">
      <c r="A227" s="359"/>
      <c r="B227" s="54"/>
      <c r="C227" s="174" t="s">
        <v>319</v>
      </c>
      <c r="D227" s="511"/>
      <c r="E227" s="174"/>
      <c r="F227" s="878">
        <f>SUM(G227:J227)</f>
        <v>0</v>
      </c>
      <c r="G227" s="928">
        <v>0</v>
      </c>
      <c r="H227" s="877">
        <v>0</v>
      </c>
      <c r="I227" s="877">
        <v>0</v>
      </c>
      <c r="J227" s="886">
        <v>0</v>
      </c>
      <c r="K227" s="877"/>
      <c r="L227" s="879"/>
      <c r="M227" s="877"/>
      <c r="N227" s="886"/>
      <c r="O227" s="877"/>
      <c r="P227" s="879"/>
      <c r="Q227" s="877"/>
      <c r="R227" s="886"/>
      <c r="S227" s="877"/>
      <c r="T227" s="879"/>
      <c r="U227" s="877"/>
      <c r="V227" s="886"/>
      <c r="W227" s="877"/>
      <c r="X227" s="879"/>
      <c r="Y227" s="877"/>
      <c r="Z227" s="886"/>
      <c r="AA227" s="877"/>
      <c r="AB227" s="879"/>
      <c r="AC227" s="877"/>
      <c r="AD227" s="886"/>
      <c r="AE227" s="877"/>
      <c r="AF227" s="879"/>
      <c r="AG227" s="877"/>
      <c r="AH227" s="886"/>
      <c r="AI227" s="877"/>
      <c r="AJ227" s="879"/>
      <c r="AK227" s="877"/>
      <c r="AL227" s="886"/>
      <c r="AM227" s="877"/>
      <c r="AN227" s="879"/>
      <c r="AO227" s="877"/>
      <c r="AP227" s="886"/>
      <c r="AQ227" s="877"/>
      <c r="AR227" s="877"/>
      <c r="AS227" s="877"/>
    </row>
    <row r="228" spans="1:45">
      <c r="A228" s="359"/>
      <c r="B228" s="54"/>
      <c r="C228" s="55" t="s">
        <v>320</v>
      </c>
      <c r="D228" s="512"/>
      <c r="E228" s="55"/>
      <c r="F228" s="878">
        <f>SUM(G228:J228)</f>
        <v>0</v>
      </c>
      <c r="G228" s="928">
        <v>0</v>
      </c>
      <c r="H228" s="877">
        <v>0</v>
      </c>
      <c r="I228" s="877">
        <v>0</v>
      </c>
      <c r="J228" s="886">
        <v>0</v>
      </c>
      <c r="K228" s="877"/>
      <c r="L228" s="879"/>
      <c r="M228" s="877"/>
      <c r="N228" s="886"/>
      <c r="O228" s="877"/>
      <c r="P228" s="879"/>
      <c r="Q228" s="877"/>
      <c r="R228" s="886"/>
      <c r="S228" s="877"/>
      <c r="T228" s="879"/>
      <c r="U228" s="877"/>
      <c r="V228" s="886"/>
      <c r="W228" s="877"/>
      <c r="X228" s="879"/>
      <c r="Y228" s="877"/>
      <c r="Z228" s="886"/>
      <c r="AA228" s="877"/>
      <c r="AB228" s="879"/>
      <c r="AC228" s="877"/>
      <c r="AD228" s="886"/>
      <c r="AE228" s="877"/>
      <c r="AF228" s="879"/>
      <c r="AG228" s="877"/>
      <c r="AH228" s="886"/>
      <c r="AI228" s="877"/>
      <c r="AJ228" s="879"/>
      <c r="AK228" s="877"/>
      <c r="AL228" s="886"/>
      <c r="AM228" s="877"/>
      <c r="AN228" s="879"/>
      <c r="AO228" s="877"/>
      <c r="AP228" s="886"/>
      <c r="AQ228" s="877"/>
      <c r="AR228" s="877"/>
      <c r="AS228" s="877"/>
    </row>
    <row r="229" spans="1:45">
      <c r="A229" s="93" t="s">
        <v>134</v>
      </c>
      <c r="B229" s="170">
        <v>0.55793618716958582</v>
      </c>
      <c r="C229" s="355" t="s">
        <v>316</v>
      </c>
      <c r="D229" s="513"/>
      <c r="E229" s="355"/>
      <c r="F229" s="873">
        <f>SUMPRODUCT($AX$3:$AX$6,F230:F233)</f>
        <v>2.02</v>
      </c>
      <c r="G229" s="1277"/>
      <c r="H229" s="884"/>
      <c r="I229" s="884"/>
      <c r="J229" s="885"/>
      <c r="K229" s="877"/>
      <c r="L229" s="879">
        <f>SUMPRODUCT('Input data processed products'!$D70:$AE70,'Input data processed products'!D$83:AE$83)</f>
        <v>1.8001727042986488</v>
      </c>
      <c r="M229" s="877">
        <f>L229/(1-'Common input data'!$B$165)</f>
        <v>2.0001918936651655</v>
      </c>
      <c r="N229" s="886">
        <f>M229/(1-'Common input data'!$B$182)</f>
        <v>2.2990711421438683</v>
      </c>
      <c r="O229" s="877"/>
      <c r="P229" s="879">
        <f>SUMPRODUCT('Input data processed products'!$D70:$AE70,'Input data processed products'!D$84:AE$84)</f>
        <v>0</v>
      </c>
      <c r="Q229" s="877">
        <f>P229/(1-'Common input data'!$B$165)</f>
        <v>0</v>
      </c>
      <c r="R229" s="886">
        <f>Q229/(1-'Common input data'!$B$182)</f>
        <v>0</v>
      </c>
      <c r="S229" s="877"/>
      <c r="T229" s="879">
        <f>SUMPRODUCT('Input data processed products'!$D70:$AE70,'Input data processed products'!D$85:AE$85)</f>
        <v>3.236663086287147E-3</v>
      </c>
      <c r="U229" s="877">
        <f>T229/(1-'Common input data'!$B$165)</f>
        <v>3.5962923180968298E-3</v>
      </c>
      <c r="V229" s="886">
        <f>U229/(1-'Common input data'!$B$182)</f>
        <v>4.1336693311457813E-3</v>
      </c>
      <c r="W229" s="877"/>
      <c r="X229" s="879">
        <f>SUMPRODUCT('Input data processed products'!$D70:$AE70,'Input data processed products'!D$86:AE$86)</f>
        <v>2.1523809523809525E-3</v>
      </c>
      <c r="Y229" s="877">
        <f>X229/(1-'Common input data'!$B$165)</f>
        <v>2.3915343915343916E-3</v>
      </c>
      <c r="Z229" s="886">
        <f>Y229/(1-'Common input data'!$B$182)</f>
        <v>2.7488901052119446E-3</v>
      </c>
      <c r="AA229" s="877"/>
      <c r="AB229" s="879">
        <f>SUMPRODUCT('Input data processed products'!$D70:$AE70,'Input data processed products'!D$87:AE$87)/$AC$2</f>
        <v>0.14013191114091239</v>
      </c>
      <c r="AC229" s="877">
        <f>AB229/(1-'Common input data'!$B$165)</f>
        <v>0.15570212348990264</v>
      </c>
      <c r="AD229" s="886">
        <f>AC229/(1-'Common input data'!$B$182)</f>
        <v>0.17896795803437085</v>
      </c>
      <c r="AE229" s="877"/>
      <c r="AF229" s="879">
        <f>SUMPRODUCT('Input data processed products'!$D70:$AE70,'Input data processed products'!D$88:AE$88)</f>
        <v>6.41281167959362E-10</v>
      </c>
      <c r="AG229" s="877">
        <f>AF229/(1-'Common input data'!$B$165)</f>
        <v>7.1253463106595774E-10</v>
      </c>
      <c r="AH229" s="886">
        <f>AG229/(1-'Common input data'!$B$182)</f>
        <v>8.190053230643192E-10</v>
      </c>
      <c r="AI229" s="877"/>
      <c r="AJ229" s="879">
        <f>SUMPRODUCT('Input data processed products'!$D70:$AE70,'Input data processed products'!D$89:AE$89)</f>
        <v>1.5615173111151509E-3</v>
      </c>
      <c r="AK229" s="877">
        <f>AJ229/(1-'Common input data'!$B$165)</f>
        <v>1.7350192345723899E-3</v>
      </c>
      <c r="AL229" s="886">
        <f>AK229/(1-'Common input data'!$B$182)</f>
        <v>1.9942749822671147E-3</v>
      </c>
      <c r="AM229" s="877"/>
      <c r="AN229" s="879">
        <f>SUMPRODUCT('Input data processed products'!$D70:$AE70,'Input data processed products'!D$90:AE$90)</f>
        <v>8.2644091488090558E-5</v>
      </c>
      <c r="AO229" s="877">
        <f>AN229/(1-'Common input data'!$B$165)</f>
        <v>9.1826768320100614E-5</v>
      </c>
      <c r="AP229" s="886">
        <f>AO229/(1-'Common input data'!$B$182)</f>
        <v>1.0554800956333404E-4</v>
      </c>
      <c r="AQ229" s="877"/>
      <c r="AR229" s="877"/>
      <c r="AS229" s="877"/>
    </row>
    <row r="230" spans="1:45">
      <c r="A230" s="68"/>
      <c r="B230" s="50"/>
      <c r="C230" s="174" t="s">
        <v>317</v>
      </c>
      <c r="D230" s="511"/>
      <c r="E230" s="174"/>
      <c r="F230" s="878">
        <f>SUM(G230:J230)</f>
        <v>2.02</v>
      </c>
      <c r="G230" s="928">
        <v>1.1599999999999999</v>
      </c>
      <c r="H230" s="877">
        <v>0.28000000000000003</v>
      </c>
      <c r="I230" s="877">
        <f>'Common input data'!B$106</f>
        <v>0.15</v>
      </c>
      <c r="J230" s="886">
        <f>'Common input data'!$B$128+'Common input data'!$C$128</f>
        <v>0.43000000000000005</v>
      </c>
      <c r="K230" s="877"/>
      <c r="L230" s="879"/>
      <c r="M230" s="877"/>
      <c r="N230" s="886"/>
      <c r="O230" s="877"/>
      <c r="P230" s="879"/>
      <c r="Q230" s="877"/>
      <c r="R230" s="886"/>
      <c r="S230" s="877"/>
      <c r="T230" s="879"/>
      <c r="U230" s="877"/>
      <c r="V230" s="886"/>
      <c r="W230" s="877"/>
      <c r="X230" s="879"/>
      <c r="Y230" s="877"/>
      <c r="Z230" s="886"/>
      <c r="AA230" s="877"/>
      <c r="AB230" s="879"/>
      <c r="AC230" s="877"/>
      <c r="AD230" s="886"/>
      <c r="AE230" s="877"/>
      <c r="AF230" s="879"/>
      <c r="AG230" s="877"/>
      <c r="AH230" s="886"/>
      <c r="AI230" s="877"/>
      <c r="AJ230" s="879"/>
      <c r="AK230" s="877"/>
      <c r="AL230" s="886"/>
      <c r="AM230" s="877"/>
      <c r="AN230" s="879"/>
      <c r="AO230" s="877"/>
      <c r="AP230" s="886"/>
      <c r="AQ230" s="877"/>
      <c r="AR230" s="877"/>
      <c r="AS230" s="877"/>
    </row>
    <row r="231" spans="1:45">
      <c r="A231" s="359"/>
      <c r="B231" s="54"/>
      <c r="C231" s="174" t="s">
        <v>321</v>
      </c>
      <c r="D231" s="511"/>
      <c r="E231" s="174"/>
      <c r="F231" s="878">
        <f>SUM(G231:J231)</f>
        <v>0</v>
      </c>
      <c r="G231" s="928">
        <v>0</v>
      </c>
      <c r="H231" s="877">
        <v>0</v>
      </c>
      <c r="I231" s="877">
        <v>0</v>
      </c>
      <c r="J231" s="886">
        <v>0</v>
      </c>
      <c r="K231" s="877"/>
      <c r="L231" s="879"/>
      <c r="M231" s="877"/>
      <c r="N231" s="886"/>
      <c r="O231" s="877"/>
      <c r="P231" s="879"/>
      <c r="Q231" s="877"/>
      <c r="R231" s="886"/>
      <c r="S231" s="877"/>
      <c r="T231" s="879"/>
      <c r="U231" s="877"/>
      <c r="V231" s="886"/>
      <c r="W231" s="877"/>
      <c r="X231" s="879"/>
      <c r="Y231" s="877"/>
      <c r="Z231" s="886"/>
      <c r="AA231" s="877"/>
      <c r="AB231" s="879"/>
      <c r="AC231" s="877"/>
      <c r="AD231" s="886"/>
      <c r="AE231" s="877"/>
      <c r="AF231" s="879"/>
      <c r="AG231" s="877"/>
      <c r="AH231" s="886"/>
      <c r="AI231" s="877"/>
      <c r="AJ231" s="879"/>
      <c r="AK231" s="877"/>
      <c r="AL231" s="886"/>
      <c r="AM231" s="877"/>
      <c r="AN231" s="879"/>
      <c r="AO231" s="877"/>
      <c r="AP231" s="886"/>
      <c r="AQ231" s="877"/>
      <c r="AR231" s="877"/>
      <c r="AS231" s="877"/>
    </row>
    <row r="232" spans="1:45">
      <c r="A232" s="359"/>
      <c r="B232" s="54"/>
      <c r="C232" s="174" t="s">
        <v>319</v>
      </c>
      <c r="D232" s="511"/>
      <c r="E232" s="174"/>
      <c r="F232" s="878">
        <f>SUM(G232:J232)</f>
        <v>0</v>
      </c>
      <c r="G232" s="928">
        <v>0</v>
      </c>
      <c r="H232" s="877">
        <v>0</v>
      </c>
      <c r="I232" s="877">
        <v>0</v>
      </c>
      <c r="J232" s="886">
        <v>0</v>
      </c>
      <c r="K232" s="877"/>
      <c r="L232" s="879"/>
      <c r="M232" s="877"/>
      <c r="N232" s="886"/>
      <c r="O232" s="877"/>
      <c r="P232" s="879"/>
      <c r="Q232" s="877"/>
      <c r="R232" s="886"/>
      <c r="S232" s="877"/>
      <c r="T232" s="879"/>
      <c r="U232" s="877"/>
      <c r="V232" s="886"/>
      <c r="W232" s="877"/>
      <c r="X232" s="879"/>
      <c r="Y232" s="877"/>
      <c r="Z232" s="886"/>
      <c r="AA232" s="877"/>
      <c r="AB232" s="879"/>
      <c r="AC232" s="877"/>
      <c r="AD232" s="886"/>
      <c r="AE232" s="877"/>
      <c r="AF232" s="879"/>
      <c r="AG232" s="877"/>
      <c r="AH232" s="886"/>
      <c r="AI232" s="877"/>
      <c r="AJ232" s="879"/>
      <c r="AK232" s="877"/>
      <c r="AL232" s="886"/>
      <c r="AM232" s="877"/>
      <c r="AN232" s="879"/>
      <c r="AO232" s="877"/>
      <c r="AP232" s="886"/>
      <c r="AQ232" s="877"/>
      <c r="AR232" s="877"/>
      <c r="AS232" s="877"/>
    </row>
    <row r="233" spans="1:45">
      <c r="A233" s="359"/>
      <c r="B233" s="54"/>
      <c r="C233" s="55" t="s">
        <v>320</v>
      </c>
      <c r="D233" s="514"/>
      <c r="E233" s="56"/>
      <c r="F233" s="933">
        <f>SUM(G233:J233)</f>
        <v>0</v>
      </c>
      <c r="G233" s="928">
        <v>0</v>
      </c>
      <c r="H233" s="877">
        <v>0</v>
      </c>
      <c r="I233" s="877">
        <v>0</v>
      </c>
      <c r="J233" s="897">
        <v>0</v>
      </c>
      <c r="K233" s="877"/>
      <c r="L233" s="879"/>
      <c r="M233" s="877"/>
      <c r="N233" s="886"/>
      <c r="O233" s="877"/>
      <c r="P233" s="879"/>
      <c r="Q233" s="877"/>
      <c r="R233" s="886"/>
      <c r="S233" s="877"/>
      <c r="T233" s="879"/>
      <c r="U233" s="877"/>
      <c r="V233" s="886"/>
      <c r="W233" s="877"/>
      <c r="X233" s="879"/>
      <c r="Y233" s="877"/>
      <c r="Z233" s="886"/>
      <c r="AA233" s="877"/>
      <c r="AB233" s="879"/>
      <c r="AC233" s="877"/>
      <c r="AD233" s="886"/>
      <c r="AE233" s="877"/>
      <c r="AF233" s="879"/>
      <c r="AG233" s="877"/>
      <c r="AH233" s="886"/>
      <c r="AI233" s="877"/>
      <c r="AJ233" s="879"/>
      <c r="AK233" s="877"/>
      <c r="AL233" s="886"/>
      <c r="AM233" s="877"/>
      <c r="AN233" s="879"/>
      <c r="AO233" s="877"/>
      <c r="AP233" s="886"/>
      <c r="AQ233" s="877"/>
      <c r="AR233" s="877"/>
      <c r="AS233" s="877"/>
    </row>
    <row r="234" spans="1:45">
      <c r="A234" s="374" t="s">
        <v>594</v>
      </c>
      <c r="B234" s="376"/>
      <c r="C234" s="377"/>
      <c r="D234" s="507"/>
      <c r="E234" s="462"/>
      <c r="F234" s="870" t="s">
        <v>595</v>
      </c>
      <c r="G234" s="1272"/>
      <c r="H234" s="880"/>
      <c r="I234" s="880"/>
      <c r="J234" s="938"/>
      <c r="K234" s="877"/>
      <c r="L234" s="879"/>
      <c r="M234" s="877"/>
      <c r="N234" s="886"/>
      <c r="O234" s="877"/>
      <c r="P234" s="879"/>
      <c r="Q234" s="877"/>
      <c r="R234" s="886"/>
      <c r="S234" s="877"/>
      <c r="T234" s="879"/>
      <c r="U234" s="877"/>
      <c r="V234" s="886"/>
      <c r="W234" s="877"/>
      <c r="X234" s="879"/>
      <c r="Y234" s="877"/>
      <c r="Z234" s="886"/>
      <c r="AA234" s="877"/>
      <c r="AB234" s="879"/>
      <c r="AC234" s="877"/>
      <c r="AD234" s="886"/>
      <c r="AE234" s="877"/>
      <c r="AF234" s="879"/>
      <c r="AG234" s="877"/>
      <c r="AH234" s="886"/>
      <c r="AI234" s="877"/>
      <c r="AJ234" s="879"/>
      <c r="AK234" s="877"/>
      <c r="AL234" s="886"/>
      <c r="AM234" s="877"/>
      <c r="AN234" s="879"/>
      <c r="AO234" s="877"/>
      <c r="AP234" s="886"/>
      <c r="AQ234" s="877"/>
      <c r="AR234" s="877"/>
      <c r="AS234" s="877"/>
    </row>
    <row r="235" spans="1:45">
      <c r="A235" s="381" t="s">
        <v>315</v>
      </c>
      <c r="B235" s="498">
        <f>SUM(B240:B250)</f>
        <v>1</v>
      </c>
      <c r="C235" s="384" t="s">
        <v>316</v>
      </c>
      <c r="D235" s="510"/>
      <c r="E235" s="384"/>
      <c r="F235" s="927">
        <f>SUMPRODUCT($AX$3:$AX$6,F236:F239)</f>
        <v>1.7052568947887989</v>
      </c>
      <c r="G235" s="1274"/>
      <c r="H235" s="875"/>
      <c r="I235" s="875"/>
      <c r="J235" s="981"/>
      <c r="K235" s="1185"/>
      <c r="L235" s="883">
        <f>L240*$B$240+L245*$B$245+L250*$B$250</f>
        <v>6.5732690127523465</v>
      </c>
      <c r="M235" s="884">
        <f t="shared" ref="M235:AP235" si="9">M240*$B$240+M245*$B$245+M250*$B$250</f>
        <v>0</v>
      </c>
      <c r="N235" s="885">
        <f t="shared" si="9"/>
        <v>0</v>
      </c>
      <c r="O235" s="877"/>
      <c r="P235" s="883">
        <f t="shared" si="9"/>
        <v>0</v>
      </c>
      <c r="Q235" s="884">
        <f t="shared" si="9"/>
        <v>0</v>
      </c>
      <c r="R235" s="885">
        <f t="shared" si="9"/>
        <v>0</v>
      </c>
      <c r="S235" s="877"/>
      <c r="T235" s="883">
        <f t="shared" si="9"/>
        <v>6.2626572355976906E-2</v>
      </c>
      <c r="U235" s="884">
        <f t="shared" si="9"/>
        <v>0</v>
      </c>
      <c r="V235" s="885">
        <f t="shared" si="9"/>
        <v>0</v>
      </c>
      <c r="W235" s="877"/>
      <c r="X235" s="883">
        <f t="shared" si="9"/>
        <v>4.4789518017585017E-3</v>
      </c>
      <c r="Y235" s="884">
        <f t="shared" si="9"/>
        <v>0</v>
      </c>
      <c r="Z235" s="885">
        <f t="shared" si="9"/>
        <v>0</v>
      </c>
      <c r="AA235" s="877"/>
      <c r="AB235" s="883">
        <f t="shared" si="9"/>
        <v>3.4208646696241001E-3</v>
      </c>
      <c r="AC235" s="884">
        <f t="shared" si="9"/>
        <v>0</v>
      </c>
      <c r="AD235" s="885">
        <f t="shared" si="9"/>
        <v>0</v>
      </c>
      <c r="AE235" s="877"/>
      <c r="AF235" s="883">
        <f t="shared" si="9"/>
        <v>4.6498615253029117E-11</v>
      </c>
      <c r="AG235" s="884">
        <f t="shared" si="9"/>
        <v>0</v>
      </c>
      <c r="AH235" s="885">
        <f t="shared" si="9"/>
        <v>0</v>
      </c>
      <c r="AI235" s="877"/>
      <c r="AJ235" s="883">
        <f t="shared" si="9"/>
        <v>4.2400219989242215E-4</v>
      </c>
      <c r="AK235" s="884">
        <f t="shared" si="9"/>
        <v>0</v>
      </c>
      <c r="AL235" s="885">
        <f t="shared" si="9"/>
        <v>0</v>
      </c>
      <c r="AM235" s="877"/>
      <c r="AN235" s="883">
        <f t="shared" si="9"/>
        <v>4.7268862397224637E-3</v>
      </c>
      <c r="AO235" s="884">
        <f t="shared" si="9"/>
        <v>0</v>
      </c>
      <c r="AP235" s="885">
        <f t="shared" si="9"/>
        <v>0</v>
      </c>
      <c r="AQ235" s="877"/>
      <c r="AR235" s="877"/>
      <c r="AS235" s="877"/>
    </row>
    <row r="236" spans="1:45">
      <c r="A236" s="68"/>
      <c r="B236" s="50"/>
      <c r="C236" s="174" t="s">
        <v>317</v>
      </c>
      <c r="D236" s="511"/>
      <c r="E236" s="174"/>
      <c r="F236" s="878">
        <f>$B$240*F241+$B$245*F246+$B$250*F251</f>
        <v>1.7052568947887989</v>
      </c>
      <c r="G236" s="928">
        <f t="shared" ref="G236:J236" si="10">$B$240*G241+$B$245*G246+$B$250*G251</f>
        <v>0.79352476772755987</v>
      </c>
      <c r="H236" s="877">
        <f t="shared" si="10"/>
        <v>0.46342134434565574</v>
      </c>
      <c r="I236" s="877">
        <f t="shared" si="10"/>
        <v>0.15000000000000002</v>
      </c>
      <c r="J236" s="886">
        <f t="shared" si="10"/>
        <v>0.29831078271558353</v>
      </c>
      <c r="K236" s="877"/>
      <c r="L236" s="879"/>
      <c r="M236" s="877"/>
      <c r="N236" s="886"/>
      <c r="O236" s="877"/>
      <c r="P236" s="879"/>
      <c r="Q236" s="877"/>
      <c r="R236" s="886"/>
      <c r="S236" s="877"/>
      <c r="T236" s="879"/>
      <c r="U236" s="877"/>
      <c r="V236" s="886"/>
      <c r="W236" s="877"/>
      <c r="X236" s="879"/>
      <c r="Y236" s="877"/>
      <c r="Z236" s="886"/>
      <c r="AA236" s="877"/>
      <c r="AB236" s="879"/>
      <c r="AC236" s="877"/>
      <c r="AD236" s="886"/>
      <c r="AE236" s="877"/>
      <c r="AF236" s="879"/>
      <c r="AG236" s="877"/>
      <c r="AH236" s="886"/>
      <c r="AI236" s="877"/>
      <c r="AJ236" s="879"/>
      <c r="AK236" s="877"/>
      <c r="AL236" s="886"/>
      <c r="AM236" s="877"/>
      <c r="AN236" s="879"/>
      <c r="AO236" s="877"/>
      <c r="AP236" s="886"/>
      <c r="AQ236" s="877"/>
      <c r="AR236" s="877"/>
      <c r="AS236" s="877"/>
    </row>
    <row r="237" spans="1:45">
      <c r="A237" s="359"/>
      <c r="B237" s="54"/>
      <c r="C237" s="174" t="s">
        <v>321</v>
      </c>
      <c r="D237" s="511"/>
      <c r="E237" s="174"/>
      <c r="F237" s="878">
        <f t="shared" ref="F237:J239" si="11">$B$240*F242+$B$245*F247+$B$250*F252</f>
        <v>0</v>
      </c>
      <c r="G237" s="928">
        <f t="shared" si="11"/>
        <v>0</v>
      </c>
      <c r="H237" s="877">
        <f t="shared" si="11"/>
        <v>0</v>
      </c>
      <c r="I237" s="877">
        <f t="shared" si="11"/>
        <v>0</v>
      </c>
      <c r="J237" s="886">
        <f t="shared" si="11"/>
        <v>0</v>
      </c>
      <c r="K237" s="877"/>
      <c r="L237" s="879"/>
      <c r="M237" s="877"/>
      <c r="N237" s="886"/>
      <c r="O237" s="877"/>
      <c r="P237" s="879"/>
      <c r="Q237" s="877"/>
      <c r="R237" s="886"/>
      <c r="S237" s="877"/>
      <c r="T237" s="879"/>
      <c r="U237" s="877"/>
      <c r="V237" s="886"/>
      <c r="W237" s="877"/>
      <c r="X237" s="879"/>
      <c r="Y237" s="877"/>
      <c r="Z237" s="886"/>
      <c r="AA237" s="877"/>
      <c r="AB237" s="879"/>
      <c r="AC237" s="877"/>
      <c r="AD237" s="886"/>
      <c r="AE237" s="877"/>
      <c r="AF237" s="879"/>
      <c r="AG237" s="877"/>
      <c r="AH237" s="886"/>
      <c r="AI237" s="877"/>
      <c r="AJ237" s="879"/>
      <c r="AK237" s="877"/>
      <c r="AL237" s="886"/>
      <c r="AM237" s="877"/>
      <c r="AN237" s="879"/>
      <c r="AO237" s="877"/>
      <c r="AP237" s="886"/>
      <c r="AQ237" s="877"/>
      <c r="AR237" s="877"/>
      <c r="AS237" s="877"/>
    </row>
    <row r="238" spans="1:45">
      <c r="A238" s="359"/>
      <c r="B238" s="54"/>
      <c r="C238" s="174" t="s">
        <v>319</v>
      </c>
      <c r="D238" s="511"/>
      <c r="E238" s="174"/>
      <c r="F238" s="878">
        <f t="shared" si="11"/>
        <v>0</v>
      </c>
      <c r="G238" s="928">
        <f t="shared" si="11"/>
        <v>0</v>
      </c>
      <c r="H238" s="877">
        <f t="shared" si="11"/>
        <v>0</v>
      </c>
      <c r="I238" s="877">
        <f t="shared" si="11"/>
        <v>0</v>
      </c>
      <c r="J238" s="886">
        <f t="shared" si="11"/>
        <v>0</v>
      </c>
      <c r="K238" s="877"/>
      <c r="L238" s="879"/>
      <c r="M238" s="877"/>
      <c r="N238" s="886"/>
      <c r="O238" s="877"/>
      <c r="P238" s="879"/>
      <c r="Q238" s="877"/>
      <c r="R238" s="886"/>
      <c r="S238" s="877"/>
      <c r="T238" s="879"/>
      <c r="U238" s="877"/>
      <c r="V238" s="886"/>
      <c r="W238" s="877"/>
      <c r="X238" s="879"/>
      <c r="Y238" s="877"/>
      <c r="Z238" s="886"/>
      <c r="AA238" s="877"/>
      <c r="AB238" s="879"/>
      <c r="AC238" s="877"/>
      <c r="AD238" s="886"/>
      <c r="AE238" s="877"/>
      <c r="AF238" s="879"/>
      <c r="AG238" s="877"/>
      <c r="AH238" s="886"/>
      <c r="AI238" s="877"/>
      <c r="AJ238" s="879"/>
      <c r="AK238" s="877"/>
      <c r="AL238" s="886"/>
      <c r="AM238" s="877"/>
      <c r="AN238" s="879"/>
      <c r="AO238" s="877"/>
      <c r="AP238" s="886"/>
      <c r="AQ238" s="877"/>
      <c r="AR238" s="877"/>
      <c r="AS238" s="877"/>
    </row>
    <row r="239" spans="1:45">
      <c r="A239" s="359"/>
      <c r="B239" s="54"/>
      <c r="C239" s="55" t="s">
        <v>320</v>
      </c>
      <c r="D239" s="512"/>
      <c r="E239" s="55"/>
      <c r="F239" s="878">
        <f t="shared" si="11"/>
        <v>0</v>
      </c>
      <c r="G239" s="928">
        <f t="shared" si="11"/>
        <v>0</v>
      </c>
      <c r="H239" s="877">
        <f t="shared" si="11"/>
        <v>0</v>
      </c>
      <c r="I239" s="877">
        <f t="shared" si="11"/>
        <v>0</v>
      </c>
      <c r="J239" s="886">
        <f t="shared" si="11"/>
        <v>0</v>
      </c>
      <c r="K239" s="877"/>
      <c r="L239" s="879"/>
      <c r="M239" s="877"/>
      <c r="N239" s="886"/>
      <c r="O239" s="877"/>
      <c r="P239" s="879"/>
      <c r="Q239" s="877"/>
      <c r="R239" s="886"/>
      <c r="S239" s="877"/>
      <c r="T239" s="879"/>
      <c r="U239" s="877"/>
      <c r="V239" s="886"/>
      <c r="W239" s="877"/>
      <c r="X239" s="879"/>
      <c r="Y239" s="877"/>
      <c r="Z239" s="886"/>
      <c r="AA239" s="877"/>
      <c r="AB239" s="879"/>
      <c r="AC239" s="877"/>
      <c r="AD239" s="886"/>
      <c r="AE239" s="877"/>
      <c r="AF239" s="879"/>
      <c r="AG239" s="877"/>
      <c r="AH239" s="886"/>
      <c r="AI239" s="877"/>
      <c r="AJ239" s="879"/>
      <c r="AK239" s="877"/>
      <c r="AL239" s="886"/>
      <c r="AM239" s="877"/>
      <c r="AN239" s="879"/>
      <c r="AO239" s="877"/>
      <c r="AP239" s="886"/>
      <c r="AQ239" s="877"/>
      <c r="AR239" s="877"/>
      <c r="AS239" s="877"/>
    </row>
    <row r="240" spans="1:45">
      <c r="A240" s="93" t="s">
        <v>122</v>
      </c>
      <c r="B240" s="170">
        <v>9.1446639135860736E-2</v>
      </c>
      <c r="C240" s="355" t="s">
        <v>316</v>
      </c>
      <c r="D240" s="513"/>
      <c r="E240" s="355"/>
      <c r="F240" s="873">
        <f>SUMPRODUCT($AX$3:$AX$6,F241:F244)</f>
        <v>1.28</v>
      </c>
      <c r="G240" s="1277"/>
      <c r="H240" s="884"/>
      <c r="I240" s="884"/>
      <c r="J240" s="885"/>
      <c r="K240" s="877"/>
      <c r="L240" s="879">
        <f>SUMPRODUCT('Input data processed products'!$D64:$AE64,'Input data processed products'!D$83:AE$83)</f>
        <v>6.5732690127523465</v>
      </c>
      <c r="M240" s="1248"/>
      <c r="N240" s="1249"/>
      <c r="O240" s="877"/>
      <c r="P240" s="879">
        <f>SUMPRODUCT('Input data processed products'!$D64:$AE64,'Input data processed products'!D$84:AE$84)</f>
        <v>0</v>
      </c>
      <c r="Q240" s="1248"/>
      <c r="R240" s="1249"/>
      <c r="S240" s="877"/>
      <c r="T240" s="879">
        <f>SUMPRODUCT('Input data processed products'!$D64:$AE64,'Input data processed products'!D$85:AE$85)</f>
        <v>6.2626572355976906E-2</v>
      </c>
      <c r="U240" s="1248"/>
      <c r="V240" s="1249"/>
      <c r="W240" s="877"/>
      <c r="X240" s="879">
        <f>SUMPRODUCT('Input data processed products'!$D64:$AE64,'Input data processed products'!D$86:AE$86)</f>
        <v>4.4789518017585017E-3</v>
      </c>
      <c r="Y240" s="1248"/>
      <c r="Z240" s="1249"/>
      <c r="AA240" s="877"/>
      <c r="AB240" s="879">
        <f>SUMPRODUCT('Input data processed products'!$D64:$AE64,'Input data processed products'!D$87:AE$87)/$AC$2</f>
        <v>3.4208646696241001E-3</v>
      </c>
      <c r="AC240" s="1248"/>
      <c r="AD240" s="1249"/>
      <c r="AE240" s="877"/>
      <c r="AF240" s="879">
        <f>SUMPRODUCT('Input data processed products'!$D64:$AE64,'Input data processed products'!D$88:AE$88)</f>
        <v>4.6498615253029117E-11</v>
      </c>
      <c r="AG240" s="1248"/>
      <c r="AH240" s="1249"/>
      <c r="AI240" s="877"/>
      <c r="AJ240" s="879">
        <f>SUMPRODUCT('Input data processed products'!$D64:$AE64,'Input data processed products'!D$89:AE$89)</f>
        <v>4.2400219989242215E-4</v>
      </c>
      <c r="AK240" s="1248"/>
      <c r="AL240" s="1249"/>
      <c r="AM240" s="877"/>
      <c r="AN240" s="879">
        <f>SUMPRODUCT('Input data processed products'!$D64:$AE64,'Input data processed products'!D$90:AE$90)</f>
        <v>4.7268862397224637E-3</v>
      </c>
      <c r="AO240" s="1248"/>
      <c r="AP240" s="1249"/>
      <c r="AQ240" s="877"/>
      <c r="AR240" s="877"/>
      <c r="AS240" s="877"/>
    </row>
    <row r="241" spans="1:45">
      <c r="A241" s="68"/>
      <c r="B241" s="50"/>
      <c r="C241" s="174" t="s">
        <v>317</v>
      </c>
      <c r="D241" s="511"/>
      <c r="E241" s="174"/>
      <c r="F241" s="878">
        <f>SUM(G241:J241)</f>
        <v>1.28</v>
      </c>
      <c r="G241" s="928">
        <v>1</v>
      </c>
      <c r="H241" s="877">
        <v>0.1</v>
      </c>
      <c r="I241" s="877">
        <f>'Common input data'!$B$106</f>
        <v>0.15</v>
      </c>
      <c r="J241" s="886">
        <f>'Common input data'!$C$115</f>
        <v>0.03</v>
      </c>
      <c r="K241" s="877"/>
      <c r="L241" s="879"/>
      <c r="M241" s="877"/>
      <c r="N241" s="886"/>
      <c r="O241" s="877"/>
      <c r="P241" s="879"/>
      <c r="Q241" s="877"/>
      <c r="R241" s="886"/>
      <c r="S241" s="877"/>
      <c r="T241" s="879"/>
      <c r="U241" s="877"/>
      <c r="V241" s="886"/>
      <c r="W241" s="877"/>
      <c r="X241" s="879"/>
      <c r="Y241" s="877"/>
      <c r="Z241" s="886"/>
      <c r="AA241" s="877"/>
      <c r="AB241" s="879"/>
      <c r="AC241" s="877"/>
      <c r="AD241" s="886"/>
      <c r="AE241" s="877"/>
      <c r="AF241" s="879"/>
      <c r="AG241" s="877"/>
      <c r="AH241" s="886"/>
      <c r="AI241" s="877"/>
      <c r="AJ241" s="879"/>
      <c r="AK241" s="877"/>
      <c r="AL241" s="886"/>
      <c r="AM241" s="877"/>
      <c r="AN241" s="879"/>
      <c r="AO241" s="877"/>
      <c r="AP241" s="886"/>
      <c r="AQ241" s="877"/>
      <c r="AR241" s="877"/>
      <c r="AS241" s="877"/>
    </row>
    <row r="242" spans="1:45">
      <c r="A242" s="359"/>
      <c r="B242" s="54"/>
      <c r="C242" s="174" t="s">
        <v>321</v>
      </c>
      <c r="D242" s="511"/>
      <c r="E242" s="174"/>
      <c r="F242" s="878">
        <f>SUM(G242:J242)</f>
        <v>0</v>
      </c>
      <c r="G242" s="928">
        <v>0</v>
      </c>
      <c r="H242" s="877">
        <v>0</v>
      </c>
      <c r="I242" s="877">
        <v>0</v>
      </c>
      <c r="J242" s="886">
        <v>0</v>
      </c>
      <c r="K242" s="877"/>
      <c r="L242" s="879"/>
      <c r="M242" s="877"/>
      <c r="N242" s="886"/>
      <c r="O242" s="877"/>
      <c r="P242" s="879"/>
      <c r="Q242" s="877"/>
      <c r="R242" s="886"/>
      <c r="S242" s="877"/>
      <c r="T242" s="879"/>
      <c r="U242" s="877"/>
      <c r="V242" s="886"/>
      <c r="W242" s="877"/>
      <c r="X242" s="879"/>
      <c r="Y242" s="877"/>
      <c r="Z242" s="886"/>
      <c r="AA242" s="877"/>
      <c r="AB242" s="879"/>
      <c r="AC242" s="877"/>
      <c r="AD242" s="886"/>
      <c r="AE242" s="877"/>
      <c r="AF242" s="879"/>
      <c r="AG242" s="877"/>
      <c r="AH242" s="886"/>
      <c r="AI242" s="877"/>
      <c r="AJ242" s="879"/>
      <c r="AK242" s="877"/>
      <c r="AL242" s="886"/>
      <c r="AM242" s="877"/>
      <c r="AN242" s="879"/>
      <c r="AO242" s="877"/>
      <c r="AP242" s="886"/>
      <c r="AQ242" s="877"/>
      <c r="AR242" s="877"/>
      <c r="AS242" s="877"/>
    </row>
    <row r="243" spans="1:45">
      <c r="A243" s="359"/>
      <c r="B243" s="54"/>
      <c r="C243" s="174" t="s">
        <v>319</v>
      </c>
      <c r="D243" s="511"/>
      <c r="E243" s="174"/>
      <c r="F243" s="878">
        <f>SUM(G243:J243)</f>
        <v>0</v>
      </c>
      <c r="G243" s="928">
        <v>0</v>
      </c>
      <c r="H243" s="877">
        <v>0</v>
      </c>
      <c r="I243" s="877">
        <v>0</v>
      </c>
      <c r="J243" s="886">
        <v>0</v>
      </c>
      <c r="K243" s="877"/>
      <c r="L243" s="879"/>
      <c r="M243" s="877"/>
      <c r="N243" s="886"/>
      <c r="O243" s="877"/>
      <c r="P243" s="879"/>
      <c r="Q243" s="877"/>
      <c r="R243" s="886"/>
      <c r="S243" s="877"/>
      <c r="T243" s="879"/>
      <c r="U243" s="877"/>
      <c r="V243" s="886"/>
      <c r="W243" s="877"/>
      <c r="X243" s="879"/>
      <c r="Y243" s="877"/>
      <c r="Z243" s="886"/>
      <c r="AA243" s="877"/>
      <c r="AB243" s="879"/>
      <c r="AC243" s="877"/>
      <c r="AD243" s="886"/>
      <c r="AE243" s="877"/>
      <c r="AF243" s="879"/>
      <c r="AG243" s="877"/>
      <c r="AH243" s="886"/>
      <c r="AI243" s="877"/>
      <c r="AJ243" s="879"/>
      <c r="AK243" s="877"/>
      <c r="AL243" s="886"/>
      <c r="AM243" s="877"/>
      <c r="AN243" s="879"/>
      <c r="AO243" s="877"/>
      <c r="AP243" s="886"/>
      <c r="AQ243" s="877"/>
      <c r="AR243" s="877"/>
      <c r="AS243" s="877"/>
    </row>
    <row r="244" spans="1:45">
      <c r="A244" s="359"/>
      <c r="B244" s="54"/>
      <c r="C244" s="55" t="s">
        <v>320</v>
      </c>
      <c r="D244" s="512"/>
      <c r="E244" s="55"/>
      <c r="F244" s="878">
        <f>SUM(G244:J244)</f>
        <v>0</v>
      </c>
      <c r="G244" s="928">
        <v>0</v>
      </c>
      <c r="H244" s="877">
        <v>0</v>
      </c>
      <c r="I244" s="877">
        <v>0</v>
      </c>
      <c r="J244" s="886">
        <v>0</v>
      </c>
      <c r="K244" s="877"/>
      <c r="L244" s="879"/>
      <c r="M244" s="877"/>
      <c r="N244" s="886"/>
      <c r="O244" s="877"/>
      <c r="P244" s="879"/>
      <c r="Q244" s="877"/>
      <c r="R244" s="886"/>
      <c r="S244" s="877"/>
      <c r="T244" s="879"/>
      <c r="U244" s="877"/>
      <c r="V244" s="886"/>
      <c r="W244" s="877"/>
      <c r="X244" s="879"/>
      <c r="Y244" s="877"/>
      <c r="Z244" s="886"/>
      <c r="AA244" s="877"/>
      <c r="AB244" s="879"/>
      <c r="AC244" s="877"/>
      <c r="AD244" s="886"/>
      <c r="AE244" s="877"/>
      <c r="AF244" s="879"/>
      <c r="AG244" s="877"/>
      <c r="AH244" s="886"/>
      <c r="AI244" s="877"/>
      <c r="AJ244" s="879"/>
      <c r="AK244" s="877"/>
      <c r="AL244" s="886"/>
      <c r="AM244" s="877"/>
      <c r="AN244" s="879"/>
      <c r="AO244" s="877"/>
      <c r="AP244" s="886"/>
      <c r="AQ244" s="877"/>
      <c r="AR244" s="877"/>
      <c r="AS244" s="877"/>
    </row>
    <row r="245" spans="1:45">
      <c r="A245" s="93" t="s">
        <v>249</v>
      </c>
      <c r="B245" s="170">
        <v>0.317035205433574</v>
      </c>
      <c r="C245" s="355" t="s">
        <v>316</v>
      </c>
      <c r="D245" s="513"/>
      <c r="E245" s="355"/>
      <c r="F245" s="873">
        <f>SUMPRODUCT($AX$3:$AX$6,F246:F249)</f>
        <v>1.2639999999999998</v>
      </c>
      <c r="G245" s="1277"/>
      <c r="H245" s="884"/>
      <c r="I245" s="884"/>
      <c r="J245" s="885"/>
      <c r="K245" s="877"/>
      <c r="L245" s="879">
        <f>SUMPRODUCT('Input data processed products'!$D65:$AE65,'Input data processed products'!D$83:AE$83)</f>
        <v>6.5732690127523465</v>
      </c>
      <c r="M245" s="1248"/>
      <c r="N245" s="1249"/>
      <c r="O245" s="877"/>
      <c r="P245" s="879">
        <f>SUMPRODUCT('Input data processed products'!$D65:$AE65,'Input data processed products'!D$84:AE$84)</f>
        <v>0</v>
      </c>
      <c r="Q245" s="1248"/>
      <c r="R245" s="1249"/>
      <c r="S245" s="877"/>
      <c r="T245" s="879">
        <f>SUMPRODUCT('Input data processed products'!$D65:$AE65,'Input data processed products'!D$85:AE$85)</f>
        <v>6.2626572355976906E-2</v>
      </c>
      <c r="U245" s="1248"/>
      <c r="V245" s="1249"/>
      <c r="W245" s="877"/>
      <c r="X245" s="879">
        <f>SUMPRODUCT('Input data processed products'!$D65:$AE65,'Input data processed products'!D$86:AE$86)</f>
        <v>4.4789518017585017E-3</v>
      </c>
      <c r="Y245" s="1248"/>
      <c r="Z245" s="1249"/>
      <c r="AA245" s="877"/>
      <c r="AB245" s="879">
        <f>SUMPRODUCT('Input data processed products'!$D65:$AE65,'Input data processed products'!D$87:AE$87)/$AC$2</f>
        <v>3.4208646696241001E-3</v>
      </c>
      <c r="AC245" s="1248"/>
      <c r="AD245" s="1249"/>
      <c r="AE245" s="877"/>
      <c r="AF245" s="879">
        <f>SUMPRODUCT('Input data processed products'!$D65:$AE65,'Input data processed products'!D$88:AE$88)</f>
        <v>4.6498615253029117E-11</v>
      </c>
      <c r="AG245" s="1248"/>
      <c r="AH245" s="1249"/>
      <c r="AI245" s="877"/>
      <c r="AJ245" s="879">
        <f>SUMPRODUCT('Input data processed products'!$D65:$AE65,'Input data processed products'!D$89:AE$89)</f>
        <v>4.2400219989242215E-4</v>
      </c>
      <c r="AK245" s="1248"/>
      <c r="AL245" s="1249"/>
      <c r="AM245" s="877"/>
      <c r="AN245" s="879">
        <f>SUMPRODUCT('Input data processed products'!$D65:$AE65,'Input data processed products'!D$90:AE$90)</f>
        <v>4.7268862397224637E-3</v>
      </c>
      <c r="AO245" s="1248"/>
      <c r="AP245" s="1249"/>
      <c r="AQ245" s="877"/>
      <c r="AR245" s="877"/>
      <c r="AS245" s="877"/>
    </row>
    <row r="246" spans="1:45">
      <c r="A246" s="68"/>
      <c r="B246" s="50"/>
      <c r="C246" s="174" t="s">
        <v>317</v>
      </c>
      <c r="D246" s="511"/>
      <c r="E246" s="174"/>
      <c r="F246" s="878">
        <f>SUM(G246:J246)</f>
        <v>1.2639999999999998</v>
      </c>
      <c r="G246" s="928">
        <v>0.48399999999999999</v>
      </c>
      <c r="H246" s="877">
        <v>0.5</v>
      </c>
      <c r="I246" s="877">
        <f>'Common input data'!$B$106</f>
        <v>0.15</v>
      </c>
      <c r="J246" s="886">
        <f>'Common input data'!$B$116+'Common input data'!$C$116</f>
        <v>0.13</v>
      </c>
      <c r="K246" s="877"/>
      <c r="L246" s="879"/>
      <c r="M246" s="877"/>
      <c r="N246" s="886"/>
      <c r="O246" s="877"/>
      <c r="P246" s="879"/>
      <c r="Q246" s="877"/>
      <c r="R246" s="886"/>
      <c r="S246" s="877"/>
      <c r="T246" s="879"/>
      <c r="U246" s="877"/>
      <c r="V246" s="886"/>
      <c r="W246" s="877"/>
      <c r="X246" s="879"/>
      <c r="Y246" s="877"/>
      <c r="Z246" s="886"/>
      <c r="AA246" s="877"/>
      <c r="AB246" s="879"/>
      <c r="AC246" s="877"/>
      <c r="AD246" s="886"/>
      <c r="AE246" s="877"/>
      <c r="AF246" s="879"/>
      <c r="AG246" s="877"/>
      <c r="AH246" s="886"/>
      <c r="AI246" s="877"/>
      <c r="AJ246" s="879"/>
      <c r="AK246" s="877"/>
      <c r="AL246" s="886"/>
      <c r="AM246" s="877"/>
      <c r="AN246" s="879"/>
      <c r="AO246" s="877"/>
      <c r="AP246" s="886"/>
      <c r="AQ246" s="877"/>
      <c r="AR246" s="877"/>
      <c r="AS246" s="877"/>
    </row>
    <row r="247" spans="1:45">
      <c r="A247" s="359"/>
      <c r="B247" s="54"/>
      <c r="C247" s="174" t="s">
        <v>321</v>
      </c>
      <c r="D247" s="511"/>
      <c r="E247" s="174"/>
      <c r="F247" s="878">
        <f>SUM(G247:J247)</f>
        <v>0</v>
      </c>
      <c r="G247" s="928">
        <v>0</v>
      </c>
      <c r="H247" s="877">
        <v>0</v>
      </c>
      <c r="I247" s="877">
        <v>0</v>
      </c>
      <c r="J247" s="886">
        <v>0</v>
      </c>
      <c r="K247" s="877"/>
      <c r="L247" s="879"/>
      <c r="M247" s="877"/>
      <c r="N247" s="886"/>
      <c r="O247" s="877"/>
      <c r="P247" s="879"/>
      <c r="Q247" s="877"/>
      <c r="R247" s="886"/>
      <c r="S247" s="877"/>
      <c r="T247" s="879"/>
      <c r="U247" s="877"/>
      <c r="V247" s="886"/>
      <c r="W247" s="877"/>
      <c r="X247" s="879"/>
      <c r="Y247" s="877"/>
      <c r="Z247" s="886"/>
      <c r="AA247" s="877"/>
      <c r="AB247" s="879"/>
      <c r="AC247" s="877"/>
      <c r="AD247" s="886"/>
      <c r="AE247" s="877"/>
      <c r="AF247" s="879"/>
      <c r="AG247" s="877"/>
      <c r="AH247" s="886"/>
      <c r="AI247" s="877"/>
      <c r="AJ247" s="879"/>
      <c r="AK247" s="877"/>
      <c r="AL247" s="886"/>
      <c r="AM247" s="877"/>
      <c r="AN247" s="879"/>
      <c r="AO247" s="877"/>
      <c r="AP247" s="886"/>
      <c r="AQ247" s="877"/>
      <c r="AR247" s="877"/>
      <c r="AS247" s="877"/>
    </row>
    <row r="248" spans="1:45">
      <c r="A248" s="359"/>
      <c r="B248" s="54"/>
      <c r="C248" s="174" t="s">
        <v>319</v>
      </c>
      <c r="D248" s="511"/>
      <c r="E248" s="174"/>
      <c r="F248" s="878">
        <f>SUM(G248:J248)</f>
        <v>0</v>
      </c>
      <c r="G248" s="928">
        <v>0</v>
      </c>
      <c r="H248" s="877">
        <v>0</v>
      </c>
      <c r="I248" s="877">
        <v>0</v>
      </c>
      <c r="J248" s="886">
        <v>0</v>
      </c>
      <c r="K248" s="877"/>
      <c r="L248" s="879"/>
      <c r="M248" s="877"/>
      <c r="N248" s="886"/>
      <c r="O248" s="877"/>
      <c r="P248" s="879"/>
      <c r="Q248" s="877"/>
      <c r="R248" s="886"/>
      <c r="S248" s="877"/>
      <c r="T248" s="879"/>
      <c r="U248" s="877"/>
      <c r="V248" s="886"/>
      <c r="W248" s="877"/>
      <c r="X248" s="879"/>
      <c r="Y248" s="877"/>
      <c r="Z248" s="886"/>
      <c r="AA248" s="877"/>
      <c r="AB248" s="879"/>
      <c r="AC248" s="877"/>
      <c r="AD248" s="886"/>
      <c r="AE248" s="877"/>
      <c r="AF248" s="879"/>
      <c r="AG248" s="877"/>
      <c r="AH248" s="886"/>
      <c r="AI248" s="877"/>
      <c r="AJ248" s="879"/>
      <c r="AK248" s="877"/>
      <c r="AL248" s="886"/>
      <c r="AM248" s="877"/>
      <c r="AN248" s="879"/>
      <c r="AO248" s="877"/>
      <c r="AP248" s="886"/>
      <c r="AQ248" s="877"/>
      <c r="AR248" s="877"/>
      <c r="AS248" s="877"/>
    </row>
    <row r="249" spans="1:45">
      <c r="A249" s="359"/>
      <c r="B249" s="54"/>
      <c r="C249" s="55" t="s">
        <v>320</v>
      </c>
      <c r="D249" s="512"/>
      <c r="E249" s="55"/>
      <c r="F249" s="878">
        <f>SUM(G249:J249)</f>
        <v>0</v>
      </c>
      <c r="G249" s="928">
        <v>0</v>
      </c>
      <c r="H249" s="877">
        <v>0</v>
      </c>
      <c r="I249" s="877">
        <v>0</v>
      </c>
      <c r="J249" s="886">
        <v>0</v>
      </c>
      <c r="K249" s="877"/>
      <c r="L249" s="879"/>
      <c r="M249" s="877"/>
      <c r="N249" s="886"/>
      <c r="O249" s="877"/>
      <c r="P249" s="879"/>
      <c r="Q249" s="877"/>
      <c r="R249" s="886"/>
      <c r="S249" s="877"/>
      <c r="T249" s="879"/>
      <c r="U249" s="877"/>
      <c r="V249" s="886"/>
      <c r="W249" s="877"/>
      <c r="X249" s="879"/>
      <c r="Y249" s="877"/>
      <c r="Z249" s="886"/>
      <c r="AA249" s="877"/>
      <c r="AB249" s="879"/>
      <c r="AC249" s="877"/>
      <c r="AD249" s="886"/>
      <c r="AE249" s="877"/>
      <c r="AF249" s="879"/>
      <c r="AG249" s="877"/>
      <c r="AH249" s="886"/>
      <c r="AI249" s="877"/>
      <c r="AJ249" s="879"/>
      <c r="AK249" s="877"/>
      <c r="AL249" s="886"/>
      <c r="AM249" s="877"/>
      <c r="AN249" s="879"/>
      <c r="AO249" s="877"/>
      <c r="AP249" s="886"/>
      <c r="AQ249" s="877"/>
      <c r="AR249" s="877"/>
      <c r="AS249" s="877"/>
    </row>
    <row r="250" spans="1:45">
      <c r="A250" s="93" t="s">
        <v>134</v>
      </c>
      <c r="B250" s="170">
        <v>0.5915181554305653</v>
      </c>
      <c r="C250" s="355" t="s">
        <v>316</v>
      </c>
      <c r="D250" s="513"/>
      <c r="E250" s="355"/>
      <c r="F250" s="873">
        <f>SUMPRODUCT($AX$3:$AX$6,F251:F254)</f>
        <v>2.0074999999999998</v>
      </c>
      <c r="G250" s="1277"/>
      <c r="H250" s="884"/>
      <c r="I250" s="884"/>
      <c r="J250" s="885"/>
      <c r="K250" s="877"/>
      <c r="L250" s="879">
        <f>SUMPRODUCT('Input data processed products'!$D66:$AE66,'Input data processed products'!D$83:AE$83)</f>
        <v>6.5732690127523465</v>
      </c>
      <c r="M250" s="1248"/>
      <c r="N250" s="1249"/>
      <c r="O250" s="877"/>
      <c r="P250" s="879">
        <f>SUMPRODUCT('Input data processed products'!$D66:$AE66,'Input data processed products'!D$84:AE$84)</f>
        <v>0</v>
      </c>
      <c r="Q250" s="1248"/>
      <c r="R250" s="1249"/>
      <c r="S250" s="877"/>
      <c r="T250" s="879">
        <f>SUMPRODUCT('Input data processed products'!$D66:$AE66,'Input data processed products'!D$85:AE$85)</f>
        <v>6.2626572355976906E-2</v>
      </c>
      <c r="U250" s="1248"/>
      <c r="V250" s="1249"/>
      <c r="W250" s="877"/>
      <c r="X250" s="879">
        <f>SUMPRODUCT('Input data processed products'!$D66:$AE66,'Input data processed products'!D$86:AE$86)</f>
        <v>4.4789518017585017E-3</v>
      </c>
      <c r="Y250" s="1248"/>
      <c r="Z250" s="1249"/>
      <c r="AA250" s="877"/>
      <c r="AB250" s="879">
        <f>SUMPRODUCT('Input data processed products'!$D66:$AE66,'Input data processed products'!D$87:AE$87)/$AC$2</f>
        <v>3.4208646696241001E-3</v>
      </c>
      <c r="AC250" s="1248"/>
      <c r="AD250" s="1249"/>
      <c r="AE250" s="877"/>
      <c r="AF250" s="879">
        <f>SUMPRODUCT('Input data processed products'!$D66:$AE66,'Input data processed products'!D$88:AE$88)</f>
        <v>4.6498615253029117E-11</v>
      </c>
      <c r="AG250" s="1248"/>
      <c r="AH250" s="1249"/>
      <c r="AI250" s="877"/>
      <c r="AJ250" s="879">
        <f>SUMPRODUCT('Input data processed products'!$D66:$AE66,'Input data processed products'!D$89:AE$89)</f>
        <v>4.2400219989242215E-4</v>
      </c>
      <c r="AK250" s="1248"/>
      <c r="AL250" s="1249"/>
      <c r="AM250" s="877"/>
      <c r="AN250" s="879">
        <f>SUMPRODUCT('Input data processed products'!$D66:$AE66,'Input data processed products'!D$90:AE$90)</f>
        <v>4.7268862397224637E-3</v>
      </c>
      <c r="AO250" s="1248"/>
      <c r="AP250" s="1249"/>
      <c r="AQ250" s="877"/>
      <c r="AR250" s="877"/>
      <c r="AS250" s="877"/>
    </row>
    <row r="251" spans="1:45">
      <c r="A251" s="68"/>
      <c r="B251" s="50"/>
      <c r="C251" s="174" t="s">
        <v>317</v>
      </c>
      <c r="D251" s="511"/>
      <c r="E251" s="174"/>
      <c r="F251" s="878">
        <f>SUM(G251:J251)</f>
        <v>2.0074999999999998</v>
      </c>
      <c r="G251" s="928">
        <v>0.92749999999999999</v>
      </c>
      <c r="H251" s="877">
        <v>0.5</v>
      </c>
      <c r="I251" s="877">
        <f>'Common input data'!$B$106</f>
        <v>0.15</v>
      </c>
      <c r="J251" s="886">
        <f>'Common input data'!$B$128+'Common input data'!$C$128</f>
        <v>0.43000000000000005</v>
      </c>
      <c r="K251" s="877"/>
      <c r="L251" s="879"/>
      <c r="M251" s="877"/>
      <c r="N251" s="886"/>
      <c r="O251" s="877"/>
      <c r="P251" s="879"/>
      <c r="Q251" s="877"/>
      <c r="R251" s="886"/>
      <c r="S251" s="877"/>
      <c r="T251" s="879"/>
      <c r="U251" s="877"/>
      <c r="V251" s="886"/>
      <c r="W251" s="877"/>
      <c r="X251" s="879"/>
      <c r="Y251" s="877"/>
      <c r="Z251" s="886"/>
      <c r="AA251" s="877"/>
      <c r="AB251" s="879"/>
      <c r="AC251" s="877"/>
      <c r="AD251" s="886"/>
      <c r="AE251" s="877"/>
      <c r="AF251" s="879"/>
      <c r="AG251" s="877"/>
      <c r="AH251" s="886"/>
      <c r="AI251" s="877"/>
      <c r="AJ251" s="879"/>
      <c r="AK251" s="877"/>
      <c r="AL251" s="886"/>
      <c r="AM251" s="877"/>
      <c r="AN251" s="879"/>
      <c r="AO251" s="877"/>
      <c r="AP251" s="886"/>
      <c r="AQ251" s="877"/>
      <c r="AR251" s="877"/>
      <c r="AS251" s="877"/>
    </row>
    <row r="252" spans="1:45">
      <c r="A252" s="359"/>
      <c r="B252" s="54"/>
      <c r="C252" s="174" t="s">
        <v>321</v>
      </c>
      <c r="D252" s="511"/>
      <c r="E252" s="174"/>
      <c r="F252" s="878">
        <f>SUM(G252:J252)</f>
        <v>0</v>
      </c>
      <c r="G252" s="928">
        <v>0</v>
      </c>
      <c r="H252" s="877">
        <v>0</v>
      </c>
      <c r="I252" s="877">
        <v>0</v>
      </c>
      <c r="J252" s="886">
        <v>0</v>
      </c>
      <c r="K252" s="877"/>
      <c r="L252" s="879"/>
      <c r="M252" s="877"/>
      <c r="N252" s="886"/>
      <c r="O252" s="877"/>
      <c r="P252" s="879"/>
      <c r="Q252" s="877"/>
      <c r="R252" s="886"/>
      <c r="S252" s="877"/>
      <c r="T252" s="879"/>
      <c r="U252" s="877"/>
      <c r="V252" s="886"/>
      <c r="W252" s="877"/>
      <c r="X252" s="879"/>
      <c r="Y252" s="877"/>
      <c r="Z252" s="886"/>
      <c r="AA252" s="877"/>
      <c r="AB252" s="879"/>
      <c r="AC252" s="877"/>
      <c r="AD252" s="886"/>
      <c r="AE252" s="877"/>
      <c r="AF252" s="879"/>
      <c r="AG252" s="877"/>
      <c r="AH252" s="886"/>
      <c r="AI252" s="877"/>
      <c r="AJ252" s="879"/>
      <c r="AK252" s="877"/>
      <c r="AL252" s="886"/>
      <c r="AM252" s="877"/>
      <c r="AN252" s="879"/>
      <c r="AO252" s="877"/>
      <c r="AP252" s="886"/>
      <c r="AQ252" s="877"/>
      <c r="AR252" s="877"/>
      <c r="AS252" s="877"/>
    </row>
    <row r="253" spans="1:45">
      <c r="A253" s="359"/>
      <c r="B253" s="54"/>
      <c r="C253" s="174" t="s">
        <v>319</v>
      </c>
      <c r="D253" s="511"/>
      <c r="E253" s="174"/>
      <c r="F253" s="878">
        <f>SUM(G253:J253)</f>
        <v>0</v>
      </c>
      <c r="G253" s="928">
        <v>0</v>
      </c>
      <c r="H253" s="877">
        <v>0</v>
      </c>
      <c r="I253" s="877">
        <v>0</v>
      </c>
      <c r="J253" s="886">
        <v>0</v>
      </c>
      <c r="K253" s="877"/>
      <c r="L253" s="879"/>
      <c r="M253" s="877"/>
      <c r="N253" s="886"/>
      <c r="O253" s="877"/>
      <c r="P253" s="879"/>
      <c r="Q253" s="877"/>
      <c r="R253" s="886"/>
      <c r="S253" s="877"/>
      <c r="T253" s="879"/>
      <c r="U253" s="877"/>
      <c r="V253" s="886"/>
      <c r="W253" s="877"/>
      <c r="X253" s="879"/>
      <c r="Y253" s="877"/>
      <c r="Z253" s="886"/>
      <c r="AA253" s="877"/>
      <c r="AB253" s="879"/>
      <c r="AC253" s="877"/>
      <c r="AD253" s="886"/>
      <c r="AE253" s="877"/>
      <c r="AF253" s="879"/>
      <c r="AG253" s="877"/>
      <c r="AH253" s="886"/>
      <c r="AI253" s="877"/>
      <c r="AJ253" s="879"/>
      <c r="AK253" s="877"/>
      <c r="AL253" s="886"/>
      <c r="AM253" s="877"/>
      <c r="AN253" s="879"/>
      <c r="AO253" s="877"/>
      <c r="AP253" s="886"/>
      <c r="AQ253" s="877"/>
      <c r="AR253" s="877"/>
      <c r="AS253" s="877"/>
    </row>
    <row r="254" spans="1:45">
      <c r="A254" s="359"/>
      <c r="B254" s="54"/>
      <c r="C254" s="55" t="s">
        <v>320</v>
      </c>
      <c r="D254" s="514"/>
      <c r="E254" s="56"/>
      <c r="F254" s="933">
        <f>SUM(G254:J254)</f>
        <v>0</v>
      </c>
      <c r="G254" s="928">
        <v>0</v>
      </c>
      <c r="H254" s="877">
        <v>0</v>
      </c>
      <c r="I254" s="877">
        <v>0</v>
      </c>
      <c r="J254" s="897">
        <v>0</v>
      </c>
      <c r="K254" s="877"/>
      <c r="L254" s="879"/>
      <c r="M254" s="877"/>
      <c r="N254" s="886"/>
      <c r="O254" s="877"/>
      <c r="P254" s="879"/>
      <c r="Q254" s="877"/>
      <c r="R254" s="886"/>
      <c r="S254" s="877"/>
      <c r="T254" s="879"/>
      <c r="U254" s="877"/>
      <c r="V254" s="886"/>
      <c r="W254" s="877"/>
      <c r="X254" s="879"/>
      <c r="Y254" s="877"/>
      <c r="Z254" s="886"/>
      <c r="AA254" s="877"/>
      <c r="AB254" s="879"/>
      <c r="AC254" s="877"/>
      <c r="AD254" s="886"/>
      <c r="AE254" s="877"/>
      <c r="AF254" s="879"/>
      <c r="AG254" s="877"/>
      <c r="AH254" s="886"/>
      <c r="AI254" s="877"/>
      <c r="AJ254" s="879"/>
      <c r="AK254" s="877"/>
      <c r="AL254" s="886"/>
      <c r="AM254" s="877"/>
      <c r="AN254" s="879"/>
      <c r="AO254" s="877"/>
      <c r="AP254" s="886"/>
      <c r="AQ254" s="877"/>
      <c r="AR254" s="877"/>
      <c r="AS254" s="877"/>
    </row>
    <row r="255" spans="1:45">
      <c r="A255" s="374" t="s">
        <v>596</v>
      </c>
      <c r="B255" s="376"/>
      <c r="C255" s="377"/>
      <c r="D255" s="507"/>
      <c r="E255" s="462"/>
      <c r="F255" s="870" t="s">
        <v>597</v>
      </c>
      <c r="G255" s="1272"/>
      <c r="H255" s="880"/>
      <c r="I255" s="880"/>
      <c r="J255" s="938"/>
      <c r="K255" s="877"/>
      <c r="L255" s="879"/>
      <c r="M255" s="877"/>
      <c r="N255" s="886"/>
      <c r="O255" s="877"/>
      <c r="P255" s="879"/>
      <c r="Q255" s="877"/>
      <c r="R255" s="886"/>
      <c r="S255" s="877"/>
      <c r="T255" s="879"/>
      <c r="U255" s="877"/>
      <c r="V255" s="886"/>
      <c r="W255" s="877"/>
      <c r="X255" s="879"/>
      <c r="Y255" s="877"/>
      <c r="Z255" s="886"/>
      <c r="AA255" s="877"/>
      <c r="AB255" s="879"/>
      <c r="AC255" s="877"/>
      <c r="AD255" s="886"/>
      <c r="AE255" s="877"/>
      <c r="AF255" s="879"/>
      <c r="AG255" s="877"/>
      <c r="AH255" s="886"/>
      <c r="AI255" s="877"/>
      <c r="AJ255" s="879"/>
      <c r="AK255" s="877"/>
      <c r="AL255" s="886"/>
      <c r="AM255" s="877"/>
      <c r="AN255" s="879"/>
      <c r="AO255" s="877"/>
      <c r="AP255" s="886"/>
      <c r="AQ255" s="877"/>
      <c r="AR255" s="877"/>
      <c r="AS255" s="877"/>
    </row>
    <row r="256" spans="1:45">
      <c r="A256" s="381" t="s">
        <v>315</v>
      </c>
      <c r="B256" s="498">
        <f>SUM(B261:B271)</f>
        <v>1</v>
      </c>
      <c r="C256" s="384" t="s">
        <v>316</v>
      </c>
      <c r="D256" s="510"/>
      <c r="E256" s="384"/>
      <c r="F256" s="927">
        <f>SUMPRODUCT($AX$3:$AX$6,F257:F260)</f>
        <v>0.91058017512105471</v>
      </c>
      <c r="G256" s="1274"/>
      <c r="H256" s="875"/>
      <c r="I256" s="875"/>
      <c r="J256" s="981"/>
      <c r="K256" s="877"/>
      <c r="L256" s="883">
        <f>L261*$B$261+L266*$B$266+L271*$B$271</f>
        <v>1.6581206029453706</v>
      </c>
      <c r="M256" s="884">
        <f t="shared" ref="M256:AP256" si="12">M261*$B$261+M266*$B$266+M271*$B$271</f>
        <v>1.6919597989238473</v>
      </c>
      <c r="N256" s="885">
        <f t="shared" si="12"/>
        <v>1.9447813780733878</v>
      </c>
      <c r="O256" s="877"/>
      <c r="P256" s="883">
        <f t="shared" si="12"/>
        <v>0</v>
      </c>
      <c r="Q256" s="884">
        <f t="shared" si="12"/>
        <v>0</v>
      </c>
      <c r="R256" s="885">
        <f t="shared" si="12"/>
        <v>0</v>
      </c>
      <c r="S256" s="877"/>
      <c r="T256" s="883">
        <f t="shared" si="12"/>
        <v>1.7499212025036563E-2</v>
      </c>
      <c r="U256" s="884">
        <f t="shared" si="12"/>
        <v>1.7856338801057716E-2</v>
      </c>
      <c r="V256" s="885">
        <f t="shared" si="12"/>
        <v>2.0524527357537604E-2</v>
      </c>
      <c r="W256" s="877"/>
      <c r="X256" s="883">
        <f t="shared" si="12"/>
        <v>7.964731205658937E-3</v>
      </c>
      <c r="Y256" s="884">
        <f t="shared" si="12"/>
        <v>8.127276740468304E-3</v>
      </c>
      <c r="Z256" s="885">
        <f t="shared" si="12"/>
        <v>9.3416974028371312E-3</v>
      </c>
      <c r="AA256" s="877"/>
      <c r="AB256" s="883">
        <f t="shared" si="12"/>
        <v>4.9734183356407585E-2</v>
      </c>
      <c r="AC256" s="884">
        <f t="shared" si="12"/>
        <v>5.0749166690211824E-2</v>
      </c>
      <c r="AD256" s="885">
        <f t="shared" si="12"/>
        <v>5.8332375505990602E-2</v>
      </c>
      <c r="AE256" s="877"/>
      <c r="AF256" s="883">
        <f t="shared" si="12"/>
        <v>1.7972161802600877E-11</v>
      </c>
      <c r="AG256" s="884">
        <f t="shared" si="12"/>
        <v>1.8338940614898855E-11</v>
      </c>
      <c r="AH256" s="885">
        <f t="shared" si="12"/>
        <v>2.1079242086090637E-11</v>
      </c>
      <c r="AI256" s="877"/>
      <c r="AJ256" s="883">
        <f t="shared" si="12"/>
        <v>1.7972161802600877E-11</v>
      </c>
      <c r="AK256" s="884">
        <f t="shared" si="12"/>
        <v>1.8338940614898855E-11</v>
      </c>
      <c r="AL256" s="885">
        <f t="shared" si="12"/>
        <v>2.1079242086090637E-11</v>
      </c>
      <c r="AM256" s="877"/>
      <c r="AN256" s="883">
        <f t="shared" si="12"/>
        <v>1.7972161802600877E-11</v>
      </c>
      <c r="AO256" s="884">
        <f t="shared" si="12"/>
        <v>1.8338940614898855E-11</v>
      </c>
      <c r="AP256" s="885">
        <f t="shared" si="12"/>
        <v>2.1079242086090637E-11</v>
      </c>
      <c r="AQ256" s="877"/>
      <c r="AR256" s="877"/>
      <c r="AS256" s="877"/>
    </row>
    <row r="257" spans="1:45">
      <c r="A257" s="68"/>
      <c r="B257" s="50"/>
      <c r="C257" s="174" t="s">
        <v>317</v>
      </c>
      <c r="D257" s="511"/>
      <c r="E257" s="174"/>
      <c r="F257" s="878">
        <f>$B$261*F262+$B$266*F267+$B$271*F272</f>
        <v>0.76749030598724177</v>
      </c>
      <c r="G257" s="928">
        <f t="shared" ref="G257:J257" si="13">$B$261*G262+$B$266*G267+$B$271*G272</f>
        <v>0.43466516663799998</v>
      </c>
      <c r="H257" s="877">
        <f t="shared" si="13"/>
        <v>0.22000000000000003</v>
      </c>
      <c r="I257" s="877">
        <f t="shared" si="13"/>
        <v>0.05</v>
      </c>
      <c r="J257" s="886">
        <f t="shared" si="13"/>
        <v>6.2825139349241735E-2</v>
      </c>
      <c r="K257" s="877"/>
      <c r="L257" s="879"/>
      <c r="M257" s="877"/>
      <c r="N257" s="886"/>
      <c r="O257" s="877"/>
      <c r="P257" s="879"/>
      <c r="Q257" s="877"/>
      <c r="R257" s="886"/>
      <c r="S257" s="877"/>
      <c r="T257" s="879"/>
      <c r="U257" s="877"/>
      <c r="V257" s="886"/>
      <c r="W257" s="877"/>
      <c r="X257" s="879"/>
      <c r="Y257" s="877"/>
      <c r="Z257" s="886"/>
      <c r="AA257" s="877"/>
      <c r="AB257" s="879"/>
      <c r="AC257" s="877"/>
      <c r="AD257" s="886"/>
      <c r="AE257" s="877"/>
      <c r="AF257" s="879"/>
      <c r="AG257" s="877"/>
      <c r="AH257" s="886"/>
      <c r="AI257" s="877"/>
      <c r="AJ257" s="879"/>
      <c r="AK257" s="877"/>
      <c r="AL257" s="886"/>
      <c r="AM257" s="877"/>
      <c r="AN257" s="879"/>
      <c r="AO257" s="877"/>
      <c r="AP257" s="886"/>
      <c r="AQ257" s="877"/>
      <c r="AR257" s="877"/>
      <c r="AS257" s="877"/>
    </row>
    <row r="258" spans="1:45">
      <c r="A258" s="359"/>
      <c r="B258" s="54"/>
      <c r="C258" s="174" t="s">
        <v>321</v>
      </c>
      <c r="D258" s="511"/>
      <c r="E258" s="174"/>
      <c r="F258" s="878">
        <f t="shared" ref="F258:J260" si="14">$B$261*F263+$B$266*F268+$B$271*F273</f>
        <v>0</v>
      </c>
      <c r="G258" s="928">
        <f t="shared" si="14"/>
        <v>0</v>
      </c>
      <c r="H258" s="877">
        <f t="shared" si="14"/>
        <v>0</v>
      </c>
      <c r="I258" s="877">
        <f t="shared" si="14"/>
        <v>0</v>
      </c>
      <c r="J258" s="886">
        <f t="shared" si="14"/>
        <v>0</v>
      </c>
      <c r="K258" s="877"/>
      <c r="L258" s="879"/>
      <c r="M258" s="877"/>
      <c r="N258" s="886"/>
      <c r="O258" s="877"/>
      <c r="P258" s="879"/>
      <c r="Q258" s="877"/>
      <c r="R258" s="886"/>
      <c r="S258" s="877"/>
      <c r="T258" s="879"/>
      <c r="U258" s="877"/>
      <c r="V258" s="886"/>
      <c r="W258" s="877"/>
      <c r="X258" s="879"/>
      <c r="Y258" s="877"/>
      <c r="Z258" s="886"/>
      <c r="AA258" s="877"/>
      <c r="AB258" s="879"/>
      <c r="AC258" s="877"/>
      <c r="AD258" s="886"/>
      <c r="AE258" s="877"/>
      <c r="AF258" s="879"/>
      <c r="AG258" s="877"/>
      <c r="AH258" s="886"/>
      <c r="AI258" s="877"/>
      <c r="AJ258" s="879"/>
      <c r="AK258" s="877"/>
      <c r="AL258" s="886"/>
      <c r="AM258" s="877"/>
      <c r="AN258" s="879"/>
      <c r="AO258" s="877"/>
      <c r="AP258" s="886"/>
      <c r="AQ258" s="877"/>
      <c r="AR258" s="877"/>
      <c r="AS258" s="877"/>
    </row>
    <row r="259" spans="1:45">
      <c r="A259" s="359"/>
      <c r="B259" s="54"/>
      <c r="C259" s="174" t="s">
        <v>319</v>
      </c>
      <c r="D259" s="511"/>
      <c r="E259" s="174"/>
      <c r="F259" s="878">
        <f t="shared" si="14"/>
        <v>1.1074497650830001E-3</v>
      </c>
      <c r="G259" s="928">
        <f t="shared" si="14"/>
        <v>1.1074497650830001E-3</v>
      </c>
      <c r="H259" s="877">
        <f t="shared" si="14"/>
        <v>0</v>
      </c>
      <c r="I259" s="877">
        <f t="shared" si="14"/>
        <v>0</v>
      </c>
      <c r="J259" s="886">
        <f t="shared" si="14"/>
        <v>0</v>
      </c>
      <c r="K259" s="877"/>
      <c r="L259" s="879"/>
      <c r="M259" s="877"/>
      <c r="N259" s="886"/>
      <c r="O259" s="877"/>
      <c r="P259" s="879"/>
      <c r="Q259" s="877"/>
      <c r="R259" s="886"/>
      <c r="S259" s="877"/>
      <c r="T259" s="879"/>
      <c r="U259" s="877"/>
      <c r="V259" s="886"/>
      <c r="W259" s="877"/>
      <c r="X259" s="879"/>
      <c r="Y259" s="877"/>
      <c r="Z259" s="886"/>
      <c r="AA259" s="877"/>
      <c r="AB259" s="879"/>
      <c r="AC259" s="877"/>
      <c r="AD259" s="886"/>
      <c r="AE259" s="877"/>
      <c r="AF259" s="879"/>
      <c r="AG259" s="877"/>
      <c r="AH259" s="886"/>
      <c r="AI259" s="877"/>
      <c r="AJ259" s="879"/>
      <c r="AK259" s="877"/>
      <c r="AL259" s="886"/>
      <c r="AM259" s="877"/>
      <c r="AN259" s="879"/>
      <c r="AO259" s="877"/>
      <c r="AP259" s="886"/>
      <c r="AQ259" s="877"/>
      <c r="AR259" s="877"/>
      <c r="AS259" s="877"/>
    </row>
    <row r="260" spans="1:45">
      <c r="A260" s="359"/>
      <c r="B260" s="54"/>
      <c r="C260" s="55" t="s">
        <v>320</v>
      </c>
      <c r="D260" s="512"/>
      <c r="E260" s="55"/>
      <c r="F260" s="878">
        <f t="shared" si="14"/>
        <v>5.9178049458336003E-4</v>
      </c>
      <c r="G260" s="928">
        <f t="shared" si="14"/>
        <v>5.9178049458336003E-4</v>
      </c>
      <c r="H260" s="877">
        <f t="shared" si="14"/>
        <v>0</v>
      </c>
      <c r="I260" s="877">
        <f t="shared" si="14"/>
        <v>0</v>
      </c>
      <c r="J260" s="886">
        <f t="shared" si="14"/>
        <v>0</v>
      </c>
      <c r="K260" s="877"/>
      <c r="L260" s="879"/>
      <c r="M260" s="877"/>
      <c r="N260" s="886"/>
      <c r="O260" s="877"/>
      <c r="P260" s="879"/>
      <c r="Q260" s="877"/>
      <c r="R260" s="886"/>
      <c r="S260" s="877"/>
      <c r="T260" s="879"/>
      <c r="U260" s="877"/>
      <c r="V260" s="886"/>
      <c r="W260" s="877"/>
      <c r="X260" s="879"/>
      <c r="Y260" s="877"/>
      <c r="Z260" s="886"/>
      <c r="AA260" s="877"/>
      <c r="AB260" s="879"/>
      <c r="AC260" s="877"/>
      <c r="AD260" s="886"/>
      <c r="AE260" s="877"/>
      <c r="AF260" s="879"/>
      <c r="AG260" s="877"/>
      <c r="AH260" s="886"/>
      <c r="AI260" s="877"/>
      <c r="AJ260" s="879"/>
      <c r="AK260" s="877"/>
      <c r="AL260" s="886"/>
      <c r="AM260" s="877"/>
      <c r="AN260" s="879"/>
      <c r="AO260" s="877"/>
      <c r="AP260" s="886"/>
      <c r="AQ260" s="877"/>
      <c r="AR260" s="877"/>
      <c r="AS260" s="877"/>
    </row>
    <row r="261" spans="1:45">
      <c r="A261" s="108" t="s">
        <v>122</v>
      </c>
      <c r="B261" s="170">
        <v>0.7</v>
      </c>
      <c r="C261" s="355" t="s">
        <v>316</v>
      </c>
      <c r="D261" s="513"/>
      <c r="E261" s="355"/>
      <c r="F261" s="873">
        <f>SUMPRODUCT($AX$3:$AX$6,F262:F265)</f>
        <v>0.75775503577181302</v>
      </c>
      <c r="G261" s="1277"/>
      <c r="H261" s="884"/>
      <c r="I261" s="884"/>
      <c r="J261" s="885"/>
      <c r="K261" s="877"/>
      <c r="L261" s="879">
        <f>SUMPRODUCT('Input data processed products'!$D73:$AE73,'Input data processed products'!D$83:AE$83)</f>
        <v>1.6581206029453703</v>
      </c>
      <c r="M261" s="877">
        <f>L261/(1-'Common input data'!$B$166)</f>
        <v>1.6919597989238473</v>
      </c>
      <c r="N261" s="886">
        <f>M261/(1-'Common input data'!$B$182)</f>
        <v>1.9447813780733878</v>
      </c>
      <c r="O261" s="877"/>
      <c r="P261" s="879">
        <f>SUMPRODUCT('Input data processed products'!$D73:$AE73,'Input data processed products'!D$84:AE$84)</f>
        <v>0</v>
      </c>
      <c r="Q261" s="877">
        <f>P261/(1-'Common input data'!$B$166)</f>
        <v>0</v>
      </c>
      <c r="R261" s="886">
        <f>Q261/(1-'Common input data'!$B$182)</f>
        <v>0</v>
      </c>
      <c r="S261" s="877"/>
      <c r="T261" s="879">
        <f>SUMPRODUCT('Input data processed products'!$D73:$AE73,'Input data processed products'!D$85:AE$85)</f>
        <v>1.749921202503656E-2</v>
      </c>
      <c r="U261" s="877">
        <f>T261/(1-'Common input data'!$B$166)</f>
        <v>1.7856338801057716E-2</v>
      </c>
      <c r="V261" s="886">
        <f>U261/(1-'Common input data'!$B$182)</f>
        <v>2.0524527357537604E-2</v>
      </c>
      <c r="W261" s="877"/>
      <c r="X261" s="879">
        <f>SUMPRODUCT('Input data processed products'!$D73:$AE73,'Input data processed products'!D$86:AE$86)</f>
        <v>7.964731205658937E-3</v>
      </c>
      <c r="Y261" s="877">
        <f>X261/(1-'Common input data'!$B$166)</f>
        <v>8.127276740468304E-3</v>
      </c>
      <c r="Z261" s="886">
        <f>Y261/(1-'Common input data'!$B$182)</f>
        <v>9.3416974028371312E-3</v>
      </c>
      <c r="AA261" s="877"/>
      <c r="AB261" s="879">
        <f>SUMPRODUCT('Input data processed products'!$D73:$AE73,'Input data processed products'!D$87:AE$87)/$AC$2</f>
        <v>4.9734183356407578E-2</v>
      </c>
      <c r="AC261" s="877">
        <f>AB261/(1-'Common input data'!$B$166)</f>
        <v>5.0749166690211817E-2</v>
      </c>
      <c r="AD261" s="886">
        <f>AC261/(1-'Common input data'!$B$182)</f>
        <v>5.8332375505990595E-2</v>
      </c>
      <c r="AE261" s="877"/>
      <c r="AF261" s="879">
        <f>SUMPRODUCT('Input data processed products'!$D73:$AE73,'Input data processed products'!D$88:AE$88)</f>
        <v>1.7972161802600877E-11</v>
      </c>
      <c r="AG261" s="877">
        <f>AF261/(1-'Common input data'!$B$166)</f>
        <v>1.8338940614898855E-11</v>
      </c>
      <c r="AH261" s="886">
        <f>AG261/(1-'Common input data'!$B$182)</f>
        <v>2.1079242086090637E-11</v>
      </c>
      <c r="AI261" s="877"/>
      <c r="AJ261" s="879">
        <f>SUMPRODUCT('Input data processed products'!$D73:$AE73,'Input data processed products'!D$89:AE$89)</f>
        <v>1.7972161802600877E-11</v>
      </c>
      <c r="AK261" s="877">
        <f>AJ261/(1-'Common input data'!$B$166)</f>
        <v>1.8338940614898855E-11</v>
      </c>
      <c r="AL261" s="886">
        <f>AK261/(1-'Common input data'!$B$182)</f>
        <v>2.1079242086090637E-11</v>
      </c>
      <c r="AM261" s="877"/>
      <c r="AN261" s="879">
        <f>SUMPRODUCT('Input data processed products'!$D73:$AE73,'Input data processed products'!D$90:AE$90)</f>
        <v>1.7972161802600877E-11</v>
      </c>
      <c r="AO261" s="877">
        <f>AN261/(1-'Common input data'!$B$166)</f>
        <v>1.8338940614898855E-11</v>
      </c>
      <c r="AP261" s="886">
        <f>AO261/(1-'Common input data'!$B$182)</f>
        <v>2.1079242086090637E-11</v>
      </c>
      <c r="AQ261" s="877"/>
      <c r="AR261" s="877"/>
      <c r="AS261" s="877"/>
    </row>
    <row r="262" spans="1:45">
      <c r="A262" s="68"/>
      <c r="B262" s="50"/>
      <c r="C262" s="174" t="s">
        <v>317</v>
      </c>
      <c r="D262" s="511"/>
      <c r="E262" s="174"/>
      <c r="F262" s="878">
        <f>SUM(G262:J262)</f>
        <v>0.61466516663800008</v>
      </c>
      <c r="G262" s="928">
        <v>0.43466516663799998</v>
      </c>
      <c r="H262" s="877">
        <v>0.1</v>
      </c>
      <c r="I262" s="877">
        <f>'Common input data'!$B$107</f>
        <v>0.05</v>
      </c>
      <c r="J262" s="886">
        <f>'Common input data'!$C$115</f>
        <v>0.03</v>
      </c>
      <c r="K262" s="877"/>
      <c r="L262" s="879"/>
      <c r="M262" s="877"/>
      <c r="N262" s="886"/>
      <c r="O262" s="877"/>
      <c r="P262" s="879"/>
      <c r="Q262" s="877"/>
      <c r="R262" s="886"/>
      <c r="S262" s="877"/>
      <c r="T262" s="879"/>
      <c r="U262" s="877"/>
      <c r="V262" s="886"/>
      <c r="W262" s="877"/>
      <c r="X262" s="879"/>
      <c r="Y262" s="877"/>
      <c r="Z262" s="886"/>
      <c r="AA262" s="877"/>
      <c r="AB262" s="879"/>
      <c r="AC262" s="877"/>
      <c r="AD262" s="886"/>
      <c r="AE262" s="877"/>
      <c r="AF262" s="879"/>
      <c r="AG262" s="877"/>
      <c r="AH262" s="886"/>
      <c r="AI262" s="877"/>
      <c r="AJ262" s="879"/>
      <c r="AK262" s="877"/>
      <c r="AL262" s="886"/>
      <c r="AM262" s="877"/>
      <c r="AN262" s="879"/>
      <c r="AO262" s="877"/>
      <c r="AP262" s="886"/>
      <c r="AQ262" s="877"/>
      <c r="AR262" s="877"/>
      <c r="AS262" s="877"/>
    </row>
    <row r="263" spans="1:45">
      <c r="A263" s="359"/>
      <c r="B263" s="54"/>
      <c r="C263" s="174" t="s">
        <v>321</v>
      </c>
      <c r="D263" s="511"/>
      <c r="E263" s="174"/>
      <c r="F263" s="878">
        <f>SUM(G263:J263)</f>
        <v>0</v>
      </c>
      <c r="G263" s="928">
        <v>0</v>
      </c>
      <c r="H263" s="877">
        <v>0</v>
      </c>
      <c r="I263" s="877">
        <v>0</v>
      </c>
      <c r="J263" s="886">
        <v>0</v>
      </c>
      <c r="K263" s="877"/>
      <c r="L263" s="879"/>
      <c r="M263" s="877"/>
      <c r="N263" s="886"/>
      <c r="O263" s="877"/>
      <c r="P263" s="879"/>
      <c r="Q263" s="877"/>
      <c r="R263" s="886"/>
      <c r="S263" s="877"/>
      <c r="T263" s="879"/>
      <c r="U263" s="877"/>
      <c r="V263" s="886"/>
      <c r="W263" s="877"/>
      <c r="X263" s="879"/>
      <c r="Y263" s="877"/>
      <c r="Z263" s="886"/>
      <c r="AA263" s="877"/>
      <c r="AB263" s="879"/>
      <c r="AC263" s="877"/>
      <c r="AD263" s="886"/>
      <c r="AE263" s="877"/>
      <c r="AF263" s="879"/>
      <c r="AG263" s="877"/>
      <c r="AH263" s="886"/>
      <c r="AI263" s="877"/>
      <c r="AJ263" s="879"/>
      <c r="AK263" s="877"/>
      <c r="AL263" s="886"/>
      <c r="AM263" s="877"/>
      <c r="AN263" s="879"/>
      <c r="AO263" s="877"/>
      <c r="AP263" s="886"/>
      <c r="AQ263" s="877"/>
      <c r="AR263" s="877"/>
      <c r="AS263" s="877"/>
    </row>
    <row r="264" spans="1:45">
      <c r="A264" s="359"/>
      <c r="B264" s="54"/>
      <c r="C264" s="174" t="s">
        <v>319</v>
      </c>
      <c r="D264" s="511"/>
      <c r="E264" s="174"/>
      <c r="F264" s="878">
        <f>SUM(G264:J264)</f>
        <v>1.1074497650829999E-3</v>
      </c>
      <c r="G264" s="928">
        <v>1.1074497650829999E-3</v>
      </c>
      <c r="H264" s="877">
        <v>0</v>
      </c>
      <c r="I264" s="877">
        <v>0</v>
      </c>
      <c r="J264" s="886">
        <v>0</v>
      </c>
      <c r="K264" s="877"/>
      <c r="L264" s="879"/>
      <c r="M264" s="877"/>
      <c r="N264" s="886"/>
      <c r="O264" s="877"/>
      <c r="P264" s="879"/>
      <c r="Q264" s="877"/>
      <c r="R264" s="886"/>
      <c r="S264" s="877"/>
      <c r="T264" s="879"/>
      <c r="U264" s="877"/>
      <c r="V264" s="886"/>
      <c r="W264" s="877"/>
      <c r="X264" s="879"/>
      <c r="Y264" s="877"/>
      <c r="Z264" s="886"/>
      <c r="AA264" s="877"/>
      <c r="AB264" s="879"/>
      <c r="AC264" s="877"/>
      <c r="AD264" s="886"/>
      <c r="AE264" s="877"/>
      <c r="AF264" s="879"/>
      <c r="AG264" s="877"/>
      <c r="AH264" s="886"/>
      <c r="AI264" s="877"/>
      <c r="AJ264" s="879"/>
      <c r="AK264" s="877"/>
      <c r="AL264" s="886"/>
      <c r="AM264" s="877"/>
      <c r="AN264" s="879"/>
      <c r="AO264" s="877"/>
      <c r="AP264" s="886"/>
      <c r="AQ264" s="877"/>
      <c r="AR264" s="877"/>
      <c r="AS264" s="877"/>
    </row>
    <row r="265" spans="1:45">
      <c r="A265" s="359"/>
      <c r="B265" s="54"/>
      <c r="C265" s="55" t="s">
        <v>320</v>
      </c>
      <c r="D265" s="512"/>
      <c r="E265" s="55"/>
      <c r="F265" s="878">
        <f>SUM(G265:J265)</f>
        <v>5.9178049458336003E-4</v>
      </c>
      <c r="G265" s="928">
        <v>5.9178049458336003E-4</v>
      </c>
      <c r="H265" s="877">
        <v>0</v>
      </c>
      <c r="I265" s="877">
        <v>0</v>
      </c>
      <c r="J265" s="886">
        <v>0</v>
      </c>
      <c r="K265" s="877"/>
      <c r="L265" s="879"/>
      <c r="M265" s="877"/>
      <c r="N265" s="886"/>
      <c r="O265" s="877"/>
      <c r="P265" s="879"/>
      <c r="Q265" s="877"/>
      <c r="R265" s="886"/>
      <c r="S265" s="877"/>
      <c r="T265" s="879"/>
      <c r="U265" s="877"/>
      <c r="V265" s="886"/>
      <c r="W265" s="877"/>
      <c r="X265" s="879"/>
      <c r="Y265" s="877"/>
      <c r="Z265" s="886"/>
      <c r="AA265" s="877"/>
      <c r="AB265" s="879"/>
      <c r="AC265" s="877"/>
      <c r="AD265" s="886"/>
      <c r="AE265" s="877"/>
      <c r="AF265" s="879"/>
      <c r="AG265" s="877"/>
      <c r="AH265" s="886"/>
      <c r="AI265" s="877"/>
      <c r="AJ265" s="879"/>
      <c r="AK265" s="877"/>
      <c r="AL265" s="886"/>
      <c r="AM265" s="877"/>
      <c r="AN265" s="879"/>
      <c r="AO265" s="877"/>
      <c r="AP265" s="886"/>
      <c r="AQ265" s="877"/>
      <c r="AR265" s="877"/>
      <c r="AS265" s="877"/>
    </row>
    <row r="266" spans="1:45">
      <c r="A266" s="108" t="s">
        <v>148</v>
      </c>
      <c r="B266" s="170">
        <v>0.27174860650758298</v>
      </c>
      <c r="C266" s="355" t="s">
        <v>316</v>
      </c>
      <c r="D266" s="513"/>
      <c r="E266" s="355"/>
      <c r="F266" s="873">
        <f>SUMPRODUCT($AX$3:$AX$6,F267:F270)</f>
        <v>1.2577550357718128</v>
      </c>
      <c r="G266" s="1277"/>
      <c r="H266" s="884"/>
      <c r="I266" s="884"/>
      <c r="J266" s="885"/>
      <c r="K266" s="877"/>
      <c r="L266" s="879">
        <f>SUMPRODUCT('Input data processed products'!$D74:$AE74,'Input data processed products'!D$83:AE$83)</f>
        <v>1.6581206029453703</v>
      </c>
      <c r="M266" s="877">
        <f>L266/(1-'Common input data'!$B$166)</f>
        <v>1.6919597989238473</v>
      </c>
      <c r="N266" s="886">
        <f>M266/(1-'Common input data'!$B$182)</f>
        <v>1.9447813780733878</v>
      </c>
      <c r="O266" s="877"/>
      <c r="P266" s="879">
        <f>SUMPRODUCT('Input data processed products'!$D74:$AE74,'Input data processed products'!D$84:AE$84)</f>
        <v>0</v>
      </c>
      <c r="Q266" s="877">
        <f>P266/(1-'Common input data'!$B$166)</f>
        <v>0</v>
      </c>
      <c r="R266" s="886">
        <f>Q266/(1-'Common input data'!$B$182)</f>
        <v>0</v>
      </c>
      <c r="S266" s="877"/>
      <c r="T266" s="879">
        <f>SUMPRODUCT('Input data processed products'!$D74:$AE74,'Input data processed products'!D$85:AE$85)</f>
        <v>1.749921202503656E-2</v>
      </c>
      <c r="U266" s="877">
        <f>T266/(1-'Common input data'!$B$166)</f>
        <v>1.7856338801057716E-2</v>
      </c>
      <c r="V266" s="886">
        <f>U266/(1-'Common input data'!$B$182)</f>
        <v>2.0524527357537604E-2</v>
      </c>
      <c r="W266" s="877"/>
      <c r="X266" s="879">
        <f>SUMPRODUCT('Input data processed products'!$D74:$AE74,'Input data processed products'!D$86:AE$86)</f>
        <v>7.964731205658937E-3</v>
      </c>
      <c r="Y266" s="877">
        <f>X266/(1-'Common input data'!$B$166)</f>
        <v>8.127276740468304E-3</v>
      </c>
      <c r="Z266" s="886">
        <f>Y266/(1-'Common input data'!$B$182)</f>
        <v>9.3416974028371312E-3</v>
      </c>
      <c r="AA266" s="877"/>
      <c r="AB266" s="879">
        <f>SUMPRODUCT('Input data processed products'!$D74:$AE74,'Input data processed products'!D$87:AE$87)/$AC$2</f>
        <v>4.9734183356407578E-2</v>
      </c>
      <c r="AC266" s="877">
        <f>AB266/(1-'Common input data'!$B$166)</f>
        <v>5.0749166690211817E-2</v>
      </c>
      <c r="AD266" s="886">
        <f>AC266/(1-'Common input data'!$B$182)</f>
        <v>5.8332375505990595E-2</v>
      </c>
      <c r="AE266" s="877"/>
      <c r="AF266" s="879">
        <f>SUMPRODUCT('Input data processed products'!$D74:$AE74,'Input data processed products'!D$88:AE$88)</f>
        <v>1.7972161802600877E-11</v>
      </c>
      <c r="AG266" s="877">
        <f>AF266/(1-'Common input data'!$B$166)</f>
        <v>1.8338940614898855E-11</v>
      </c>
      <c r="AH266" s="886">
        <f>AG266/(1-'Common input data'!$B$182)</f>
        <v>2.1079242086090637E-11</v>
      </c>
      <c r="AI266" s="877"/>
      <c r="AJ266" s="879">
        <f>SUMPRODUCT('Input data processed products'!$D74:$AE74,'Input data processed products'!D$89:AE$89)</f>
        <v>1.7972161802600877E-11</v>
      </c>
      <c r="AK266" s="877">
        <f>AJ266/(1-'Common input data'!$B$166)</f>
        <v>1.8338940614898855E-11</v>
      </c>
      <c r="AL266" s="886">
        <f>AK266/(1-'Common input data'!$B$182)</f>
        <v>2.1079242086090637E-11</v>
      </c>
      <c r="AM266" s="877"/>
      <c r="AN266" s="879">
        <f>SUMPRODUCT('Input data processed products'!$D74:$AE74,'Input data processed products'!D$90:AE$90)</f>
        <v>1.7972161802600877E-11</v>
      </c>
      <c r="AO266" s="877">
        <f>AN266/(1-'Common input data'!$B$166)</f>
        <v>1.8338940614898855E-11</v>
      </c>
      <c r="AP266" s="886">
        <f>AO266/(1-'Common input data'!$B$182)</f>
        <v>2.1079242086090637E-11</v>
      </c>
      <c r="AQ266" s="877"/>
      <c r="AR266" s="877"/>
      <c r="AS266" s="877"/>
    </row>
    <row r="267" spans="1:45">
      <c r="A267" s="68"/>
      <c r="B267" s="50"/>
      <c r="C267" s="174" t="s">
        <v>317</v>
      </c>
      <c r="D267" s="511"/>
      <c r="E267" s="174"/>
      <c r="F267" s="878">
        <f>SUM(G267:J267)</f>
        <v>1.1146651666379999</v>
      </c>
      <c r="G267" s="928">
        <v>0.43466516663799998</v>
      </c>
      <c r="H267" s="877">
        <v>0.5</v>
      </c>
      <c r="I267" s="877">
        <f>'Common input data'!$B$107</f>
        <v>0.05</v>
      </c>
      <c r="J267" s="886">
        <f>'Common input data'!$B$116+'Common input data'!$C$116</f>
        <v>0.13</v>
      </c>
      <c r="K267" s="877"/>
      <c r="L267" s="879"/>
      <c r="M267" s="877"/>
      <c r="N267" s="886"/>
      <c r="O267" s="877"/>
      <c r="P267" s="879"/>
      <c r="Q267" s="877"/>
      <c r="R267" s="886"/>
      <c r="S267" s="877"/>
      <c r="T267" s="879"/>
      <c r="U267" s="877"/>
      <c r="V267" s="886"/>
      <c r="W267" s="877"/>
      <c r="X267" s="879"/>
      <c r="Y267" s="877"/>
      <c r="Z267" s="886"/>
      <c r="AA267" s="877"/>
      <c r="AB267" s="879"/>
      <c r="AC267" s="877"/>
      <c r="AD267" s="886"/>
      <c r="AE267" s="877"/>
      <c r="AF267" s="879"/>
      <c r="AG267" s="877"/>
      <c r="AH267" s="886"/>
      <c r="AI267" s="877"/>
      <c r="AJ267" s="879"/>
      <c r="AK267" s="877"/>
      <c r="AL267" s="886"/>
      <c r="AM267" s="877"/>
      <c r="AN267" s="879"/>
      <c r="AO267" s="877"/>
      <c r="AP267" s="886"/>
      <c r="AQ267" s="877"/>
      <c r="AR267" s="877"/>
      <c r="AS267" s="877"/>
    </row>
    <row r="268" spans="1:45">
      <c r="A268" s="359"/>
      <c r="B268" s="54"/>
      <c r="C268" s="174" t="s">
        <v>321</v>
      </c>
      <c r="D268" s="511"/>
      <c r="E268" s="174"/>
      <c r="F268" s="878">
        <f>SUM(G268:J268)</f>
        <v>0</v>
      </c>
      <c r="G268" s="928">
        <v>0</v>
      </c>
      <c r="H268" s="877">
        <v>0</v>
      </c>
      <c r="I268" s="877">
        <v>0</v>
      </c>
      <c r="J268" s="886">
        <v>0</v>
      </c>
      <c r="K268" s="877"/>
      <c r="L268" s="879"/>
      <c r="M268" s="877"/>
      <c r="N268" s="886"/>
      <c r="O268" s="877"/>
      <c r="P268" s="879"/>
      <c r="Q268" s="877"/>
      <c r="R268" s="886"/>
      <c r="S268" s="877"/>
      <c r="T268" s="879"/>
      <c r="U268" s="877"/>
      <c r="V268" s="886"/>
      <c r="W268" s="877"/>
      <c r="X268" s="879"/>
      <c r="Y268" s="877"/>
      <c r="Z268" s="886"/>
      <c r="AA268" s="877"/>
      <c r="AB268" s="879"/>
      <c r="AC268" s="877"/>
      <c r="AD268" s="886"/>
      <c r="AE268" s="877"/>
      <c r="AF268" s="879"/>
      <c r="AG268" s="877"/>
      <c r="AH268" s="886"/>
      <c r="AI268" s="877"/>
      <c r="AJ268" s="879"/>
      <c r="AK268" s="877"/>
      <c r="AL268" s="886"/>
      <c r="AM268" s="877"/>
      <c r="AN268" s="879"/>
      <c r="AO268" s="877"/>
      <c r="AP268" s="886"/>
      <c r="AQ268" s="877"/>
      <c r="AR268" s="877"/>
      <c r="AS268" s="877"/>
    </row>
    <row r="269" spans="1:45">
      <c r="A269" s="359"/>
      <c r="B269" s="54"/>
      <c r="C269" s="174" t="s">
        <v>319</v>
      </c>
      <c r="D269" s="511"/>
      <c r="E269" s="174"/>
      <c r="F269" s="878">
        <f>SUM(G269:J269)</f>
        <v>1.1074497650829999E-3</v>
      </c>
      <c r="G269" s="928">
        <v>1.1074497650829999E-3</v>
      </c>
      <c r="H269" s="877">
        <v>0</v>
      </c>
      <c r="I269" s="877">
        <v>0</v>
      </c>
      <c r="J269" s="886">
        <v>0</v>
      </c>
      <c r="K269" s="877"/>
      <c r="L269" s="879"/>
      <c r="M269" s="877"/>
      <c r="N269" s="886"/>
      <c r="O269" s="877"/>
      <c r="P269" s="879"/>
      <c r="Q269" s="877"/>
      <c r="R269" s="886"/>
      <c r="S269" s="877"/>
      <c r="T269" s="879"/>
      <c r="U269" s="877"/>
      <c r="V269" s="886"/>
      <c r="W269" s="877"/>
      <c r="X269" s="879"/>
      <c r="Y269" s="877"/>
      <c r="Z269" s="886"/>
      <c r="AA269" s="877"/>
      <c r="AB269" s="879"/>
      <c r="AC269" s="877"/>
      <c r="AD269" s="886"/>
      <c r="AE269" s="877"/>
      <c r="AF269" s="879"/>
      <c r="AG269" s="877"/>
      <c r="AH269" s="886"/>
      <c r="AI269" s="877"/>
      <c r="AJ269" s="879"/>
      <c r="AK269" s="877"/>
      <c r="AL269" s="886"/>
      <c r="AM269" s="877"/>
      <c r="AN269" s="879"/>
      <c r="AO269" s="877"/>
      <c r="AP269" s="886"/>
      <c r="AQ269" s="877"/>
      <c r="AR269" s="877"/>
      <c r="AS269" s="877"/>
    </row>
    <row r="270" spans="1:45">
      <c r="A270" s="359"/>
      <c r="B270" s="54"/>
      <c r="C270" s="55" t="s">
        <v>320</v>
      </c>
      <c r="D270" s="512"/>
      <c r="E270" s="55"/>
      <c r="F270" s="878">
        <f>SUM(G270:J270)</f>
        <v>5.9178049458336003E-4</v>
      </c>
      <c r="G270" s="928">
        <v>5.9178049458336003E-4</v>
      </c>
      <c r="H270" s="877">
        <v>0</v>
      </c>
      <c r="I270" s="877">
        <v>0</v>
      </c>
      <c r="J270" s="886">
        <v>0</v>
      </c>
      <c r="K270" s="877"/>
      <c r="L270" s="879"/>
      <c r="M270" s="877"/>
      <c r="N270" s="886"/>
      <c r="O270" s="877"/>
      <c r="P270" s="879"/>
      <c r="Q270" s="877"/>
      <c r="R270" s="886"/>
      <c r="S270" s="877"/>
      <c r="T270" s="879"/>
      <c r="U270" s="877"/>
      <c r="V270" s="886"/>
      <c r="W270" s="877"/>
      <c r="X270" s="879"/>
      <c r="Y270" s="877"/>
      <c r="Z270" s="886"/>
      <c r="AA270" s="877"/>
      <c r="AB270" s="879"/>
      <c r="AC270" s="877"/>
      <c r="AD270" s="886"/>
      <c r="AE270" s="877"/>
      <c r="AF270" s="879"/>
      <c r="AG270" s="877"/>
      <c r="AH270" s="886"/>
      <c r="AI270" s="877"/>
      <c r="AJ270" s="879"/>
      <c r="AK270" s="877"/>
      <c r="AL270" s="886"/>
      <c r="AM270" s="877"/>
      <c r="AN270" s="879"/>
      <c r="AO270" s="877"/>
      <c r="AP270" s="886"/>
      <c r="AQ270" s="877"/>
      <c r="AR270" s="877"/>
      <c r="AS270" s="877"/>
    </row>
    <row r="271" spans="1:45">
      <c r="A271" s="108" t="s">
        <v>125</v>
      </c>
      <c r="B271" s="170">
        <v>2.8251393492417121E-2</v>
      </c>
      <c r="C271" s="355" t="s">
        <v>316</v>
      </c>
      <c r="D271" s="513"/>
      <c r="E271" s="355"/>
      <c r="F271" s="873">
        <f>SUMPRODUCT($AX$3:$AX$6,F272:F275)</f>
        <v>1.3577550357718129</v>
      </c>
      <c r="G271" s="1277"/>
      <c r="H271" s="884"/>
      <c r="I271" s="884"/>
      <c r="J271" s="885"/>
      <c r="K271" s="877"/>
      <c r="L271" s="879">
        <f>SUMPRODUCT('Input data processed products'!$D75:$AE75,'Input data processed products'!D$83:AE$83)</f>
        <v>1.6581206029453703</v>
      </c>
      <c r="M271" s="877">
        <f>L271/(1-'Common input data'!$B$166)</f>
        <v>1.6919597989238473</v>
      </c>
      <c r="N271" s="886">
        <f>M271/(1-'Common input data'!$B$182)</f>
        <v>1.9447813780733878</v>
      </c>
      <c r="O271" s="877"/>
      <c r="P271" s="879">
        <f>SUMPRODUCT('Input data processed products'!$D75:$AE75,'Input data processed products'!D$84:AE$84)</f>
        <v>0</v>
      </c>
      <c r="Q271" s="877">
        <f>P271/(1-'Common input data'!$B$166)</f>
        <v>0</v>
      </c>
      <c r="R271" s="886">
        <f>Q271/(1-'Common input data'!$B$182)</f>
        <v>0</v>
      </c>
      <c r="S271" s="877"/>
      <c r="T271" s="879">
        <f>SUMPRODUCT('Input data processed products'!$D75:$AE75,'Input data processed products'!D$85:AE$85)</f>
        <v>1.749921202503656E-2</v>
      </c>
      <c r="U271" s="877">
        <f>T271/(1-'Common input data'!$B$166)</f>
        <v>1.7856338801057716E-2</v>
      </c>
      <c r="V271" s="886">
        <f>U271/(1-'Common input data'!$B$182)</f>
        <v>2.0524527357537604E-2</v>
      </c>
      <c r="W271" s="877"/>
      <c r="X271" s="879">
        <f>SUMPRODUCT('Input data processed products'!$D75:$AE75,'Input data processed products'!D$86:AE$86)</f>
        <v>7.964731205658937E-3</v>
      </c>
      <c r="Y271" s="877">
        <f>X271/(1-'Common input data'!$B$166)</f>
        <v>8.127276740468304E-3</v>
      </c>
      <c r="Z271" s="886">
        <f>Y271/(1-'Common input data'!$B$182)</f>
        <v>9.3416974028371312E-3</v>
      </c>
      <c r="AA271" s="877"/>
      <c r="AB271" s="879">
        <f>SUMPRODUCT('Input data processed products'!$D75:$AE75,'Input data processed products'!D$87:AE$87)/$AC$2</f>
        <v>4.9734183356407578E-2</v>
      </c>
      <c r="AC271" s="877">
        <f>AB271/(1-'Common input data'!$B$166)</f>
        <v>5.0749166690211817E-2</v>
      </c>
      <c r="AD271" s="886">
        <f>AC271/(1-'Common input data'!$B$182)</f>
        <v>5.8332375505990595E-2</v>
      </c>
      <c r="AE271" s="877"/>
      <c r="AF271" s="879">
        <f>SUMPRODUCT('Input data processed products'!$D75:$AE75,'Input data processed products'!D$88:AE$88)</f>
        <v>1.7972161802600877E-11</v>
      </c>
      <c r="AG271" s="877">
        <f>AF271/(1-'Common input data'!$B$166)</f>
        <v>1.8338940614898855E-11</v>
      </c>
      <c r="AH271" s="886">
        <f>AG271/(1-'Common input data'!$B$182)</f>
        <v>2.1079242086090637E-11</v>
      </c>
      <c r="AI271" s="877"/>
      <c r="AJ271" s="879">
        <f>SUMPRODUCT('Input data processed products'!$D75:$AE75,'Input data processed products'!D$89:AE$89)</f>
        <v>1.7972161802600877E-11</v>
      </c>
      <c r="AK271" s="877">
        <f>AJ271/(1-'Common input data'!$B$166)</f>
        <v>1.8338940614898855E-11</v>
      </c>
      <c r="AL271" s="886">
        <f>AK271/(1-'Common input data'!$B$182)</f>
        <v>2.1079242086090637E-11</v>
      </c>
      <c r="AM271" s="877"/>
      <c r="AN271" s="879">
        <f>SUMPRODUCT('Input data processed products'!$D75:$AE75,'Input data processed products'!D$90:AE$90)</f>
        <v>1.7972161802600877E-11</v>
      </c>
      <c r="AO271" s="877">
        <f>AN271/(1-'Common input data'!$B$166)</f>
        <v>1.8338940614898855E-11</v>
      </c>
      <c r="AP271" s="886">
        <f>AO271/(1-'Common input data'!$B$182)</f>
        <v>2.1079242086090637E-11</v>
      </c>
      <c r="AQ271" s="877"/>
      <c r="AR271" s="877"/>
      <c r="AS271" s="877"/>
    </row>
    <row r="272" spans="1:45">
      <c r="A272" s="68"/>
      <c r="B272" s="50"/>
      <c r="C272" s="174" t="s">
        <v>317</v>
      </c>
      <c r="D272" s="511"/>
      <c r="E272" s="174"/>
      <c r="F272" s="878">
        <f>SUM(G272:J272)</f>
        <v>1.2146651666379999</v>
      </c>
      <c r="G272" s="928">
        <v>0.43466516663799998</v>
      </c>
      <c r="H272" s="877">
        <v>0.5</v>
      </c>
      <c r="I272" s="877">
        <f>'Common input data'!$B$107</f>
        <v>0.05</v>
      </c>
      <c r="J272" s="886">
        <f>'Common input data'!$B$119+'Common input data'!$C$119</f>
        <v>0.23000000000000004</v>
      </c>
      <c r="K272" s="877"/>
      <c r="L272" s="879"/>
      <c r="M272" s="877"/>
      <c r="N272" s="886"/>
      <c r="O272" s="877"/>
      <c r="P272" s="879"/>
      <c r="Q272" s="877"/>
      <c r="R272" s="886"/>
      <c r="S272" s="877"/>
      <c r="T272" s="879"/>
      <c r="U272" s="877"/>
      <c r="V272" s="886"/>
      <c r="W272" s="877"/>
      <c r="X272" s="879"/>
      <c r="Y272" s="877"/>
      <c r="Z272" s="886"/>
      <c r="AA272" s="877"/>
      <c r="AB272" s="879"/>
      <c r="AC272" s="877"/>
      <c r="AD272" s="886"/>
      <c r="AE272" s="877"/>
      <c r="AF272" s="879"/>
      <c r="AG272" s="877"/>
      <c r="AH272" s="886"/>
      <c r="AI272" s="877"/>
      <c r="AJ272" s="879"/>
      <c r="AK272" s="877"/>
      <c r="AL272" s="886"/>
      <c r="AM272" s="877"/>
      <c r="AN272" s="879"/>
      <c r="AO272" s="877"/>
      <c r="AP272" s="886"/>
      <c r="AQ272" s="877"/>
      <c r="AR272" s="877"/>
      <c r="AS272" s="877"/>
    </row>
    <row r="273" spans="1:47">
      <c r="A273" s="359"/>
      <c r="B273" s="54"/>
      <c r="C273" s="174" t="s">
        <v>321</v>
      </c>
      <c r="D273" s="511"/>
      <c r="E273" s="174"/>
      <c r="F273" s="878">
        <f>SUM(G273:J273)</f>
        <v>0</v>
      </c>
      <c r="G273" s="928">
        <v>0</v>
      </c>
      <c r="H273" s="877">
        <v>0</v>
      </c>
      <c r="I273" s="877">
        <v>0</v>
      </c>
      <c r="J273" s="886">
        <v>0</v>
      </c>
      <c r="K273" s="877"/>
      <c r="L273" s="879"/>
      <c r="M273" s="877"/>
      <c r="N273" s="886"/>
      <c r="O273" s="877"/>
      <c r="P273" s="879"/>
      <c r="Q273" s="877"/>
      <c r="R273" s="886"/>
      <c r="S273" s="877"/>
      <c r="T273" s="879"/>
      <c r="U273" s="877"/>
      <c r="V273" s="886"/>
      <c r="W273" s="877"/>
      <c r="X273" s="879"/>
      <c r="Y273" s="877"/>
      <c r="Z273" s="886"/>
      <c r="AA273" s="877"/>
      <c r="AB273" s="879"/>
      <c r="AC273" s="877"/>
      <c r="AD273" s="886"/>
      <c r="AE273" s="877"/>
      <c r="AF273" s="879"/>
      <c r="AG273" s="877"/>
      <c r="AH273" s="886"/>
      <c r="AI273" s="877"/>
      <c r="AJ273" s="879"/>
      <c r="AK273" s="877"/>
      <c r="AL273" s="886"/>
      <c r="AM273" s="877"/>
      <c r="AN273" s="879"/>
      <c r="AO273" s="877"/>
      <c r="AP273" s="886"/>
      <c r="AQ273" s="877"/>
      <c r="AR273" s="877"/>
      <c r="AS273" s="877"/>
    </row>
    <row r="274" spans="1:47">
      <c r="A274" s="359"/>
      <c r="B274" s="54"/>
      <c r="C274" s="174" t="s">
        <v>319</v>
      </c>
      <c r="D274" s="511"/>
      <c r="E274" s="174"/>
      <c r="F274" s="878">
        <f>SUM(G274:J274)</f>
        <v>1.1074497650829999E-3</v>
      </c>
      <c r="G274" s="928">
        <v>1.1074497650829999E-3</v>
      </c>
      <c r="H274" s="877">
        <v>0</v>
      </c>
      <c r="I274" s="877">
        <v>0</v>
      </c>
      <c r="J274" s="886">
        <v>0</v>
      </c>
      <c r="K274" s="877"/>
      <c r="L274" s="1320"/>
      <c r="M274" s="1315"/>
      <c r="N274" s="886"/>
      <c r="O274" s="877"/>
      <c r="P274" s="1320"/>
      <c r="Q274" s="1315"/>
      <c r="R274" s="886"/>
      <c r="S274" s="877"/>
      <c r="T274" s="1320"/>
      <c r="U274" s="1315"/>
      <c r="V274" s="886"/>
      <c r="W274" s="877"/>
      <c r="X274" s="1320"/>
      <c r="Y274" s="1315"/>
      <c r="Z274" s="886"/>
      <c r="AA274" s="877"/>
      <c r="AB274" s="1320"/>
      <c r="AC274" s="1315"/>
      <c r="AD274" s="886"/>
      <c r="AE274" s="877"/>
      <c r="AF274" s="1320"/>
      <c r="AG274" s="1315"/>
      <c r="AH274" s="886"/>
      <c r="AI274" s="877"/>
      <c r="AJ274" s="1320"/>
      <c r="AK274" s="1315"/>
      <c r="AL274" s="886"/>
      <c r="AM274" s="877"/>
      <c r="AN274" s="1320"/>
      <c r="AO274" s="1315"/>
      <c r="AP274" s="886"/>
    </row>
    <row r="275" spans="1:47" ht="15.75" thickBot="1">
      <c r="A275" s="437"/>
      <c r="B275" s="81"/>
      <c r="C275" s="56" t="s">
        <v>320</v>
      </c>
      <c r="D275" s="519"/>
      <c r="E275" s="520"/>
      <c r="F275" s="895">
        <f>SUM(G275:J275)</f>
        <v>5.9178049458336003E-4</v>
      </c>
      <c r="G275" s="932">
        <v>5.9178049458336003E-4</v>
      </c>
      <c r="H275" s="896">
        <v>0</v>
      </c>
      <c r="I275" s="896">
        <v>0</v>
      </c>
      <c r="J275" s="897">
        <v>0</v>
      </c>
      <c r="K275" s="877"/>
      <c r="L275" s="1321"/>
      <c r="M275" s="1322"/>
      <c r="N275" s="897"/>
      <c r="O275" s="877"/>
      <c r="P275" s="1321"/>
      <c r="Q275" s="1322"/>
      <c r="R275" s="897"/>
      <c r="S275" s="877"/>
      <c r="T275" s="1321"/>
      <c r="U275" s="1322"/>
      <c r="V275" s="897"/>
      <c r="W275" s="877"/>
      <c r="X275" s="1321"/>
      <c r="Y275" s="1322"/>
      <c r="Z275" s="897"/>
      <c r="AA275" s="877"/>
      <c r="AB275" s="1321"/>
      <c r="AC275" s="1322"/>
      <c r="AD275" s="897"/>
      <c r="AE275" s="877"/>
      <c r="AF275" s="1321"/>
      <c r="AG275" s="1322"/>
      <c r="AH275" s="897"/>
      <c r="AI275" s="877"/>
      <c r="AJ275" s="1321"/>
      <c r="AK275" s="1322"/>
      <c r="AL275" s="897"/>
      <c r="AM275" s="877"/>
      <c r="AN275" s="1321"/>
      <c r="AO275" s="1322"/>
      <c r="AP275" s="897"/>
    </row>
    <row r="276" spans="1:47">
      <c r="L276" s="114"/>
      <c r="M276" s="14"/>
    </row>
    <row r="277" spans="1:47">
      <c r="L277" s="29"/>
      <c r="M277" s="14"/>
    </row>
    <row r="278" spans="1:47">
      <c r="L278" s="29"/>
      <c r="M278" s="14"/>
    </row>
    <row r="279" spans="1:47">
      <c r="L279" s="29"/>
      <c r="M279" s="14"/>
    </row>
    <row r="280" spans="1:47">
      <c r="L280" s="29"/>
      <c r="M280" s="14"/>
    </row>
    <row r="282" spans="1:47">
      <c r="C282" s="149"/>
      <c r="D282" s="804"/>
      <c r="E282" s="804"/>
      <c r="F282" s="804"/>
      <c r="G282" s="149"/>
      <c r="H282" s="149"/>
      <c r="I282" s="149"/>
      <c r="J282" s="149"/>
      <c r="K282" s="835"/>
    </row>
    <row r="283" spans="1:47">
      <c r="C283" s="106"/>
      <c r="D283" s="106"/>
      <c r="E283" s="435"/>
      <c r="F283" s="435"/>
      <c r="G283" s="5"/>
      <c r="H283" s="5"/>
      <c r="I283" s="5"/>
      <c r="J283" s="5"/>
      <c r="K283" s="5"/>
      <c r="L283" s="29"/>
      <c r="M283" s="14"/>
    </row>
    <row r="284" spans="1:47">
      <c r="C284" s="106"/>
      <c r="D284" s="106"/>
      <c r="E284" s="435"/>
      <c r="F284" s="435"/>
      <c r="G284" s="5"/>
      <c r="H284" s="5"/>
      <c r="I284" s="5"/>
      <c r="J284" s="5"/>
      <c r="K284" s="5"/>
      <c r="L284" s="29"/>
      <c r="M284" s="14"/>
    </row>
    <row r="285" spans="1:47">
      <c r="C285" s="106"/>
      <c r="D285" s="106"/>
      <c r="E285" s="435"/>
      <c r="F285" s="435"/>
      <c r="G285" s="5"/>
      <c r="H285" s="5"/>
      <c r="I285" s="5"/>
      <c r="J285" s="5"/>
      <c r="K285" s="5"/>
      <c r="L285" s="29"/>
      <c r="M285" s="14"/>
    </row>
    <row r="286" spans="1:47">
      <c r="C286" s="106"/>
      <c r="D286" s="106"/>
      <c r="E286" s="435"/>
      <c r="F286" s="435"/>
      <c r="G286" s="5"/>
      <c r="H286" s="5"/>
      <c r="I286" s="5"/>
      <c r="J286" s="5"/>
      <c r="K286" s="5"/>
    </row>
    <row r="287" spans="1:47">
      <c r="L287" s="147" t="s">
        <v>598</v>
      </c>
      <c r="M287" s="10" t="s">
        <v>122</v>
      </c>
      <c r="N287" s="11">
        <v>1</v>
      </c>
      <c r="O287" s="31">
        <f>SUMPRODUCT('Input data processed products'!$D71:$AE71,'Input data processed products'!D$83:AE$83)</f>
        <v>3.7038951659242114</v>
      </c>
      <c r="P287" s="1030"/>
      <c r="Q287" s="1030"/>
      <c r="S287" s="31">
        <f>SUMPRODUCT('Input data processed products'!$D71:$AE71,'Input data processed products'!D$84:AE$84)</f>
        <v>0</v>
      </c>
      <c r="T287" s="1030"/>
      <c r="U287" s="1030"/>
      <c r="W287" s="31">
        <f>SUMPRODUCT('Input data processed products'!$D71:$AE71,'Input data processed products'!D$85:AE$85)</f>
        <v>6.6595059076262099E-3</v>
      </c>
      <c r="X287" s="1030"/>
      <c r="Y287" s="1030"/>
      <c r="AA287" s="31">
        <f>SUMPRODUCT('Input data processed products'!$D71:$AE71,'Input data processed products'!D$86:AE$86)</f>
        <v>4.4285714285714293E-3</v>
      </c>
      <c r="AB287" s="1030"/>
      <c r="AC287" s="1030"/>
      <c r="AE287" s="31">
        <f>SUMPRODUCT('Input data processed products'!$D71:$AE71,'Input data processed products'!D$87:AE$87)</f>
        <v>0.28832450743594806</v>
      </c>
      <c r="AF287" s="1030"/>
      <c r="AG287" s="1030"/>
      <c r="AI287" s="31">
        <f>SUMPRODUCT('Input data processed products'!$D71:$AE71,'Input data processed products'!D$88:AE$88)</f>
        <v>1.3194501907128467E-9</v>
      </c>
      <c r="AJ287" s="1030"/>
      <c r="AK287" s="1030"/>
      <c r="AM287" s="31">
        <f>SUMPRODUCT('Input data processed products'!$D71:$AE71,'Input data processed products'!D$89:AE$89)</f>
        <v>3.2128564144625897E-3</v>
      </c>
      <c r="AN287" s="1030"/>
      <c r="AO287" s="1030"/>
      <c r="AQ287" s="31">
        <f>SUMPRODUCT('Input data processed products'!$D71:$AE71,'Input data processed products'!D$90:AE$90)</f>
        <v>1.7004204664585005E-4</v>
      </c>
      <c r="AR287" s="1030"/>
      <c r="AS287" s="1030"/>
      <c r="AT287" s="1030"/>
      <c r="AU287" s="1030"/>
    </row>
    <row r="288" spans="1:47">
      <c r="L288" s="28"/>
      <c r="M288" s="14"/>
      <c r="N288" s="15"/>
      <c r="O288" s="31"/>
      <c r="P288" s="1030"/>
      <c r="Q288" s="1030"/>
      <c r="R288" s="515"/>
      <c r="S288" s="31"/>
      <c r="T288" s="1030"/>
      <c r="U288" s="1030"/>
      <c r="V288" s="515"/>
      <c r="W288" s="31"/>
      <c r="X288" s="1030"/>
      <c r="Y288" s="1030"/>
      <c r="Z288" s="515"/>
      <c r="AA288" s="31"/>
      <c r="AB288" s="1030"/>
      <c r="AC288" s="1030"/>
      <c r="AD288" s="515"/>
      <c r="AE288" s="31"/>
      <c r="AF288" s="1030"/>
      <c r="AG288" s="1030"/>
      <c r="AH288" s="515"/>
      <c r="AI288" s="31"/>
      <c r="AJ288" s="1030"/>
      <c r="AK288" s="1030"/>
      <c r="AL288" s="515"/>
      <c r="AM288" s="31"/>
      <c r="AN288" s="1030"/>
      <c r="AO288" s="1030"/>
      <c r="AP288" s="515"/>
      <c r="AQ288" s="31"/>
      <c r="AR288" s="1030"/>
      <c r="AS288" s="1030"/>
      <c r="AT288" s="1030"/>
      <c r="AU288" s="1030"/>
    </row>
    <row r="289" spans="12:47">
      <c r="L289" s="147" t="s">
        <v>599</v>
      </c>
      <c r="M289" s="10" t="s">
        <v>122</v>
      </c>
      <c r="N289" s="11">
        <v>0.76</v>
      </c>
      <c r="O289" s="31">
        <f>SUMPRODUCT('Input data processed products'!$D34:$AE34,'Input data processed products'!D$83:AE$83)</f>
        <v>0.36074251598655127</v>
      </c>
      <c r="P289" s="1030"/>
      <c r="Q289" s="1030"/>
      <c r="S289" s="31">
        <f>SUMPRODUCT('Input data processed products'!$D34:$AE34,'Input data processed products'!D$84:AE$84)</f>
        <v>0</v>
      </c>
      <c r="T289" s="1030"/>
      <c r="U289" s="1030"/>
      <c r="W289" s="31">
        <f>SUMPRODUCT('Input data processed products'!$D34:$AE34,'Input data processed products'!D$85:AE$85)</f>
        <v>3.3115195543235434E-3</v>
      </c>
      <c r="X289" s="1030"/>
      <c r="Y289" s="1030"/>
      <c r="AA289" s="31">
        <f>SUMPRODUCT('Input data processed products'!$D34:$AE34,'Input data processed products'!D$86:AE$86)</f>
        <v>1.9854278560152923E-4</v>
      </c>
      <c r="AB289" s="1030"/>
      <c r="AC289" s="1030"/>
      <c r="AE289" s="31">
        <f>SUMPRODUCT('Input data processed products'!$D34:$AE34,'Input data processed products'!D$87:AE$87)</f>
        <v>8.6499999999999999E-4</v>
      </c>
      <c r="AF289" s="1030"/>
      <c r="AG289" s="1030"/>
      <c r="AI289" s="31">
        <f>SUMPRODUCT('Input data processed products'!$D34:$AE34,'Input data processed products'!D$88:AE$88)</f>
        <v>2.5518547048243752E-12</v>
      </c>
      <c r="AJ289" s="1030"/>
      <c r="AK289" s="1030"/>
      <c r="AM289" s="31">
        <f>SUMPRODUCT('Input data processed products'!$D34:$AE34,'Input data processed products'!D$89:AE$89)</f>
        <v>2.3430343297935697E-5</v>
      </c>
      <c r="AN289" s="1030"/>
      <c r="AO289" s="1030"/>
      <c r="AQ289" s="31">
        <f>SUMPRODUCT('Input data processed products'!$D34:$AE34,'Input data processed products'!D$90:AE$90)</f>
        <v>2.8031631318943344E-4</v>
      </c>
      <c r="AR289" s="1030"/>
      <c r="AS289" s="1030"/>
      <c r="AT289" s="1030"/>
      <c r="AU289" s="1030"/>
    </row>
    <row r="290" spans="12:47">
      <c r="L290" s="28"/>
      <c r="M290" s="14"/>
      <c r="N290" s="15"/>
      <c r="O290" s="31"/>
      <c r="P290" s="1030"/>
      <c r="Q290" s="1030"/>
      <c r="S290" s="31"/>
      <c r="T290" s="1030"/>
      <c r="U290" s="1030"/>
      <c r="W290" s="31"/>
      <c r="X290" s="1030"/>
      <c r="Y290" s="1030"/>
      <c r="AA290" s="31"/>
      <c r="AB290" s="1030"/>
      <c r="AC290" s="1030"/>
      <c r="AE290" s="31"/>
      <c r="AF290" s="1030"/>
      <c r="AG290" s="1030"/>
      <c r="AI290" s="31"/>
      <c r="AJ290" s="1030"/>
      <c r="AK290" s="1030"/>
      <c r="AM290" s="31"/>
      <c r="AN290" s="1030"/>
      <c r="AO290" s="1030"/>
      <c r="AQ290" s="31"/>
      <c r="AR290" s="1030"/>
      <c r="AS290" s="1030"/>
      <c r="AT290" s="1030"/>
      <c r="AU290" s="1030"/>
    </row>
    <row r="292" spans="12:47">
      <c r="L292" s="28"/>
      <c r="M292" s="14"/>
      <c r="N292" s="15"/>
      <c r="O292" s="31"/>
      <c r="P292" s="1030"/>
      <c r="Q292" s="1030"/>
      <c r="S292" s="31"/>
      <c r="T292" s="1030"/>
      <c r="U292" s="1030"/>
      <c r="W292" s="31"/>
      <c r="X292" s="1030"/>
      <c r="Y292" s="1030"/>
      <c r="AA292" s="31"/>
      <c r="AB292" s="1030"/>
      <c r="AC292" s="1030"/>
      <c r="AE292" s="31"/>
      <c r="AF292" s="1030"/>
      <c r="AG292" s="1030"/>
      <c r="AI292" s="31"/>
      <c r="AJ292" s="1030"/>
      <c r="AK292" s="1030"/>
      <c r="AM292" s="31"/>
      <c r="AN292" s="1030"/>
      <c r="AO292" s="1030"/>
      <c r="AQ292" s="31"/>
      <c r="AR292" s="1030"/>
      <c r="AS292" s="1030"/>
      <c r="AT292" s="1030"/>
      <c r="AU292" s="1030"/>
    </row>
    <row r="294" spans="12:47">
      <c r="L294" s="28"/>
      <c r="M294" s="14" t="s">
        <v>176</v>
      </c>
      <c r="N294" s="15">
        <v>0.09</v>
      </c>
      <c r="O294" s="31">
        <f>SUMPRODUCT('Input data processed products'!$D35:$AE35,'Input data processed products'!D$83:AE$83)</f>
        <v>0.36074251598655127</v>
      </c>
      <c r="P294" s="1030"/>
      <c r="Q294" s="1030"/>
      <c r="S294" s="31">
        <f>SUMPRODUCT('Input data processed products'!$D35:$AE35,'Input data processed products'!D$84:AE$84)</f>
        <v>0</v>
      </c>
      <c r="T294" s="1030"/>
      <c r="U294" s="1030"/>
      <c r="W294" s="31">
        <f>SUMPRODUCT('Input data processed products'!$D35:$AE35,'Input data processed products'!D$85:AE$85)</f>
        <v>3.3115195543235434E-3</v>
      </c>
      <c r="X294" s="1030"/>
      <c r="Y294" s="1030"/>
      <c r="AA294" s="31">
        <f>SUMPRODUCT('Input data processed products'!$D35:$AE35,'Input data processed products'!D$86:AE$86)</f>
        <v>1.9854278560152923E-4</v>
      </c>
      <c r="AB294" s="1030"/>
      <c r="AC294" s="1030"/>
      <c r="AE294" s="31">
        <f>SUMPRODUCT('Input data processed products'!$D35:$AE35,'Input data processed products'!D$87:AE$87)</f>
        <v>8.6499999999999999E-4</v>
      </c>
      <c r="AF294" s="1030"/>
      <c r="AG294" s="1030"/>
      <c r="AI294" s="31">
        <f>SUMPRODUCT('Input data processed products'!$D35:$AE35,'Input data processed products'!D$88:AE$88)</f>
        <v>2.5518547048243752E-12</v>
      </c>
      <c r="AJ294" s="1030"/>
      <c r="AK294" s="1030"/>
      <c r="AM294" s="31">
        <f>SUMPRODUCT('Input data processed products'!$D35:$AE35,'Input data processed products'!D$89:AE$89)</f>
        <v>2.3430343297935697E-5</v>
      </c>
      <c r="AN294" s="1030"/>
      <c r="AO294" s="1030"/>
      <c r="AQ294" s="31">
        <f>SUMPRODUCT('Input data processed products'!$D35:$AE35,'Input data processed products'!D$90:AE$90)</f>
        <v>2.8031631318943344E-4</v>
      </c>
      <c r="AR294" s="1030"/>
      <c r="AS294" s="1030"/>
      <c r="AT294" s="1030"/>
      <c r="AU294" s="1030"/>
    </row>
    <row r="296" spans="12:47">
      <c r="L296" s="28"/>
      <c r="M296" s="14"/>
      <c r="N296" s="15"/>
      <c r="O296" s="31"/>
      <c r="P296" s="1030"/>
      <c r="Q296" s="1030"/>
      <c r="S296" s="31"/>
      <c r="T296" s="1030"/>
      <c r="U296" s="1030"/>
      <c r="W296" s="31"/>
      <c r="X296" s="1030"/>
      <c r="Y296" s="1030"/>
      <c r="AA296" s="31"/>
      <c r="AB296" s="1030"/>
      <c r="AC296" s="1030"/>
      <c r="AE296" s="31"/>
      <c r="AF296" s="1030"/>
      <c r="AG296" s="1030"/>
      <c r="AI296" s="31"/>
      <c r="AJ296" s="1030"/>
      <c r="AK296" s="1030"/>
      <c r="AM296" s="31"/>
      <c r="AN296" s="1030"/>
      <c r="AO296" s="1030"/>
      <c r="AQ296" s="31"/>
      <c r="AR296" s="1030"/>
      <c r="AS296" s="1030"/>
      <c r="AT296" s="1030"/>
      <c r="AU296" s="1030"/>
    </row>
    <row r="298" spans="12:47">
      <c r="L298" s="28"/>
      <c r="M298" s="14"/>
      <c r="N298" s="15"/>
      <c r="O298" s="31"/>
      <c r="P298" s="1030"/>
      <c r="Q298" s="1030"/>
      <c r="R298" s="515"/>
      <c r="S298" s="31"/>
      <c r="T298" s="1030"/>
      <c r="U298" s="1030"/>
      <c r="V298" s="515"/>
      <c r="W298" s="31"/>
      <c r="X298" s="1030"/>
      <c r="Y298" s="1030"/>
      <c r="Z298" s="515"/>
      <c r="AA298" s="31"/>
      <c r="AB298" s="1030"/>
      <c r="AC298" s="1030"/>
      <c r="AD298" s="515"/>
      <c r="AE298" s="31"/>
      <c r="AF298" s="1030"/>
      <c r="AG298" s="1030"/>
      <c r="AH298" s="515"/>
      <c r="AI298" s="31"/>
      <c r="AJ298" s="1030"/>
      <c r="AK298" s="1030"/>
      <c r="AL298" s="515"/>
      <c r="AM298" s="31"/>
      <c r="AN298" s="1030"/>
      <c r="AO298" s="1030"/>
      <c r="AP298" s="515"/>
      <c r="AQ298" s="31"/>
      <c r="AR298" s="1030"/>
      <c r="AS298" s="1030"/>
      <c r="AT298" s="1030"/>
      <c r="AU298" s="1030"/>
    </row>
    <row r="299" spans="12:47">
      <c r="M299" s="14" t="s">
        <v>125</v>
      </c>
      <c r="N299" s="15">
        <v>0.15</v>
      </c>
      <c r="O299" s="31">
        <f>SUMPRODUCT('Input data processed products'!$D36:$AE36,'Input data processed products'!D$83:AE$83)</f>
        <v>0.36074251598655127</v>
      </c>
      <c r="P299" s="1030"/>
      <c r="Q299" s="1030"/>
      <c r="S299" s="31">
        <f>SUMPRODUCT('Input data processed products'!$D36:$AE36,'Input data processed products'!D$84:AE$84)</f>
        <v>0</v>
      </c>
      <c r="T299" s="1030"/>
      <c r="U299" s="1030"/>
      <c r="W299" s="31">
        <f>SUMPRODUCT('Input data processed products'!$D36:$AE36,'Input data processed products'!D$85:AE$85)</f>
        <v>3.3115195543235434E-3</v>
      </c>
      <c r="X299" s="1030"/>
      <c r="Y299" s="1030"/>
      <c r="AA299" s="31">
        <f>SUMPRODUCT('Input data processed products'!$D36:$AE36,'Input data processed products'!D$86:AE$86)</f>
        <v>1.9854278560152923E-4</v>
      </c>
      <c r="AB299" s="1030"/>
      <c r="AC299" s="1030"/>
      <c r="AE299" s="31">
        <f>SUMPRODUCT('Input data processed products'!$D36:$AE36,'Input data processed products'!D$87:AE$87)</f>
        <v>8.6499999999999999E-4</v>
      </c>
      <c r="AF299" s="1030"/>
      <c r="AG299" s="1030"/>
      <c r="AI299" s="31">
        <f>SUMPRODUCT('Input data processed products'!$D36:$AE36,'Input data processed products'!D$88:AE$88)</f>
        <v>2.5518547048243752E-12</v>
      </c>
      <c r="AJ299" s="1030"/>
      <c r="AK299" s="1030"/>
      <c r="AM299" s="31">
        <f>SUMPRODUCT('Input data processed products'!$D36:$AE36,'Input data processed products'!D$89:AE$89)</f>
        <v>2.3430343297935697E-5</v>
      </c>
      <c r="AN299" s="1030"/>
      <c r="AO299" s="1030"/>
      <c r="AQ299" s="31">
        <f>SUMPRODUCT('Input data processed products'!$D36:$AE36,'Input data processed products'!D$90:AE$90)</f>
        <v>2.8031631318943344E-4</v>
      </c>
      <c r="AR299" s="1030"/>
      <c r="AS299" s="1030"/>
      <c r="AT299" s="1030"/>
      <c r="AU299" s="1030"/>
    </row>
    <row r="300" spans="12:47">
      <c r="L300" s="28"/>
      <c r="M300" s="14"/>
      <c r="N300" s="15"/>
      <c r="O300" s="31"/>
      <c r="P300" s="1030"/>
      <c r="Q300" s="1030"/>
      <c r="S300" s="31"/>
      <c r="T300" s="1030"/>
      <c r="U300" s="1030"/>
      <c r="W300" s="31"/>
      <c r="X300" s="1030"/>
      <c r="Y300" s="1030"/>
      <c r="AA300" s="31"/>
      <c r="AB300" s="1030"/>
      <c r="AC300" s="1030"/>
      <c r="AE300" s="31"/>
      <c r="AF300" s="1030"/>
      <c r="AG300" s="1030"/>
      <c r="AI300" s="31"/>
      <c r="AJ300" s="1030"/>
      <c r="AK300" s="1030"/>
      <c r="AM300" s="31"/>
      <c r="AN300" s="1030"/>
      <c r="AO300" s="1030"/>
      <c r="AQ300" s="31"/>
      <c r="AR300" s="1030"/>
      <c r="AS300" s="1030"/>
      <c r="AT300" s="1030"/>
      <c r="AU300" s="1030"/>
    </row>
    <row r="301" spans="12:47">
      <c r="L301" s="147" t="s">
        <v>600</v>
      </c>
      <c r="M301" s="10" t="s">
        <v>122</v>
      </c>
      <c r="N301" s="11">
        <v>0.76</v>
      </c>
      <c r="O301" s="31">
        <f>SUMPRODUCT('Input data processed products'!$D40:$AE40,'Input data processed products'!D$83:AE$83)</f>
        <v>0.70812419804767468</v>
      </c>
      <c r="P301" s="1030"/>
      <c r="Q301" s="1030"/>
      <c r="S301" s="31">
        <f>SUMPRODUCT('Input data processed products'!$D40:$AE40,'Input data processed products'!D$84:AE$84)</f>
        <v>0</v>
      </c>
      <c r="T301" s="1030"/>
      <c r="U301" s="1030"/>
      <c r="W301" s="31">
        <f>SUMPRODUCT('Input data processed products'!$D40:$AE40,'Input data processed products'!D$85:AE$85)</f>
        <v>6.5003902362647335E-3</v>
      </c>
      <c r="X301" s="1030"/>
      <c r="Y301" s="1030"/>
      <c r="AA301" s="31">
        <f>SUMPRODUCT('Input data processed products'!$D40:$AE40,'Input data processed products'!D$86:AE$86)</f>
        <v>3.897321346992981E-4</v>
      </c>
      <c r="AB301" s="1030"/>
      <c r="AC301" s="1030"/>
      <c r="AE301" s="31">
        <f>SUMPRODUCT('Input data processed products'!$D40:$AE40,'Input data processed products'!D$87:AE$87)</f>
        <v>7.3499999999999998E-4</v>
      </c>
      <c r="AF301" s="1030"/>
      <c r="AG301" s="1030"/>
      <c r="AI301" s="31">
        <f>SUMPRODUCT('Input data processed products'!$D40:$AE40,'Input data processed products'!D$88:AE$88)</f>
        <v>5.0091962724330328E-12</v>
      </c>
      <c r="AJ301" s="1030"/>
      <c r="AK301" s="1030"/>
      <c r="AM301" s="31">
        <f>SUMPRODUCT('Input data processed products'!$D40:$AE40,'Input data processed products'!D$89:AE$89)</f>
        <v>4.5992896103355252E-5</v>
      </c>
      <c r="AN301" s="1030"/>
      <c r="AO301" s="1030"/>
      <c r="AQ301" s="31">
        <f>SUMPRODUCT('Input data processed products'!$D40:$AE40,'Input data processed products'!D$90:AE$90)</f>
        <v>5.5025054070518425E-4</v>
      </c>
      <c r="AR301" s="1030"/>
      <c r="AS301" s="1030"/>
      <c r="AT301" s="1030"/>
      <c r="AU301" s="1030"/>
    </row>
    <row r="302" spans="12:47">
      <c r="L302" s="28"/>
      <c r="M302" s="14" t="s">
        <v>176</v>
      </c>
      <c r="N302" s="15">
        <v>0.09</v>
      </c>
      <c r="O302" s="31">
        <f>SUMPRODUCT('Input data processed products'!$D41:$AE41,'Input data processed products'!D$83:AE$83)</f>
        <v>0.70812419804767468</v>
      </c>
      <c r="P302" s="1030"/>
      <c r="Q302" s="1030"/>
      <c r="S302" s="31">
        <f>SUMPRODUCT('Input data processed products'!$D41:$AE41,'Input data processed products'!D$84:AE$84)</f>
        <v>0</v>
      </c>
      <c r="T302" s="1030"/>
      <c r="U302" s="1030"/>
      <c r="W302" s="31">
        <f>SUMPRODUCT('Input data processed products'!$D41:$AE41,'Input data processed products'!D$85:AE$85)</f>
        <v>6.5003902362647335E-3</v>
      </c>
      <c r="X302" s="1030"/>
      <c r="Y302" s="1030"/>
      <c r="AA302" s="31">
        <f>SUMPRODUCT('Input data processed products'!$D41:$AE41,'Input data processed products'!D$86:AE$86)</f>
        <v>3.897321346992981E-4</v>
      </c>
      <c r="AB302" s="1030"/>
      <c r="AC302" s="1030"/>
      <c r="AE302" s="31">
        <f>SUMPRODUCT('Input data processed products'!$D41:$AE41,'Input data processed products'!D$87:AE$87)</f>
        <v>7.3499999999999998E-4</v>
      </c>
      <c r="AF302" s="1030"/>
      <c r="AG302" s="1030"/>
      <c r="AI302" s="31">
        <f>SUMPRODUCT('Input data processed products'!$D41:$AE41,'Input data processed products'!D$88:AE$88)</f>
        <v>5.0091962724330328E-12</v>
      </c>
      <c r="AJ302" s="1030"/>
      <c r="AK302" s="1030"/>
      <c r="AM302" s="31">
        <f>SUMPRODUCT('Input data processed products'!$D41:$AE41,'Input data processed products'!D$89:AE$89)</f>
        <v>4.5992896103355252E-5</v>
      </c>
      <c r="AN302" s="1030"/>
      <c r="AO302" s="1030"/>
      <c r="AQ302" s="31">
        <f>SUMPRODUCT('Input data processed products'!$D41:$AE41,'Input data processed products'!D$90:AE$90)</f>
        <v>5.5025054070518425E-4</v>
      </c>
      <c r="AR302" s="1030"/>
      <c r="AS302" s="1030"/>
      <c r="AT302" s="1030"/>
      <c r="AU302" s="1030"/>
    </row>
    <row r="303" spans="12:47">
      <c r="L303" s="28"/>
      <c r="M303" s="14" t="s">
        <v>125</v>
      </c>
      <c r="N303" s="15">
        <v>0.15</v>
      </c>
      <c r="O303" s="31">
        <f>SUMPRODUCT('Input data processed products'!$D42:$AE42,'Input data processed products'!D$83:AE$83)</f>
        <v>0.70812419804767468</v>
      </c>
      <c r="P303" s="1030"/>
      <c r="Q303" s="1030"/>
      <c r="R303" s="515"/>
      <c r="S303" s="31">
        <f>SUMPRODUCT('Input data processed products'!$D42:$AE42,'Input data processed products'!D$84:AE$84)</f>
        <v>0</v>
      </c>
      <c r="T303" s="1030"/>
      <c r="U303" s="1030"/>
      <c r="V303" s="515"/>
      <c r="W303" s="31">
        <f>SUMPRODUCT('Input data processed products'!$D42:$AE42,'Input data processed products'!D$85:AE$85)</f>
        <v>6.5003902362647335E-3</v>
      </c>
      <c r="X303" s="1030"/>
      <c r="Y303" s="1030"/>
      <c r="Z303" s="515"/>
      <c r="AA303" s="31">
        <f>SUMPRODUCT('Input data processed products'!$D42:$AE42,'Input data processed products'!D$86:AE$86)</f>
        <v>3.897321346992981E-4</v>
      </c>
      <c r="AB303" s="1030"/>
      <c r="AC303" s="1030"/>
      <c r="AD303" s="515"/>
      <c r="AE303" s="31">
        <f>SUMPRODUCT('Input data processed products'!$D42:$AE42,'Input data processed products'!D$87:AE$87)</f>
        <v>7.3499999999999998E-4</v>
      </c>
      <c r="AF303" s="1030"/>
      <c r="AG303" s="1030"/>
      <c r="AH303" s="515"/>
      <c r="AI303" s="31">
        <f>SUMPRODUCT('Input data processed products'!$D42:$AE42,'Input data processed products'!D$88:AE$88)</f>
        <v>5.0091962724330328E-12</v>
      </c>
      <c r="AJ303" s="1030"/>
      <c r="AK303" s="1030"/>
      <c r="AL303" s="515"/>
      <c r="AM303" s="31">
        <f>SUMPRODUCT('Input data processed products'!$D42:$AE42,'Input data processed products'!D$89:AE$89)</f>
        <v>4.5992896103355252E-5</v>
      </c>
      <c r="AN303" s="1030"/>
      <c r="AO303" s="1030"/>
      <c r="AP303" s="515"/>
      <c r="AQ303" s="31">
        <f>SUMPRODUCT('Input data processed products'!$D42:$AE42,'Input data processed products'!D$90:AE$90)</f>
        <v>5.5025054070518425E-4</v>
      </c>
      <c r="AR303" s="1030"/>
      <c r="AS303" s="1030"/>
      <c r="AT303" s="1030"/>
      <c r="AU303" s="1030"/>
    </row>
  </sheetData>
  <mergeCells count="1">
    <mergeCell ref="G4:H4"/>
  </mergeCells>
  <dataValidations count="2">
    <dataValidation type="list" allowBlank="1" showInputMessage="1" showErrorMessage="1" sqref="E2:E3" xr:uid="{00000000-0002-0000-0A00-000000000000}">
      <formula1>"Yes, No"</formula1>
    </dataValidation>
    <dataValidation type="list" allowBlank="1" showInputMessage="1" showErrorMessage="1" sqref="AC2" xr:uid="{00000000-0002-0000-0A00-000001000000}">
      <formula1>"1,20,100,500"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2000000}">
          <x14:formula1>
            <xm:f>'Common input data'!$A$5:$A$15</xm:f>
          </x14:formula1>
          <xm:sqref>E1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39997558519241921"/>
  </sheetPr>
  <dimension ref="A1:BO246"/>
  <sheetViews>
    <sheetView topLeftCell="A34" workbookViewId="0">
      <selection activeCell="E49" sqref="E49"/>
    </sheetView>
  </sheetViews>
  <sheetFormatPr defaultColWidth="8.7109375" defaultRowHeight="12.75"/>
  <cols>
    <col min="1" max="1" width="51.42578125" style="150" customWidth="1"/>
    <col min="2" max="2" width="33.42578125" style="150" customWidth="1"/>
    <col min="3" max="3" width="26.42578125" style="150" customWidth="1"/>
    <col min="4" max="4" width="30.42578125" style="150" customWidth="1"/>
    <col min="5" max="5" width="42.42578125" style="150" customWidth="1"/>
    <col min="6" max="6" width="19.42578125" style="150" customWidth="1"/>
    <col min="7" max="7" width="52.7109375" style="150" bestFit="1" customWidth="1"/>
    <col min="8" max="8" width="60.42578125" style="150" bestFit="1" customWidth="1"/>
    <col min="9" max="9" width="21.42578125" style="150" bestFit="1" customWidth="1"/>
    <col min="10" max="10" width="10.42578125" style="150" bestFit="1" customWidth="1"/>
    <col min="11" max="11" width="14.7109375" style="150" customWidth="1"/>
    <col min="12" max="12" width="8.7109375" style="150"/>
    <col min="13" max="13" width="14.28515625" style="150" customWidth="1"/>
    <col min="14" max="15" width="8.7109375" style="150"/>
    <col min="16" max="16" width="18.28515625" style="150" customWidth="1"/>
    <col min="17" max="16384" width="8.7109375" style="150"/>
  </cols>
  <sheetData>
    <row r="1" spans="1:11" ht="23.25">
      <c r="A1" s="521" t="s">
        <v>601</v>
      </c>
    </row>
    <row r="2" spans="1:11" ht="23.25">
      <c r="A2" s="521"/>
    </row>
    <row r="3" spans="1:11" ht="15">
      <c r="A3" s="175" t="s">
        <v>602</v>
      </c>
      <c r="H3"/>
      <c r="I3"/>
      <c r="J3"/>
      <c r="K3"/>
    </row>
    <row r="4" spans="1:11" ht="25.5">
      <c r="A4" s="522"/>
      <c r="B4" s="523" t="s">
        <v>603</v>
      </c>
      <c r="C4" s="523" t="s">
        <v>604</v>
      </c>
      <c r="D4" s="171" t="s">
        <v>605</v>
      </c>
      <c r="E4" s="523" t="s">
        <v>606</v>
      </c>
      <c r="F4" s="98" t="s">
        <v>607</v>
      </c>
      <c r="G4" s="23" t="s">
        <v>608</v>
      </c>
      <c r="I4"/>
      <c r="J4"/>
      <c r="K4"/>
    </row>
    <row r="5" spans="1:11" ht="15">
      <c r="A5" s="524" t="s">
        <v>609</v>
      </c>
      <c r="B5" s="473">
        <v>1</v>
      </c>
      <c r="C5" s="473">
        <v>25</v>
      </c>
      <c r="D5" s="150">
        <v>25</v>
      </c>
      <c r="E5" s="473">
        <v>298</v>
      </c>
      <c r="F5" s="525">
        <v>1810</v>
      </c>
      <c r="G5" s="29" t="s">
        <v>610</v>
      </c>
      <c r="I5"/>
      <c r="J5"/>
      <c r="K5"/>
    </row>
    <row r="6" spans="1:11" ht="15">
      <c r="A6" s="526" t="s">
        <v>611</v>
      </c>
      <c r="B6" s="473">
        <v>1</v>
      </c>
      <c r="C6" s="473">
        <v>28</v>
      </c>
      <c r="D6" s="150">
        <v>30</v>
      </c>
      <c r="E6" s="473">
        <v>265</v>
      </c>
      <c r="F6" s="527">
        <v>1760</v>
      </c>
      <c r="G6" s="29" t="s">
        <v>612</v>
      </c>
      <c r="I6"/>
      <c r="J6"/>
      <c r="K6"/>
    </row>
    <row r="7" spans="1:11" ht="15">
      <c r="A7" s="526" t="s">
        <v>613</v>
      </c>
      <c r="B7" s="473">
        <v>1</v>
      </c>
      <c r="C7" s="29">
        <v>34</v>
      </c>
      <c r="D7" s="1173">
        <v>36</v>
      </c>
      <c r="E7" s="473">
        <v>298</v>
      </c>
      <c r="F7" s="100">
        <v>2106</v>
      </c>
      <c r="G7" s="29" t="s">
        <v>612</v>
      </c>
      <c r="I7"/>
      <c r="J7"/>
      <c r="K7"/>
    </row>
    <row r="8" spans="1:11" ht="15">
      <c r="A8" s="526" t="s">
        <v>614</v>
      </c>
      <c r="B8" s="29">
        <v>1</v>
      </c>
      <c r="C8" s="29">
        <v>4</v>
      </c>
      <c r="D8" s="990">
        <v>4</v>
      </c>
      <c r="E8" s="29">
        <v>234</v>
      </c>
      <c r="F8" s="100">
        <v>262</v>
      </c>
      <c r="G8" s="29" t="s">
        <v>612</v>
      </c>
      <c r="I8"/>
      <c r="J8"/>
      <c r="K8"/>
    </row>
    <row r="9" spans="1:11" ht="15">
      <c r="A9" s="526" t="s">
        <v>615</v>
      </c>
      <c r="B9" s="29">
        <v>1</v>
      </c>
      <c r="C9" s="29">
        <v>11</v>
      </c>
      <c r="D9" s="990">
        <v>11</v>
      </c>
      <c r="E9" s="29">
        <v>297</v>
      </c>
      <c r="F9" s="100">
        <v>708</v>
      </c>
      <c r="G9" s="29" t="s">
        <v>612</v>
      </c>
      <c r="I9"/>
      <c r="J9"/>
      <c r="K9"/>
    </row>
    <row r="10" spans="1:11" ht="15">
      <c r="A10" s="526" t="s">
        <v>616</v>
      </c>
      <c r="B10" s="29">
        <v>1</v>
      </c>
      <c r="C10" s="29">
        <v>18</v>
      </c>
      <c r="D10" s="990">
        <v>18</v>
      </c>
      <c r="E10" s="178">
        <v>271</v>
      </c>
      <c r="F10" s="528">
        <v>1264</v>
      </c>
      <c r="G10" s="29" t="s">
        <v>617</v>
      </c>
      <c r="H10" s="150" t="s">
        <v>618</v>
      </c>
      <c r="I10"/>
      <c r="J10"/>
      <c r="K10"/>
    </row>
    <row r="11" spans="1:11" ht="15">
      <c r="A11" s="529" t="s">
        <v>619</v>
      </c>
      <c r="B11" s="29">
        <v>1</v>
      </c>
      <c r="C11" s="29">
        <v>80.8</v>
      </c>
      <c r="D11" s="150">
        <v>82.5</v>
      </c>
      <c r="E11" s="29">
        <v>273</v>
      </c>
      <c r="F11" s="100">
        <v>5690</v>
      </c>
      <c r="G11" s="29" t="s">
        <v>620</v>
      </c>
      <c r="I11"/>
      <c r="J11"/>
      <c r="K11"/>
    </row>
    <row r="12" spans="1:11">
      <c r="A12" s="529" t="s">
        <v>251</v>
      </c>
      <c r="B12" s="29">
        <v>1</v>
      </c>
      <c r="C12" s="29">
        <v>27</v>
      </c>
      <c r="D12" s="150">
        <v>29.8</v>
      </c>
      <c r="E12" s="29">
        <v>273</v>
      </c>
      <c r="F12" s="100">
        <v>1960</v>
      </c>
      <c r="G12" s="29" t="s">
        <v>620</v>
      </c>
    </row>
    <row r="13" spans="1:11">
      <c r="A13" s="529" t="s">
        <v>621</v>
      </c>
      <c r="B13" s="29">
        <v>1</v>
      </c>
      <c r="C13" s="29">
        <v>7.3</v>
      </c>
      <c r="D13" s="990">
        <v>7.3</v>
      </c>
      <c r="E13" s="29">
        <v>130</v>
      </c>
      <c r="F13" s="100">
        <v>560</v>
      </c>
      <c r="G13" s="29" t="s">
        <v>620</v>
      </c>
    </row>
    <row r="14" spans="1:11">
      <c r="A14" s="529" t="s">
        <v>622</v>
      </c>
      <c r="B14" s="29">
        <v>1</v>
      </c>
      <c r="C14" s="29">
        <v>10.3</v>
      </c>
      <c r="D14" s="990">
        <v>10.3</v>
      </c>
      <c r="E14" s="29">
        <v>290</v>
      </c>
      <c r="F14" s="100">
        <v>785</v>
      </c>
      <c r="G14" s="29" t="s">
        <v>620</v>
      </c>
    </row>
    <row r="15" spans="1:11">
      <c r="A15" s="530" t="s">
        <v>270</v>
      </c>
      <c r="B15" s="34">
        <v>1</v>
      </c>
      <c r="C15" s="34">
        <v>4.7</v>
      </c>
      <c r="D15" s="1167">
        <v>4.7</v>
      </c>
      <c r="E15" s="34">
        <v>233</v>
      </c>
      <c r="F15" s="531">
        <v>379</v>
      </c>
      <c r="G15" s="29" t="s">
        <v>620</v>
      </c>
    </row>
    <row r="17" spans="1:67" ht="15">
      <c r="A17" s="179" t="s">
        <v>623</v>
      </c>
      <c r="C17" s="532"/>
      <c r="F17" s="156"/>
      <c r="I17"/>
      <c r="J17"/>
      <c r="K17"/>
      <c r="L17"/>
      <c r="M17"/>
      <c r="N17"/>
    </row>
    <row r="18" spans="1:67" ht="25.5">
      <c r="A18" s="533"/>
      <c r="B18" s="61" t="s">
        <v>624</v>
      </c>
      <c r="C18" s="61" t="s">
        <v>625</v>
      </c>
      <c r="D18" s="61" t="s">
        <v>626</v>
      </c>
      <c r="E18" s="61" t="s">
        <v>627</v>
      </c>
      <c r="F18" s="98" t="s">
        <v>628</v>
      </c>
      <c r="G18" s="23" t="s">
        <v>608</v>
      </c>
      <c r="I18"/>
      <c r="J18"/>
      <c r="K18"/>
      <c r="L18"/>
      <c r="M18"/>
      <c r="N18"/>
    </row>
    <row r="19" spans="1:67" ht="15">
      <c r="A19" s="534" t="s">
        <v>629</v>
      </c>
      <c r="B19" s="15">
        <f>B21</f>
        <v>0.108271767984466</v>
      </c>
      <c r="C19" s="15">
        <f>C21</f>
        <v>0.23829120623700201</v>
      </c>
      <c r="D19" s="15">
        <f>D21</f>
        <v>0.159771495181245</v>
      </c>
      <c r="E19" s="15">
        <f>E21</f>
        <v>3.9989486962957101E-2</v>
      </c>
      <c r="F19" s="112">
        <f>F21</f>
        <v>-9.1139048141381296E-2</v>
      </c>
      <c r="G19" s="23"/>
      <c r="I19"/>
      <c r="J19"/>
      <c r="K19"/>
      <c r="L19"/>
      <c r="M19"/>
      <c r="N19"/>
    </row>
    <row r="20" spans="1:67" ht="15">
      <c r="A20" s="535" t="s">
        <v>630</v>
      </c>
      <c r="B20" s="15">
        <v>0.190388049545201</v>
      </c>
      <c r="C20" s="15">
        <v>0.318473890336743</v>
      </c>
      <c r="D20" s="15">
        <v>0.32792188392023303</v>
      </c>
      <c r="E20" s="15">
        <v>3.7321600560371197E-2</v>
      </c>
      <c r="F20" s="112">
        <v>-1.7862746528101901E-2</v>
      </c>
      <c r="G20" s="44" t="s">
        <v>631</v>
      </c>
      <c r="I20"/>
      <c r="J20"/>
      <c r="K20"/>
      <c r="L20"/>
      <c r="M20"/>
      <c r="N20"/>
      <c r="BO20" s="150" t="s">
        <v>632</v>
      </c>
    </row>
    <row r="21" spans="1:67" ht="15">
      <c r="A21" s="536" t="s">
        <v>633</v>
      </c>
      <c r="B21" s="537">
        <v>0.108271767984466</v>
      </c>
      <c r="C21" s="537">
        <v>0.23829120623700201</v>
      </c>
      <c r="D21" s="35">
        <v>0.159771495181245</v>
      </c>
      <c r="E21" s="35">
        <v>3.9989486962957101E-2</v>
      </c>
      <c r="F21" s="538">
        <v>-9.1139048141381296E-2</v>
      </c>
      <c r="G21" s="150" t="s">
        <v>634</v>
      </c>
      <c r="I21"/>
      <c r="J21"/>
      <c r="K21"/>
      <c r="L21"/>
      <c r="M21"/>
      <c r="N21"/>
    </row>
    <row r="22" spans="1:67" ht="15">
      <c r="A22" s="539" t="s">
        <v>635</v>
      </c>
      <c r="B22" s="516"/>
      <c r="C22" s="516"/>
      <c r="D22" s="516"/>
      <c r="E22" s="516"/>
      <c r="F22" s="516"/>
      <c r="G22" s="114"/>
      <c r="I22"/>
      <c r="J22"/>
      <c r="K22"/>
      <c r="L22"/>
      <c r="M22"/>
      <c r="N22"/>
    </row>
    <row r="23" spans="1:67" ht="15">
      <c r="A23" s="150" t="s">
        <v>636</v>
      </c>
      <c r="B23" s="156"/>
      <c r="C23" s="156"/>
      <c r="F23" s="156"/>
      <c r="I23"/>
      <c r="J23"/>
      <c r="K23"/>
      <c r="L23"/>
      <c r="M23"/>
      <c r="N23"/>
    </row>
    <row r="24" spans="1:67" ht="15">
      <c r="B24"/>
      <c r="C24"/>
      <c r="D24"/>
      <c r="E24"/>
      <c r="F24"/>
      <c r="I24"/>
      <c r="J24"/>
      <c r="K24"/>
      <c r="L24"/>
      <c r="M24"/>
      <c r="N24"/>
    </row>
    <row r="25" spans="1:67" ht="15">
      <c r="A25" s="540" t="s">
        <v>637</v>
      </c>
      <c r="B25" s="473"/>
      <c r="C25" s="156"/>
      <c r="F25" s="156"/>
      <c r="I25"/>
      <c r="J25"/>
      <c r="K25"/>
      <c r="L25"/>
      <c r="M25"/>
      <c r="N25"/>
    </row>
    <row r="26" spans="1:67" ht="25.5">
      <c r="A26" s="1379" t="s">
        <v>638</v>
      </c>
      <c r="B26" s="1377" t="s">
        <v>49</v>
      </c>
      <c r="C26" s="1378"/>
      <c r="D26" s="1377" t="s">
        <v>136</v>
      </c>
      <c r="E26" s="1378"/>
      <c r="F26" s="1377" t="s">
        <v>141</v>
      </c>
      <c r="G26" s="1378"/>
      <c r="H26" s="1375" t="s">
        <v>140</v>
      </c>
      <c r="I26" s="1376"/>
      <c r="J26" s="1377" t="s">
        <v>639</v>
      </c>
      <c r="K26" s="1378"/>
      <c r="L26" s="1375" t="s">
        <v>91</v>
      </c>
      <c r="M26" s="1376"/>
      <c r="N26" s="1375" t="s">
        <v>155</v>
      </c>
      <c r="O26" s="1376"/>
      <c r="P26" s="1377" t="s">
        <v>151</v>
      </c>
      <c r="Q26" s="1378"/>
      <c r="R26" s="1377" t="s">
        <v>147</v>
      </c>
      <c r="S26" s="1378"/>
      <c r="T26" s="1377" t="s">
        <v>61</v>
      </c>
      <c r="U26" s="1378"/>
      <c r="V26" s="1377" t="s">
        <v>179</v>
      </c>
      <c r="W26" s="1378"/>
      <c r="X26" s="1377" t="s">
        <v>55</v>
      </c>
      <c r="Y26" s="1378"/>
      <c r="Z26" s="1377" t="s">
        <v>640</v>
      </c>
      <c r="AA26" s="1378"/>
      <c r="AB26" s="1377" t="s">
        <v>197</v>
      </c>
      <c r="AC26" s="1378"/>
      <c r="AD26" s="1377" t="s">
        <v>154</v>
      </c>
      <c r="AE26" s="1378"/>
      <c r="AF26" s="1377" t="s">
        <v>533</v>
      </c>
      <c r="AG26" s="1378"/>
      <c r="AH26" s="1377" t="s">
        <v>59</v>
      </c>
      <c r="AI26" s="1378"/>
      <c r="AJ26" s="1377" t="s">
        <v>181</v>
      </c>
      <c r="AK26" s="1378"/>
      <c r="AL26" s="1377" t="s">
        <v>185</v>
      </c>
      <c r="AM26" s="1378"/>
      <c r="AN26" s="1377" t="s">
        <v>641</v>
      </c>
      <c r="AO26" s="1378"/>
      <c r="AP26" s="1377" t="s">
        <v>144</v>
      </c>
      <c r="AQ26" s="1378"/>
      <c r="AR26" s="749" t="s">
        <v>642</v>
      </c>
      <c r="AS26" s="1155" t="s">
        <v>643</v>
      </c>
      <c r="AT26" s="562" t="s">
        <v>608</v>
      </c>
    </row>
    <row r="27" spans="1:67" ht="38.25">
      <c r="A27" s="1380"/>
      <c r="B27" s="529" t="s">
        <v>146</v>
      </c>
      <c r="C27" s="1166">
        <v>8.0450481904921923E-4</v>
      </c>
      <c r="D27" s="529" t="s">
        <v>137</v>
      </c>
      <c r="E27" s="620">
        <v>2.2120996569658624</v>
      </c>
      <c r="F27" s="529" t="s">
        <v>137</v>
      </c>
      <c r="G27" s="620">
        <v>2.2120996569658624</v>
      </c>
      <c r="H27" s="529" t="s">
        <v>137</v>
      </c>
      <c r="I27" s="620">
        <v>2.2120996569658624</v>
      </c>
      <c r="J27" s="529" t="s">
        <v>233</v>
      </c>
      <c r="K27" s="78">
        <v>9.443275818512982E-2</v>
      </c>
      <c r="L27" s="18" t="s">
        <v>142</v>
      </c>
      <c r="M27" s="78">
        <v>0.26783210294813348</v>
      </c>
      <c r="N27" s="18" t="s">
        <v>156</v>
      </c>
      <c r="O27" s="1166">
        <v>3.8804893293929435E-3</v>
      </c>
      <c r="P27" s="529" t="s">
        <v>152</v>
      </c>
      <c r="Q27" s="828">
        <v>7.5610355173537014E-3</v>
      </c>
      <c r="R27" s="529" t="s">
        <v>146</v>
      </c>
      <c r="S27" s="1166">
        <v>1.997259168197851E-3</v>
      </c>
      <c r="T27" s="529" t="s">
        <v>153</v>
      </c>
      <c r="U27" s="1159">
        <v>3.15348477676869E-3</v>
      </c>
      <c r="V27" s="529" t="s">
        <v>644</v>
      </c>
      <c r="W27" s="1159">
        <v>-6.0771892062958547E-3</v>
      </c>
      <c r="X27" s="529" t="s">
        <v>645</v>
      </c>
      <c r="Y27" s="1165">
        <v>-1.5449919818365419E-4</v>
      </c>
      <c r="Z27" s="529" t="s">
        <v>188</v>
      </c>
      <c r="AA27" s="620">
        <v>0.67602692539571507</v>
      </c>
      <c r="AB27" s="529" t="s">
        <v>184</v>
      </c>
      <c r="AC27" s="620">
        <v>1.0424678440133552</v>
      </c>
      <c r="AD27" s="529" t="s">
        <v>131</v>
      </c>
      <c r="AE27" s="32">
        <v>5.9376711448465248E-3</v>
      </c>
      <c r="AF27" s="529" t="s">
        <v>646</v>
      </c>
      <c r="AG27" s="32">
        <v>2.9102653297091732E-2</v>
      </c>
      <c r="AH27" s="529" t="s">
        <v>170</v>
      </c>
      <c r="AI27" s="828">
        <v>8.4115648785298036E-2</v>
      </c>
      <c r="AJ27" s="529" t="s">
        <v>146</v>
      </c>
      <c r="AK27" s="620">
        <v>0.32903755894821302</v>
      </c>
      <c r="AL27" s="529" t="s">
        <v>142</v>
      </c>
      <c r="AM27" s="620">
        <v>1.0620682784547733</v>
      </c>
      <c r="AN27" s="529" t="s">
        <v>142</v>
      </c>
      <c r="AO27" s="620">
        <v>1.0620682784547733</v>
      </c>
      <c r="AP27" s="529" t="s">
        <v>146</v>
      </c>
      <c r="AQ27" s="32">
        <v>2.2833665486325622E-2</v>
      </c>
      <c r="AR27" s="1156">
        <v>0.38997328129269704</v>
      </c>
      <c r="AS27" s="1157">
        <v>0.74796809139197673</v>
      </c>
      <c r="AT27" s="527" t="s">
        <v>647</v>
      </c>
    </row>
    <row r="28" spans="1:67" ht="15">
      <c r="A28" s="1380"/>
      <c r="B28" s="529" t="s">
        <v>131</v>
      </c>
      <c r="C28" s="1166">
        <v>1.9018528846983698E-3</v>
      </c>
      <c r="D28" s="529" t="s">
        <v>138</v>
      </c>
      <c r="E28" s="690">
        <v>0.15084556859475409</v>
      </c>
      <c r="F28" s="1161" t="s">
        <v>138</v>
      </c>
      <c r="G28" s="1164">
        <v>0.15084556859475409</v>
      </c>
      <c r="H28" s="529" t="s">
        <v>138</v>
      </c>
      <c r="I28" s="80">
        <v>0.15084556859475409</v>
      </c>
      <c r="J28" s="18" t="s">
        <v>139</v>
      </c>
      <c r="K28" s="78">
        <v>3.0074287318311104</v>
      </c>
      <c r="L28" s="18" t="s">
        <v>233</v>
      </c>
      <c r="M28" s="78">
        <v>0.72506036390753437</v>
      </c>
      <c r="N28" s="18" t="s">
        <v>648</v>
      </c>
      <c r="O28" s="1166">
        <v>5.3263948349042099E-4</v>
      </c>
      <c r="P28" s="529"/>
      <c r="Q28" s="1159"/>
      <c r="R28" s="529" t="s">
        <v>153</v>
      </c>
      <c r="S28" s="1166">
        <v>3.9727102643743592E-3</v>
      </c>
      <c r="T28" s="529"/>
      <c r="U28" s="1159"/>
      <c r="V28" s="529"/>
      <c r="W28" s="1159"/>
      <c r="X28" s="529" t="s">
        <v>152</v>
      </c>
      <c r="Y28" s="32">
        <v>2.5417530252895029E-2</v>
      </c>
      <c r="Z28" s="529" t="s">
        <v>139</v>
      </c>
      <c r="AA28" s="620">
        <v>1.5749669849401531</v>
      </c>
      <c r="AB28" s="529" t="s">
        <v>146</v>
      </c>
      <c r="AC28" s="620">
        <v>8.7486763402518292E-2</v>
      </c>
      <c r="AD28" s="529" t="s">
        <v>132</v>
      </c>
      <c r="AE28" s="32">
        <v>6.8081796434053071E-2</v>
      </c>
      <c r="AF28" s="529" t="s">
        <v>138</v>
      </c>
      <c r="AG28" s="32">
        <v>-5.916388868492899E-3</v>
      </c>
      <c r="AH28" s="529" t="s">
        <v>146</v>
      </c>
      <c r="AI28" s="1166">
        <v>7.2394251791810414E-3</v>
      </c>
      <c r="AJ28" s="529" t="s">
        <v>649</v>
      </c>
      <c r="AK28" s="620">
        <v>2.8221352734706273</v>
      </c>
      <c r="AL28" s="529" t="s">
        <v>184</v>
      </c>
      <c r="AM28" s="620">
        <v>0.14420190027058136</v>
      </c>
      <c r="AN28" s="529" t="s">
        <v>184</v>
      </c>
      <c r="AO28" s="620">
        <v>0.14420190027058136</v>
      </c>
      <c r="AP28" s="529" t="s">
        <v>650</v>
      </c>
      <c r="AQ28" s="32">
        <v>0.21947922922873403</v>
      </c>
      <c r="AT28" s="1159"/>
    </row>
    <row r="29" spans="1:67" ht="15">
      <c r="A29" s="1380"/>
      <c r="B29" s="529"/>
      <c r="C29" s="1159"/>
      <c r="D29" s="529" t="s">
        <v>139</v>
      </c>
      <c r="E29" s="690">
        <v>24.459170276692944</v>
      </c>
      <c r="F29" s="1161" t="s">
        <v>139</v>
      </c>
      <c r="G29" s="1164">
        <v>24.459170276692944</v>
      </c>
      <c r="H29" s="529" t="s">
        <v>139</v>
      </c>
      <c r="I29" s="80">
        <v>24.459170276692944</v>
      </c>
      <c r="J29" s="18" t="s">
        <v>190</v>
      </c>
      <c r="K29" s="78">
        <v>8.2112786226066683E-3</v>
      </c>
      <c r="L29" s="18" t="s">
        <v>651</v>
      </c>
      <c r="M29" s="78">
        <v>0.50480271735680426</v>
      </c>
      <c r="N29" s="18" t="s">
        <v>645</v>
      </c>
      <c r="O29" s="1166">
        <v>-2.2631399831175129E-4</v>
      </c>
      <c r="P29" s="529"/>
      <c r="Q29" s="1159"/>
      <c r="R29" s="529"/>
      <c r="S29" s="1159"/>
      <c r="T29" s="529"/>
      <c r="U29" s="1159"/>
      <c r="V29" s="529"/>
      <c r="W29" s="1159"/>
      <c r="X29" s="529" t="s">
        <v>153</v>
      </c>
      <c r="Y29" s="1166">
        <v>1.6660513347724678E-3</v>
      </c>
      <c r="Z29" s="529"/>
      <c r="AA29" s="1159"/>
      <c r="AB29" s="529" t="s">
        <v>652</v>
      </c>
      <c r="AC29" s="620">
        <v>6.6751679765917675</v>
      </c>
      <c r="AD29" s="529"/>
      <c r="AE29" s="1159"/>
      <c r="AF29" s="529" t="s">
        <v>132</v>
      </c>
      <c r="AG29" s="620">
        <v>0.10590336747081619</v>
      </c>
      <c r="AH29" s="529"/>
      <c r="AI29" s="1159"/>
      <c r="AJ29" s="529"/>
      <c r="AK29" s="1159"/>
      <c r="AL29" s="529"/>
      <c r="AM29" s="1159"/>
      <c r="AN29" s="529"/>
      <c r="AO29" s="1159"/>
      <c r="AP29" s="529"/>
      <c r="AQ29" s="1159"/>
      <c r="AT29" s="1159"/>
    </row>
    <row r="30" spans="1:67" ht="15">
      <c r="A30" s="1380"/>
      <c r="B30" s="529"/>
      <c r="C30" s="1159"/>
      <c r="D30" s="529" t="s">
        <v>143</v>
      </c>
      <c r="E30" s="690">
        <v>10.084056657028242</v>
      </c>
      <c r="F30" s="1161"/>
      <c r="G30" s="527"/>
      <c r="H30" s="529"/>
      <c r="I30" s="64"/>
      <c r="J30" s="18" t="s">
        <v>146</v>
      </c>
      <c r="K30" s="78">
        <v>3.7393327490293877E-3</v>
      </c>
      <c r="L30" s="18" t="s">
        <v>143</v>
      </c>
      <c r="M30" s="78">
        <v>6.7769607087652242</v>
      </c>
      <c r="N30" s="18" t="s">
        <v>653</v>
      </c>
      <c r="O30" s="1166">
        <v>-3.4634927016199768E-3</v>
      </c>
      <c r="P30" s="529"/>
      <c r="Q30" s="1159"/>
      <c r="R30" s="529"/>
      <c r="S30" s="1159"/>
      <c r="T30" s="529"/>
      <c r="U30" s="1159"/>
      <c r="V30" s="529"/>
      <c r="W30" s="1159"/>
      <c r="X30" s="529"/>
      <c r="Y30" s="1159"/>
      <c r="Z30" s="529"/>
      <c r="AA30" s="1159"/>
      <c r="AB30" s="529"/>
      <c r="AC30" s="1159"/>
      <c r="AD30" s="529"/>
      <c r="AE30" s="1159"/>
      <c r="AF30" s="529" t="s">
        <v>131</v>
      </c>
      <c r="AG30" s="32">
        <v>4.8644784940287802E-2</v>
      </c>
      <c r="AH30" s="529"/>
      <c r="AI30" s="1159"/>
      <c r="AJ30" s="529"/>
      <c r="AK30" s="1159"/>
      <c r="AL30" s="529"/>
      <c r="AM30" s="1159"/>
      <c r="AN30" s="529"/>
      <c r="AO30" s="1159"/>
      <c r="AP30" s="529"/>
      <c r="AQ30" s="1159"/>
      <c r="AT30" s="1159"/>
    </row>
    <row r="31" spans="1:67" ht="15">
      <c r="A31" s="1380"/>
      <c r="B31" s="529"/>
      <c r="C31" s="1159"/>
      <c r="D31" s="529"/>
      <c r="E31" s="690"/>
      <c r="F31" s="1161"/>
      <c r="G31" s="527"/>
      <c r="H31" s="529"/>
      <c r="I31" s="64"/>
      <c r="J31" s="18"/>
      <c r="K31" s="64"/>
      <c r="L31" s="18"/>
      <c r="M31" s="64"/>
      <c r="N31" s="18"/>
      <c r="O31" s="1159"/>
      <c r="P31" s="529"/>
      <c r="Q31" s="1159"/>
      <c r="R31" s="529"/>
      <c r="S31" s="1159"/>
      <c r="T31" s="529"/>
      <c r="U31" s="1159"/>
      <c r="V31" s="529"/>
      <c r="W31" s="1159"/>
      <c r="X31" s="529"/>
      <c r="Y31" s="1159"/>
      <c r="Z31" s="529"/>
      <c r="AA31" s="1159"/>
      <c r="AB31" s="529"/>
      <c r="AC31" s="1159"/>
      <c r="AD31" s="529"/>
      <c r="AE31" s="1159"/>
      <c r="AF31" s="529" t="s">
        <v>651</v>
      </c>
      <c r="AG31" s="32">
        <v>3.0181281798151941E-2</v>
      </c>
      <c r="AH31" s="529"/>
      <c r="AI31" s="1159"/>
      <c r="AJ31" s="529"/>
      <c r="AK31" s="1159"/>
      <c r="AL31" s="529"/>
      <c r="AM31" s="1159"/>
      <c r="AN31" s="529"/>
      <c r="AO31" s="1159"/>
      <c r="AP31" s="529"/>
      <c r="AQ31" s="1159"/>
      <c r="AT31" s="1159"/>
    </row>
    <row r="32" spans="1:67" ht="15">
      <c r="A32" s="1380"/>
      <c r="B32" s="529"/>
      <c r="C32" s="1159"/>
      <c r="D32" s="529"/>
      <c r="E32" s="690"/>
      <c r="F32" s="1161"/>
      <c r="G32" s="527"/>
      <c r="H32" s="529"/>
      <c r="I32" s="64"/>
      <c r="J32" s="18"/>
      <c r="K32" s="64"/>
      <c r="L32" s="18"/>
      <c r="M32" s="64"/>
      <c r="N32" s="18"/>
      <c r="O32" s="1159"/>
      <c r="P32" s="529"/>
      <c r="Q32" s="1159"/>
      <c r="R32" s="529"/>
      <c r="S32" s="1159"/>
      <c r="T32" s="529"/>
      <c r="U32" s="1159"/>
      <c r="V32" s="529"/>
      <c r="W32" s="1159"/>
      <c r="X32" s="529"/>
      <c r="Y32" s="1159"/>
      <c r="Z32" s="529"/>
      <c r="AA32" s="1159"/>
      <c r="AB32" s="529"/>
      <c r="AC32" s="1159"/>
      <c r="AD32" s="529"/>
      <c r="AE32" s="1159"/>
      <c r="AF32" s="529" t="s">
        <v>182</v>
      </c>
      <c r="AG32" s="1165">
        <v>-6.6097518815043526E-5</v>
      </c>
      <c r="AH32" s="529"/>
      <c r="AI32" s="1159"/>
      <c r="AJ32" s="529"/>
      <c r="AK32" s="1159"/>
      <c r="AL32" s="529"/>
      <c r="AM32" s="1159"/>
      <c r="AN32" s="529"/>
      <c r="AO32" s="1159"/>
      <c r="AP32" s="529"/>
      <c r="AQ32" s="1159"/>
      <c r="AT32" s="1159"/>
    </row>
    <row r="33" spans="1:46" ht="15">
      <c r="A33" s="1380"/>
      <c r="B33" s="529"/>
      <c r="C33" s="1159"/>
      <c r="D33" s="529"/>
      <c r="E33" s="690"/>
      <c r="F33" s="1161"/>
      <c r="G33" s="527"/>
      <c r="H33" s="529"/>
      <c r="I33" s="64"/>
      <c r="J33" s="18"/>
      <c r="K33" s="64"/>
      <c r="L33" s="18"/>
      <c r="M33" s="64"/>
      <c r="N33" s="18"/>
      <c r="O33" s="1159"/>
      <c r="P33" s="529"/>
      <c r="Q33" s="1159"/>
      <c r="R33" s="529"/>
      <c r="S33" s="1159"/>
      <c r="T33" s="529"/>
      <c r="U33" s="1159"/>
      <c r="V33" s="529"/>
      <c r="W33" s="1159"/>
      <c r="X33" s="529"/>
      <c r="Y33" s="1159"/>
      <c r="Z33" s="529"/>
      <c r="AA33" s="1159"/>
      <c r="AB33" s="529"/>
      <c r="AC33" s="1159"/>
      <c r="AD33" s="529"/>
      <c r="AE33" s="1159"/>
      <c r="AF33" s="529" t="s">
        <v>654</v>
      </c>
      <c r="AG33" s="620">
        <v>2.0947674604775162</v>
      </c>
      <c r="AH33" s="529"/>
      <c r="AI33" s="1159"/>
      <c r="AJ33" s="529"/>
      <c r="AK33" s="1159"/>
      <c r="AL33" s="529"/>
      <c r="AM33" s="1159"/>
      <c r="AN33" s="529"/>
      <c r="AO33" s="1159"/>
      <c r="AP33" s="529"/>
      <c r="AQ33" s="1159"/>
      <c r="AT33" s="1159"/>
    </row>
    <row r="34" spans="1:46" ht="15">
      <c r="A34" s="1381"/>
      <c r="B34" s="530"/>
      <c r="C34" s="1160"/>
      <c r="D34" s="530"/>
      <c r="E34" s="542"/>
      <c r="F34" s="1162"/>
      <c r="G34" s="1163"/>
      <c r="H34" s="530"/>
      <c r="I34" s="84"/>
      <c r="J34" s="86"/>
      <c r="K34" s="84"/>
      <c r="L34" s="86"/>
      <c r="M34" s="84"/>
      <c r="N34" s="86"/>
      <c r="O34" s="1160"/>
      <c r="P34" s="530"/>
      <c r="Q34" s="1160"/>
      <c r="R34" s="530"/>
      <c r="S34" s="1160"/>
      <c r="T34" s="530"/>
      <c r="U34" s="1160"/>
      <c r="V34" s="530"/>
      <c r="W34" s="1160"/>
      <c r="X34" s="530"/>
      <c r="Y34" s="1160"/>
      <c r="Z34" s="530"/>
      <c r="AA34" s="1160"/>
      <c r="AB34" s="530"/>
      <c r="AC34" s="1160"/>
      <c r="AD34" s="530"/>
      <c r="AE34" s="1160"/>
      <c r="AF34" s="530" t="s">
        <v>652</v>
      </c>
      <c r="AG34" s="561">
        <v>0.86605164041913241</v>
      </c>
      <c r="AH34" s="530"/>
      <c r="AI34" s="1160"/>
      <c r="AJ34" s="530"/>
      <c r="AK34" s="1160"/>
      <c r="AL34" s="530"/>
      <c r="AM34" s="1160"/>
      <c r="AN34" s="530"/>
      <c r="AO34" s="1160"/>
      <c r="AP34" s="530"/>
      <c r="AQ34" s="1160"/>
      <c r="AR34" s="1158"/>
      <c r="AS34" s="1158"/>
      <c r="AT34" s="1160"/>
    </row>
    <row r="35" spans="1:46" ht="15">
      <c r="A35" s="303" t="s">
        <v>315</v>
      </c>
      <c r="B35" s="14" t="s">
        <v>315</v>
      </c>
      <c r="E35" s="53"/>
      <c r="F35" s="53"/>
      <c r="G35" s="473"/>
      <c r="I35"/>
      <c r="J35"/>
      <c r="K35"/>
      <c r="L35"/>
      <c r="M35"/>
      <c r="N35"/>
      <c r="AG35" s="30"/>
    </row>
    <row r="36" spans="1:46" ht="47.65" customHeight="1">
      <c r="A36" s="150" t="s">
        <v>655</v>
      </c>
      <c r="I36"/>
      <c r="J36"/>
      <c r="K36"/>
      <c r="L36"/>
      <c r="M36"/>
      <c r="N36"/>
    </row>
    <row r="37" spans="1:46" ht="12" customHeight="1">
      <c r="C37" s="29"/>
      <c r="D37" s="29"/>
      <c r="E37" s="29"/>
    </row>
    <row r="38" spans="1:46">
      <c r="A38" s="23" t="s">
        <v>656</v>
      </c>
      <c r="H38" s="543"/>
      <c r="I38" s="543"/>
    </row>
    <row r="39" spans="1:46" ht="39">
      <c r="A39" s="1063" t="s">
        <v>107</v>
      </c>
      <c r="B39" s="159" t="s">
        <v>657</v>
      </c>
      <c r="C39" s="159" t="s">
        <v>658</v>
      </c>
      <c r="D39" s="159" t="s">
        <v>659</v>
      </c>
      <c r="E39" s="159" t="s">
        <v>660</v>
      </c>
      <c r="F39" s="159" t="s">
        <v>658</v>
      </c>
      <c r="G39" s="159" t="s">
        <v>659</v>
      </c>
      <c r="H39" s="544" t="s">
        <v>661</v>
      </c>
      <c r="I39" s="159" t="s">
        <v>658</v>
      </c>
      <c r="J39" s="1064" t="s">
        <v>659</v>
      </c>
      <c r="K39" s="23" t="s">
        <v>608</v>
      </c>
      <c r="L39" s="543"/>
      <c r="P39" s="6"/>
      <c r="Q39"/>
      <c r="R39"/>
      <c r="S39"/>
      <c r="T39"/>
      <c r="U39"/>
      <c r="V39"/>
      <c r="W39"/>
      <c r="X39"/>
      <c r="Y39"/>
      <c r="Z39" s="37"/>
      <c r="AA39" s="37"/>
    </row>
    <row r="40" spans="1:46" ht="15">
      <c r="A40" s="545" t="s">
        <v>171</v>
      </c>
      <c r="B40" s="1062" t="s">
        <v>175</v>
      </c>
      <c r="C40" s="63">
        <f>0.4</f>
        <v>0.4</v>
      </c>
      <c r="D40" s="1062">
        <v>0.72</v>
      </c>
      <c r="E40" s="1062" t="s">
        <v>662</v>
      </c>
      <c r="F40" s="63">
        <v>0.6</v>
      </c>
      <c r="G40" s="1062">
        <v>0.28000000000000003</v>
      </c>
      <c r="H40" s="63"/>
      <c r="I40" s="63"/>
      <c r="J40" s="1065"/>
      <c r="K40" s="150" t="s">
        <v>663</v>
      </c>
      <c r="P40" s="6"/>
      <c r="Q40"/>
      <c r="R40"/>
      <c r="S40"/>
      <c r="T40"/>
      <c r="U40"/>
      <c r="V40"/>
      <c r="W40"/>
      <c r="X40"/>
      <c r="Y40"/>
      <c r="Z40" s="37"/>
      <c r="AA40" s="37"/>
    </row>
    <row r="41" spans="1:46" ht="15">
      <c r="A41" s="545" t="s">
        <v>664</v>
      </c>
      <c r="B41" s="1062" t="s">
        <v>664</v>
      </c>
      <c r="C41" s="63">
        <v>0.62</v>
      </c>
      <c r="D41" s="17">
        <v>0.90749999999999997</v>
      </c>
      <c r="E41" s="1062" t="s">
        <v>665</v>
      </c>
      <c r="F41" s="63">
        <v>0.38</v>
      </c>
      <c r="G41" s="116">
        <v>9.2500000000000027E-2</v>
      </c>
      <c r="H41" s="63"/>
      <c r="I41" s="63"/>
      <c r="J41" s="1065"/>
      <c r="K41" s="150" t="s">
        <v>666</v>
      </c>
      <c r="P41"/>
      <c r="Q41"/>
      <c r="R41"/>
      <c r="S41"/>
      <c r="T41"/>
      <c r="U41"/>
      <c r="V41"/>
      <c r="W41"/>
      <c r="X41"/>
      <c r="Y41"/>
      <c r="Z41" s="37"/>
      <c r="AA41" s="37"/>
    </row>
    <row r="42" spans="1:46" ht="15">
      <c r="A42" s="545" t="s">
        <v>667</v>
      </c>
      <c r="B42" s="1062" t="s">
        <v>668</v>
      </c>
      <c r="C42" s="63">
        <v>0.77</v>
      </c>
      <c r="D42" s="1062">
        <v>0.91</v>
      </c>
      <c r="E42" s="1062" t="s">
        <v>669</v>
      </c>
      <c r="F42" s="63">
        <v>0.23</v>
      </c>
      <c r="G42" s="1062">
        <v>0.09</v>
      </c>
      <c r="H42" s="63"/>
      <c r="I42" s="63"/>
      <c r="J42" s="1065"/>
      <c r="K42" s="150" t="s">
        <v>670</v>
      </c>
      <c r="P42"/>
      <c r="Q42"/>
      <c r="R42"/>
      <c r="S42"/>
      <c r="T42" s="1"/>
      <c r="U42"/>
      <c r="V42" s="5"/>
      <c r="W42" s="5"/>
      <c r="X42"/>
      <c r="Y42"/>
      <c r="Z42" s="37"/>
      <c r="AA42" s="37"/>
    </row>
    <row r="43" spans="1:46" ht="15">
      <c r="A43" s="545" t="s">
        <v>671</v>
      </c>
      <c r="B43" s="1062" t="s">
        <v>672</v>
      </c>
      <c r="C43" s="63">
        <v>0.7</v>
      </c>
      <c r="D43" s="1062">
        <v>0.8</v>
      </c>
      <c r="E43" s="1062" t="s">
        <v>673</v>
      </c>
      <c r="F43" s="63">
        <v>0.3</v>
      </c>
      <c r="G43" s="1062">
        <v>0.2</v>
      </c>
      <c r="H43" s="63"/>
      <c r="I43" s="63"/>
      <c r="J43" s="1065"/>
      <c r="K43" s="150" t="s">
        <v>674</v>
      </c>
      <c r="P43"/>
      <c r="Q43"/>
      <c r="R43"/>
      <c r="S43"/>
      <c r="T43" s="1"/>
      <c r="U43"/>
      <c r="V43" s="5"/>
      <c r="W43" s="5"/>
      <c r="X43"/>
      <c r="Y43"/>
      <c r="Z43" s="37"/>
      <c r="AA43" s="37"/>
    </row>
    <row r="44" spans="1:46" ht="15">
      <c r="A44" s="545" t="s">
        <v>675</v>
      </c>
      <c r="B44" s="1062" t="s">
        <v>676</v>
      </c>
      <c r="C44" s="63">
        <v>0.18</v>
      </c>
      <c r="D44" s="1062">
        <v>0.35</v>
      </c>
      <c r="E44" s="1062" t="s">
        <v>677</v>
      </c>
      <c r="F44" s="63">
        <v>0.82</v>
      </c>
      <c r="G44" s="1062">
        <v>0.65</v>
      </c>
      <c r="H44" s="63"/>
      <c r="I44" s="63"/>
      <c r="J44" s="1065"/>
      <c r="K44" s="150" t="s">
        <v>674</v>
      </c>
      <c r="P44"/>
      <c r="Q44"/>
      <c r="R44"/>
      <c r="S44"/>
      <c r="T44"/>
      <c r="U44"/>
      <c r="V44"/>
      <c r="W44"/>
      <c r="X44"/>
      <c r="Y44" s="5"/>
      <c r="Z44" s="37"/>
      <c r="AA44" s="37"/>
    </row>
    <row r="45" spans="1:46" ht="15">
      <c r="A45" s="545" t="s">
        <v>678</v>
      </c>
      <c r="B45" s="1062" t="s">
        <v>186</v>
      </c>
      <c r="C45" s="63">
        <v>0.4</v>
      </c>
      <c r="D45" s="1062">
        <v>0.82</v>
      </c>
      <c r="E45" s="1062" t="s">
        <v>679</v>
      </c>
      <c r="F45" s="63">
        <v>0.6</v>
      </c>
      <c r="G45" s="1062">
        <v>0.18</v>
      </c>
      <c r="H45" s="63"/>
      <c r="I45" s="63"/>
      <c r="J45" s="1065"/>
      <c r="K45" s="150" t="s">
        <v>680</v>
      </c>
      <c r="P45" s="1057"/>
      <c r="Q45" s="1057"/>
      <c r="R45" s="1057"/>
      <c r="S45" s="1057"/>
      <c r="T45" s="1057"/>
      <c r="U45" s="1057"/>
      <c r="V45"/>
      <c r="W45"/>
      <c r="X45"/>
      <c r="Y45" s="5"/>
      <c r="Z45" s="37"/>
      <c r="AA45" s="37"/>
    </row>
    <row r="46" spans="1:46" ht="15">
      <c r="A46" s="545" t="s">
        <v>681</v>
      </c>
      <c r="B46" s="1062" t="s">
        <v>640</v>
      </c>
      <c r="C46" s="63">
        <v>0.2</v>
      </c>
      <c r="D46" s="1062">
        <v>0.85</v>
      </c>
      <c r="E46" s="1062" t="s">
        <v>682</v>
      </c>
      <c r="F46" s="63">
        <v>2.2499999999999999E-2</v>
      </c>
      <c r="G46" s="1062">
        <v>0.12</v>
      </c>
      <c r="H46" s="63" t="s">
        <v>683</v>
      </c>
      <c r="I46" s="26">
        <v>2.771595124536301E-2</v>
      </c>
      <c r="J46" s="1066">
        <v>0.03</v>
      </c>
      <c r="K46" s="150" t="s">
        <v>674</v>
      </c>
      <c r="P46" s="1058"/>
      <c r="Q46" s="1059"/>
      <c r="R46" s="1059"/>
      <c r="S46" s="1059"/>
      <c r="T46" s="1059"/>
      <c r="U46" s="1059"/>
      <c r="V46" s="6"/>
      <c r="W46"/>
      <c r="X46"/>
      <c r="Y46" s="5"/>
      <c r="Z46" s="37"/>
      <c r="AA46" s="37"/>
    </row>
    <row r="47" spans="1:46" ht="15">
      <c r="A47" s="545" t="s">
        <v>684</v>
      </c>
      <c r="B47" s="1062" t="s">
        <v>140</v>
      </c>
      <c r="C47" s="116">
        <v>0.308</v>
      </c>
      <c r="D47" s="1062">
        <v>0.24</v>
      </c>
      <c r="E47" s="1062" t="s">
        <v>141</v>
      </c>
      <c r="F47" s="116">
        <v>0.22500000000000001</v>
      </c>
      <c r="G47" s="116">
        <v>0.375</v>
      </c>
      <c r="H47" s="63" t="s">
        <v>685</v>
      </c>
      <c r="I47" s="25">
        <v>0.46700000000000003</v>
      </c>
      <c r="J47" s="1066">
        <v>0.38600000000000001</v>
      </c>
      <c r="K47" s="150" t="s">
        <v>686</v>
      </c>
      <c r="N47" s="540"/>
      <c r="O47" s="546"/>
      <c r="P47" s="1060"/>
      <c r="Q47" s="1061"/>
      <c r="R47" s="1061"/>
      <c r="S47" s="1061"/>
      <c r="T47" s="1061"/>
      <c r="U47" s="1061"/>
      <c r="V47" s="1"/>
      <c r="W47"/>
      <c r="X47"/>
      <c r="Y47" s="5"/>
      <c r="Z47" s="37"/>
      <c r="AA47" s="37"/>
    </row>
    <row r="48" spans="1:46" ht="15">
      <c r="A48" s="545" t="s">
        <v>687</v>
      </c>
      <c r="B48" s="1062" t="s">
        <v>27</v>
      </c>
      <c r="C48" s="63"/>
      <c r="D48" s="1062">
        <v>0.9</v>
      </c>
      <c r="E48" s="1062" t="s">
        <v>688</v>
      </c>
      <c r="F48" s="63"/>
      <c r="G48" s="1062">
        <v>0.1</v>
      </c>
      <c r="H48" s="63"/>
      <c r="I48" s="63"/>
      <c r="J48" s="1065"/>
      <c r="K48" s="150" t="s">
        <v>689</v>
      </c>
      <c r="P48" s="1060"/>
      <c r="Q48" s="1061"/>
      <c r="R48" s="1061"/>
      <c r="S48" s="1061"/>
      <c r="T48" s="1061"/>
      <c r="U48" s="1061"/>
      <c r="V48" s="1"/>
      <c r="W48"/>
      <c r="X48"/>
      <c r="Y48" s="5"/>
      <c r="Z48" s="37"/>
      <c r="AA48" s="37"/>
    </row>
    <row r="49" spans="1:27" ht="15">
      <c r="A49" s="545" t="s">
        <v>690</v>
      </c>
      <c r="B49" s="1062" t="s">
        <v>34</v>
      </c>
      <c r="C49" s="63"/>
      <c r="D49" s="1062">
        <v>0.91</v>
      </c>
      <c r="E49" s="1062" t="s">
        <v>688</v>
      </c>
      <c r="F49" s="63"/>
      <c r="G49" s="1062">
        <v>0.09</v>
      </c>
      <c r="H49" s="25"/>
      <c r="I49" s="63"/>
      <c r="J49" s="1065"/>
      <c r="K49" s="150" t="s">
        <v>689</v>
      </c>
      <c r="P49" s="37"/>
      <c r="Q49" s="37"/>
      <c r="R49" s="37"/>
      <c r="S49" s="37"/>
      <c r="T49" s="37"/>
      <c r="U49" s="37"/>
      <c r="V49" s="37"/>
      <c r="W49" s="37"/>
      <c r="X49" s="37"/>
      <c r="Y49" s="37"/>
      <c r="Z49" s="37"/>
      <c r="AA49" s="37"/>
    </row>
    <row r="50" spans="1:27">
      <c r="A50" s="545" t="s">
        <v>691</v>
      </c>
      <c r="B50" s="1062" t="s">
        <v>41</v>
      </c>
      <c r="C50" s="63"/>
      <c r="D50" s="1062">
        <v>0.91</v>
      </c>
      <c r="E50" s="1062" t="s">
        <v>688</v>
      </c>
      <c r="F50" s="63"/>
      <c r="G50" s="1062">
        <v>0.09</v>
      </c>
      <c r="H50" s="63"/>
      <c r="I50" s="63"/>
      <c r="J50" s="1065"/>
      <c r="K50" s="150" t="s">
        <v>689</v>
      </c>
    </row>
    <row r="51" spans="1:27">
      <c r="A51" s="545" t="s">
        <v>692</v>
      </c>
      <c r="B51" s="1062" t="s">
        <v>79</v>
      </c>
      <c r="C51" s="63"/>
      <c r="D51" s="116">
        <v>0.90666666666666673</v>
      </c>
      <c r="E51" s="1062" t="s">
        <v>688</v>
      </c>
      <c r="F51" s="63"/>
      <c r="G51" s="116">
        <v>9.3333333333333268E-2</v>
      </c>
      <c r="H51" s="63"/>
      <c r="I51" s="63"/>
      <c r="J51" s="1065"/>
      <c r="K51" s="150" t="s">
        <v>693</v>
      </c>
    </row>
    <row r="52" spans="1:27">
      <c r="A52" s="545" t="s">
        <v>694</v>
      </c>
      <c r="B52" s="1062" t="s">
        <v>694</v>
      </c>
      <c r="C52" s="63"/>
      <c r="D52" s="547">
        <v>0.92790888787418302</v>
      </c>
      <c r="E52" s="1062" t="s">
        <v>695</v>
      </c>
      <c r="F52" s="63"/>
      <c r="G52" s="547">
        <v>7.20911121258168E-2</v>
      </c>
      <c r="H52" s="63"/>
      <c r="I52" s="63"/>
      <c r="J52" s="1065"/>
      <c r="K52" s="150" t="s">
        <v>696</v>
      </c>
    </row>
    <row r="53" spans="1:27">
      <c r="A53" s="545" t="s">
        <v>697</v>
      </c>
      <c r="B53" s="1062" t="s">
        <v>38</v>
      </c>
      <c r="C53" s="63"/>
      <c r="D53" s="1062">
        <v>0.48</v>
      </c>
      <c r="E53" s="1062" t="s">
        <v>698</v>
      </c>
      <c r="F53" s="63"/>
      <c r="G53" s="1062">
        <v>0.51</v>
      </c>
      <c r="H53" s="63" t="s">
        <v>699</v>
      </c>
      <c r="I53" s="63"/>
      <c r="J53" s="1067">
        <v>0.01</v>
      </c>
      <c r="K53" s="150" t="s">
        <v>700</v>
      </c>
      <c r="N53" s="540"/>
      <c r="O53" s="540"/>
      <c r="P53" s="540"/>
      <c r="Q53" s="540"/>
      <c r="R53" s="540"/>
      <c r="S53" s="540"/>
      <c r="T53" s="540"/>
    </row>
    <row r="54" spans="1:27">
      <c r="A54" s="545" t="s">
        <v>701</v>
      </c>
      <c r="B54" s="1062" t="s">
        <v>51</v>
      </c>
      <c r="C54" s="63"/>
      <c r="D54" s="1062">
        <v>0.5</v>
      </c>
      <c r="E54" s="1062" t="s">
        <v>698</v>
      </c>
      <c r="F54" s="63"/>
      <c r="G54" s="1062">
        <v>0.5</v>
      </c>
      <c r="H54" s="63"/>
      <c r="I54" s="63"/>
      <c r="J54" s="1067"/>
      <c r="K54" s="150" t="s">
        <v>700</v>
      </c>
      <c r="N54" s="540"/>
      <c r="O54" s="546"/>
      <c r="P54" s="546"/>
      <c r="Q54" s="546"/>
      <c r="R54" s="546"/>
      <c r="S54" s="546"/>
      <c r="T54" s="546"/>
    </row>
    <row r="55" spans="1:27">
      <c r="A55" s="545" t="s">
        <v>702</v>
      </c>
      <c r="B55" s="1062" t="s">
        <v>703</v>
      </c>
      <c r="C55" s="63"/>
      <c r="D55" s="1062">
        <v>0.94</v>
      </c>
      <c r="E55" s="1062" t="s">
        <v>704</v>
      </c>
      <c r="F55" s="63"/>
      <c r="G55" s="1062">
        <v>0.06</v>
      </c>
      <c r="H55" s="63"/>
      <c r="I55" s="63"/>
      <c r="J55" s="1067"/>
      <c r="K55" s="150" t="s">
        <v>700</v>
      </c>
      <c r="N55" s="540"/>
      <c r="O55" s="546"/>
      <c r="P55" s="546"/>
      <c r="Q55" s="546"/>
      <c r="R55" s="546"/>
      <c r="S55" s="546"/>
      <c r="T55" s="546"/>
    </row>
    <row r="56" spans="1:27">
      <c r="A56" s="545" t="s">
        <v>705</v>
      </c>
      <c r="B56" s="63" t="s">
        <v>69</v>
      </c>
      <c r="C56" s="63"/>
      <c r="D56" s="1062">
        <v>0.51</v>
      </c>
      <c r="E56" s="1062" t="s">
        <v>698</v>
      </c>
      <c r="F56" s="63"/>
      <c r="G56" s="1062">
        <v>0.49</v>
      </c>
      <c r="H56" s="63"/>
      <c r="I56" s="63"/>
      <c r="J56" s="1067"/>
      <c r="K56" s="150" t="s">
        <v>700</v>
      </c>
      <c r="N56" s="540"/>
      <c r="O56" s="546"/>
      <c r="P56" s="546"/>
      <c r="Q56" s="546"/>
      <c r="R56" s="546"/>
      <c r="S56" s="546"/>
      <c r="T56" s="546"/>
    </row>
    <row r="57" spans="1:27">
      <c r="A57" s="545" t="s">
        <v>706</v>
      </c>
      <c r="B57" s="63" t="s">
        <v>707</v>
      </c>
      <c r="C57" s="63">
        <v>0.9</v>
      </c>
      <c r="D57" s="63">
        <v>0.95</v>
      </c>
      <c r="E57" s="63" t="s">
        <v>708</v>
      </c>
      <c r="F57" s="63">
        <v>0.1</v>
      </c>
      <c r="G57" s="63">
        <v>0.05</v>
      </c>
      <c r="H57" s="63"/>
      <c r="I57" s="63"/>
      <c r="J57" s="1039"/>
      <c r="K57" s="44" t="s">
        <v>709</v>
      </c>
    </row>
    <row r="58" spans="1:27">
      <c r="A58" s="545" t="s">
        <v>710</v>
      </c>
      <c r="B58" s="63" t="s">
        <v>711</v>
      </c>
      <c r="C58" s="31">
        <v>0.96838207887150418</v>
      </c>
      <c r="D58" s="63"/>
      <c r="E58" s="63" t="s">
        <v>712</v>
      </c>
      <c r="F58" s="31">
        <v>3.1617921128495818E-2</v>
      </c>
      <c r="G58" s="63"/>
      <c r="H58" s="63"/>
      <c r="I58" s="63"/>
      <c r="J58" s="1039"/>
      <c r="K58" s="150" t="s">
        <v>713</v>
      </c>
    </row>
    <row r="59" spans="1:27">
      <c r="A59" s="1068" t="s">
        <v>714</v>
      </c>
      <c r="B59" s="62" t="s">
        <v>23</v>
      </c>
      <c r="C59" s="574">
        <v>0.93823333491256899</v>
      </c>
      <c r="D59" s="62"/>
      <c r="E59" s="62" t="s">
        <v>712</v>
      </c>
      <c r="F59" s="574">
        <v>6.1766665087431005E-2</v>
      </c>
      <c r="G59" s="62"/>
      <c r="H59" s="62"/>
      <c r="I59" s="62"/>
      <c r="J59" s="548"/>
      <c r="K59" s="150" t="s">
        <v>713</v>
      </c>
    </row>
    <row r="60" spans="1:27">
      <c r="A60" s="29" t="s">
        <v>715</v>
      </c>
      <c r="B60" s="29"/>
      <c r="G60" s="29"/>
      <c r="K60" s="44"/>
    </row>
    <row r="61" spans="1:27">
      <c r="A61" s="150" t="s">
        <v>716</v>
      </c>
      <c r="C61" s="540"/>
      <c r="D61" s="540"/>
      <c r="M61" s="158"/>
      <c r="N61" s="158"/>
      <c r="O61" s="158"/>
      <c r="P61" s="158"/>
      <c r="Q61" s="158"/>
      <c r="R61" s="158"/>
      <c r="S61" s="158"/>
      <c r="T61" s="158"/>
    </row>
    <row r="62" spans="1:27">
      <c r="A62" s="549" t="s">
        <v>717</v>
      </c>
      <c r="D62" s="516"/>
      <c r="E62" s="516"/>
      <c r="G62" s="550"/>
      <c r="M62" s="158"/>
      <c r="N62" s="158"/>
      <c r="O62" s="158"/>
      <c r="P62" s="158"/>
      <c r="Q62" s="158"/>
      <c r="R62" s="158"/>
      <c r="S62" s="158"/>
      <c r="T62" s="158"/>
    </row>
    <row r="63" spans="1:27">
      <c r="A63" s="114"/>
      <c r="D63" s="516"/>
      <c r="E63" s="516"/>
      <c r="G63" s="550"/>
      <c r="M63" s="158"/>
      <c r="N63" s="158"/>
      <c r="O63" s="158"/>
      <c r="P63" s="158"/>
      <c r="Q63" s="158"/>
      <c r="R63" s="158"/>
      <c r="S63" s="158"/>
      <c r="T63" s="158"/>
    </row>
    <row r="64" spans="1:27">
      <c r="A64" s="23" t="s">
        <v>718</v>
      </c>
      <c r="B64" s="516"/>
      <c r="C64" s="516"/>
      <c r="D64" s="516"/>
    </row>
    <row r="65" spans="1:35">
      <c r="A65" s="551"/>
      <c r="B65" s="523" t="s">
        <v>719</v>
      </c>
      <c r="C65" s="523" t="s">
        <v>720</v>
      </c>
      <c r="D65" s="523" t="s">
        <v>721</v>
      </c>
      <c r="E65" s="523" t="s">
        <v>722</v>
      </c>
      <c r="F65" s="523" t="s">
        <v>723</v>
      </c>
      <c r="G65" s="523" t="s">
        <v>724</v>
      </c>
      <c r="H65" s="523" t="s">
        <v>725</v>
      </c>
      <c r="I65" s="262" t="s">
        <v>726</v>
      </c>
      <c r="J65" s="23" t="s">
        <v>608</v>
      </c>
      <c r="K65" s="540"/>
      <c r="L65" s="540"/>
      <c r="M65" s="540"/>
      <c r="N65" s="540"/>
      <c r="O65" s="540"/>
      <c r="P65" s="540"/>
      <c r="Q65" s="540"/>
      <c r="R65" s="540"/>
      <c r="S65" s="540"/>
      <c r="T65" s="540"/>
    </row>
    <row r="66" spans="1:35">
      <c r="A66" s="552" t="s">
        <v>727</v>
      </c>
      <c r="B66" s="155">
        <v>8.0560000000000007E-2</v>
      </c>
      <c r="C66" s="155">
        <v>6.2E-2</v>
      </c>
      <c r="D66" s="155">
        <v>7.0999999999999994E-2</v>
      </c>
      <c r="E66" s="155">
        <v>1.6999999999999999E-3</v>
      </c>
      <c r="F66" s="155">
        <v>3.65E-3</v>
      </c>
      <c r="G66" s="155">
        <v>2.6749999999999999E-3</v>
      </c>
      <c r="H66" s="155">
        <v>7.5920000000000001E-2</v>
      </c>
      <c r="I66" s="32">
        <v>2.4611111111111111E-2</v>
      </c>
      <c r="J66" s="44" t="s">
        <v>728</v>
      </c>
      <c r="K66" s="540"/>
      <c r="L66" s="540"/>
      <c r="M66" s="540"/>
      <c r="N66" s="540"/>
      <c r="O66" s="540"/>
      <c r="P66" s="540"/>
      <c r="Q66" s="540"/>
      <c r="R66" s="540"/>
      <c r="S66" s="540"/>
      <c r="T66" s="540"/>
    </row>
    <row r="67" spans="1:35">
      <c r="A67" s="552" t="s">
        <v>729</v>
      </c>
      <c r="B67" s="155">
        <v>3.0600000000000005E-5</v>
      </c>
      <c r="C67" s="155">
        <v>2.8000000000000003E-4</v>
      </c>
      <c r="D67" s="155">
        <v>1.55E-4</v>
      </c>
      <c r="E67" s="155">
        <v>2.8666666666666696E-6</v>
      </c>
      <c r="F67" s="155">
        <v>1.7500000000000002E-5</v>
      </c>
      <c r="G67" s="155">
        <v>1.0183333333333299E-5</v>
      </c>
      <c r="H67" s="155">
        <v>3.3630000000000002E-5</v>
      </c>
      <c r="I67" s="100">
        <v>0</v>
      </c>
      <c r="K67" s="540"/>
      <c r="L67" s="540"/>
      <c r="M67" s="540"/>
      <c r="N67" s="540"/>
      <c r="O67" s="540"/>
      <c r="P67" s="540"/>
      <c r="Q67" s="540"/>
      <c r="R67" s="540"/>
      <c r="S67" s="540"/>
      <c r="T67" s="540"/>
    </row>
    <row r="68" spans="1:35">
      <c r="A68" s="553" t="s">
        <v>730</v>
      </c>
      <c r="B68" s="35">
        <v>2.8526E-6</v>
      </c>
      <c r="C68" s="35">
        <v>1.9999999999999999E-6</v>
      </c>
      <c r="D68" s="35">
        <v>1.325E-6</v>
      </c>
      <c r="E68" s="35">
        <v>6.7666666666666703E-7</v>
      </c>
      <c r="F68" s="35">
        <v>7.7999999999999999E-6</v>
      </c>
      <c r="G68" s="35">
        <v>4.2383333333333297E-6</v>
      </c>
      <c r="H68" s="35">
        <v>2.04E-6</v>
      </c>
      <c r="I68" s="531">
        <v>0</v>
      </c>
      <c r="K68" s="540"/>
      <c r="L68" s="554"/>
      <c r="M68" s="554"/>
      <c r="N68" s="554"/>
      <c r="O68" s="554"/>
      <c r="P68" s="554"/>
      <c r="Q68" s="554"/>
      <c r="R68" s="554"/>
      <c r="S68" s="554"/>
      <c r="T68" s="554"/>
    </row>
    <row r="69" spans="1:35">
      <c r="A69" s="555" t="s">
        <v>731</v>
      </c>
      <c r="B69" s="31"/>
      <c r="C69" s="31"/>
      <c r="D69" s="31"/>
      <c r="E69" s="31"/>
      <c r="F69" s="31"/>
      <c r="G69" s="31"/>
      <c r="H69" s="31"/>
      <c r="I69" s="29"/>
      <c r="K69" s="540"/>
      <c r="L69" s="554"/>
      <c r="M69" s="554"/>
      <c r="N69" s="554"/>
      <c r="O69" s="554"/>
      <c r="P69" s="554"/>
      <c r="Q69" s="554"/>
      <c r="R69" s="554"/>
      <c r="S69" s="554"/>
      <c r="T69" s="554"/>
    </row>
    <row r="70" spans="1:35">
      <c r="A70" s="556" t="s">
        <v>732</v>
      </c>
      <c r="B70" s="557"/>
      <c r="C70" s="557"/>
      <c r="D70" s="557"/>
      <c r="E70" s="557"/>
      <c r="F70" s="557"/>
      <c r="G70" s="557"/>
      <c r="H70" s="557"/>
      <c r="I70" s="540"/>
      <c r="K70" s="540"/>
      <c r="L70" s="558"/>
      <c r="M70" s="558"/>
      <c r="N70" s="558"/>
      <c r="O70" s="558"/>
      <c r="P70" s="558"/>
      <c r="Q70" s="558"/>
      <c r="R70" s="558"/>
      <c r="S70" s="554"/>
      <c r="T70" s="554"/>
    </row>
    <row r="71" spans="1:35">
      <c r="A71" s="556" t="s">
        <v>733</v>
      </c>
      <c r="B71" s="516"/>
      <c r="C71" s="516"/>
      <c r="D71" s="516"/>
    </row>
    <row r="72" spans="1:35">
      <c r="A72" s="556" t="s">
        <v>734</v>
      </c>
      <c r="B72" s="516"/>
      <c r="C72" s="516"/>
      <c r="D72" s="516"/>
    </row>
    <row r="73" spans="1:35">
      <c r="D73" s="550"/>
    </row>
    <row r="74" spans="1:35" ht="35.65" customHeight="1">
      <c r="A74" s="23" t="s">
        <v>735</v>
      </c>
    </row>
    <row r="75" spans="1:35">
      <c r="A75" s="559"/>
      <c r="B75" s="171" t="s">
        <v>719</v>
      </c>
      <c r="C75" s="262" t="s">
        <v>725</v>
      </c>
      <c r="D75" s="23" t="s">
        <v>608</v>
      </c>
    </row>
    <row r="76" spans="1:35">
      <c r="A76" s="33" t="s">
        <v>736</v>
      </c>
      <c r="B76" s="560">
        <v>41</v>
      </c>
      <c r="C76" s="561">
        <v>35.200000000000003</v>
      </c>
      <c r="D76" s="44" t="s">
        <v>728</v>
      </c>
    </row>
    <row r="78" spans="1:35">
      <c r="A78" s="175" t="s">
        <v>737</v>
      </c>
    </row>
    <row r="79" spans="1:35">
      <c r="A79" s="551"/>
      <c r="B79" s="523" t="s">
        <v>738</v>
      </c>
      <c r="C79" s="523" t="s">
        <v>739</v>
      </c>
      <c r="D79" s="523" t="s">
        <v>142</v>
      </c>
      <c r="E79" s="523" t="s">
        <v>145</v>
      </c>
      <c r="F79" s="523" t="s">
        <v>740</v>
      </c>
      <c r="G79" s="523" t="s">
        <v>170</v>
      </c>
      <c r="H79" s="523" t="s">
        <v>644</v>
      </c>
      <c r="I79" s="523" t="s">
        <v>149</v>
      </c>
      <c r="J79" s="523" t="s">
        <v>233</v>
      </c>
      <c r="K79" s="562" t="s">
        <v>134</v>
      </c>
      <c r="L79" s="175" t="s">
        <v>608</v>
      </c>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row>
    <row r="80" spans="1:35" ht="15">
      <c r="A80" s="553" t="s">
        <v>741</v>
      </c>
      <c r="B80" s="563">
        <f>90.4*10^-3</f>
        <v>9.0400000000000008E-2</v>
      </c>
      <c r="C80" s="563">
        <v>0.44762485461716806</v>
      </c>
      <c r="D80" s="563">
        <v>0.32005746645935401</v>
      </c>
      <c r="E80" s="563">
        <v>1.074257226400398</v>
      </c>
      <c r="F80" s="563">
        <v>0.111153589956862</v>
      </c>
      <c r="G80" s="563">
        <v>0.70673704701435003</v>
      </c>
      <c r="H80" s="563">
        <v>0.60590626289391802</v>
      </c>
      <c r="I80" s="563">
        <v>0.55811808898758208</v>
      </c>
      <c r="J80" s="563">
        <v>0.44318306344456809</v>
      </c>
      <c r="K80" s="564">
        <v>0.48415973330824447</v>
      </c>
      <c r="L80" s="150" t="s">
        <v>742</v>
      </c>
    </row>
    <row r="81" spans="1:12">
      <c r="A81" s="150" t="s">
        <v>743</v>
      </c>
      <c r="L81" s="150" t="s">
        <v>744</v>
      </c>
    </row>
    <row r="82" spans="1:12" ht="13.5">
      <c r="A82" s="150" t="s">
        <v>745</v>
      </c>
      <c r="D82" s="565"/>
      <c r="E82" s="565"/>
      <c r="G82" s="565"/>
      <c r="K82" s="565"/>
    </row>
    <row r="83" spans="1:12" ht="13.5">
      <c r="H83" s="565"/>
      <c r="I83" s="565"/>
    </row>
    <row r="84" spans="1:12" ht="15">
      <c r="A84" s="175" t="s">
        <v>746</v>
      </c>
      <c r="G84" s="566"/>
      <c r="H84" s="566"/>
      <c r="L84" s="567"/>
    </row>
    <row r="85" spans="1:12">
      <c r="A85" s="122"/>
      <c r="B85" s="61" t="s">
        <v>747</v>
      </c>
      <c r="C85" s="98" t="s">
        <v>748</v>
      </c>
      <c r="D85" s="23" t="s">
        <v>608</v>
      </c>
      <c r="G85" s="566"/>
      <c r="H85" s="568"/>
    </row>
    <row r="86" spans="1:12">
      <c r="A86" s="28" t="s">
        <v>749</v>
      </c>
      <c r="B86" s="25">
        <v>2.2999999999999998</v>
      </c>
      <c r="C86" s="569">
        <v>4.3928213588059704</v>
      </c>
      <c r="D86" s="44" t="s">
        <v>750</v>
      </c>
      <c r="G86" s="570"/>
      <c r="H86" s="566"/>
    </row>
    <row r="87" spans="1:12" ht="14.25">
      <c r="A87" s="28" t="s">
        <v>751</v>
      </c>
      <c r="B87" s="25">
        <v>0</v>
      </c>
      <c r="C87" s="571">
        <v>9.8666566537313431E-3</v>
      </c>
      <c r="D87" s="150" t="s">
        <v>752</v>
      </c>
      <c r="G87" s="572"/>
      <c r="H87" s="573"/>
    </row>
    <row r="88" spans="1:12">
      <c r="A88" s="33" t="s">
        <v>753</v>
      </c>
      <c r="B88" s="574">
        <v>4.3624161073825508E-3</v>
      </c>
      <c r="C88" s="575">
        <v>9.948031617910448E-3</v>
      </c>
      <c r="G88" s="572"/>
      <c r="H88" s="566"/>
    </row>
    <row r="89" spans="1:12">
      <c r="A89" s="44" t="s">
        <v>754</v>
      </c>
      <c r="B89" s="25"/>
      <c r="C89" s="25"/>
      <c r="G89" s="566"/>
      <c r="H89" s="566"/>
    </row>
    <row r="90" spans="1:12">
      <c r="G90" s="566"/>
      <c r="H90" s="566"/>
    </row>
    <row r="91" spans="1:12">
      <c r="A91" s="23" t="s">
        <v>755</v>
      </c>
      <c r="B91" s="23"/>
      <c r="C91" s="23"/>
      <c r="D91" s="23"/>
      <c r="E91" s="29"/>
    </row>
    <row r="92" spans="1:12">
      <c r="A92" s="576"/>
      <c r="B92" s="171" t="s">
        <v>756</v>
      </c>
      <c r="C92" s="171" t="s">
        <v>757</v>
      </c>
      <c r="D92" s="262" t="s">
        <v>758</v>
      </c>
      <c r="E92" s="23" t="s">
        <v>608</v>
      </c>
    </row>
    <row r="93" spans="1:12">
      <c r="A93" s="197" t="s">
        <v>747</v>
      </c>
      <c r="B93" s="29">
        <v>0.6</v>
      </c>
      <c r="C93" s="29">
        <v>0.3</v>
      </c>
      <c r="D93" s="577">
        <v>0.1</v>
      </c>
      <c r="E93" s="578" t="s">
        <v>759</v>
      </c>
    </row>
    <row r="94" spans="1:12">
      <c r="A94" s="111" t="s">
        <v>760</v>
      </c>
      <c r="B94" s="34">
        <v>0.4</v>
      </c>
      <c r="C94" s="34">
        <v>0.7</v>
      </c>
      <c r="D94" s="579">
        <v>0.9</v>
      </c>
    </row>
    <row r="96" spans="1:12">
      <c r="A96" s="175" t="s">
        <v>761</v>
      </c>
    </row>
    <row r="97" spans="1:5" ht="56.65" customHeight="1">
      <c r="A97" s="580"/>
      <c r="B97" s="98" t="s">
        <v>762</v>
      </c>
      <c r="C97" s="23" t="s">
        <v>608</v>
      </c>
      <c r="E97" s="581"/>
    </row>
    <row r="98" spans="1:5">
      <c r="A98" s="33" t="s">
        <v>638</v>
      </c>
      <c r="B98" s="531">
        <v>0.03</v>
      </c>
      <c r="C98" s="44" t="s">
        <v>763</v>
      </c>
    </row>
    <row r="99" spans="1:5">
      <c r="A99" s="150" t="s">
        <v>764</v>
      </c>
      <c r="B99" s="29"/>
      <c r="C99" s="44"/>
    </row>
    <row r="100" spans="1:5">
      <c r="A100" s="29"/>
      <c r="B100" s="29"/>
      <c r="C100" s="44"/>
    </row>
    <row r="101" spans="1:5">
      <c r="A101" s="175" t="s">
        <v>765</v>
      </c>
    </row>
    <row r="102" spans="1:5">
      <c r="A102" s="580"/>
      <c r="B102" s="582" t="s">
        <v>766</v>
      </c>
      <c r="C102" s="23" t="s">
        <v>608</v>
      </c>
    </row>
    <row r="103" spans="1:5">
      <c r="A103" s="160" t="s">
        <v>767</v>
      </c>
      <c r="B103" s="100">
        <v>0.15</v>
      </c>
      <c r="C103" s="114" t="s">
        <v>768</v>
      </c>
    </row>
    <row r="104" spans="1:5">
      <c r="A104" s="160" t="s">
        <v>769</v>
      </c>
      <c r="B104" s="100">
        <v>0.3</v>
      </c>
    </row>
    <row r="105" spans="1:5">
      <c r="A105" s="160" t="s">
        <v>770</v>
      </c>
      <c r="B105" s="100">
        <v>0.05</v>
      </c>
    </row>
    <row r="106" spans="1:5">
      <c r="A106" s="160" t="s">
        <v>771</v>
      </c>
      <c r="B106" s="100">
        <v>0.15</v>
      </c>
    </row>
    <row r="107" spans="1:5">
      <c r="A107" s="160" t="s">
        <v>772</v>
      </c>
      <c r="B107" s="100">
        <v>0.05</v>
      </c>
    </row>
    <row r="108" spans="1:5">
      <c r="A108" s="160" t="s">
        <v>4</v>
      </c>
      <c r="B108" s="100">
        <v>0.05</v>
      </c>
    </row>
    <row r="109" spans="1:5">
      <c r="A109" s="160" t="s">
        <v>773</v>
      </c>
      <c r="B109" s="100">
        <v>0.1</v>
      </c>
    </row>
    <row r="110" spans="1:5">
      <c r="A110" s="160" t="s">
        <v>774</v>
      </c>
      <c r="B110" s="100">
        <v>0.3</v>
      </c>
    </row>
    <row r="111" spans="1:5">
      <c r="A111" s="161" t="s">
        <v>775</v>
      </c>
      <c r="B111" s="531">
        <v>0.1</v>
      </c>
    </row>
    <row r="112" spans="1:5">
      <c r="A112" s="473"/>
      <c r="B112" s="29"/>
    </row>
    <row r="113" spans="1:5">
      <c r="A113" s="175" t="s">
        <v>776</v>
      </c>
      <c r="B113" s="29"/>
    </row>
    <row r="114" spans="1:5" ht="25.5">
      <c r="A114" s="60"/>
      <c r="B114" s="61" t="s">
        <v>777</v>
      </c>
      <c r="C114" s="98" t="s">
        <v>778</v>
      </c>
      <c r="D114" s="23" t="s">
        <v>608</v>
      </c>
      <c r="E114" s="578"/>
    </row>
    <row r="115" spans="1:5">
      <c r="A115" s="197" t="s">
        <v>779</v>
      </c>
      <c r="B115" s="14">
        <v>0.05</v>
      </c>
      <c r="C115" s="525">
        <v>0.03</v>
      </c>
      <c r="D115" s="44" t="s">
        <v>780</v>
      </c>
    </row>
    <row r="116" spans="1:5" ht="15">
      <c r="A116" s="197" t="s">
        <v>781</v>
      </c>
      <c r="B116" s="14">
        <v>0.1</v>
      </c>
      <c r="C116" s="525">
        <v>0.03</v>
      </c>
      <c r="D116" s="44" t="s">
        <v>782</v>
      </c>
    </row>
    <row r="117" spans="1:5" ht="15">
      <c r="A117" s="197" t="s">
        <v>783</v>
      </c>
      <c r="B117" s="14">
        <v>0.2</v>
      </c>
      <c r="C117" s="525">
        <v>0.03</v>
      </c>
    </row>
    <row r="118" spans="1:5" ht="15">
      <c r="A118" s="197" t="s">
        <v>784</v>
      </c>
      <c r="B118" s="14">
        <v>0.3</v>
      </c>
      <c r="C118" s="525">
        <v>0.03</v>
      </c>
    </row>
    <row r="119" spans="1:5">
      <c r="A119" s="197" t="s">
        <v>125</v>
      </c>
      <c r="B119" s="14">
        <v>0.20000000000000004</v>
      </c>
      <c r="C119" s="525">
        <v>0.03</v>
      </c>
    </row>
    <row r="120" spans="1:5">
      <c r="A120" s="197" t="s">
        <v>785</v>
      </c>
      <c r="B120" s="14">
        <v>0.4</v>
      </c>
      <c r="C120" s="525">
        <v>0.03</v>
      </c>
    </row>
    <row r="121" spans="1:5" ht="15">
      <c r="A121" s="197" t="s">
        <v>786</v>
      </c>
      <c r="B121" s="14">
        <v>0.3</v>
      </c>
      <c r="C121" s="525">
        <v>0.03</v>
      </c>
    </row>
    <row r="122" spans="1:5">
      <c r="A122" s="197" t="s">
        <v>153</v>
      </c>
      <c r="B122" s="14">
        <v>0.4</v>
      </c>
      <c r="C122" s="525">
        <v>0.03</v>
      </c>
    </row>
    <row r="123" spans="1:5" ht="15">
      <c r="A123" s="197" t="s">
        <v>787</v>
      </c>
      <c r="B123" s="14">
        <v>0.3</v>
      </c>
      <c r="C123" s="525">
        <v>0.03</v>
      </c>
    </row>
    <row r="124" spans="1:5">
      <c r="A124" s="197" t="s">
        <v>788</v>
      </c>
      <c r="B124" s="14">
        <v>0.4</v>
      </c>
      <c r="C124" s="525">
        <v>0.03</v>
      </c>
    </row>
    <row r="125" spans="1:5" ht="15">
      <c r="A125" s="197" t="s">
        <v>789</v>
      </c>
      <c r="B125" s="14">
        <v>0.4</v>
      </c>
      <c r="C125" s="525">
        <v>0.03</v>
      </c>
    </row>
    <row r="126" spans="1:5">
      <c r="A126" s="27" t="s">
        <v>790</v>
      </c>
      <c r="B126" s="14">
        <v>0.5</v>
      </c>
      <c r="C126" s="525">
        <v>0.03</v>
      </c>
    </row>
    <row r="127" spans="1:5" ht="15">
      <c r="A127" s="27" t="s">
        <v>791</v>
      </c>
      <c r="B127" s="14">
        <v>0.5</v>
      </c>
      <c r="C127" s="525">
        <v>0.03</v>
      </c>
    </row>
    <row r="128" spans="1:5">
      <c r="A128" s="57" t="s">
        <v>792</v>
      </c>
      <c r="B128" s="34">
        <v>0.4</v>
      </c>
      <c r="C128" s="531">
        <v>0.03</v>
      </c>
    </row>
    <row r="129" spans="1:14" ht="15">
      <c r="A129" s="567" t="s">
        <v>793</v>
      </c>
      <c r="B129" s="114"/>
      <c r="C129" s="114"/>
    </row>
    <row r="130" spans="1:14" ht="15">
      <c r="A130" s="567" t="s">
        <v>794</v>
      </c>
      <c r="B130" s="114"/>
      <c r="C130" s="114"/>
    </row>
    <row r="131" spans="1:14" ht="15">
      <c r="A131" s="567" t="s">
        <v>795</v>
      </c>
      <c r="B131" s="106"/>
      <c r="C131" s="106"/>
      <c r="D131" s="106"/>
      <c r="E131" s="106"/>
      <c r="F131" s="106"/>
    </row>
    <row r="132" spans="1:14" ht="15">
      <c r="A132" s="567" t="s">
        <v>796</v>
      </c>
      <c r="B132" s="114"/>
      <c r="C132" s="114"/>
    </row>
    <row r="133" spans="1:14" ht="15">
      <c r="A133" s="567" t="s">
        <v>797</v>
      </c>
      <c r="B133" s="114"/>
      <c r="C133" s="114"/>
    </row>
    <row r="134" spans="1:14" ht="15">
      <c r="A134" s="567" t="s">
        <v>798</v>
      </c>
      <c r="B134" s="114"/>
      <c r="C134" s="114"/>
    </row>
    <row r="135" spans="1:14" ht="15">
      <c r="A135" s="567" t="s">
        <v>799</v>
      </c>
      <c r="B135" s="114"/>
      <c r="C135" s="114"/>
    </row>
    <row r="136" spans="1:14">
      <c r="A136" s="175" t="s">
        <v>800</v>
      </c>
      <c r="B136" s="114"/>
      <c r="C136" s="114"/>
    </row>
    <row r="137" spans="1:14" ht="15">
      <c r="A137" s="583"/>
      <c r="B137" s="114"/>
      <c r="C137" s="114"/>
    </row>
    <row r="138" spans="1:14">
      <c r="A138" s="175" t="s">
        <v>801</v>
      </c>
      <c r="B138" s="114"/>
      <c r="C138" s="114"/>
      <c r="D138" s="114"/>
    </row>
    <row r="139" spans="1:14" ht="25.5">
      <c r="A139" s="153"/>
      <c r="B139" s="171" t="s">
        <v>757</v>
      </c>
      <c r="C139" s="171" t="s">
        <v>802</v>
      </c>
      <c r="D139" s="544" t="s">
        <v>803</v>
      </c>
      <c r="E139" s="544" t="s">
        <v>804</v>
      </c>
      <c r="F139" s="171" t="s">
        <v>805</v>
      </c>
      <c r="G139" s="171" t="s">
        <v>806</v>
      </c>
      <c r="H139" s="61" t="s">
        <v>807</v>
      </c>
      <c r="I139" s="262" t="s">
        <v>808</v>
      </c>
      <c r="J139" s="23" t="s">
        <v>608</v>
      </c>
      <c r="K139" s="154"/>
      <c r="M139" s="154"/>
      <c r="N139" s="154"/>
    </row>
    <row r="140" spans="1:14">
      <c r="A140" s="282" t="s">
        <v>809</v>
      </c>
      <c r="B140" s="31">
        <v>0.16210000000000002</v>
      </c>
      <c r="C140" s="31">
        <v>0.15327999999999997</v>
      </c>
      <c r="D140" s="31">
        <v>0.38575000000000004</v>
      </c>
      <c r="E140" s="31">
        <v>0.18855999999999995</v>
      </c>
      <c r="F140" s="31">
        <v>0.35199999999999987</v>
      </c>
      <c r="G140" s="31">
        <v>0.38575000000000004</v>
      </c>
      <c r="H140" s="31">
        <f>I140</f>
        <v>0.27123999999999998</v>
      </c>
      <c r="I140" s="32">
        <f>AVERAGE(B140:G140)</f>
        <v>0.27123999999999998</v>
      </c>
      <c r="J140" s="29" t="s">
        <v>810</v>
      </c>
      <c r="K140" s="156"/>
      <c r="L140" s="157"/>
      <c r="M140" s="156"/>
      <c r="N140" s="156"/>
    </row>
    <row r="141" spans="1:14">
      <c r="A141" s="282" t="s">
        <v>811</v>
      </c>
      <c r="B141" s="31">
        <v>0.15751360000000003</v>
      </c>
      <c r="C141" s="31">
        <v>0.13996180000000003</v>
      </c>
      <c r="D141" s="31">
        <v>0.12049900000000013</v>
      </c>
      <c r="E141" s="31">
        <v>0.21016900000000005</v>
      </c>
      <c r="F141" s="31">
        <v>0.14255488000000005</v>
      </c>
      <c r="G141" s="31">
        <v>0.12995599999999996</v>
      </c>
      <c r="H141" s="31">
        <f t="shared" ref="H141:H146" si="0">I141</f>
        <v>0.15010904666666672</v>
      </c>
      <c r="I141" s="32">
        <f t="shared" ref="I141:I146" si="1">AVERAGE(B141:G141)</f>
        <v>0.15010904666666672</v>
      </c>
      <c r="J141" s="158"/>
      <c r="K141" s="156"/>
      <c r="L141" s="157"/>
      <c r="M141" s="156"/>
      <c r="N141" s="156"/>
    </row>
    <row r="142" spans="1:14">
      <c r="A142" s="282" t="s">
        <v>812</v>
      </c>
      <c r="B142" s="31">
        <v>0.28064500000000003</v>
      </c>
      <c r="C142" s="31">
        <v>0.28855000000000008</v>
      </c>
      <c r="D142" s="31">
        <v>0.32202999999999993</v>
      </c>
      <c r="E142" s="31">
        <v>0.26483500000000004</v>
      </c>
      <c r="F142" s="31">
        <v>0.29617599999999999</v>
      </c>
      <c r="G142" s="31">
        <v>0.35178999999999994</v>
      </c>
      <c r="H142" s="31">
        <f t="shared" si="0"/>
        <v>0.30067099999999997</v>
      </c>
      <c r="I142" s="32">
        <f t="shared" si="1"/>
        <v>0.30067099999999997</v>
      </c>
      <c r="J142" s="158"/>
      <c r="K142" s="156"/>
      <c r="L142" s="157"/>
      <c r="M142" s="156"/>
      <c r="N142" s="156"/>
    </row>
    <row r="143" spans="1:14">
      <c r="A143" s="282" t="s">
        <v>813</v>
      </c>
      <c r="B143" s="31">
        <v>6.8905000000000105E-2</v>
      </c>
      <c r="C143" s="31">
        <v>5.9499999999999997E-2</v>
      </c>
      <c r="D143" s="31">
        <v>0.19849600000000001</v>
      </c>
      <c r="E143" s="31">
        <v>8.7714999999999987E-2</v>
      </c>
      <c r="F143" s="31">
        <v>0.11652400000000007</v>
      </c>
      <c r="G143" s="31">
        <v>0.16206399999999999</v>
      </c>
      <c r="H143" s="31">
        <f t="shared" si="0"/>
        <v>0.11553400000000003</v>
      </c>
      <c r="I143" s="32">
        <f t="shared" si="1"/>
        <v>0.11553400000000003</v>
      </c>
      <c r="J143" s="158"/>
      <c r="K143" s="156"/>
      <c r="L143" s="157"/>
      <c r="M143" s="156"/>
      <c r="N143" s="156"/>
    </row>
    <row r="144" spans="1:14">
      <c r="A144" s="282" t="s">
        <v>5</v>
      </c>
      <c r="B144" s="1030">
        <v>0</v>
      </c>
      <c r="C144" s="1030">
        <v>0</v>
      </c>
      <c r="D144" s="1030">
        <v>0</v>
      </c>
      <c r="E144" s="1030">
        <v>0</v>
      </c>
      <c r="F144" s="1030">
        <v>0</v>
      </c>
      <c r="G144" s="1030">
        <v>0</v>
      </c>
      <c r="H144" s="1030">
        <v>0</v>
      </c>
      <c r="I144" s="1363">
        <f t="shared" si="1"/>
        <v>0</v>
      </c>
      <c r="J144" s="158"/>
      <c r="K144" s="156"/>
      <c r="L144" s="157"/>
    </row>
    <row r="145" spans="1:14">
      <c r="A145" s="282" t="s">
        <v>814</v>
      </c>
      <c r="B145" s="31">
        <v>8.8000000000000078E-2</v>
      </c>
      <c r="C145" s="31">
        <v>8.8000000000000078E-2</v>
      </c>
      <c r="D145" s="31">
        <v>8.8000000000000078E-2</v>
      </c>
      <c r="E145" s="31">
        <v>8.8000000000000078E-2</v>
      </c>
      <c r="F145" s="31">
        <v>8.8000000000000078E-2</v>
      </c>
      <c r="G145" s="31">
        <v>8.8000000000000078E-2</v>
      </c>
      <c r="H145" s="31">
        <f t="shared" si="0"/>
        <v>8.8000000000000078E-2</v>
      </c>
      <c r="I145" s="32">
        <f t="shared" si="1"/>
        <v>8.8000000000000078E-2</v>
      </c>
      <c r="J145" s="158"/>
      <c r="K145" s="156"/>
      <c r="L145" s="157"/>
      <c r="M145" s="156"/>
      <c r="N145" s="156"/>
    </row>
    <row r="146" spans="1:14">
      <c r="A146" s="584" t="s">
        <v>815</v>
      </c>
      <c r="B146" s="35">
        <v>2.18552999999998E-2</v>
      </c>
      <c r="C146" s="35">
        <v>2.1855300000000022E-2</v>
      </c>
      <c r="D146" s="35">
        <v>8.3406000000000091E-2</v>
      </c>
      <c r="E146" s="35">
        <v>2.6770599999999978E-2</v>
      </c>
      <c r="F146" s="35">
        <v>8.3406000000000091E-2</v>
      </c>
      <c r="G146" s="35">
        <v>0.11533554999999995</v>
      </c>
      <c r="H146" s="35">
        <f t="shared" si="0"/>
        <v>5.8771458333333325E-2</v>
      </c>
      <c r="I146" s="162">
        <f t="shared" si="1"/>
        <v>5.8771458333333325E-2</v>
      </c>
      <c r="J146" s="158"/>
      <c r="K146" s="156"/>
      <c r="L146" s="157"/>
      <c r="M146" s="156"/>
      <c r="N146" s="156"/>
    </row>
    <row r="148" spans="1:14">
      <c r="A148" s="175" t="s">
        <v>816</v>
      </c>
      <c r="B148" s="114"/>
      <c r="C148" s="114"/>
      <c r="D148" s="114"/>
    </row>
    <row r="149" spans="1:14" ht="25.5">
      <c r="A149" s="153"/>
      <c r="B149" s="171" t="s">
        <v>757</v>
      </c>
      <c r="C149" s="171" t="s">
        <v>802</v>
      </c>
      <c r="D149" s="544" t="s">
        <v>803</v>
      </c>
      <c r="E149" s="544" t="s">
        <v>804</v>
      </c>
      <c r="F149" s="171" t="s">
        <v>805</v>
      </c>
      <c r="G149" s="171" t="s">
        <v>806</v>
      </c>
      <c r="H149" s="61" t="s">
        <v>807</v>
      </c>
      <c r="I149" s="262" t="s">
        <v>808</v>
      </c>
      <c r="J149" s="23" t="s">
        <v>608</v>
      </c>
    </row>
    <row r="150" spans="1:14">
      <c r="A150" s="282" t="s">
        <v>809</v>
      </c>
      <c r="B150" s="31">
        <v>6.9000000000000061E-2</v>
      </c>
      <c r="C150" s="31">
        <v>5.920000000000003E-2</v>
      </c>
      <c r="D150" s="31">
        <v>0.3175</v>
      </c>
      <c r="E150" s="31">
        <v>9.8399999999999932E-2</v>
      </c>
      <c r="F150" s="31">
        <f>1-((1-0.1)*(1-0.2))</f>
        <v>0.27999999999999992</v>
      </c>
      <c r="G150" s="31">
        <v>0.3175</v>
      </c>
      <c r="H150" s="31">
        <f t="shared" ref="H150:H156" si="2">I150</f>
        <v>0.19026666666666667</v>
      </c>
      <c r="I150" s="32">
        <f t="shared" ref="I150:I156" si="3">AVERAGE(B150:G150)</f>
        <v>0.19026666666666667</v>
      </c>
      <c r="J150" s="29" t="s">
        <v>810</v>
      </c>
    </row>
    <row r="151" spans="1:14">
      <c r="A151" s="282" t="s">
        <v>811</v>
      </c>
      <c r="B151" s="31">
        <v>0.14032</v>
      </c>
      <c r="C151" s="31">
        <v>0.12241000000000002</v>
      </c>
      <c r="D151" s="31">
        <v>0.10255000000000014</v>
      </c>
      <c r="E151" s="31">
        <v>0.19405000000000006</v>
      </c>
      <c r="F151" s="31">
        <v>0.12505600000000006</v>
      </c>
      <c r="G151" s="31">
        <v>0.11219999999999997</v>
      </c>
      <c r="H151" s="31">
        <f t="shared" si="2"/>
        <v>0.13276433333333337</v>
      </c>
      <c r="I151" s="32">
        <f t="shared" si="3"/>
        <v>0.13276433333333337</v>
      </c>
      <c r="J151" s="158"/>
    </row>
    <row r="152" spans="1:14">
      <c r="A152" s="282" t="s">
        <v>812</v>
      </c>
      <c r="B152" s="31">
        <v>0.22650000000000003</v>
      </c>
      <c r="C152" s="31">
        <v>0.23499999999999999</v>
      </c>
      <c r="D152" s="31">
        <v>0.27099999999999991</v>
      </c>
      <c r="E152" s="31">
        <v>0.20950000000000002</v>
      </c>
      <c r="F152" s="31">
        <v>0.24319999999999997</v>
      </c>
      <c r="G152" s="31">
        <v>0.30299999999999994</v>
      </c>
      <c r="H152" s="31">
        <f t="shared" si="2"/>
        <v>0.24803333333333333</v>
      </c>
      <c r="I152" s="32">
        <f t="shared" si="3"/>
        <v>0.24803333333333333</v>
      </c>
      <c r="J152" s="158"/>
    </row>
    <row r="153" spans="1:14">
      <c r="A153" s="282" t="s">
        <v>813</v>
      </c>
      <c r="B153" s="31">
        <v>5.9499999999999997E-2</v>
      </c>
      <c r="C153" s="31">
        <v>5.0000000000000044E-2</v>
      </c>
      <c r="D153" s="31">
        <v>0.19040000000000001</v>
      </c>
      <c r="E153" s="31">
        <v>7.8500000000000014E-2</v>
      </c>
      <c r="F153" s="31">
        <v>0.10760000000000003</v>
      </c>
      <c r="G153" s="31">
        <v>0.15359999999999996</v>
      </c>
      <c r="H153" s="31">
        <f t="shared" si="2"/>
        <v>0.10660000000000001</v>
      </c>
      <c r="I153" s="32">
        <f t="shared" si="3"/>
        <v>0.10660000000000001</v>
      </c>
      <c r="J153" s="158"/>
    </row>
    <row r="154" spans="1:14">
      <c r="A154" s="282" t="s">
        <v>5</v>
      </c>
      <c r="B154" s="31">
        <v>6.4700000000000091E-2</v>
      </c>
      <c r="C154" s="31">
        <v>6.4700000000000091E-2</v>
      </c>
      <c r="D154" s="31">
        <v>0.14460000000000006</v>
      </c>
      <c r="E154" s="31">
        <v>7.8800000000000092E-2</v>
      </c>
      <c r="F154" s="31">
        <v>0.13550000000000006</v>
      </c>
      <c r="G154" s="31">
        <v>0.14460000000000006</v>
      </c>
      <c r="H154" s="31">
        <f t="shared" si="2"/>
        <v>0.10548333333333341</v>
      </c>
      <c r="I154" s="32">
        <f t="shared" si="3"/>
        <v>0.10548333333333341</v>
      </c>
      <c r="J154" s="158"/>
    </row>
    <row r="155" spans="1:14">
      <c r="A155" s="282" t="s">
        <v>814</v>
      </c>
      <c r="B155" s="31">
        <v>5.0000000000000044E-2</v>
      </c>
      <c r="C155" s="31">
        <v>5.0000000000000044E-2</v>
      </c>
      <c r="D155" s="31">
        <v>5.0000000000000044E-2</v>
      </c>
      <c r="E155" s="31">
        <v>5.0000000000000044E-2</v>
      </c>
      <c r="F155" s="31">
        <v>5.0000000000000044E-2</v>
      </c>
      <c r="G155" s="31">
        <f>1-(1-0.05)</f>
        <v>5.0000000000000044E-2</v>
      </c>
      <c r="H155" s="31">
        <f t="shared" si="2"/>
        <v>5.0000000000000044E-2</v>
      </c>
      <c r="I155" s="32">
        <f t="shared" si="3"/>
        <v>5.0000000000000044E-2</v>
      </c>
      <c r="J155" s="158"/>
    </row>
    <row r="156" spans="1:14">
      <c r="A156" s="584" t="s">
        <v>815</v>
      </c>
      <c r="B156" s="35">
        <v>1.6940000000000066E-2</v>
      </c>
      <c r="C156" s="35">
        <v>1.6940000000000066E-2</v>
      </c>
      <c r="D156" s="35">
        <v>7.8800000000000092E-2</v>
      </c>
      <c r="E156" s="35">
        <v>2.1880000000000011E-2</v>
      </c>
      <c r="F156" s="35">
        <v>7.8800000000000092E-2</v>
      </c>
      <c r="G156" s="35">
        <v>0.11088999999999993</v>
      </c>
      <c r="H156" s="35">
        <f t="shared" si="2"/>
        <v>5.404166666666671E-2</v>
      </c>
      <c r="I156" s="162">
        <f t="shared" si="3"/>
        <v>5.404166666666671E-2</v>
      </c>
      <c r="J156" s="158"/>
    </row>
    <row r="157" spans="1:14">
      <c r="A157" s="150" t="s">
        <v>817</v>
      </c>
    </row>
    <row r="158" spans="1:14">
      <c r="A158" s="150" t="s">
        <v>818</v>
      </c>
    </row>
    <row r="159" spans="1:14">
      <c r="A159" s="114" t="s">
        <v>819</v>
      </c>
    </row>
    <row r="160" spans="1:14">
      <c r="A160" s="114" t="s">
        <v>820</v>
      </c>
    </row>
    <row r="161" spans="1:6">
      <c r="A161" s="150" t="s">
        <v>821</v>
      </c>
    </row>
    <row r="162" spans="1:6">
      <c r="A162" s="150" t="s">
        <v>822</v>
      </c>
    </row>
    <row r="164" spans="1:6">
      <c r="A164" s="179" t="s">
        <v>823</v>
      </c>
      <c r="F164" s="156"/>
    </row>
    <row r="165" spans="1:6">
      <c r="A165" s="585" t="s">
        <v>824</v>
      </c>
      <c r="B165" s="582">
        <v>0.1</v>
      </c>
      <c r="C165" s="23" t="s">
        <v>608</v>
      </c>
      <c r="F165" s="156"/>
    </row>
    <row r="166" spans="1:6">
      <c r="A166" s="160" t="s">
        <v>825</v>
      </c>
      <c r="B166" s="100">
        <v>0.02</v>
      </c>
      <c r="C166" s="29" t="s">
        <v>810</v>
      </c>
    </row>
    <row r="167" spans="1:6">
      <c r="A167" s="160" t="s">
        <v>826</v>
      </c>
      <c r="B167" s="100">
        <v>7.0000000000000007E-2</v>
      </c>
      <c r="C167" s="29"/>
    </row>
    <row r="168" spans="1:6">
      <c r="A168" s="160" t="s">
        <v>827</v>
      </c>
      <c r="B168" s="100">
        <v>0.01</v>
      </c>
    </row>
    <row r="169" spans="1:6">
      <c r="A169" s="161" t="s">
        <v>4</v>
      </c>
      <c r="B169" s="162">
        <v>5.0000000000000001E-3</v>
      </c>
    </row>
    <row r="170" spans="1:6">
      <c r="A170" s="586" t="s">
        <v>828</v>
      </c>
    </row>
    <row r="171" spans="1:6">
      <c r="A171" s="150" t="s">
        <v>822</v>
      </c>
    </row>
    <row r="172" spans="1:6">
      <c r="A172" s="282"/>
    </row>
    <row r="174" spans="1:6">
      <c r="A174" s="782" t="s">
        <v>829</v>
      </c>
      <c r="B174" s="783" t="s">
        <v>830</v>
      </c>
      <c r="C174" s="175" t="s">
        <v>608</v>
      </c>
    </row>
    <row r="175" spans="1:6">
      <c r="A175" s="529" t="s">
        <v>831</v>
      </c>
      <c r="B175" s="828">
        <v>0.25</v>
      </c>
      <c r="C175" s="150" t="s">
        <v>832</v>
      </c>
    </row>
    <row r="176" spans="1:6">
      <c r="A176" s="529" t="s">
        <v>812</v>
      </c>
      <c r="B176" s="828">
        <v>0.17</v>
      </c>
    </row>
    <row r="177" spans="1:3">
      <c r="A177" s="529" t="s">
        <v>833</v>
      </c>
      <c r="B177" s="828">
        <v>0.04</v>
      </c>
    </row>
    <row r="178" spans="1:3">
      <c r="A178" s="529" t="s">
        <v>809</v>
      </c>
      <c r="B178" s="828">
        <v>0.19</v>
      </c>
    </row>
    <row r="179" spans="1:3">
      <c r="A179" s="529" t="s">
        <v>834</v>
      </c>
      <c r="B179" s="828">
        <v>0.11</v>
      </c>
    </row>
    <row r="180" spans="1:3">
      <c r="A180" s="529" t="s">
        <v>5</v>
      </c>
      <c r="B180" s="828">
        <v>0.11</v>
      </c>
    </row>
    <row r="181" spans="1:3">
      <c r="A181" s="529" t="s">
        <v>835</v>
      </c>
      <c r="B181" s="828">
        <v>7.0000000000000007E-2</v>
      </c>
    </row>
    <row r="182" spans="1:3">
      <c r="A182" s="530" t="s">
        <v>120</v>
      </c>
      <c r="B182" s="829">
        <v>0.13</v>
      </c>
    </row>
    <row r="183" spans="1:3">
      <c r="A183" s="150" t="s">
        <v>836</v>
      </c>
    </row>
    <row r="184" spans="1:3">
      <c r="A184" s="150" t="s">
        <v>837</v>
      </c>
    </row>
    <row r="186" spans="1:3" ht="15">
      <c r="A186" s="36" t="s">
        <v>838</v>
      </c>
      <c r="B186" s="37"/>
      <c r="C186" s="36" t="s">
        <v>608</v>
      </c>
    </row>
    <row r="187" spans="1:3" ht="15">
      <c r="A187" s="998" t="s">
        <v>839</v>
      </c>
      <c r="B187" s="999">
        <v>6495</v>
      </c>
      <c r="C187" s="37" t="s">
        <v>840</v>
      </c>
    </row>
    <row r="188" spans="1:3" ht="15">
      <c r="A188" s="1000" t="s">
        <v>841</v>
      </c>
      <c r="B188" s="1001">
        <v>10021</v>
      </c>
      <c r="C188" s="37" t="s">
        <v>842</v>
      </c>
    </row>
    <row r="189" spans="1:3" ht="15">
      <c r="A189" s="1000" t="s">
        <v>843</v>
      </c>
      <c r="B189" s="1002">
        <v>9546</v>
      </c>
      <c r="C189" s="949" t="s">
        <v>844</v>
      </c>
    </row>
    <row r="190" spans="1:3" ht="15">
      <c r="A190" s="1000" t="s">
        <v>845</v>
      </c>
      <c r="B190" s="1001">
        <v>5948</v>
      </c>
      <c r="C190" s="37" t="s">
        <v>846</v>
      </c>
    </row>
    <row r="191" spans="1:3" ht="15">
      <c r="A191" s="1000" t="s">
        <v>847</v>
      </c>
      <c r="B191" s="1001">
        <v>374000</v>
      </c>
      <c r="C191" s="37" t="s">
        <v>848</v>
      </c>
    </row>
    <row r="192" spans="1:3" ht="15">
      <c r="A192" s="232" t="s">
        <v>849</v>
      </c>
      <c r="B192" s="1003">
        <f>SUM(B187:B191)</f>
        <v>406010</v>
      </c>
      <c r="C192" s="37"/>
    </row>
    <row r="194" spans="1:4">
      <c r="A194" s="175" t="s">
        <v>332</v>
      </c>
      <c r="C194" s="175" t="s">
        <v>608</v>
      </c>
    </row>
    <row r="195" spans="1:4">
      <c r="A195" s="559" t="s">
        <v>850</v>
      </c>
      <c r="B195" s="997">
        <v>2.1000000000000001E-2</v>
      </c>
      <c r="C195" s="150" t="s">
        <v>851</v>
      </c>
    </row>
    <row r="196" spans="1:4">
      <c r="A196" s="529" t="s">
        <v>852</v>
      </c>
      <c r="B196" s="828">
        <v>0.15939999999999999</v>
      </c>
    </row>
    <row r="197" spans="1:4">
      <c r="A197" s="529" t="s">
        <v>853</v>
      </c>
      <c r="B197" s="828">
        <v>7.6600000000000001E-2</v>
      </c>
    </row>
    <row r="198" spans="1:4">
      <c r="A198" s="530" t="s">
        <v>854</v>
      </c>
      <c r="B198" s="829">
        <f>14.007/(3*1.008+14.007)</f>
        <v>0.82244143033292239</v>
      </c>
    </row>
    <row r="201" spans="1:4" ht="25.5">
      <c r="A201" s="559"/>
      <c r="B201" s="61" t="s">
        <v>855</v>
      </c>
      <c r="C201" s="98" t="s">
        <v>856</v>
      </c>
      <c r="D201" s="23" t="s">
        <v>608</v>
      </c>
    </row>
    <row r="202" spans="1:4">
      <c r="A202" s="529" t="s">
        <v>122</v>
      </c>
      <c r="B202" s="178">
        <v>0</v>
      </c>
      <c r="C202" s="32">
        <v>0.14319999999999999</v>
      </c>
      <c r="D202" s="29" t="s">
        <v>857</v>
      </c>
    </row>
    <row r="203" spans="1:4">
      <c r="A203" s="529" t="s">
        <v>217</v>
      </c>
      <c r="B203" s="30">
        <v>0.17710000000000004</v>
      </c>
      <c r="C203" s="32">
        <v>0.14319999999999999</v>
      </c>
    </row>
    <row r="204" spans="1:4">
      <c r="A204" s="529" t="s">
        <v>176</v>
      </c>
      <c r="B204" s="30">
        <v>0.22099999999999997</v>
      </c>
      <c r="C204" s="32">
        <v>0.14319999999999999</v>
      </c>
    </row>
    <row r="205" spans="1:4">
      <c r="A205" s="529" t="s">
        <v>124</v>
      </c>
      <c r="B205" s="30">
        <v>0.6583</v>
      </c>
      <c r="C205" s="32">
        <v>0.14319999999999999</v>
      </c>
    </row>
    <row r="206" spans="1:4">
      <c r="A206" s="529" t="s">
        <v>199</v>
      </c>
      <c r="B206" s="30">
        <v>0.46899999999999997</v>
      </c>
      <c r="C206" s="32">
        <v>0.14319999999999999</v>
      </c>
    </row>
    <row r="207" spans="1:4">
      <c r="A207" s="529" t="s">
        <v>123</v>
      </c>
      <c r="B207" s="30">
        <v>0.94950000000000001</v>
      </c>
      <c r="C207" s="32">
        <v>0.14319999999999999</v>
      </c>
    </row>
    <row r="208" spans="1:4">
      <c r="A208" s="529" t="s">
        <v>126</v>
      </c>
      <c r="B208" s="30">
        <v>0.57279999999999998</v>
      </c>
      <c r="C208" s="32">
        <v>0.14319999999999999</v>
      </c>
    </row>
    <row r="209" spans="1:3">
      <c r="A209" s="529" t="s">
        <v>148</v>
      </c>
      <c r="B209" s="30">
        <v>0.52780000000000005</v>
      </c>
      <c r="C209" s="32">
        <v>0.14319999999999999</v>
      </c>
    </row>
    <row r="210" spans="1:3">
      <c r="A210" s="529" t="s">
        <v>130</v>
      </c>
      <c r="B210" s="30">
        <v>1.1000000000000001</v>
      </c>
      <c r="C210" s="32">
        <v>0.14319999999999999</v>
      </c>
    </row>
    <row r="211" spans="1:3">
      <c r="A211" s="529" t="s">
        <v>161</v>
      </c>
      <c r="B211" s="30">
        <v>0.67469999999999997</v>
      </c>
      <c r="C211" s="32">
        <v>0.14319999999999999</v>
      </c>
    </row>
    <row r="212" spans="1:3">
      <c r="A212" s="529" t="s">
        <v>178</v>
      </c>
      <c r="B212" s="30">
        <v>1.258</v>
      </c>
      <c r="C212" s="32">
        <v>0.14319999999999999</v>
      </c>
    </row>
    <row r="213" spans="1:3">
      <c r="A213" s="529" t="s">
        <v>201</v>
      </c>
      <c r="B213" s="30">
        <v>1.357</v>
      </c>
      <c r="C213" s="32">
        <v>0.14319999999999999</v>
      </c>
    </row>
    <row r="214" spans="1:3">
      <c r="A214" s="529" t="s">
        <v>125</v>
      </c>
      <c r="B214" s="30">
        <v>0.80696666666666672</v>
      </c>
      <c r="C214" s="32">
        <v>0.14319999999999999</v>
      </c>
    </row>
    <row r="215" spans="1:3">
      <c r="A215" s="529" t="s">
        <v>149</v>
      </c>
      <c r="B215" s="30">
        <v>4.9687000000000001</v>
      </c>
      <c r="C215" s="32">
        <v>0.14319999999999999</v>
      </c>
    </row>
    <row r="216" spans="1:3">
      <c r="A216" s="529" t="s">
        <v>131</v>
      </c>
      <c r="B216" s="30">
        <v>4.14114</v>
      </c>
      <c r="C216" s="32">
        <v>0.14319999999999999</v>
      </c>
    </row>
    <row r="217" spans="1:3">
      <c r="A217" s="529" t="s">
        <v>132</v>
      </c>
      <c r="B217" s="30">
        <v>4.7839999999999998</v>
      </c>
      <c r="C217" s="32">
        <v>0.14319999999999999</v>
      </c>
    </row>
    <row r="218" spans="1:3">
      <c r="A218" s="529" t="s">
        <v>858</v>
      </c>
      <c r="B218" s="30">
        <v>4.0076999999999998</v>
      </c>
      <c r="C218" s="32">
        <v>0.14319999999999999</v>
      </c>
    </row>
    <row r="219" spans="1:3">
      <c r="A219" s="529" t="s">
        <v>142</v>
      </c>
      <c r="B219" s="30">
        <v>4.8320999999999996</v>
      </c>
      <c r="C219" s="32">
        <v>0.14319999999999999</v>
      </c>
    </row>
    <row r="220" spans="1:3">
      <c r="A220" s="529" t="s">
        <v>170</v>
      </c>
      <c r="B220" s="30">
        <v>7.1356999999999999</v>
      </c>
      <c r="C220" s="32">
        <v>0.14319999999999999</v>
      </c>
    </row>
    <row r="221" spans="1:3">
      <c r="A221" s="529" t="s">
        <v>233</v>
      </c>
      <c r="B221" s="30">
        <v>7.5325000000000006</v>
      </c>
      <c r="C221" s="32">
        <v>0.14319999999999999</v>
      </c>
    </row>
    <row r="222" spans="1:3">
      <c r="A222" s="529" t="s">
        <v>146</v>
      </c>
      <c r="B222" s="30">
        <v>5.5759999999999996</v>
      </c>
      <c r="C222" s="32">
        <v>0.14319999999999999</v>
      </c>
    </row>
    <row r="223" spans="1:3">
      <c r="A223" s="529" t="s">
        <v>145</v>
      </c>
      <c r="B223" s="30">
        <v>8.5532999999999983</v>
      </c>
      <c r="C223" s="32">
        <v>0.14319999999999999</v>
      </c>
    </row>
    <row r="224" spans="1:3">
      <c r="A224" s="529" t="s">
        <v>139</v>
      </c>
      <c r="B224" s="30">
        <v>6.7146999999999997</v>
      </c>
      <c r="C224" s="32">
        <v>0.14319999999999999</v>
      </c>
    </row>
    <row r="225" spans="1:3">
      <c r="A225" s="529" t="s">
        <v>138</v>
      </c>
      <c r="B225" s="30">
        <v>3.4107000000000003</v>
      </c>
      <c r="C225" s="32">
        <v>0.14319999999999999</v>
      </c>
    </row>
    <row r="226" spans="1:3">
      <c r="A226" s="529" t="s">
        <v>137</v>
      </c>
      <c r="B226" s="30">
        <v>3.31494</v>
      </c>
      <c r="C226" s="32">
        <v>0.14319999999999999</v>
      </c>
    </row>
    <row r="227" spans="1:3">
      <c r="A227" s="529" t="s">
        <v>414</v>
      </c>
      <c r="B227" s="30">
        <v>9.4892999999999983</v>
      </c>
      <c r="C227" s="32">
        <v>0.14319999999999999</v>
      </c>
    </row>
    <row r="228" spans="1:3">
      <c r="A228" s="530" t="s">
        <v>134</v>
      </c>
      <c r="B228" s="560">
        <v>5.5092390476190474</v>
      </c>
      <c r="C228" s="162">
        <v>0.14319999999999999</v>
      </c>
    </row>
    <row r="229" spans="1:3">
      <c r="A229" s="175" t="s">
        <v>859</v>
      </c>
    </row>
    <row r="230" spans="1:3">
      <c r="C230" s="31"/>
    </row>
    <row r="231" spans="1:3">
      <c r="A231" s="150" t="s">
        <v>860</v>
      </c>
    </row>
    <row r="232" spans="1:3">
      <c r="A232" s="580" t="s">
        <v>98</v>
      </c>
      <c r="B232" s="710">
        <v>1.02</v>
      </c>
      <c r="C232" s="23" t="s">
        <v>608</v>
      </c>
    </row>
    <row r="233" spans="1:3">
      <c r="A233" s="28" t="s">
        <v>177</v>
      </c>
      <c r="B233" s="32">
        <v>0.91800000000000004</v>
      </c>
      <c r="C233" s="150" t="s">
        <v>861</v>
      </c>
    </row>
    <row r="234" spans="1:3">
      <c r="A234" s="28" t="s">
        <v>640</v>
      </c>
      <c r="B234" s="32">
        <v>0.91500000000000004</v>
      </c>
    </row>
    <row r="235" spans="1:3">
      <c r="A235" s="28" t="s">
        <v>862</v>
      </c>
      <c r="B235" s="32">
        <v>0.92700000000000005</v>
      </c>
    </row>
    <row r="236" spans="1:3">
      <c r="A236" s="28" t="s">
        <v>186</v>
      </c>
      <c r="B236" s="32">
        <v>0.96</v>
      </c>
    </row>
    <row r="237" spans="1:3">
      <c r="A237" s="28" t="s">
        <v>175</v>
      </c>
      <c r="B237" s="32">
        <v>0.92</v>
      </c>
    </row>
    <row r="238" spans="1:3">
      <c r="A238" s="28" t="s">
        <v>863</v>
      </c>
      <c r="B238" s="32">
        <v>1.04</v>
      </c>
    </row>
    <row r="239" spans="1:3">
      <c r="A239" s="28" t="s">
        <v>864</v>
      </c>
      <c r="B239" s="32">
        <v>1.012</v>
      </c>
    </row>
    <row r="240" spans="1:3">
      <c r="A240" s="28" t="s">
        <v>248</v>
      </c>
      <c r="B240" s="32">
        <v>0.91174999999999995</v>
      </c>
    </row>
    <row r="241" spans="1:2">
      <c r="A241" s="28" t="s">
        <v>865</v>
      </c>
      <c r="B241" s="32">
        <v>1.0415000000000001</v>
      </c>
    </row>
    <row r="242" spans="1:2">
      <c r="A242" s="28" t="s">
        <v>866</v>
      </c>
      <c r="B242" s="32">
        <v>0.61</v>
      </c>
    </row>
    <row r="243" spans="1:2">
      <c r="A243" s="28" t="s">
        <v>694</v>
      </c>
      <c r="B243" s="32">
        <v>1.0350000000000001</v>
      </c>
    </row>
    <row r="244" spans="1:2">
      <c r="A244" s="28" t="s">
        <v>45</v>
      </c>
      <c r="B244" s="32">
        <v>1.024</v>
      </c>
    </row>
    <row r="245" spans="1:2">
      <c r="A245" s="28" t="s">
        <v>867</v>
      </c>
      <c r="B245" s="32">
        <v>0.98399999999999999</v>
      </c>
    </row>
    <row r="246" spans="1:2">
      <c r="A246" s="33" t="s">
        <v>868</v>
      </c>
      <c r="B246" s="162">
        <v>0.97799999999999998</v>
      </c>
    </row>
  </sheetData>
  <mergeCells count="22">
    <mergeCell ref="AL26:AM26"/>
    <mergeCell ref="AN26:AO26"/>
    <mergeCell ref="AP26:AQ26"/>
    <mergeCell ref="A26:A34"/>
    <mergeCell ref="Z26:AA26"/>
    <mergeCell ref="AB26:AC26"/>
    <mergeCell ref="AD26:AE26"/>
    <mergeCell ref="AF26:AG26"/>
    <mergeCell ref="AH26:AI26"/>
    <mergeCell ref="AJ26:AK26"/>
    <mergeCell ref="N26:O26"/>
    <mergeCell ref="P26:Q26"/>
    <mergeCell ref="R26:S26"/>
    <mergeCell ref="T26:U26"/>
    <mergeCell ref="V26:W26"/>
    <mergeCell ref="X26:Y26"/>
    <mergeCell ref="L26:M26"/>
    <mergeCell ref="B26:C26"/>
    <mergeCell ref="D26:E26"/>
    <mergeCell ref="F26:G26"/>
    <mergeCell ref="H26:I26"/>
    <mergeCell ref="J26:K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8770-2444-4049-8563-49F4D92A18E7}">
  <dimension ref="A1"/>
  <sheetViews>
    <sheetView workbookViewId="0"/>
  </sheetViews>
  <sheetFormatPr defaultColWidth="8.7109375"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39997558519241921"/>
  </sheetPr>
  <dimension ref="A1:AI117"/>
  <sheetViews>
    <sheetView topLeftCell="A87" workbookViewId="0">
      <selection activeCell="A100" sqref="A100"/>
    </sheetView>
  </sheetViews>
  <sheetFormatPr defaultColWidth="8.7109375" defaultRowHeight="12.75"/>
  <cols>
    <col min="1" max="1" width="66" style="114" customWidth="1"/>
    <col min="2" max="2" width="26.28515625" style="114" customWidth="1"/>
    <col min="3" max="3" width="19.42578125" style="114" bestFit="1" customWidth="1"/>
    <col min="4" max="5" width="26.42578125" style="114" bestFit="1" customWidth="1"/>
    <col min="6" max="6" width="16.42578125" style="114" customWidth="1"/>
    <col min="7" max="7" width="21.28515625" style="114" bestFit="1" customWidth="1"/>
    <col min="8" max="8" width="22.42578125" style="114" bestFit="1" customWidth="1"/>
    <col min="9" max="9" width="14.7109375" style="114" bestFit="1" customWidth="1"/>
    <col min="10" max="10" width="21.42578125" style="114" bestFit="1" customWidth="1"/>
    <col min="11" max="11" width="9.42578125" style="114" bestFit="1" customWidth="1"/>
    <col min="12" max="12" width="16.28515625" style="114" bestFit="1" customWidth="1"/>
    <col min="13" max="13" width="16.42578125" style="114" bestFit="1" customWidth="1"/>
    <col min="14" max="14" width="11.42578125" style="114" bestFit="1" customWidth="1"/>
    <col min="15" max="15" width="10.42578125" style="114" bestFit="1" customWidth="1"/>
    <col min="16" max="16" width="9.42578125" style="114" bestFit="1" customWidth="1"/>
    <col min="17" max="18" width="14.42578125" style="114" bestFit="1" customWidth="1"/>
    <col min="19" max="19" width="13.42578125" style="114" bestFit="1" customWidth="1"/>
    <col min="20" max="20" width="9.42578125" style="114" bestFit="1" customWidth="1"/>
    <col min="21" max="21" width="10.42578125" style="114" bestFit="1" customWidth="1"/>
    <col min="22" max="23" width="13.42578125" style="114" bestFit="1" customWidth="1"/>
    <col min="24" max="24" width="14.42578125" style="114" bestFit="1" customWidth="1"/>
    <col min="25" max="25" width="9.42578125" style="114" bestFit="1" customWidth="1"/>
    <col min="26" max="26" width="37.28515625" style="114" bestFit="1" customWidth="1"/>
    <col min="27" max="27" width="16.42578125" style="114" bestFit="1" customWidth="1"/>
    <col min="28" max="28" width="9.42578125" style="114" bestFit="1" customWidth="1"/>
    <col min="29" max="29" width="14.42578125" style="578" bestFit="1" customWidth="1"/>
    <col min="30" max="30" width="28.42578125" style="578" bestFit="1" customWidth="1"/>
    <col min="31" max="34" width="8.7109375" style="114"/>
    <col min="35" max="35" width="10.42578125" style="114" bestFit="1" customWidth="1"/>
    <col min="36" max="36" width="8.7109375" style="114"/>
    <col min="37" max="37" width="11.7109375" style="114" bestFit="1" customWidth="1"/>
    <col min="38" max="38" width="8.7109375" style="114"/>
    <col min="39" max="39" width="9.42578125" style="114" bestFit="1" customWidth="1"/>
    <col min="40" max="40" width="8.7109375" style="114"/>
    <col min="41" max="41" width="9.42578125" style="114" bestFit="1" customWidth="1"/>
    <col min="42" max="42" width="8.7109375" style="114"/>
    <col min="43" max="43" width="9.42578125" style="114" bestFit="1" customWidth="1"/>
    <col min="44" max="44" width="8.7109375" style="114"/>
    <col min="45" max="45" width="9.42578125" style="114" bestFit="1" customWidth="1"/>
    <col min="46" max="46" width="8.7109375" style="114"/>
    <col min="47" max="47" width="11" style="114" bestFit="1" customWidth="1"/>
    <col min="48" max="48" width="8.7109375" style="114"/>
    <col min="49" max="49" width="9.42578125" style="114" bestFit="1" customWidth="1"/>
    <col min="50" max="50" width="8.7109375" style="114"/>
    <col min="51" max="51" width="9.42578125" style="114" bestFit="1" customWidth="1"/>
    <col min="52" max="52" width="8.7109375" style="114"/>
    <col min="53" max="53" width="9.42578125" style="114" bestFit="1" customWidth="1"/>
    <col min="54" max="16384" width="8.7109375" style="114"/>
  </cols>
  <sheetData>
    <row r="1" spans="1:33" ht="23.25">
      <c r="A1" s="521" t="s">
        <v>869</v>
      </c>
      <c r="D1" s="135"/>
      <c r="E1" s="27"/>
      <c r="F1" s="27"/>
      <c r="G1" s="27"/>
      <c r="H1" s="27"/>
      <c r="I1" s="27"/>
      <c r="J1" s="27"/>
      <c r="K1" s="27"/>
      <c r="L1" s="27"/>
      <c r="M1" s="27"/>
      <c r="N1" s="27"/>
      <c r="O1" s="27"/>
      <c r="P1" s="27"/>
      <c r="Q1" s="27"/>
      <c r="R1" s="27"/>
      <c r="S1" s="27"/>
      <c r="T1" s="27"/>
      <c r="U1" s="27"/>
      <c r="V1" s="27"/>
      <c r="W1" s="27"/>
      <c r="X1" s="27"/>
      <c r="Y1" s="27"/>
      <c r="Z1" s="27"/>
      <c r="AA1" s="27"/>
      <c r="AB1" s="27"/>
      <c r="AC1" s="27"/>
      <c r="AD1" s="27"/>
      <c r="AE1" s="27"/>
    </row>
    <row r="3" spans="1:33" ht="72" customHeight="1">
      <c r="A3" s="122" t="s">
        <v>870</v>
      </c>
      <c r="B3" s="61" t="s">
        <v>871</v>
      </c>
      <c r="C3" s="61" t="s">
        <v>872</v>
      </c>
      <c r="D3" s="61" t="s">
        <v>873</v>
      </c>
      <c r="E3" s="145"/>
      <c r="F3" s="145"/>
      <c r="G3" s="145"/>
      <c r="H3" s="145"/>
      <c r="I3" s="145"/>
      <c r="J3" s="145"/>
      <c r="K3" s="145"/>
      <c r="L3" s="145"/>
      <c r="M3" s="145"/>
      <c r="N3" s="145"/>
      <c r="O3" s="145"/>
      <c r="P3" s="145"/>
      <c r="Q3" s="145"/>
      <c r="R3" s="145"/>
      <c r="S3" s="145"/>
      <c r="T3" s="145"/>
      <c r="U3" s="145"/>
      <c r="V3" s="145"/>
      <c r="W3" s="145"/>
      <c r="X3" s="145"/>
      <c r="Y3" s="145"/>
      <c r="Z3" s="145"/>
      <c r="AA3" s="145"/>
      <c r="AB3" s="145"/>
      <c r="AC3" s="724"/>
      <c r="AD3" s="724"/>
      <c r="AE3" s="151"/>
      <c r="AF3" s="23" t="s">
        <v>608</v>
      </c>
      <c r="AG3" s="578"/>
    </row>
    <row r="4" spans="1:33" s="23" customFormat="1" ht="76.5">
      <c r="A4" s="109"/>
      <c r="D4" s="23" t="s">
        <v>874</v>
      </c>
      <c r="E4" s="27" t="s">
        <v>875</v>
      </c>
      <c r="F4" s="27" t="s">
        <v>876</v>
      </c>
      <c r="G4" s="27" t="s">
        <v>877</v>
      </c>
      <c r="H4" s="27" t="s">
        <v>175</v>
      </c>
      <c r="I4" s="23" t="s">
        <v>640</v>
      </c>
      <c r="J4" s="23" t="s">
        <v>186</v>
      </c>
      <c r="K4" s="27" t="s">
        <v>84</v>
      </c>
      <c r="L4" s="27" t="s">
        <v>38</v>
      </c>
      <c r="M4" s="27" t="s">
        <v>141</v>
      </c>
      <c r="N4" s="27" t="s">
        <v>140</v>
      </c>
      <c r="O4" s="27" t="s">
        <v>878</v>
      </c>
      <c r="P4" s="27" t="s">
        <v>879</v>
      </c>
      <c r="Q4" s="27" t="s">
        <v>880</v>
      </c>
      <c r="R4" s="27" t="s">
        <v>240</v>
      </c>
      <c r="S4" s="23" t="s">
        <v>881</v>
      </c>
      <c r="T4" s="23" t="s">
        <v>882</v>
      </c>
      <c r="U4" s="27" t="s">
        <v>671</v>
      </c>
      <c r="V4" s="27" t="s">
        <v>54</v>
      </c>
      <c r="W4" s="27" t="s">
        <v>883</v>
      </c>
      <c r="X4" s="23" t="s">
        <v>75</v>
      </c>
      <c r="Y4" s="23" t="s">
        <v>884</v>
      </c>
      <c r="Z4" s="27" t="s">
        <v>51</v>
      </c>
      <c r="AA4" s="23" t="s">
        <v>885</v>
      </c>
      <c r="AB4" s="23" t="s">
        <v>886</v>
      </c>
      <c r="AC4" s="23" t="s">
        <v>37</v>
      </c>
      <c r="AD4" s="27" t="s">
        <v>147</v>
      </c>
      <c r="AE4" s="152" t="s">
        <v>887</v>
      </c>
      <c r="AF4" s="27" t="s">
        <v>888</v>
      </c>
      <c r="AG4" s="1032" t="s">
        <v>873</v>
      </c>
    </row>
    <row r="5" spans="1:33">
      <c r="A5" s="147" t="s">
        <v>29</v>
      </c>
      <c r="B5" s="10" t="s">
        <v>122</v>
      </c>
      <c r="C5" s="11">
        <v>0.3</v>
      </c>
      <c r="D5" s="692"/>
      <c r="E5" s="693">
        <v>1.18</v>
      </c>
      <c r="F5" s="693"/>
      <c r="G5" s="693"/>
      <c r="H5" s="693"/>
      <c r="I5" s="693"/>
      <c r="J5" s="693"/>
      <c r="K5" s="693"/>
      <c r="L5" s="693"/>
      <c r="M5" s="693"/>
      <c r="N5" s="693"/>
      <c r="O5" s="693"/>
      <c r="P5" s="693"/>
      <c r="Q5" s="693"/>
      <c r="R5" s="693"/>
      <c r="S5" s="693"/>
      <c r="T5" s="693"/>
      <c r="U5" s="693"/>
      <c r="V5" s="693"/>
      <c r="W5" s="693"/>
      <c r="X5" s="693"/>
      <c r="Y5" s="693"/>
      <c r="Z5" s="693"/>
      <c r="AA5" s="693"/>
      <c r="AB5" s="693"/>
      <c r="AC5" s="693"/>
      <c r="AD5" s="692"/>
      <c r="AE5" s="1036"/>
      <c r="AF5" s="578" t="s">
        <v>889</v>
      </c>
      <c r="AG5" s="578" t="s">
        <v>890</v>
      </c>
    </row>
    <row r="6" spans="1:33">
      <c r="A6" s="28"/>
      <c r="B6" s="14" t="s">
        <v>123</v>
      </c>
      <c r="C6" s="15">
        <v>0.503</v>
      </c>
      <c r="D6" s="25"/>
      <c r="E6" s="31">
        <v>1.18</v>
      </c>
      <c r="F6" s="31"/>
      <c r="G6" s="31"/>
      <c r="H6" s="31"/>
      <c r="I6" s="31"/>
      <c r="J6" s="31"/>
      <c r="K6" s="31"/>
      <c r="L6" s="31"/>
      <c r="M6" s="31"/>
      <c r="N6" s="31"/>
      <c r="O6" s="31"/>
      <c r="P6" s="31"/>
      <c r="Q6" s="31"/>
      <c r="R6" s="31"/>
      <c r="S6" s="31"/>
      <c r="T6" s="31"/>
      <c r="U6" s="31"/>
      <c r="V6" s="31"/>
      <c r="W6" s="31"/>
      <c r="X6" s="31"/>
      <c r="Y6" s="31"/>
      <c r="Z6" s="31"/>
      <c r="AA6" s="31"/>
      <c r="AB6" s="31"/>
      <c r="AC6" s="31"/>
      <c r="AD6" s="25"/>
      <c r="AE6" s="571"/>
      <c r="AF6" s="578"/>
      <c r="AG6" s="578"/>
    </row>
    <row r="7" spans="1:33">
      <c r="A7" s="28"/>
      <c r="B7" s="14" t="s">
        <v>134</v>
      </c>
      <c r="C7" s="15">
        <v>0.19700000000000001</v>
      </c>
      <c r="D7" s="25"/>
      <c r="E7" s="31">
        <v>1.18</v>
      </c>
      <c r="F7" s="31"/>
      <c r="G7" s="31"/>
      <c r="H7" s="31"/>
      <c r="I7" s="31"/>
      <c r="J7" s="31"/>
      <c r="K7" s="31"/>
      <c r="L7" s="31"/>
      <c r="M7" s="31"/>
      <c r="N7" s="31"/>
      <c r="O7" s="31"/>
      <c r="P7" s="31"/>
      <c r="Q7" s="31"/>
      <c r="R7" s="31"/>
      <c r="S7" s="31"/>
      <c r="T7" s="31"/>
      <c r="U7" s="31"/>
      <c r="V7" s="31"/>
      <c r="W7" s="31"/>
      <c r="X7" s="31"/>
      <c r="Y7" s="31"/>
      <c r="Z7" s="31"/>
      <c r="AA7" s="31"/>
      <c r="AB7" s="31"/>
      <c r="AC7" s="31"/>
      <c r="AD7" s="25"/>
      <c r="AE7" s="571"/>
      <c r="AF7" s="578"/>
      <c r="AG7" s="578"/>
    </row>
    <row r="8" spans="1:33">
      <c r="A8" s="147" t="s">
        <v>36</v>
      </c>
      <c r="B8" s="10" t="s">
        <v>122</v>
      </c>
      <c r="C8" s="11">
        <v>1</v>
      </c>
      <c r="D8" s="692"/>
      <c r="E8" s="11">
        <v>0.39900000000000002</v>
      </c>
      <c r="F8" s="693"/>
      <c r="G8" s="693"/>
      <c r="H8" s="11">
        <v>1.7999999999999999E-2</v>
      </c>
      <c r="I8" s="693"/>
      <c r="J8" s="693"/>
      <c r="K8" s="11">
        <v>1.7000000000000001E-2</v>
      </c>
      <c r="L8" s="11">
        <v>3.5000000000000003E-2</v>
      </c>
      <c r="M8" s="693"/>
      <c r="N8" s="693"/>
      <c r="O8" s="693"/>
      <c r="P8" s="693"/>
      <c r="Q8" s="693"/>
      <c r="R8" s="693"/>
      <c r="S8" s="693"/>
      <c r="T8" s="693"/>
      <c r="U8" s="693"/>
      <c r="V8" s="693"/>
      <c r="W8" s="693"/>
      <c r="X8" s="693"/>
      <c r="Y8" s="693"/>
      <c r="Z8" s="693"/>
      <c r="AA8" s="693"/>
      <c r="AB8" s="693"/>
      <c r="AC8" s="693"/>
      <c r="AD8" s="692"/>
      <c r="AE8" s="1036">
        <v>0.53099999999999992</v>
      </c>
      <c r="AF8" s="578" t="s">
        <v>891</v>
      </c>
      <c r="AG8" s="578" t="s">
        <v>892</v>
      </c>
    </row>
    <row r="9" spans="1:33">
      <c r="A9" s="28"/>
      <c r="B9" s="14"/>
      <c r="C9" s="15"/>
      <c r="D9" s="25"/>
      <c r="E9" s="15"/>
      <c r="F9" s="31"/>
      <c r="G9" s="31"/>
      <c r="H9" s="15"/>
      <c r="I9" s="31"/>
      <c r="J9" s="31"/>
      <c r="K9" s="15"/>
      <c r="L9" s="15"/>
      <c r="M9" s="31"/>
      <c r="N9" s="31"/>
      <c r="O9" s="31"/>
      <c r="P9" s="31"/>
      <c r="Q9" s="31"/>
      <c r="R9" s="31"/>
      <c r="S9" s="31"/>
      <c r="T9" s="31"/>
      <c r="U9" s="31"/>
      <c r="V9" s="31"/>
      <c r="W9" s="31"/>
      <c r="X9" s="31"/>
      <c r="Y9" s="31"/>
      <c r="Z9" s="31"/>
      <c r="AA9" s="31"/>
      <c r="AB9" s="31"/>
      <c r="AC9" s="31"/>
      <c r="AD9" s="25"/>
      <c r="AE9" s="571"/>
      <c r="AF9" s="578"/>
      <c r="AG9" s="578"/>
    </row>
    <row r="10" spans="1:33">
      <c r="A10" s="147" t="s">
        <v>43</v>
      </c>
      <c r="B10" s="10" t="s">
        <v>122</v>
      </c>
      <c r="C10" s="11">
        <v>1</v>
      </c>
      <c r="D10" s="692"/>
      <c r="E10" s="11">
        <v>0.23</v>
      </c>
      <c r="F10" s="11">
        <v>0.23</v>
      </c>
      <c r="G10" s="11"/>
      <c r="H10" s="11">
        <v>4.4999999999999998E-2</v>
      </c>
      <c r="I10" s="693"/>
      <c r="J10" s="693"/>
      <c r="K10" s="11">
        <v>4.4999999999999998E-2</v>
      </c>
      <c r="L10" s="693"/>
      <c r="M10" s="693"/>
      <c r="N10" s="11">
        <v>0.01</v>
      </c>
      <c r="O10" s="693"/>
      <c r="P10" s="693"/>
      <c r="Q10" s="693"/>
      <c r="R10" s="693"/>
      <c r="S10" s="693"/>
      <c r="T10" s="693"/>
      <c r="U10" s="693"/>
      <c r="V10" s="693"/>
      <c r="W10" s="693"/>
      <c r="X10" s="693"/>
      <c r="Y10" s="693"/>
      <c r="Z10" s="693"/>
      <c r="AA10" s="693"/>
      <c r="AB10" s="693"/>
      <c r="AC10" s="693"/>
      <c r="AD10" s="692"/>
      <c r="AE10" s="1036">
        <v>0.43999999999999995</v>
      </c>
      <c r="AF10" s="578" t="s">
        <v>891</v>
      </c>
      <c r="AG10" s="578" t="s">
        <v>892</v>
      </c>
    </row>
    <row r="11" spans="1:33">
      <c r="A11" s="28"/>
      <c r="B11" s="14"/>
      <c r="C11" s="15"/>
      <c r="D11" s="25"/>
      <c r="E11" s="15"/>
      <c r="F11" s="15"/>
      <c r="G11" s="15"/>
      <c r="H11" s="15"/>
      <c r="I11" s="31"/>
      <c r="J11" s="31"/>
      <c r="K11" s="15"/>
      <c r="L11" s="31"/>
      <c r="M11" s="31"/>
      <c r="N11" s="15"/>
      <c r="O11" s="31"/>
      <c r="P11" s="31"/>
      <c r="Q11" s="31"/>
      <c r="R11" s="31"/>
      <c r="S11" s="31"/>
      <c r="T11" s="31"/>
      <c r="U11" s="31"/>
      <c r="V11" s="31"/>
      <c r="W11" s="31"/>
      <c r="X11" s="31"/>
      <c r="Y11" s="31"/>
      <c r="Z11" s="31"/>
      <c r="AA11" s="31"/>
      <c r="AB11" s="31"/>
      <c r="AC11" s="31"/>
      <c r="AD11" s="25"/>
      <c r="AE11" s="571"/>
      <c r="AF11" s="578"/>
      <c r="AG11" s="578"/>
    </row>
    <row r="12" spans="1:33">
      <c r="A12" s="147" t="s">
        <v>893</v>
      </c>
      <c r="B12" s="10" t="s">
        <v>122</v>
      </c>
      <c r="C12" s="11">
        <v>1</v>
      </c>
      <c r="D12" s="692"/>
      <c r="E12" s="11">
        <v>0.51200000000000001</v>
      </c>
      <c r="F12" s="11">
        <v>4.7E-2</v>
      </c>
      <c r="G12" s="11"/>
      <c r="H12" s="11">
        <v>2.7E-2</v>
      </c>
      <c r="I12" s="693"/>
      <c r="J12" s="693"/>
      <c r="K12" s="11">
        <v>0.11</v>
      </c>
      <c r="L12" s="693"/>
      <c r="M12" s="693"/>
      <c r="N12" s="693"/>
      <c r="O12" s="11">
        <v>0.216</v>
      </c>
      <c r="P12" s="693"/>
      <c r="Q12" s="693"/>
      <c r="R12" s="693"/>
      <c r="S12" s="693"/>
      <c r="T12" s="693"/>
      <c r="U12" s="693"/>
      <c r="V12" s="693"/>
      <c r="W12" s="693"/>
      <c r="X12" s="693"/>
      <c r="Y12" s="693"/>
      <c r="Z12" s="693"/>
      <c r="AA12" s="693"/>
      <c r="AB12" s="693"/>
      <c r="AC12" s="693"/>
      <c r="AD12" s="692"/>
      <c r="AE12" s="1036">
        <v>8.7999999999999967E-2</v>
      </c>
      <c r="AF12" s="578" t="s">
        <v>891</v>
      </c>
      <c r="AG12" s="578" t="s">
        <v>892</v>
      </c>
    </row>
    <row r="13" spans="1:33">
      <c r="A13" s="28"/>
      <c r="B13" s="14"/>
      <c r="C13" s="15"/>
      <c r="D13" s="25"/>
      <c r="E13" s="15"/>
      <c r="F13" s="15"/>
      <c r="G13" s="15"/>
      <c r="H13" s="15"/>
      <c r="I13" s="31"/>
      <c r="J13" s="31"/>
      <c r="K13" s="15"/>
      <c r="L13" s="31"/>
      <c r="M13" s="31"/>
      <c r="N13" s="31"/>
      <c r="O13" s="15"/>
      <c r="P13" s="31"/>
      <c r="Q13" s="31"/>
      <c r="R13" s="31"/>
      <c r="S13" s="31"/>
      <c r="T13" s="31"/>
      <c r="U13" s="31"/>
      <c r="V13" s="31"/>
      <c r="W13" s="31"/>
      <c r="X13" s="31"/>
      <c r="Y13" s="31"/>
      <c r="Z13" s="31"/>
      <c r="AA13" s="31"/>
      <c r="AB13" s="31"/>
      <c r="AC13" s="31"/>
      <c r="AD13" s="25"/>
      <c r="AE13" s="571"/>
      <c r="AF13" s="578"/>
      <c r="AG13" s="578"/>
    </row>
    <row r="14" spans="1:33">
      <c r="A14" s="147" t="s">
        <v>56</v>
      </c>
      <c r="B14" s="10" t="s">
        <v>122</v>
      </c>
      <c r="C14" s="11">
        <v>1</v>
      </c>
      <c r="D14" s="692"/>
      <c r="E14" s="11">
        <v>0.86099999999999999</v>
      </c>
      <c r="F14" s="693"/>
      <c r="G14" s="693"/>
      <c r="H14" s="11">
        <v>0.04</v>
      </c>
      <c r="I14" s="693"/>
      <c r="J14" s="693"/>
      <c r="K14" s="693"/>
      <c r="L14" s="693"/>
      <c r="M14" s="693"/>
      <c r="N14" s="693"/>
      <c r="O14" s="693"/>
      <c r="P14" s="693"/>
      <c r="Q14" s="693"/>
      <c r="R14" s="693"/>
      <c r="S14" s="693"/>
      <c r="T14" s="693"/>
      <c r="U14" s="693"/>
      <c r="V14" s="693"/>
      <c r="W14" s="693"/>
      <c r="X14" s="693"/>
      <c r="Y14" s="693"/>
      <c r="Z14" s="693"/>
      <c r="AA14" s="693"/>
      <c r="AB14" s="693"/>
      <c r="AC14" s="693"/>
      <c r="AD14" s="692"/>
      <c r="AE14" s="1036">
        <v>9.8999999999999977E-2</v>
      </c>
      <c r="AF14" s="578" t="s">
        <v>894</v>
      </c>
      <c r="AG14" s="578" t="s">
        <v>892</v>
      </c>
    </row>
    <row r="15" spans="1:33">
      <c r="A15" s="28"/>
      <c r="B15" s="14"/>
      <c r="C15" s="15"/>
      <c r="D15" s="25"/>
      <c r="E15" s="15"/>
      <c r="F15" s="31"/>
      <c r="G15" s="31"/>
      <c r="H15" s="15"/>
      <c r="I15" s="31"/>
      <c r="J15" s="31"/>
      <c r="K15" s="31"/>
      <c r="L15" s="31"/>
      <c r="M15" s="31"/>
      <c r="N15" s="31"/>
      <c r="O15" s="31"/>
      <c r="P15" s="31"/>
      <c r="Q15" s="31"/>
      <c r="R15" s="31"/>
      <c r="S15" s="31"/>
      <c r="T15" s="31"/>
      <c r="U15" s="31"/>
      <c r="V15" s="31"/>
      <c r="W15" s="31"/>
      <c r="X15" s="31"/>
      <c r="Y15" s="31"/>
      <c r="Z15" s="31"/>
      <c r="AA15" s="31"/>
      <c r="AB15" s="31"/>
      <c r="AC15" s="31"/>
      <c r="AD15" s="25"/>
      <c r="AE15" s="571"/>
      <c r="AF15" s="578"/>
      <c r="AG15" s="578"/>
    </row>
    <row r="16" spans="1:33">
      <c r="A16" s="147" t="s">
        <v>62</v>
      </c>
      <c r="B16" s="10" t="s">
        <v>122</v>
      </c>
      <c r="C16" s="11">
        <v>1</v>
      </c>
      <c r="D16" s="692"/>
      <c r="E16" s="11">
        <v>0.54100000000000004</v>
      </c>
      <c r="F16" s="693"/>
      <c r="G16" s="693"/>
      <c r="H16" s="11">
        <v>1.4E-2</v>
      </c>
      <c r="I16" s="693"/>
      <c r="J16" s="693"/>
      <c r="K16" s="693"/>
      <c r="L16" s="693"/>
      <c r="M16" s="693"/>
      <c r="N16" s="693"/>
      <c r="O16" s="693"/>
      <c r="P16" s="693"/>
      <c r="Q16" s="693"/>
      <c r="R16" s="693"/>
      <c r="S16" s="693"/>
      <c r="T16" s="693"/>
      <c r="U16" s="693"/>
      <c r="V16" s="693"/>
      <c r="W16" s="693"/>
      <c r="X16" s="693"/>
      <c r="Y16" s="693"/>
      <c r="Z16" s="693"/>
      <c r="AA16" s="693"/>
      <c r="AB16" s="693"/>
      <c r="AC16" s="693"/>
      <c r="AD16" s="692"/>
      <c r="AE16" s="1036">
        <v>0.44499999999999995</v>
      </c>
      <c r="AF16" s="578" t="s">
        <v>894</v>
      </c>
      <c r="AG16" s="578" t="s">
        <v>892</v>
      </c>
    </row>
    <row r="17" spans="1:33">
      <c r="A17" s="28"/>
      <c r="B17" s="14"/>
      <c r="C17" s="15"/>
      <c r="D17" s="25"/>
      <c r="E17" s="15"/>
      <c r="F17" s="31"/>
      <c r="G17" s="31"/>
      <c r="H17" s="15"/>
      <c r="I17" s="31"/>
      <c r="J17" s="31"/>
      <c r="K17" s="31"/>
      <c r="L17" s="31"/>
      <c r="M17" s="31"/>
      <c r="N17" s="31"/>
      <c r="O17" s="31"/>
      <c r="P17" s="31"/>
      <c r="Q17" s="31"/>
      <c r="R17" s="31"/>
      <c r="S17" s="31"/>
      <c r="T17" s="31"/>
      <c r="U17" s="31"/>
      <c r="V17" s="31"/>
      <c r="W17" s="31"/>
      <c r="X17" s="31"/>
      <c r="Y17" s="31"/>
      <c r="Z17" s="31"/>
      <c r="AA17" s="31"/>
      <c r="AB17" s="31"/>
      <c r="AC17" s="31"/>
      <c r="AD17" s="25"/>
      <c r="AE17" s="571"/>
      <c r="AF17" s="578"/>
      <c r="AG17" s="578"/>
    </row>
    <row r="18" spans="1:33">
      <c r="A18" s="147" t="s">
        <v>68</v>
      </c>
      <c r="B18" s="10" t="s">
        <v>122</v>
      </c>
      <c r="C18" s="11">
        <v>1</v>
      </c>
      <c r="D18" s="692"/>
      <c r="E18" s="11">
        <v>0.3</v>
      </c>
      <c r="F18" s="11">
        <v>0.3</v>
      </c>
      <c r="G18" s="11"/>
      <c r="H18" s="11">
        <v>9.0000000000000011E-3</v>
      </c>
      <c r="I18" s="693"/>
      <c r="J18" s="693"/>
      <c r="K18" s="693"/>
      <c r="L18" s="693"/>
      <c r="M18" s="693"/>
      <c r="N18" s="693"/>
      <c r="O18" s="693"/>
      <c r="P18" s="693"/>
      <c r="Q18" s="693"/>
      <c r="R18" s="693"/>
      <c r="S18" s="693"/>
      <c r="T18" s="693"/>
      <c r="U18" s="693"/>
      <c r="V18" s="693"/>
      <c r="W18" s="693"/>
      <c r="X18" s="693"/>
      <c r="Y18" s="693"/>
      <c r="Z18" s="693"/>
      <c r="AA18" s="693"/>
      <c r="AB18" s="693"/>
      <c r="AC18" s="693"/>
      <c r="AD18" s="692"/>
      <c r="AE18" s="1036">
        <v>0.39100000000000001</v>
      </c>
      <c r="AF18" s="578" t="s">
        <v>894</v>
      </c>
      <c r="AG18" s="578" t="s">
        <v>892</v>
      </c>
    </row>
    <row r="19" spans="1:33">
      <c r="A19" s="28"/>
      <c r="B19" s="14"/>
      <c r="C19" s="15"/>
      <c r="D19" s="25"/>
      <c r="E19" s="15"/>
      <c r="F19" s="15"/>
      <c r="G19" s="15"/>
      <c r="H19" s="15"/>
      <c r="I19" s="31"/>
      <c r="J19" s="31"/>
      <c r="K19" s="31"/>
      <c r="L19" s="31"/>
      <c r="M19" s="31"/>
      <c r="N19" s="31"/>
      <c r="O19" s="31"/>
      <c r="P19" s="31"/>
      <c r="Q19" s="31"/>
      <c r="R19" s="31"/>
      <c r="S19" s="31"/>
      <c r="T19" s="31"/>
      <c r="U19" s="31"/>
      <c r="V19" s="31"/>
      <c r="W19" s="31"/>
      <c r="X19" s="31"/>
      <c r="Y19" s="31"/>
      <c r="Z19" s="31"/>
      <c r="AA19" s="31"/>
      <c r="AB19" s="31"/>
      <c r="AC19" s="31"/>
      <c r="AD19" s="25"/>
      <c r="AE19" s="571"/>
      <c r="AF19" s="578"/>
      <c r="AG19" s="578"/>
    </row>
    <row r="20" spans="1:33">
      <c r="A20" s="147" t="s">
        <v>74</v>
      </c>
      <c r="B20" s="10" t="s">
        <v>122</v>
      </c>
      <c r="C20" s="11">
        <v>1</v>
      </c>
      <c r="D20" s="692"/>
      <c r="E20" s="693"/>
      <c r="F20" s="11">
        <v>0.72399999999999998</v>
      </c>
      <c r="G20" s="11"/>
      <c r="H20" s="693"/>
      <c r="I20" s="693"/>
      <c r="J20" s="693"/>
      <c r="K20" s="693"/>
      <c r="L20" s="693"/>
      <c r="M20" s="693"/>
      <c r="N20" s="693"/>
      <c r="O20" s="693"/>
      <c r="P20" s="693"/>
      <c r="Q20" s="693"/>
      <c r="R20" s="693"/>
      <c r="S20" s="693"/>
      <c r="T20" s="693"/>
      <c r="U20" s="693"/>
      <c r="V20" s="693"/>
      <c r="W20" s="693"/>
      <c r="X20" s="693"/>
      <c r="Y20" s="693"/>
      <c r="Z20" s="693"/>
      <c r="AA20" s="693"/>
      <c r="AB20" s="693"/>
      <c r="AC20" s="693"/>
      <c r="AD20" s="692"/>
      <c r="AE20" s="1036">
        <v>0.27600000000000002</v>
      </c>
      <c r="AF20" s="578" t="s">
        <v>894</v>
      </c>
      <c r="AG20" s="578" t="s">
        <v>892</v>
      </c>
    </row>
    <row r="21" spans="1:33">
      <c r="A21" s="28"/>
      <c r="B21" s="14"/>
      <c r="C21" s="15"/>
      <c r="D21" s="25"/>
      <c r="E21" s="31"/>
      <c r="F21" s="15"/>
      <c r="G21" s="15"/>
      <c r="H21" s="31"/>
      <c r="I21" s="31"/>
      <c r="J21" s="31"/>
      <c r="K21" s="31"/>
      <c r="L21" s="31"/>
      <c r="M21" s="31"/>
      <c r="N21" s="31"/>
      <c r="O21" s="31"/>
      <c r="P21" s="31"/>
      <c r="Q21" s="31"/>
      <c r="R21" s="31"/>
      <c r="S21" s="31"/>
      <c r="T21" s="31"/>
      <c r="U21" s="31"/>
      <c r="V21" s="31"/>
      <c r="W21" s="31"/>
      <c r="X21" s="31"/>
      <c r="Y21" s="31"/>
      <c r="Z21" s="31"/>
      <c r="AA21" s="31"/>
      <c r="AB21" s="31"/>
      <c r="AC21" s="31"/>
      <c r="AD21" s="25"/>
      <c r="AE21" s="571"/>
      <c r="AF21" s="578"/>
      <c r="AG21" s="578"/>
    </row>
    <row r="22" spans="1:33">
      <c r="A22" s="147" t="s">
        <v>895</v>
      </c>
      <c r="B22" s="10" t="s">
        <v>122</v>
      </c>
      <c r="C22" s="11">
        <v>1</v>
      </c>
      <c r="D22" s="692"/>
      <c r="E22" s="693"/>
      <c r="F22" s="693"/>
      <c r="G22" s="693"/>
      <c r="H22" s="693"/>
      <c r="I22" s="693">
        <v>0.09</v>
      </c>
      <c r="J22" s="693">
        <v>0.09</v>
      </c>
      <c r="K22" s="693"/>
      <c r="L22" s="693"/>
      <c r="M22" s="693"/>
      <c r="N22" s="693"/>
      <c r="O22" s="693"/>
      <c r="P22" s="693"/>
      <c r="Q22" s="693"/>
      <c r="R22" s="693"/>
      <c r="S22" s="693"/>
      <c r="T22" s="693"/>
      <c r="U22" s="693">
        <v>0.34</v>
      </c>
      <c r="V22" s="693"/>
      <c r="W22" s="693">
        <v>0.34</v>
      </c>
      <c r="X22" s="693">
        <v>0.15</v>
      </c>
      <c r="Y22" s="693"/>
      <c r="Z22" s="693"/>
      <c r="AA22" s="693"/>
      <c r="AB22" s="693"/>
      <c r="AC22" s="693"/>
      <c r="AD22" s="692"/>
      <c r="AE22" s="1036"/>
      <c r="AF22" s="578" t="s">
        <v>896</v>
      </c>
      <c r="AG22" s="578" t="s">
        <v>897</v>
      </c>
    </row>
    <row r="23" spans="1:33">
      <c r="A23" s="28"/>
      <c r="B23" s="14"/>
      <c r="C23" s="15"/>
      <c r="D23" s="25"/>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25"/>
      <c r="AE23" s="571"/>
      <c r="AF23" s="578"/>
      <c r="AG23" s="578"/>
    </row>
    <row r="24" spans="1:33">
      <c r="A24" s="147" t="s">
        <v>84</v>
      </c>
      <c r="B24" s="10" t="s">
        <v>122</v>
      </c>
      <c r="C24" s="11">
        <v>1</v>
      </c>
      <c r="D24" s="692"/>
      <c r="E24" s="693"/>
      <c r="F24" s="693"/>
      <c r="G24" s="693"/>
      <c r="H24" s="693">
        <v>0.41</v>
      </c>
      <c r="I24" s="693">
        <v>0.41</v>
      </c>
      <c r="J24" s="693"/>
      <c r="K24" s="693"/>
      <c r="L24" s="693"/>
      <c r="M24" s="693"/>
      <c r="N24" s="693"/>
      <c r="O24" s="693"/>
      <c r="P24" s="693"/>
      <c r="Q24" s="693"/>
      <c r="R24" s="693"/>
      <c r="S24" s="693"/>
      <c r="T24" s="693"/>
      <c r="U24" s="693"/>
      <c r="V24" s="693"/>
      <c r="W24" s="693"/>
      <c r="X24" s="693"/>
      <c r="Y24" s="693"/>
      <c r="Z24" s="693"/>
      <c r="AA24" s="693"/>
      <c r="AB24" s="693"/>
      <c r="AC24" s="693"/>
      <c r="AD24" s="692"/>
      <c r="AE24" s="1036">
        <v>0.18000000000000005</v>
      </c>
      <c r="AF24" s="1029" t="s">
        <v>898</v>
      </c>
      <c r="AG24" s="578" t="s">
        <v>892</v>
      </c>
    </row>
    <row r="25" spans="1:33">
      <c r="A25" s="28"/>
      <c r="B25" s="14"/>
      <c r="C25" s="15"/>
      <c r="D25" s="25"/>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25"/>
      <c r="AE25" s="571"/>
      <c r="AF25" s="578"/>
      <c r="AG25" s="578"/>
    </row>
    <row r="26" spans="1:33">
      <c r="A26" s="147" t="s">
        <v>88</v>
      </c>
      <c r="B26" s="10" t="s">
        <v>122</v>
      </c>
      <c r="C26" s="11">
        <v>1</v>
      </c>
      <c r="D26" s="692"/>
      <c r="E26" s="693"/>
      <c r="F26" s="693"/>
      <c r="G26" s="693"/>
      <c r="H26" s="693">
        <v>0.2</v>
      </c>
      <c r="I26" s="693">
        <v>0.2</v>
      </c>
      <c r="J26" s="693"/>
      <c r="K26" s="693"/>
      <c r="L26" s="693"/>
      <c r="M26" s="693"/>
      <c r="N26" s="1034"/>
      <c r="O26" s="693"/>
      <c r="P26" s="693"/>
      <c r="Q26" s="693"/>
      <c r="R26" s="693"/>
      <c r="S26" s="693"/>
      <c r="T26" s="693"/>
      <c r="U26" s="693"/>
      <c r="V26" s="693"/>
      <c r="W26" s="693"/>
      <c r="X26" s="693"/>
      <c r="Y26" s="693"/>
      <c r="Z26" s="693"/>
      <c r="AA26" s="693"/>
      <c r="AB26" s="693"/>
      <c r="AC26" s="693"/>
      <c r="AD26" s="692"/>
      <c r="AE26" s="1036">
        <v>0.6</v>
      </c>
      <c r="AF26" s="1029" t="s">
        <v>898</v>
      </c>
      <c r="AG26" s="578" t="s">
        <v>892</v>
      </c>
    </row>
    <row r="27" spans="1:33">
      <c r="A27" s="28"/>
      <c r="B27" s="14"/>
      <c r="C27" s="15"/>
      <c r="D27" s="25"/>
      <c r="E27" s="31"/>
      <c r="F27" s="31"/>
      <c r="G27" s="31"/>
      <c r="H27" s="31"/>
      <c r="I27" s="31"/>
      <c r="J27" s="31"/>
      <c r="K27" s="31"/>
      <c r="L27" s="31"/>
      <c r="M27" s="31"/>
      <c r="N27" s="612"/>
      <c r="O27" s="31"/>
      <c r="P27" s="31"/>
      <c r="Q27" s="31"/>
      <c r="R27" s="31"/>
      <c r="S27" s="31"/>
      <c r="T27" s="31"/>
      <c r="U27" s="31"/>
      <c r="V27" s="31"/>
      <c r="W27" s="31"/>
      <c r="X27" s="31"/>
      <c r="Y27" s="31"/>
      <c r="Z27" s="31"/>
      <c r="AA27" s="31"/>
      <c r="AB27" s="31"/>
      <c r="AC27" s="31"/>
      <c r="AD27" s="25"/>
      <c r="AE27" s="571"/>
      <c r="AF27" s="578"/>
      <c r="AG27" s="578"/>
    </row>
    <row r="28" spans="1:33">
      <c r="A28" s="147" t="s">
        <v>92</v>
      </c>
      <c r="B28" s="10" t="s">
        <v>122</v>
      </c>
      <c r="C28" s="11">
        <v>1</v>
      </c>
      <c r="D28" s="692"/>
      <c r="E28" s="1035"/>
      <c r="F28" s="693"/>
      <c r="G28" s="693"/>
      <c r="H28" s="693"/>
      <c r="I28" s="693"/>
      <c r="J28" s="693"/>
      <c r="K28" s="693"/>
      <c r="L28" s="693"/>
      <c r="M28" s="693"/>
      <c r="N28" s="693">
        <v>0.27</v>
      </c>
      <c r="O28" s="693"/>
      <c r="P28" s="693"/>
      <c r="Q28" s="693"/>
      <c r="R28" s="693"/>
      <c r="S28" s="693"/>
      <c r="T28" s="693"/>
      <c r="U28" s="693">
        <v>0.73</v>
      </c>
      <c r="V28" s="693"/>
      <c r="W28" s="693"/>
      <c r="X28" s="693"/>
      <c r="Y28" s="693"/>
      <c r="Z28" s="693"/>
      <c r="AA28" s="693"/>
      <c r="AB28" s="693"/>
      <c r="AC28" s="693"/>
      <c r="AD28" s="692"/>
      <c r="AE28" s="1036"/>
      <c r="AF28" s="1029" t="s">
        <v>898</v>
      </c>
      <c r="AG28" s="44" t="s">
        <v>899</v>
      </c>
    </row>
    <row r="29" spans="1:33">
      <c r="A29" s="28"/>
      <c r="B29" s="14"/>
      <c r="C29" s="15"/>
      <c r="D29" s="25"/>
      <c r="E29" s="1033"/>
      <c r="F29" s="31"/>
      <c r="G29" s="31"/>
      <c r="H29" s="31"/>
      <c r="I29" s="31"/>
      <c r="J29" s="31"/>
      <c r="K29" s="31"/>
      <c r="L29" s="31"/>
      <c r="M29" s="31"/>
      <c r="N29" s="31"/>
      <c r="O29" s="31"/>
      <c r="P29" s="31"/>
      <c r="Q29" s="31"/>
      <c r="R29" s="31"/>
      <c r="S29" s="31"/>
      <c r="T29" s="31"/>
      <c r="U29" s="31"/>
      <c r="V29" s="31"/>
      <c r="W29" s="31"/>
      <c r="X29" s="31"/>
      <c r="Y29" s="31"/>
      <c r="Z29" s="31"/>
      <c r="AA29" s="31"/>
      <c r="AB29" s="31"/>
      <c r="AC29" s="31"/>
      <c r="AD29" s="25"/>
      <c r="AE29" s="571"/>
      <c r="AF29" s="578"/>
      <c r="AG29" s="578"/>
    </row>
    <row r="30" spans="1:33">
      <c r="A30" s="147" t="s">
        <v>95</v>
      </c>
      <c r="B30" s="10" t="s">
        <v>122</v>
      </c>
      <c r="C30" s="11">
        <v>1</v>
      </c>
      <c r="D30" s="692"/>
      <c r="E30" s="1035"/>
      <c r="F30" s="11"/>
      <c r="G30" s="11"/>
      <c r="H30" s="11"/>
      <c r="I30" s="11"/>
      <c r="J30" s="11"/>
      <c r="K30" s="11"/>
      <c r="L30" s="11"/>
      <c r="M30" s="693"/>
      <c r="N30" s="693"/>
      <c r="O30" s="693"/>
      <c r="P30" s="693"/>
      <c r="Q30" s="693"/>
      <c r="R30" s="693"/>
      <c r="S30" s="693"/>
      <c r="T30" s="693"/>
      <c r="U30" s="693">
        <v>0.1</v>
      </c>
      <c r="V30" s="693"/>
      <c r="W30" s="693"/>
      <c r="X30" s="693"/>
      <c r="Y30" s="693"/>
      <c r="Z30" s="693"/>
      <c r="AA30" s="693"/>
      <c r="AB30" s="693"/>
      <c r="AC30" s="693"/>
      <c r="AD30" s="692"/>
      <c r="AE30" s="1036">
        <v>0.9</v>
      </c>
      <c r="AF30" s="1029" t="s">
        <v>898</v>
      </c>
      <c r="AG30" s="1029" t="s">
        <v>900</v>
      </c>
    </row>
    <row r="31" spans="1:33">
      <c r="A31" s="28"/>
      <c r="B31" s="14"/>
      <c r="C31" s="15"/>
      <c r="D31" s="25"/>
      <c r="E31" s="1033"/>
      <c r="F31" s="15"/>
      <c r="G31" s="15"/>
      <c r="H31" s="15"/>
      <c r="I31" s="15"/>
      <c r="J31" s="15"/>
      <c r="K31" s="15"/>
      <c r="L31" s="15"/>
      <c r="M31" s="31"/>
      <c r="N31" s="31"/>
      <c r="O31" s="31"/>
      <c r="P31" s="31"/>
      <c r="Q31" s="31"/>
      <c r="R31" s="31"/>
      <c r="S31" s="31"/>
      <c r="T31" s="31"/>
      <c r="U31" s="31"/>
      <c r="V31" s="31"/>
      <c r="W31" s="31"/>
      <c r="X31" s="31"/>
      <c r="Y31" s="31"/>
      <c r="Z31" s="31"/>
      <c r="AA31" s="31"/>
      <c r="AB31" s="31"/>
      <c r="AC31" s="31"/>
      <c r="AD31" s="25"/>
      <c r="AE31" s="571"/>
      <c r="AF31" s="1029"/>
      <c r="AG31" s="1029"/>
    </row>
    <row r="32" spans="1:33">
      <c r="A32" s="147" t="s">
        <v>96</v>
      </c>
      <c r="B32" s="10" t="s">
        <v>122</v>
      </c>
      <c r="C32" s="11">
        <v>1</v>
      </c>
      <c r="D32" s="692"/>
      <c r="E32" s="11"/>
      <c r="F32" s="693"/>
      <c r="G32" s="693"/>
      <c r="H32" s="693"/>
      <c r="I32" s="693"/>
      <c r="J32" s="693"/>
      <c r="K32" s="693"/>
      <c r="L32" s="693"/>
      <c r="M32" s="693"/>
      <c r="N32" s="693"/>
      <c r="O32" s="693"/>
      <c r="P32" s="693"/>
      <c r="Q32" s="693"/>
      <c r="R32" s="693">
        <v>0.15</v>
      </c>
      <c r="S32" s="693"/>
      <c r="T32" s="693"/>
      <c r="U32" s="693">
        <v>0.1</v>
      </c>
      <c r="V32" s="693"/>
      <c r="W32" s="693"/>
      <c r="X32" s="693"/>
      <c r="Y32" s="693"/>
      <c r="Z32" s="693"/>
      <c r="AA32" s="693"/>
      <c r="AB32" s="693"/>
      <c r="AC32" s="693"/>
      <c r="AD32" s="692"/>
      <c r="AE32" s="1036">
        <v>0.75</v>
      </c>
      <c r="AF32" s="1029" t="s">
        <v>898</v>
      </c>
      <c r="AG32" s="1029" t="s">
        <v>901</v>
      </c>
    </row>
    <row r="33" spans="1:33">
      <c r="A33" s="28"/>
      <c r="B33" s="14"/>
      <c r="C33" s="15"/>
      <c r="D33" s="25"/>
      <c r="E33" s="15"/>
      <c r="F33" s="31"/>
      <c r="G33" s="31"/>
      <c r="H33" s="31"/>
      <c r="I33" s="31"/>
      <c r="J33" s="31"/>
      <c r="K33" s="31"/>
      <c r="L33" s="31"/>
      <c r="M33" s="31"/>
      <c r="N33" s="31"/>
      <c r="O33" s="31"/>
      <c r="P33" s="31"/>
      <c r="Q33" s="31"/>
      <c r="R33" s="31"/>
      <c r="S33" s="31"/>
      <c r="T33" s="31"/>
      <c r="U33" s="31"/>
      <c r="V33" s="31"/>
      <c r="W33" s="31"/>
      <c r="X33" s="31"/>
      <c r="Y33" s="31"/>
      <c r="Z33" s="31"/>
      <c r="AA33" s="31"/>
      <c r="AB33" s="31"/>
      <c r="AC33" s="31"/>
      <c r="AD33" s="25"/>
      <c r="AE33" s="571"/>
      <c r="AF33" s="1029"/>
      <c r="AG33" s="1029"/>
    </row>
    <row r="34" spans="1:33">
      <c r="A34" s="147" t="s">
        <v>599</v>
      </c>
      <c r="B34" s="10" t="s">
        <v>122</v>
      </c>
      <c r="C34" s="11">
        <v>0.76</v>
      </c>
      <c r="D34" s="692"/>
      <c r="E34" s="11"/>
      <c r="F34" s="693"/>
      <c r="G34" s="693">
        <v>0.13500000000000001</v>
      </c>
      <c r="H34" s="693"/>
      <c r="I34" s="693"/>
      <c r="J34" s="693"/>
      <c r="K34" s="693"/>
      <c r="L34" s="693"/>
      <c r="M34" s="693"/>
      <c r="N34" s="693"/>
      <c r="O34" s="693"/>
      <c r="P34" s="693"/>
      <c r="Q34" s="693"/>
      <c r="R34" s="693"/>
      <c r="S34" s="693"/>
      <c r="T34" s="693"/>
      <c r="U34" s="693"/>
      <c r="V34" s="693"/>
      <c r="W34" s="693"/>
      <c r="X34" s="693"/>
      <c r="Y34" s="693"/>
      <c r="Z34" s="693"/>
      <c r="AA34" s="693"/>
      <c r="AB34" s="693"/>
      <c r="AC34" s="693"/>
      <c r="AD34" s="692"/>
      <c r="AE34" s="1036">
        <v>0.86499999999999999</v>
      </c>
      <c r="AF34" s="1029" t="s">
        <v>902</v>
      </c>
      <c r="AG34" s="578" t="s">
        <v>892</v>
      </c>
    </row>
    <row r="35" spans="1:33">
      <c r="A35" s="28"/>
      <c r="B35" s="14" t="s">
        <v>176</v>
      </c>
      <c r="C35" s="15">
        <v>0.09</v>
      </c>
      <c r="D35" s="25"/>
      <c r="E35" s="15"/>
      <c r="F35" s="31"/>
      <c r="G35" s="31">
        <v>0.13500000000000001</v>
      </c>
      <c r="H35" s="31"/>
      <c r="I35" s="31"/>
      <c r="J35" s="31"/>
      <c r="K35" s="31"/>
      <c r="L35" s="31"/>
      <c r="M35" s="31"/>
      <c r="N35" s="31"/>
      <c r="O35" s="31"/>
      <c r="P35" s="31"/>
      <c r="Q35" s="31"/>
      <c r="R35" s="31"/>
      <c r="S35" s="31"/>
      <c r="T35" s="31"/>
      <c r="U35" s="31"/>
      <c r="V35" s="31"/>
      <c r="W35" s="31"/>
      <c r="X35" s="31"/>
      <c r="Y35" s="31"/>
      <c r="Z35" s="31"/>
      <c r="AA35" s="31"/>
      <c r="AB35" s="31"/>
      <c r="AC35" s="31"/>
      <c r="AD35" s="25"/>
      <c r="AE35" s="571">
        <v>0.86499999999999999</v>
      </c>
      <c r="AF35" s="1029"/>
      <c r="AG35" s="1029"/>
    </row>
    <row r="36" spans="1:33">
      <c r="A36" s="28"/>
      <c r="B36" s="14" t="s">
        <v>125</v>
      </c>
      <c r="C36" s="15">
        <v>0.15</v>
      </c>
      <c r="D36" s="25"/>
      <c r="E36" s="15"/>
      <c r="F36" s="31"/>
      <c r="G36" s="31">
        <v>0.13500000000000001</v>
      </c>
      <c r="H36" s="31"/>
      <c r="I36" s="31"/>
      <c r="J36" s="31"/>
      <c r="K36" s="31"/>
      <c r="L36" s="31"/>
      <c r="M36" s="31"/>
      <c r="N36" s="31"/>
      <c r="O36" s="31"/>
      <c r="P36" s="31"/>
      <c r="Q36" s="31"/>
      <c r="R36" s="31"/>
      <c r="S36" s="31"/>
      <c r="T36" s="31"/>
      <c r="U36" s="31"/>
      <c r="V36" s="31"/>
      <c r="W36" s="31"/>
      <c r="X36" s="31"/>
      <c r="Y36" s="31"/>
      <c r="Z36" s="31"/>
      <c r="AA36" s="31"/>
      <c r="AB36" s="31"/>
      <c r="AC36" s="31"/>
      <c r="AD36" s="25"/>
      <c r="AE36" s="571">
        <v>0.86499999999999999</v>
      </c>
      <c r="AF36" s="1029"/>
      <c r="AG36" s="1029"/>
    </row>
    <row r="37" spans="1:33">
      <c r="A37" s="147" t="s">
        <v>97</v>
      </c>
      <c r="B37" s="10" t="s">
        <v>122</v>
      </c>
      <c r="C37" s="11">
        <v>0.76</v>
      </c>
      <c r="D37" s="692"/>
      <c r="E37" s="11"/>
      <c r="F37" s="693"/>
      <c r="G37" s="693">
        <v>0.19</v>
      </c>
      <c r="H37" s="693"/>
      <c r="I37" s="693"/>
      <c r="J37" s="693"/>
      <c r="K37" s="693"/>
      <c r="L37" s="693"/>
      <c r="M37" s="693"/>
      <c r="N37" s="693"/>
      <c r="O37" s="693"/>
      <c r="P37" s="693"/>
      <c r="Q37" s="693"/>
      <c r="R37" s="693"/>
      <c r="S37" s="693"/>
      <c r="T37" s="693"/>
      <c r="U37" s="693"/>
      <c r="V37" s="693"/>
      <c r="W37" s="693"/>
      <c r="X37" s="693"/>
      <c r="Y37" s="693"/>
      <c r="Z37" s="693"/>
      <c r="AA37" s="693"/>
      <c r="AB37" s="693"/>
      <c r="AC37" s="693"/>
      <c r="AD37" s="692"/>
      <c r="AE37" s="1036">
        <v>0.81</v>
      </c>
      <c r="AF37" s="1029" t="s">
        <v>902</v>
      </c>
      <c r="AG37" s="578" t="s">
        <v>892</v>
      </c>
    </row>
    <row r="38" spans="1:33">
      <c r="A38" s="28"/>
      <c r="B38" s="14" t="s">
        <v>176</v>
      </c>
      <c r="C38" s="15">
        <v>0.09</v>
      </c>
      <c r="D38" s="25"/>
      <c r="E38" s="15"/>
      <c r="F38" s="31"/>
      <c r="G38" s="31">
        <v>0.19</v>
      </c>
      <c r="H38" s="31"/>
      <c r="I38" s="31"/>
      <c r="J38" s="31"/>
      <c r="K38" s="31"/>
      <c r="L38" s="31"/>
      <c r="M38" s="31"/>
      <c r="N38" s="31"/>
      <c r="O38" s="31"/>
      <c r="P38" s="31"/>
      <c r="Q38" s="31"/>
      <c r="R38" s="31"/>
      <c r="S38" s="31"/>
      <c r="T38" s="31"/>
      <c r="U38" s="31"/>
      <c r="V38" s="31"/>
      <c r="W38" s="31"/>
      <c r="X38" s="31"/>
      <c r="Y38" s="31"/>
      <c r="Z38" s="31"/>
      <c r="AA38" s="31"/>
      <c r="AB38" s="31"/>
      <c r="AC38" s="31"/>
      <c r="AD38" s="25"/>
      <c r="AE38" s="571">
        <v>0.81</v>
      </c>
      <c r="AF38" s="1029"/>
      <c r="AG38" s="1029"/>
    </row>
    <row r="39" spans="1:33">
      <c r="A39" s="28"/>
      <c r="B39" s="14" t="s">
        <v>125</v>
      </c>
      <c r="C39" s="15">
        <v>0.15</v>
      </c>
      <c r="D39" s="25"/>
      <c r="E39" s="15"/>
      <c r="F39" s="31"/>
      <c r="G39" s="31">
        <v>0.19</v>
      </c>
      <c r="H39" s="31"/>
      <c r="I39" s="31"/>
      <c r="J39" s="31"/>
      <c r="K39" s="31"/>
      <c r="L39" s="31"/>
      <c r="M39" s="31"/>
      <c r="N39" s="31"/>
      <c r="O39" s="31"/>
      <c r="P39" s="31"/>
      <c r="Q39" s="31"/>
      <c r="R39" s="31"/>
      <c r="S39" s="31"/>
      <c r="T39" s="31"/>
      <c r="U39" s="31"/>
      <c r="V39" s="31"/>
      <c r="W39" s="31"/>
      <c r="X39" s="31"/>
      <c r="Y39" s="31"/>
      <c r="Z39" s="31"/>
      <c r="AA39" s="31"/>
      <c r="AB39" s="31"/>
      <c r="AC39" s="31"/>
      <c r="AD39" s="25"/>
      <c r="AE39" s="571">
        <v>0.81</v>
      </c>
      <c r="AF39" s="1029"/>
      <c r="AG39" s="1029"/>
    </row>
    <row r="40" spans="1:33">
      <c r="A40" s="147" t="s">
        <v>600</v>
      </c>
      <c r="B40" s="10" t="s">
        <v>122</v>
      </c>
      <c r="C40" s="11">
        <v>0.76</v>
      </c>
      <c r="D40" s="692"/>
      <c r="E40" s="11"/>
      <c r="F40" s="693"/>
      <c r="G40" s="693">
        <v>0.26500000000000001</v>
      </c>
      <c r="H40" s="693"/>
      <c r="I40" s="693"/>
      <c r="J40" s="693"/>
      <c r="K40" s="693"/>
      <c r="L40" s="693"/>
      <c r="M40" s="693"/>
      <c r="N40" s="693"/>
      <c r="O40" s="693"/>
      <c r="P40" s="693"/>
      <c r="Q40" s="693"/>
      <c r="R40" s="693"/>
      <c r="S40" s="693"/>
      <c r="T40" s="693"/>
      <c r="U40" s="693"/>
      <c r="V40" s="693"/>
      <c r="W40" s="693"/>
      <c r="X40" s="693"/>
      <c r="Y40" s="693"/>
      <c r="Z40" s="693"/>
      <c r="AA40" s="693"/>
      <c r="AB40" s="693"/>
      <c r="AC40" s="693"/>
      <c r="AD40" s="692"/>
      <c r="AE40" s="1036">
        <v>0.73499999999999999</v>
      </c>
      <c r="AF40" s="1029" t="s">
        <v>902</v>
      </c>
      <c r="AG40" s="578" t="s">
        <v>892</v>
      </c>
    </row>
    <row r="41" spans="1:33">
      <c r="A41" s="28"/>
      <c r="B41" s="14" t="s">
        <v>176</v>
      </c>
      <c r="C41" s="15">
        <v>0.09</v>
      </c>
      <c r="D41" s="25"/>
      <c r="E41" s="15"/>
      <c r="F41" s="31"/>
      <c r="G41" s="31">
        <v>0.26500000000000001</v>
      </c>
      <c r="H41" s="31"/>
      <c r="I41" s="31"/>
      <c r="J41" s="31"/>
      <c r="K41" s="31"/>
      <c r="L41" s="31"/>
      <c r="M41" s="31"/>
      <c r="N41" s="31"/>
      <c r="O41" s="31"/>
      <c r="P41" s="31"/>
      <c r="Q41" s="31"/>
      <c r="R41" s="31"/>
      <c r="S41" s="31"/>
      <c r="T41" s="31"/>
      <c r="U41" s="31"/>
      <c r="V41" s="31"/>
      <c r="W41" s="31"/>
      <c r="X41" s="31"/>
      <c r="Y41" s="31"/>
      <c r="Z41" s="31"/>
      <c r="AA41" s="31"/>
      <c r="AB41" s="31"/>
      <c r="AC41" s="31"/>
      <c r="AD41" s="25"/>
      <c r="AE41" s="571">
        <v>0.73499999999999999</v>
      </c>
      <c r="AF41" s="1029"/>
      <c r="AG41" s="1029"/>
    </row>
    <row r="42" spans="1:33">
      <c r="A42" s="28"/>
      <c r="B42" s="14" t="s">
        <v>125</v>
      </c>
      <c r="C42" s="15">
        <v>0.15</v>
      </c>
      <c r="D42" s="25"/>
      <c r="E42" s="15"/>
      <c r="F42" s="31"/>
      <c r="G42" s="31">
        <v>0.26500000000000001</v>
      </c>
      <c r="H42" s="31"/>
      <c r="I42" s="31"/>
      <c r="J42" s="31"/>
      <c r="K42" s="31"/>
      <c r="L42" s="31"/>
      <c r="M42" s="31"/>
      <c r="N42" s="31"/>
      <c r="O42" s="31"/>
      <c r="P42" s="31"/>
      <c r="Q42" s="31"/>
      <c r="R42" s="31"/>
      <c r="S42" s="31"/>
      <c r="T42" s="31"/>
      <c r="U42" s="31"/>
      <c r="V42" s="31"/>
      <c r="W42" s="31"/>
      <c r="X42" s="31"/>
      <c r="Y42" s="31"/>
      <c r="Z42" s="31"/>
      <c r="AA42" s="31"/>
      <c r="AB42" s="31"/>
      <c r="AC42" s="31"/>
      <c r="AD42" s="25"/>
      <c r="AE42" s="571">
        <v>0.73499999999999999</v>
      </c>
      <c r="AF42" s="1029"/>
      <c r="AG42" s="1029"/>
    </row>
    <row r="43" spans="1:33">
      <c r="A43" s="147" t="s">
        <v>98</v>
      </c>
      <c r="B43" s="10" t="s">
        <v>122</v>
      </c>
      <c r="C43" s="693">
        <v>0.62424968014597004</v>
      </c>
      <c r="D43" s="692"/>
      <c r="E43" s="11"/>
      <c r="F43" s="693"/>
      <c r="G43" s="693"/>
      <c r="H43" s="693"/>
      <c r="I43" s="693"/>
      <c r="J43" s="693"/>
      <c r="K43" s="693"/>
      <c r="L43" s="693"/>
      <c r="M43" s="693"/>
      <c r="N43" s="693"/>
      <c r="O43" s="693"/>
      <c r="P43" s="693"/>
      <c r="Q43" s="693"/>
      <c r="R43" s="693"/>
      <c r="S43" s="693"/>
      <c r="T43" s="693"/>
      <c r="U43" s="693"/>
      <c r="V43" s="693"/>
      <c r="W43" s="693"/>
      <c r="X43" s="693"/>
      <c r="Y43" s="693"/>
      <c r="Z43" s="693"/>
      <c r="AA43" s="693"/>
      <c r="AB43" s="693"/>
      <c r="AC43" s="693"/>
      <c r="AD43" s="692"/>
      <c r="AE43" s="1036">
        <v>1</v>
      </c>
      <c r="AF43" s="1029" t="s">
        <v>903</v>
      </c>
      <c r="AG43" s="1029"/>
    </row>
    <row r="44" spans="1:33">
      <c r="A44" s="28"/>
      <c r="B44" s="14" t="s">
        <v>217</v>
      </c>
      <c r="C44" s="31">
        <v>0.21767775469585898</v>
      </c>
      <c r="D44" s="25"/>
      <c r="E44" s="15"/>
      <c r="F44" s="31"/>
      <c r="G44" s="31"/>
      <c r="H44" s="31"/>
      <c r="I44" s="31"/>
      <c r="J44" s="31"/>
      <c r="K44" s="31"/>
      <c r="L44" s="31"/>
      <c r="M44" s="31"/>
      <c r="N44" s="31"/>
      <c r="O44" s="31"/>
      <c r="P44" s="31"/>
      <c r="Q44" s="31"/>
      <c r="R44" s="31"/>
      <c r="S44" s="31"/>
      <c r="T44" s="31"/>
      <c r="U44" s="31"/>
      <c r="V44" s="31"/>
      <c r="W44" s="31"/>
      <c r="X44" s="31"/>
      <c r="Y44" s="31"/>
      <c r="Z44" s="31"/>
      <c r="AA44" s="31"/>
      <c r="AB44" s="31"/>
      <c r="AC44" s="31"/>
      <c r="AD44" s="25"/>
      <c r="AE44" s="571">
        <v>1</v>
      </c>
      <c r="AF44" s="1029"/>
      <c r="AG44" s="1029"/>
    </row>
    <row r="45" spans="1:33">
      <c r="A45" s="28"/>
      <c r="B45" s="14" t="s">
        <v>125</v>
      </c>
      <c r="C45" s="31">
        <v>0.158072565158171</v>
      </c>
      <c r="D45" s="25"/>
      <c r="E45" s="15"/>
      <c r="F45" s="31"/>
      <c r="G45" s="31"/>
      <c r="H45" s="31"/>
      <c r="I45" s="31"/>
      <c r="J45" s="31"/>
      <c r="K45" s="31"/>
      <c r="L45" s="31"/>
      <c r="M45" s="31"/>
      <c r="N45" s="31"/>
      <c r="O45" s="31"/>
      <c r="P45" s="31"/>
      <c r="Q45" s="31"/>
      <c r="R45" s="31"/>
      <c r="S45" s="31"/>
      <c r="T45" s="31"/>
      <c r="U45" s="31"/>
      <c r="V45" s="31"/>
      <c r="W45" s="31"/>
      <c r="X45" s="31"/>
      <c r="Y45" s="31"/>
      <c r="Z45" s="31"/>
      <c r="AA45" s="31"/>
      <c r="AB45" s="31"/>
      <c r="AC45" s="31"/>
      <c r="AD45" s="25"/>
      <c r="AE45" s="571">
        <v>1</v>
      </c>
      <c r="AF45" s="1029"/>
      <c r="AG45" s="1029"/>
    </row>
    <row r="46" spans="1:33">
      <c r="A46" s="147" t="s">
        <v>904</v>
      </c>
      <c r="B46" s="10" t="s">
        <v>122</v>
      </c>
      <c r="C46" s="11">
        <f>SUM(C48:C50)</f>
        <v>1</v>
      </c>
      <c r="D46" s="692"/>
      <c r="E46" s="11"/>
      <c r="F46" s="693"/>
      <c r="G46" s="693"/>
      <c r="H46" s="693"/>
      <c r="I46" s="693"/>
      <c r="J46" s="693"/>
      <c r="K46" s="693"/>
      <c r="L46" s="693"/>
      <c r="M46" s="693"/>
      <c r="N46" s="693"/>
      <c r="O46" s="693"/>
      <c r="P46" s="693"/>
      <c r="Q46" s="693"/>
      <c r="R46" s="693"/>
      <c r="S46" s="693"/>
      <c r="T46" s="693"/>
      <c r="U46" s="693"/>
      <c r="V46" s="693"/>
      <c r="W46" s="693"/>
      <c r="X46" s="693"/>
      <c r="Y46" s="693"/>
      <c r="Z46" s="693"/>
      <c r="AA46" s="693"/>
      <c r="AB46" s="693"/>
      <c r="AC46" s="693"/>
      <c r="AD46" s="692"/>
      <c r="AE46" s="1036"/>
      <c r="AF46" s="1029"/>
      <c r="AG46" s="1029"/>
    </row>
    <row r="47" spans="1:33">
      <c r="A47" s="28"/>
      <c r="B47" s="14"/>
      <c r="C47" s="15"/>
      <c r="D47" s="25"/>
      <c r="E47" s="15"/>
      <c r="F47" s="31"/>
      <c r="G47" s="31"/>
      <c r="H47" s="31"/>
      <c r="I47" s="31"/>
      <c r="J47" s="31"/>
      <c r="K47" s="31"/>
      <c r="L47" s="31"/>
      <c r="M47" s="31"/>
      <c r="N47" s="31"/>
      <c r="O47" s="31"/>
      <c r="P47" s="31"/>
      <c r="Q47" s="31"/>
      <c r="R47" s="31"/>
      <c r="S47" s="31"/>
      <c r="T47" s="31"/>
      <c r="U47" s="31"/>
      <c r="V47" s="31"/>
      <c r="W47" s="31"/>
      <c r="X47" s="31"/>
      <c r="Y47" s="31"/>
      <c r="Z47" s="31"/>
      <c r="AA47" s="31"/>
      <c r="AB47" s="31"/>
      <c r="AC47" s="31"/>
      <c r="AD47" s="25"/>
      <c r="AE47" s="571"/>
      <c r="AF47" s="1029"/>
      <c r="AG47" s="1029"/>
    </row>
    <row r="48" spans="1:33">
      <c r="A48" s="147" t="s">
        <v>239</v>
      </c>
      <c r="B48" s="10" t="s">
        <v>122</v>
      </c>
      <c r="C48" s="11">
        <v>0.5</v>
      </c>
      <c r="D48" s="692"/>
      <c r="E48" s="11"/>
      <c r="F48" s="693"/>
      <c r="G48" s="693"/>
      <c r="H48" s="693"/>
      <c r="I48" s="693"/>
      <c r="J48" s="693"/>
      <c r="K48" s="693"/>
      <c r="L48" s="693"/>
      <c r="M48" s="693"/>
      <c r="N48" s="693"/>
      <c r="O48" s="693"/>
      <c r="P48" s="693">
        <f>2/1.038</f>
        <v>1.9267822736030829</v>
      </c>
      <c r="Q48" s="693"/>
      <c r="R48" s="693"/>
      <c r="S48" s="693"/>
      <c r="T48" s="693"/>
      <c r="U48" s="693"/>
      <c r="V48" s="693"/>
      <c r="W48" s="693"/>
      <c r="X48" s="693"/>
      <c r="Y48" s="693"/>
      <c r="Z48" s="693"/>
      <c r="AA48" s="693"/>
      <c r="AB48" s="693"/>
      <c r="AC48" s="693"/>
      <c r="AD48" s="692"/>
      <c r="AE48" s="1036"/>
      <c r="AF48" s="1029" t="s">
        <v>898</v>
      </c>
      <c r="AG48" s="1029" t="s">
        <v>905</v>
      </c>
    </row>
    <row r="49" spans="1:33">
      <c r="A49" s="28"/>
      <c r="B49" s="14"/>
      <c r="C49" s="15"/>
      <c r="D49" s="25"/>
      <c r="E49" s="15"/>
      <c r="F49" s="31"/>
      <c r="G49" s="31"/>
      <c r="H49" s="31"/>
      <c r="I49" s="31"/>
      <c r="J49" s="31"/>
      <c r="K49" s="31"/>
      <c r="L49" s="31"/>
      <c r="M49" s="31"/>
      <c r="N49" s="31"/>
      <c r="O49" s="31"/>
      <c r="P49" s="31"/>
      <c r="Q49" s="31"/>
      <c r="R49" s="31"/>
      <c r="S49" s="31"/>
      <c r="T49" s="31"/>
      <c r="U49" s="31"/>
      <c r="V49" s="31"/>
      <c r="W49" s="31"/>
      <c r="X49" s="31"/>
      <c r="Y49" s="31"/>
      <c r="Z49" s="31"/>
      <c r="AA49" s="31"/>
      <c r="AB49" s="31"/>
      <c r="AC49" s="31"/>
      <c r="AD49" s="25"/>
      <c r="AE49" s="571"/>
      <c r="AF49" s="1029"/>
      <c r="AG49" s="1029"/>
    </row>
    <row r="50" spans="1:33">
      <c r="A50" s="147" t="s">
        <v>240</v>
      </c>
      <c r="B50" s="10" t="s">
        <v>122</v>
      </c>
      <c r="C50" s="11">
        <v>0.5</v>
      </c>
      <c r="D50" s="692"/>
      <c r="E50" s="11"/>
      <c r="F50" s="693"/>
      <c r="G50" s="693"/>
      <c r="H50" s="693"/>
      <c r="I50" s="693"/>
      <c r="J50" s="693"/>
      <c r="K50" s="693"/>
      <c r="L50" s="693"/>
      <c r="M50" s="693"/>
      <c r="N50" s="693"/>
      <c r="O50" s="693"/>
      <c r="P50" s="693"/>
      <c r="Q50" s="693">
        <f>1.3/1.045</f>
        <v>1.2440191387559809</v>
      </c>
      <c r="R50" s="693"/>
      <c r="S50" s="693"/>
      <c r="T50" s="693"/>
      <c r="U50" s="693"/>
      <c r="V50" s="693"/>
      <c r="W50" s="693"/>
      <c r="X50" s="693"/>
      <c r="Y50" s="693"/>
      <c r="Z50" s="693"/>
      <c r="AA50" s="693"/>
      <c r="AB50" s="693"/>
      <c r="AC50" s="693"/>
      <c r="AD50" s="692"/>
      <c r="AE50" s="1036"/>
      <c r="AF50" s="1029" t="s">
        <v>898</v>
      </c>
      <c r="AG50" s="1029" t="s">
        <v>905</v>
      </c>
    </row>
    <row r="51" spans="1:33">
      <c r="A51" s="28"/>
      <c r="B51" s="14"/>
      <c r="C51" s="15"/>
      <c r="D51" s="25"/>
      <c r="E51" s="15"/>
      <c r="F51" s="31"/>
      <c r="G51" s="31"/>
      <c r="H51" s="31"/>
      <c r="I51" s="31"/>
      <c r="J51" s="31"/>
      <c r="K51" s="31"/>
      <c r="L51" s="31"/>
      <c r="M51" s="31"/>
      <c r="N51" s="31"/>
      <c r="O51" s="31"/>
      <c r="P51" s="31"/>
      <c r="Q51" s="31"/>
      <c r="R51" s="31"/>
      <c r="S51" s="31"/>
      <c r="T51" s="31"/>
      <c r="U51" s="31"/>
      <c r="V51" s="31"/>
      <c r="W51" s="31"/>
      <c r="X51" s="31"/>
      <c r="Y51" s="31"/>
      <c r="Z51" s="31"/>
      <c r="AA51" s="31"/>
      <c r="AB51" s="31"/>
      <c r="AC51" s="31"/>
      <c r="AD51" s="25"/>
      <c r="AE51" s="571"/>
      <c r="AF51" s="1029"/>
      <c r="AG51" s="1029"/>
    </row>
    <row r="52" spans="1:33">
      <c r="A52" s="147" t="s">
        <v>906</v>
      </c>
      <c r="B52" s="10" t="s">
        <v>122</v>
      </c>
      <c r="C52" s="11">
        <f>SUM(C54:C56)</f>
        <v>1</v>
      </c>
      <c r="D52" s="692"/>
      <c r="E52" s="11"/>
      <c r="F52" s="693"/>
      <c r="G52" s="693"/>
      <c r="H52" s="693"/>
      <c r="I52" s="693"/>
      <c r="J52" s="693"/>
      <c r="K52" s="693"/>
      <c r="L52" s="693"/>
      <c r="M52" s="693"/>
      <c r="N52" s="693"/>
      <c r="O52" s="693"/>
      <c r="P52" s="693"/>
      <c r="Q52" s="693"/>
      <c r="R52" s="693"/>
      <c r="S52" s="693"/>
      <c r="T52" s="693"/>
      <c r="U52" s="693"/>
      <c r="V52" s="693"/>
      <c r="W52" s="693"/>
      <c r="X52" s="693"/>
      <c r="Y52" s="693"/>
      <c r="Z52" s="693"/>
      <c r="AA52" s="693"/>
      <c r="AB52" s="693"/>
      <c r="AC52" s="693"/>
      <c r="AD52" s="692"/>
      <c r="AE52" s="1036"/>
      <c r="AF52" s="1029"/>
      <c r="AG52" s="1029"/>
    </row>
    <row r="53" spans="1:33">
      <c r="A53" s="28"/>
      <c r="B53" s="14"/>
      <c r="C53" s="15"/>
      <c r="D53" s="25"/>
      <c r="E53" s="15"/>
      <c r="F53" s="31"/>
      <c r="G53" s="31"/>
      <c r="H53" s="31"/>
      <c r="I53" s="31"/>
      <c r="J53" s="31"/>
      <c r="K53" s="31"/>
      <c r="L53" s="31"/>
      <c r="M53" s="31"/>
      <c r="N53" s="31"/>
      <c r="O53" s="31"/>
      <c r="P53" s="31"/>
      <c r="Q53" s="31"/>
      <c r="R53" s="31"/>
      <c r="S53" s="31"/>
      <c r="T53" s="31"/>
      <c r="U53" s="31"/>
      <c r="V53" s="31"/>
      <c r="W53" s="31"/>
      <c r="X53" s="31"/>
      <c r="Y53" s="31"/>
      <c r="Z53" s="31"/>
      <c r="AA53" s="31"/>
      <c r="AB53" s="31"/>
      <c r="AC53" s="31"/>
      <c r="AD53" s="25"/>
      <c r="AE53" s="571"/>
      <c r="AF53" s="1029"/>
      <c r="AG53" s="1029"/>
    </row>
    <row r="54" spans="1:33">
      <c r="A54" s="147" t="s">
        <v>242</v>
      </c>
      <c r="B54" s="10" t="s">
        <v>122</v>
      </c>
      <c r="C54" s="11">
        <v>0.5</v>
      </c>
      <c r="D54" s="692"/>
      <c r="E54" s="11"/>
      <c r="F54" s="693"/>
      <c r="G54" s="693"/>
      <c r="H54" s="693"/>
      <c r="I54" s="693"/>
      <c r="J54" s="693"/>
      <c r="K54" s="693"/>
      <c r="L54" s="693"/>
      <c r="M54" s="693"/>
      <c r="N54" s="693"/>
      <c r="O54" s="693"/>
      <c r="P54" s="693"/>
      <c r="Q54" s="693"/>
      <c r="R54" s="693"/>
      <c r="S54" s="693">
        <f>1.3/1.06</f>
        <v>1.2264150943396226</v>
      </c>
      <c r="T54" s="693"/>
      <c r="U54" s="693">
        <v>0.06</v>
      </c>
      <c r="V54" s="693"/>
      <c r="W54" s="693"/>
      <c r="X54" s="693"/>
      <c r="Y54" s="693"/>
      <c r="Z54" s="693"/>
      <c r="AA54" s="693"/>
      <c r="AB54" s="693"/>
      <c r="AC54" s="693"/>
      <c r="AD54" s="692"/>
      <c r="AE54" s="1036"/>
      <c r="AF54" s="1029" t="s">
        <v>898</v>
      </c>
      <c r="AG54" s="1029" t="s">
        <v>907</v>
      </c>
    </row>
    <row r="55" spans="1:33">
      <c r="A55" s="28"/>
      <c r="B55" s="14"/>
      <c r="C55" s="15"/>
      <c r="D55" s="25"/>
      <c r="E55" s="15"/>
      <c r="F55" s="31"/>
      <c r="G55" s="31"/>
      <c r="H55" s="31"/>
      <c r="I55" s="31"/>
      <c r="J55" s="31"/>
      <c r="K55" s="31"/>
      <c r="L55" s="31"/>
      <c r="M55" s="31"/>
      <c r="N55" s="31"/>
      <c r="O55" s="31"/>
      <c r="P55" s="31"/>
      <c r="Q55" s="31"/>
      <c r="R55" s="31"/>
      <c r="S55" s="31"/>
      <c r="T55" s="31"/>
      <c r="U55" s="31"/>
      <c r="V55" s="31"/>
      <c r="W55" s="31"/>
      <c r="X55" s="31"/>
      <c r="Y55" s="31"/>
      <c r="Z55" s="31"/>
      <c r="AA55" s="31"/>
      <c r="AB55" s="31"/>
      <c r="AC55" s="31"/>
      <c r="AD55" s="25"/>
      <c r="AE55" s="571"/>
      <c r="AF55" s="1029"/>
      <c r="AG55" s="1029"/>
    </row>
    <row r="56" spans="1:33">
      <c r="A56" s="147" t="s">
        <v>243</v>
      </c>
      <c r="B56" s="10" t="s">
        <v>122</v>
      </c>
      <c r="C56" s="11">
        <v>0.5</v>
      </c>
      <c r="D56" s="692"/>
      <c r="E56" s="11"/>
      <c r="F56" s="693"/>
      <c r="G56" s="693"/>
      <c r="H56" s="693"/>
      <c r="I56" s="693"/>
      <c r="J56" s="693"/>
      <c r="K56" s="693"/>
      <c r="L56" s="693"/>
      <c r="M56" s="693"/>
      <c r="N56" s="693"/>
      <c r="O56" s="693"/>
      <c r="P56" s="693"/>
      <c r="Q56" s="693"/>
      <c r="R56" s="693"/>
      <c r="S56" s="693"/>
      <c r="T56" s="693">
        <f>1.3/1.06</f>
        <v>1.2264150943396226</v>
      </c>
      <c r="U56" s="693">
        <v>0.06</v>
      </c>
      <c r="V56" s="693"/>
      <c r="W56" s="693"/>
      <c r="X56" s="693"/>
      <c r="Y56" s="693"/>
      <c r="Z56" s="693"/>
      <c r="AA56" s="693"/>
      <c r="AB56" s="693"/>
      <c r="AC56" s="693"/>
      <c r="AD56" s="692"/>
      <c r="AE56" s="1036"/>
      <c r="AF56" s="1029" t="s">
        <v>898</v>
      </c>
      <c r="AG56" s="1029" t="s">
        <v>907</v>
      </c>
    </row>
    <row r="57" spans="1:33">
      <c r="A57" s="28"/>
      <c r="B57" s="14"/>
      <c r="C57" s="15"/>
      <c r="D57" s="25"/>
      <c r="E57" s="15"/>
      <c r="F57" s="31"/>
      <c r="G57" s="31"/>
      <c r="H57" s="31"/>
      <c r="I57" s="31"/>
      <c r="J57" s="31"/>
      <c r="K57" s="31"/>
      <c r="L57" s="31"/>
      <c r="M57" s="31"/>
      <c r="N57" s="31"/>
      <c r="O57" s="31"/>
      <c r="P57" s="31"/>
      <c r="Q57" s="31"/>
      <c r="R57" s="31"/>
      <c r="S57" s="31"/>
      <c r="T57" s="31"/>
      <c r="U57" s="31"/>
      <c r="V57" s="31"/>
      <c r="W57" s="31"/>
      <c r="X57" s="31"/>
      <c r="Y57" s="31"/>
      <c r="Z57" s="31"/>
      <c r="AA57" s="31"/>
      <c r="AB57" s="31"/>
      <c r="AC57" s="31"/>
      <c r="AD57" s="25"/>
      <c r="AE57" s="571"/>
      <c r="AF57" s="1029"/>
      <c r="AG57" s="1029"/>
    </row>
    <row r="58" spans="1:33">
      <c r="A58" s="9" t="s">
        <v>101</v>
      </c>
      <c r="B58" s="10" t="s">
        <v>122</v>
      </c>
      <c r="C58" s="11">
        <v>1</v>
      </c>
      <c r="D58" s="692"/>
      <c r="E58" s="11"/>
      <c r="F58" s="693"/>
      <c r="G58" s="693"/>
      <c r="H58" s="693"/>
      <c r="I58" s="693"/>
      <c r="J58" s="693"/>
      <c r="K58" s="1035"/>
      <c r="L58" s="693"/>
      <c r="M58" s="693">
        <v>0.2</v>
      </c>
      <c r="N58" s="693">
        <v>0.1</v>
      </c>
      <c r="O58" s="693"/>
      <c r="P58" s="693"/>
      <c r="Q58" s="693"/>
      <c r="R58" s="693"/>
      <c r="S58" s="693"/>
      <c r="T58" s="693"/>
      <c r="U58" s="693">
        <v>0.45</v>
      </c>
      <c r="V58" s="693"/>
      <c r="W58" s="693"/>
      <c r="X58" s="693">
        <v>0.25</v>
      </c>
      <c r="Y58" s="693">
        <v>5.0000000000000001E-3</v>
      </c>
      <c r="Z58" s="693"/>
      <c r="AA58" s="693"/>
      <c r="AB58" s="693"/>
      <c r="AC58" s="693"/>
      <c r="AD58" s="692"/>
      <c r="AE58" s="1036"/>
      <c r="AF58" s="1029" t="s">
        <v>898</v>
      </c>
      <c r="AG58" s="1029" t="s">
        <v>908</v>
      </c>
    </row>
    <row r="59" spans="1:33">
      <c r="A59" s="13"/>
      <c r="B59" s="14"/>
      <c r="C59" s="15"/>
      <c r="D59" s="25"/>
      <c r="E59" s="15"/>
      <c r="F59" s="31"/>
      <c r="G59" s="31"/>
      <c r="H59" s="31"/>
      <c r="I59" s="31"/>
      <c r="J59" s="31"/>
      <c r="K59" s="1033"/>
      <c r="L59" s="31"/>
      <c r="M59" s="31"/>
      <c r="N59" s="31"/>
      <c r="O59" s="31"/>
      <c r="P59" s="31"/>
      <c r="Q59" s="31"/>
      <c r="R59" s="31"/>
      <c r="S59" s="31"/>
      <c r="T59" s="31"/>
      <c r="U59" s="31"/>
      <c r="V59" s="31"/>
      <c r="W59" s="31"/>
      <c r="X59" s="31"/>
      <c r="Y59" s="31"/>
      <c r="Z59" s="31"/>
      <c r="AA59" s="31"/>
      <c r="AB59" s="31"/>
      <c r="AC59" s="31"/>
      <c r="AD59" s="25"/>
      <c r="AE59" s="571"/>
      <c r="AF59" s="1029"/>
      <c r="AG59" s="1029"/>
    </row>
    <row r="60" spans="1:33">
      <c r="A60" s="147" t="s">
        <v>102</v>
      </c>
      <c r="B60" s="10" t="s">
        <v>122</v>
      </c>
      <c r="C60" s="11">
        <v>1</v>
      </c>
      <c r="D60" s="692"/>
      <c r="E60" s="11"/>
      <c r="F60" s="693"/>
      <c r="G60" s="693"/>
      <c r="H60" s="693"/>
      <c r="I60" s="693">
        <v>0.28000000000000003</v>
      </c>
      <c r="J60" s="693"/>
      <c r="K60" s="11"/>
      <c r="L60" s="693"/>
      <c r="M60" s="693"/>
      <c r="N60" s="693"/>
      <c r="O60" s="693"/>
      <c r="P60" s="693"/>
      <c r="Q60" s="693"/>
      <c r="R60" s="693"/>
      <c r="S60" s="693"/>
      <c r="T60" s="693"/>
      <c r="U60" s="693"/>
      <c r="V60" s="11">
        <v>3</v>
      </c>
      <c r="W60" s="693"/>
      <c r="X60" s="693"/>
      <c r="Y60" s="693"/>
      <c r="Z60" s="693"/>
      <c r="AA60" s="693"/>
      <c r="AB60" s="693"/>
      <c r="AC60" s="693"/>
      <c r="AD60" s="692"/>
      <c r="AE60" s="1036"/>
      <c r="AF60" s="1029" t="s">
        <v>909</v>
      </c>
      <c r="AG60" s="1029" t="s">
        <v>910</v>
      </c>
    </row>
    <row r="61" spans="1:33">
      <c r="A61" s="28"/>
      <c r="B61" s="14"/>
      <c r="C61" s="15"/>
      <c r="D61" s="25"/>
      <c r="E61" s="15"/>
      <c r="F61" s="31"/>
      <c r="G61" s="31"/>
      <c r="H61" s="31"/>
      <c r="I61" s="31"/>
      <c r="J61" s="31"/>
      <c r="K61" s="15"/>
      <c r="L61" s="31"/>
      <c r="M61" s="31"/>
      <c r="N61" s="31"/>
      <c r="O61" s="31"/>
      <c r="P61" s="31"/>
      <c r="Q61" s="31"/>
      <c r="R61" s="31"/>
      <c r="S61" s="31"/>
      <c r="T61" s="31"/>
      <c r="U61" s="31"/>
      <c r="V61" s="15"/>
      <c r="W61" s="31"/>
      <c r="X61" s="31"/>
      <c r="Y61" s="31"/>
      <c r="Z61" s="31"/>
      <c r="AA61" s="31"/>
      <c r="AB61" s="31"/>
      <c r="AC61" s="31"/>
      <c r="AD61" s="25"/>
      <c r="AE61" s="571"/>
      <c r="AF61" s="1029"/>
      <c r="AG61" s="1029"/>
    </row>
    <row r="62" spans="1:33">
      <c r="A62" s="147" t="s">
        <v>103</v>
      </c>
      <c r="B62" s="10" t="s">
        <v>122</v>
      </c>
      <c r="C62" s="11">
        <v>1</v>
      </c>
      <c r="D62" s="692"/>
      <c r="E62" s="11"/>
      <c r="F62" s="693"/>
      <c r="G62" s="693"/>
      <c r="H62" s="693"/>
      <c r="I62" s="693"/>
      <c r="J62" s="693"/>
      <c r="K62" s="11"/>
      <c r="L62" s="693"/>
      <c r="M62" s="693"/>
      <c r="N62" s="693"/>
      <c r="O62" s="693"/>
      <c r="P62" s="693"/>
      <c r="Q62" s="693"/>
      <c r="R62" s="693"/>
      <c r="S62" s="693"/>
      <c r="T62" s="693"/>
      <c r="U62" s="11">
        <v>0.04</v>
      </c>
      <c r="V62" s="693"/>
      <c r="W62" s="693"/>
      <c r="X62" s="693">
        <v>0.03</v>
      </c>
      <c r="Y62" s="693"/>
      <c r="Z62" s="693">
        <v>0.28999999999999998</v>
      </c>
      <c r="AA62" s="693">
        <v>7.0000000000000007E-2</v>
      </c>
      <c r="AB62" s="693">
        <v>0.11</v>
      </c>
      <c r="AC62" s="693">
        <v>0.03</v>
      </c>
      <c r="AD62" s="692"/>
      <c r="AE62" s="1036">
        <v>0.42999999999999994</v>
      </c>
      <c r="AF62" s="1029" t="s">
        <v>898</v>
      </c>
      <c r="AG62" s="1029" t="s">
        <v>911</v>
      </c>
    </row>
    <row r="63" spans="1:33">
      <c r="A63" s="28"/>
      <c r="B63" s="14"/>
      <c r="C63" s="15"/>
      <c r="D63" s="25"/>
      <c r="E63" s="15"/>
      <c r="F63" s="31"/>
      <c r="G63" s="31"/>
      <c r="H63" s="31"/>
      <c r="I63" s="31"/>
      <c r="J63" s="31"/>
      <c r="K63" s="15"/>
      <c r="L63" s="31"/>
      <c r="M63" s="31"/>
      <c r="N63" s="31"/>
      <c r="O63" s="31"/>
      <c r="P63" s="31"/>
      <c r="Q63" s="31"/>
      <c r="R63" s="31"/>
      <c r="S63" s="31"/>
      <c r="T63" s="31"/>
      <c r="U63" s="15"/>
      <c r="V63" s="31"/>
      <c r="W63" s="31"/>
      <c r="X63" s="31"/>
      <c r="Y63" s="31"/>
      <c r="Z63" s="31"/>
      <c r="AA63" s="31"/>
      <c r="AB63" s="31"/>
      <c r="AC63" s="31"/>
      <c r="AD63" s="25"/>
      <c r="AE63" s="571"/>
      <c r="AF63" s="1029"/>
      <c r="AG63" s="1029"/>
    </row>
    <row r="64" spans="1:33" ht="15">
      <c r="A64" s="147" t="s">
        <v>248</v>
      </c>
      <c r="B64" s="10" t="s">
        <v>122</v>
      </c>
      <c r="C64" s="11">
        <v>9.1446639135860736E-2</v>
      </c>
      <c r="D64" s="692">
        <v>2.5</v>
      </c>
      <c r="E64" s="11"/>
      <c r="F64" s="693"/>
      <c r="G64" s="693"/>
      <c r="H64" s="693"/>
      <c r="I64" s="693"/>
      <c r="J64" s="693"/>
      <c r="K64" s="11"/>
      <c r="L64" s="693"/>
      <c r="M64" s="693"/>
      <c r="N64" s="693"/>
      <c r="O64" s="693"/>
      <c r="P64" s="693"/>
      <c r="Q64" s="693"/>
      <c r="R64" s="693"/>
      <c r="S64" s="693"/>
      <c r="T64" s="693"/>
      <c r="U64" s="11"/>
      <c r="V64" s="693"/>
      <c r="W64" s="693"/>
      <c r="X64" s="693"/>
      <c r="Y64" s="693"/>
      <c r="Z64" s="693"/>
      <c r="AA64" s="693"/>
      <c r="AB64" s="693"/>
      <c r="AC64" s="693"/>
      <c r="AD64" s="693"/>
      <c r="AE64" s="590">
        <v>3.2735714285714286</v>
      </c>
      <c r="AF64" s="1029" t="s">
        <v>912</v>
      </c>
      <c r="AG64" s="37" t="s">
        <v>913</v>
      </c>
    </row>
    <row r="65" spans="1:35">
      <c r="A65" s="28"/>
      <c r="B65" s="14" t="s">
        <v>249</v>
      </c>
      <c r="C65" s="15">
        <v>0.317035205433574</v>
      </c>
      <c r="D65" s="25">
        <v>2.5</v>
      </c>
      <c r="E65" s="15"/>
      <c r="F65" s="31"/>
      <c r="G65" s="31"/>
      <c r="H65" s="31"/>
      <c r="I65" s="31"/>
      <c r="J65" s="31"/>
      <c r="K65" s="15"/>
      <c r="L65" s="31"/>
      <c r="M65" s="31"/>
      <c r="N65" s="31"/>
      <c r="O65" s="31"/>
      <c r="P65" s="31"/>
      <c r="Q65" s="31"/>
      <c r="R65" s="31"/>
      <c r="S65" s="31"/>
      <c r="T65" s="31"/>
      <c r="U65" s="15"/>
      <c r="V65" s="31"/>
      <c r="W65" s="31"/>
      <c r="X65" s="31"/>
      <c r="Y65" s="31"/>
      <c r="Z65" s="31"/>
      <c r="AA65" s="31"/>
      <c r="AB65" s="31"/>
      <c r="AC65" s="31"/>
      <c r="AD65" s="31"/>
      <c r="AE65" s="32">
        <v>3.2735714285714286</v>
      </c>
    </row>
    <row r="66" spans="1:35">
      <c r="A66" s="166"/>
      <c r="B66" s="14" t="s">
        <v>134</v>
      </c>
      <c r="C66" s="15">
        <v>0.5915181554305653</v>
      </c>
      <c r="D66" s="25">
        <v>2.5</v>
      </c>
      <c r="E66" s="15"/>
      <c r="F66" s="31"/>
      <c r="G66" s="31"/>
      <c r="H66" s="31"/>
      <c r="I66" s="31"/>
      <c r="J66" s="31"/>
      <c r="K66" s="15"/>
      <c r="L66" s="31"/>
      <c r="M66" s="31"/>
      <c r="N66" s="31"/>
      <c r="O66" s="31"/>
      <c r="P66" s="31"/>
      <c r="Q66" s="31"/>
      <c r="R66" s="31"/>
      <c r="S66" s="31"/>
      <c r="T66" s="31"/>
      <c r="U66" s="15"/>
      <c r="V66" s="31"/>
      <c r="W66" s="31"/>
      <c r="X66" s="31"/>
      <c r="Y66" s="31"/>
      <c r="Z66" s="31"/>
      <c r="AA66" s="31"/>
      <c r="AB66" s="31"/>
      <c r="AC66" s="31"/>
      <c r="AD66" s="31"/>
      <c r="AE66" s="32">
        <v>3.2735714285714286</v>
      </c>
    </row>
    <row r="67" spans="1:35">
      <c r="A67" s="147" t="s">
        <v>246</v>
      </c>
      <c r="B67" s="10" t="s">
        <v>914</v>
      </c>
      <c r="C67" s="11">
        <v>0.20957728098324416</v>
      </c>
      <c r="D67" s="692"/>
      <c r="E67" s="11"/>
      <c r="F67" s="693"/>
      <c r="G67" s="693"/>
      <c r="H67" s="693"/>
      <c r="I67" s="693"/>
      <c r="J67" s="693"/>
      <c r="K67" s="11"/>
      <c r="L67" s="693"/>
      <c r="M67" s="693"/>
      <c r="N67" s="693"/>
      <c r="O67" s="693"/>
      <c r="P67" s="693"/>
      <c r="Q67" s="693"/>
      <c r="R67" s="693"/>
      <c r="S67" s="693"/>
      <c r="T67" s="693"/>
      <c r="U67" s="11"/>
      <c r="V67" s="693"/>
      <c r="W67" s="693"/>
      <c r="X67" s="693"/>
      <c r="Y67" s="693"/>
      <c r="Z67" s="693"/>
      <c r="AA67" s="693"/>
      <c r="AB67" s="693"/>
      <c r="AC67" s="693"/>
      <c r="AD67" s="693">
        <v>1.5066666666666666</v>
      </c>
      <c r="AE67" s="590"/>
      <c r="AF67" s="114" t="s">
        <v>912</v>
      </c>
      <c r="AG67" s="114" t="s">
        <v>915</v>
      </c>
    </row>
    <row r="68" spans="1:35">
      <c r="A68" s="28"/>
      <c r="B68" s="14" t="s">
        <v>123</v>
      </c>
      <c r="C68" s="15">
        <v>0.12550094711264553</v>
      </c>
      <c r="D68" s="25"/>
      <c r="E68" s="15"/>
      <c r="F68" s="31"/>
      <c r="G68" s="31"/>
      <c r="H68" s="31"/>
      <c r="I68" s="31"/>
      <c r="J68" s="31"/>
      <c r="K68" s="15"/>
      <c r="L68" s="31"/>
      <c r="M68" s="31"/>
      <c r="N68" s="31"/>
      <c r="O68" s="31"/>
      <c r="P68" s="31"/>
      <c r="Q68" s="31"/>
      <c r="R68" s="31"/>
      <c r="S68" s="31"/>
      <c r="T68" s="31"/>
      <c r="U68" s="15"/>
      <c r="V68" s="31"/>
      <c r="W68" s="31"/>
      <c r="X68" s="31"/>
      <c r="Y68" s="31"/>
      <c r="Z68" s="31"/>
      <c r="AA68" s="31"/>
      <c r="AB68" s="31"/>
      <c r="AC68" s="31"/>
      <c r="AD68" s="31">
        <v>1.5066666666666666</v>
      </c>
      <c r="AE68" s="32"/>
    </row>
    <row r="69" spans="1:35">
      <c r="A69" s="28"/>
      <c r="B69" s="14" t="s">
        <v>247</v>
      </c>
      <c r="C69" s="15">
        <v>0.10698558473452441</v>
      </c>
      <c r="D69" s="25"/>
      <c r="E69" s="15"/>
      <c r="F69" s="31"/>
      <c r="G69" s="31"/>
      <c r="H69" s="31"/>
      <c r="I69" s="31"/>
      <c r="J69" s="31"/>
      <c r="K69" s="15"/>
      <c r="L69" s="31"/>
      <c r="M69" s="31"/>
      <c r="N69" s="31"/>
      <c r="O69" s="31"/>
      <c r="P69" s="31"/>
      <c r="Q69" s="31"/>
      <c r="R69" s="31"/>
      <c r="S69" s="31"/>
      <c r="T69" s="31"/>
      <c r="U69" s="15"/>
      <c r="V69" s="31"/>
      <c r="W69" s="31"/>
      <c r="X69" s="31"/>
      <c r="Y69" s="31"/>
      <c r="Z69" s="31"/>
      <c r="AA69" s="31"/>
      <c r="AB69" s="31"/>
      <c r="AC69" s="31"/>
      <c r="AD69" s="31">
        <v>1.5066666666666666</v>
      </c>
      <c r="AE69" s="32"/>
    </row>
    <row r="70" spans="1:35">
      <c r="A70" s="28"/>
      <c r="B70" s="14" t="s">
        <v>134</v>
      </c>
      <c r="C70" s="15">
        <v>0.55793618716958582</v>
      </c>
      <c r="D70" s="25"/>
      <c r="E70" s="15"/>
      <c r="F70" s="31"/>
      <c r="G70" s="31"/>
      <c r="H70" s="31"/>
      <c r="I70" s="31"/>
      <c r="J70" s="31"/>
      <c r="K70" s="15"/>
      <c r="L70" s="31"/>
      <c r="M70" s="31"/>
      <c r="N70" s="31"/>
      <c r="O70" s="31"/>
      <c r="P70" s="31"/>
      <c r="Q70" s="31"/>
      <c r="R70" s="31"/>
      <c r="S70" s="31"/>
      <c r="T70" s="31"/>
      <c r="U70" s="15"/>
      <c r="V70" s="31"/>
      <c r="W70" s="31"/>
      <c r="X70" s="31"/>
      <c r="Y70" s="31"/>
      <c r="Z70" s="31"/>
      <c r="AA70" s="31"/>
      <c r="AB70" s="31"/>
      <c r="AC70" s="31"/>
      <c r="AD70" s="31">
        <v>1.5066666666666666</v>
      </c>
      <c r="AE70" s="32"/>
    </row>
    <row r="71" spans="1:35">
      <c r="A71" s="147" t="s">
        <v>598</v>
      </c>
      <c r="B71" s="10" t="s">
        <v>122</v>
      </c>
      <c r="C71" s="11">
        <v>1</v>
      </c>
      <c r="D71" s="692"/>
      <c r="E71" s="11"/>
      <c r="F71" s="693"/>
      <c r="G71" s="693"/>
      <c r="H71" s="693"/>
      <c r="I71" s="693"/>
      <c r="J71" s="693"/>
      <c r="K71" s="11"/>
      <c r="L71" s="693"/>
      <c r="M71" s="693"/>
      <c r="N71" s="693"/>
      <c r="O71" s="693"/>
      <c r="P71" s="693"/>
      <c r="Q71" s="693"/>
      <c r="R71" s="693"/>
      <c r="S71" s="693"/>
      <c r="T71" s="693"/>
      <c r="U71" s="11"/>
      <c r="V71" s="693"/>
      <c r="W71" s="693"/>
      <c r="X71" s="693"/>
      <c r="Y71" s="693"/>
      <c r="Z71" s="693"/>
      <c r="AA71" s="693"/>
      <c r="AB71" s="693"/>
      <c r="AC71" s="693"/>
      <c r="AD71" s="693">
        <v>3.1</v>
      </c>
      <c r="AE71" s="590"/>
      <c r="AG71" s="114" t="s">
        <v>916</v>
      </c>
    </row>
    <row r="72" spans="1:35">
      <c r="A72" s="28"/>
      <c r="B72" s="14"/>
      <c r="C72" s="15"/>
      <c r="D72" s="25"/>
      <c r="E72" s="15"/>
      <c r="F72" s="31"/>
      <c r="G72" s="31"/>
      <c r="H72" s="31"/>
      <c r="I72" s="31"/>
      <c r="J72" s="31"/>
      <c r="K72" s="15"/>
      <c r="L72" s="31"/>
      <c r="M72" s="31"/>
      <c r="N72" s="31"/>
      <c r="O72" s="31"/>
      <c r="P72" s="31"/>
      <c r="Q72" s="31"/>
      <c r="R72" s="31"/>
      <c r="S72" s="31"/>
      <c r="T72" s="31"/>
      <c r="U72" s="15"/>
      <c r="V72" s="31"/>
      <c r="W72" s="31"/>
      <c r="X72" s="31"/>
      <c r="Y72" s="31"/>
      <c r="Z72" s="31"/>
      <c r="AA72" s="31"/>
      <c r="AB72" s="31"/>
      <c r="AC72" s="31"/>
      <c r="AD72" s="31"/>
      <c r="AE72" s="32"/>
    </row>
    <row r="73" spans="1:35">
      <c r="A73" s="147" t="s">
        <v>250</v>
      </c>
      <c r="B73" s="10" t="s">
        <v>122</v>
      </c>
      <c r="C73" s="11">
        <v>0.76</v>
      </c>
      <c r="D73" s="692"/>
      <c r="E73" s="11"/>
      <c r="F73" s="693"/>
      <c r="G73" s="693"/>
      <c r="H73" s="693"/>
      <c r="I73" s="693"/>
      <c r="J73" s="693"/>
      <c r="K73" s="11"/>
      <c r="L73" s="693"/>
      <c r="M73" s="693"/>
      <c r="N73" s="693"/>
      <c r="O73" s="693"/>
      <c r="P73" s="693"/>
      <c r="Q73" s="693"/>
      <c r="R73" s="693"/>
      <c r="S73" s="693"/>
      <c r="T73" s="693"/>
      <c r="U73" s="11"/>
      <c r="V73" s="693">
        <v>4</v>
      </c>
      <c r="W73" s="693"/>
      <c r="X73" s="693"/>
      <c r="Y73" s="693"/>
      <c r="Z73" s="693"/>
      <c r="AA73" s="693"/>
      <c r="AB73" s="693"/>
      <c r="AC73" s="693"/>
      <c r="AD73" s="693"/>
      <c r="AE73" s="590"/>
      <c r="AF73" s="114" t="s">
        <v>917</v>
      </c>
      <c r="AG73" s="114" t="s">
        <v>916</v>
      </c>
    </row>
    <row r="74" spans="1:35">
      <c r="A74" s="28"/>
      <c r="B74" s="14" t="s">
        <v>176</v>
      </c>
      <c r="C74" s="15">
        <v>0.15</v>
      </c>
      <c r="D74" s="25"/>
      <c r="E74" s="15"/>
      <c r="F74" s="31"/>
      <c r="G74" s="31"/>
      <c r="H74" s="31"/>
      <c r="I74" s="31"/>
      <c r="J74" s="31"/>
      <c r="K74" s="15"/>
      <c r="L74" s="31"/>
      <c r="M74" s="31"/>
      <c r="N74" s="31"/>
      <c r="O74" s="31"/>
      <c r="P74" s="31"/>
      <c r="Q74" s="31"/>
      <c r="R74" s="31"/>
      <c r="S74" s="31"/>
      <c r="T74" s="31"/>
      <c r="U74" s="15"/>
      <c r="V74" s="31">
        <v>4</v>
      </c>
      <c r="W74" s="31"/>
      <c r="X74" s="31"/>
      <c r="Y74" s="31"/>
      <c r="Z74" s="31"/>
      <c r="AA74" s="31"/>
      <c r="AB74" s="31"/>
      <c r="AC74" s="31"/>
      <c r="AD74" s="31"/>
      <c r="AE74" s="32"/>
    </row>
    <row r="75" spans="1:35">
      <c r="A75" s="33"/>
      <c r="B75" s="22" t="s">
        <v>125</v>
      </c>
      <c r="C75" s="214">
        <v>0.09</v>
      </c>
      <c r="D75" s="574"/>
      <c r="E75" s="214"/>
      <c r="F75" s="35"/>
      <c r="G75" s="35"/>
      <c r="H75" s="35"/>
      <c r="I75" s="35"/>
      <c r="J75" s="35"/>
      <c r="K75" s="214"/>
      <c r="L75" s="35"/>
      <c r="M75" s="35"/>
      <c r="N75" s="35"/>
      <c r="O75" s="35"/>
      <c r="P75" s="35"/>
      <c r="Q75" s="35"/>
      <c r="R75" s="35"/>
      <c r="S75" s="35"/>
      <c r="T75" s="35"/>
      <c r="U75" s="214"/>
      <c r="V75" s="35">
        <v>4</v>
      </c>
      <c r="W75" s="35"/>
      <c r="X75" s="35"/>
      <c r="Y75" s="35"/>
      <c r="Z75" s="35"/>
      <c r="AA75" s="35"/>
      <c r="AB75" s="35"/>
      <c r="AC75" s="35"/>
      <c r="AD75" s="35"/>
      <c r="AE75" s="162"/>
    </row>
    <row r="76" spans="1:35">
      <c r="B76" s="14"/>
      <c r="I76" s="31"/>
      <c r="J76" s="31"/>
      <c r="K76" s="15"/>
      <c r="L76" s="31"/>
      <c r="M76" s="31"/>
      <c r="N76" s="31"/>
      <c r="O76" s="31"/>
      <c r="P76" s="31"/>
      <c r="Q76" s="31"/>
      <c r="R76" s="31"/>
      <c r="S76" s="31"/>
      <c r="T76" s="31"/>
      <c r="U76" s="31"/>
      <c r="V76" s="31"/>
      <c r="W76" s="31"/>
      <c r="X76" s="31"/>
      <c r="Y76" s="31"/>
      <c r="Z76" s="31"/>
      <c r="AA76" s="31"/>
      <c r="AB76" s="31"/>
      <c r="AC76" s="1029"/>
      <c r="AD76" s="1029"/>
      <c r="AI76" s="716"/>
    </row>
    <row r="77" spans="1:35">
      <c r="D77" s="23"/>
      <c r="E77" s="27"/>
      <c r="F77" s="27"/>
      <c r="G77" s="27"/>
      <c r="H77" s="27"/>
      <c r="I77" s="23"/>
      <c r="J77" s="23"/>
      <c r="K77" s="27"/>
      <c r="L77" s="27"/>
      <c r="M77" s="27"/>
      <c r="N77" s="27"/>
      <c r="O77" s="27"/>
      <c r="P77" s="27"/>
      <c r="Q77" s="27"/>
      <c r="R77" s="27"/>
      <c r="S77" s="23"/>
      <c r="T77" s="23"/>
      <c r="U77" s="27"/>
      <c r="V77" s="27"/>
      <c r="W77" s="27"/>
      <c r="X77" s="23"/>
      <c r="Y77" s="23"/>
      <c r="Z77" s="27"/>
      <c r="AA77" s="23"/>
      <c r="AB77" s="23"/>
      <c r="AC77" s="23"/>
      <c r="AD77" s="27"/>
      <c r="AE77" s="27"/>
      <c r="AI77" s="716"/>
    </row>
    <row r="78" spans="1:35">
      <c r="A78" s="27" t="s">
        <v>918</v>
      </c>
      <c r="B78" s="150"/>
      <c r="AI78" s="716"/>
    </row>
    <row r="79" spans="1:35" ht="38.25">
      <c r="A79" s="580"/>
      <c r="B79" s="623"/>
      <c r="C79" s="623"/>
      <c r="D79" s="171" t="s">
        <v>874</v>
      </c>
      <c r="E79" s="61" t="s">
        <v>875</v>
      </c>
      <c r="F79" s="61" t="s">
        <v>876</v>
      </c>
      <c r="G79" s="61" t="s">
        <v>877</v>
      </c>
      <c r="H79" s="61" t="s">
        <v>175</v>
      </c>
      <c r="I79" s="61" t="s">
        <v>640</v>
      </c>
      <c r="J79" s="61" t="s">
        <v>919</v>
      </c>
      <c r="K79" s="61" t="s">
        <v>84</v>
      </c>
      <c r="L79" s="61" t="s">
        <v>38</v>
      </c>
      <c r="M79" s="61" t="s">
        <v>920</v>
      </c>
      <c r="N79" s="61" t="s">
        <v>140</v>
      </c>
      <c r="O79" s="61" t="s">
        <v>921</v>
      </c>
      <c r="P79" s="61" t="s">
        <v>55</v>
      </c>
      <c r="Q79" s="61" t="s">
        <v>28</v>
      </c>
      <c r="R79" s="61" t="s">
        <v>240</v>
      </c>
      <c r="S79" s="61" t="s">
        <v>79</v>
      </c>
      <c r="T79" s="61" t="s">
        <v>83</v>
      </c>
      <c r="U79" s="61" t="s">
        <v>671</v>
      </c>
      <c r="V79" s="61" t="s">
        <v>54</v>
      </c>
      <c r="W79" s="61" t="s">
        <v>922</v>
      </c>
      <c r="X79" s="61" t="s">
        <v>75</v>
      </c>
      <c r="Y79" s="61" t="s">
        <v>923</v>
      </c>
      <c r="Z79" s="61" t="s">
        <v>51</v>
      </c>
      <c r="AA79" s="61" t="s">
        <v>924</v>
      </c>
      <c r="AB79" s="171" t="s">
        <v>886</v>
      </c>
      <c r="AC79" s="171" t="s">
        <v>37</v>
      </c>
      <c r="AD79" s="61" t="s">
        <v>147</v>
      </c>
      <c r="AE79" s="98" t="s">
        <v>887</v>
      </c>
      <c r="AF79" s="1027" t="s">
        <v>608</v>
      </c>
      <c r="AG79" s="578"/>
    </row>
    <row r="80" spans="1:35">
      <c r="A80" s="197" t="s">
        <v>925</v>
      </c>
      <c r="B80" s="29"/>
      <c r="C80" s="29"/>
      <c r="D80" s="30">
        <f>SUM('Grains, oil crops, sugar'!U11,'Grains, oil crops, sugar'!W11)/(1-'Common input data'!B151)</f>
        <v>0.57601877271617363</v>
      </c>
      <c r="E80" s="30">
        <f>('Grains, oil crops, sugar'!C20/SUM('Grains, oil crops, sugar'!C20,'Grains, oil crops, sugar'!C25)*SUM('Grains, oil crops, sugar'!U21,'Grains, oil crops, sugar'!W21)
+'Grains, oil crops, sugar'!C25/SUM('Grains, oil crops, sugar'!C20,'Grains, oil crops, sugar'!C25)*SUM('Grains, oil crops, sugar'!U26,'Grains, oil crops, sugar'!W26))/(1-'Common input data'!B151)</f>
        <v>0.58733347218972198</v>
      </c>
      <c r="F80" s="30">
        <f>SUM('Grains, oil crops, sugar'!U31,'Grains, oil crops, sugar'!W31)/(1-'Common input data'!B151)</f>
        <v>0.55551081634260113</v>
      </c>
      <c r="G80" s="30">
        <f>('Grains, oil crops, sugar'!C40/SUM('Grains, oil crops, sugar'!C40,'Grains, oil crops, sugar'!C45)*SUM('Grains, oil crops, sugar'!U41,'Grains, oil crops, sugar'!W41)
+'Grains, oil crops, sugar'!C45/SUM('Grains, oil crops, sugar'!C40,'Grains, oil crops, sugar'!C45)*SUM('Grains, oil crops, sugar'!U46,'Grains, oil crops, sugar'!W46))/(1-'Common input data'!B151)</f>
        <v>0.57518653861202318</v>
      </c>
      <c r="H80" s="30">
        <f>SUM('Grains, oil crops, sugar'!U73,'Grains, oil crops, sugar'!W73)/(1-'Common input data'!B151)</f>
        <v>1.0093309406803095</v>
      </c>
      <c r="I80" s="30">
        <f>SUM('Grains, oil crops, sugar'!U229,'Grains, oil crops, sugar'!W229)/(1-'Common input data'!B151)</f>
        <v>4.3015209539946797</v>
      </c>
      <c r="J80" s="30">
        <f>H80</f>
        <v>1.0093309406803095</v>
      </c>
      <c r="K80" s="1153">
        <v>0.99744083855603272</v>
      </c>
      <c r="L80" s="30">
        <f>SUM('Dairy products'!Q26,'Dairy products'!S26)/(1-'Common input data'!B156)</f>
        <v>2.3191145799887258</v>
      </c>
      <c r="M80" s="30">
        <f>SUM('Fruits, berries, cocoa, coffee'!U223,'Fruits, berries, cocoa, coffee'!W223)/(1-'Common input data'!G150)</f>
        <v>2.2454538407284774</v>
      </c>
      <c r="N80" s="30">
        <f>SUM('Fruits, berries, cocoa, coffee'!U202,'Fruits, berries, cocoa, coffee'!W202)/(1-'Common input data'!G150)</f>
        <v>1.3072794037714417</v>
      </c>
      <c r="O80" s="30">
        <f>AVERAGE(P80,Q80,S80,T80)</f>
        <v>0.35893775328358296</v>
      </c>
      <c r="P80" s="30">
        <f>SUM('Fruits, berries, cocoa, coffee'!U95,'Fruits, berries, cocoa, coffee'!W95)/(1-'Common input data'!B150)</f>
        <v>0.4206331700686588</v>
      </c>
      <c r="Q80" s="30">
        <f>SUM('Fruits, berries, cocoa, coffee'!U11,'Fruits, berries, cocoa, coffee'!W11)/(1-'Common input data'!B150)</f>
        <v>0.26969775734918439</v>
      </c>
      <c r="R80" s="30">
        <v>0.48712380096526686</v>
      </c>
      <c r="S80" s="30">
        <f>SUM('Fruits, berries, cocoa, coffee'!U139,'Fruits, berries, cocoa, coffee'!W139)/(1-'Common input data'!B150)</f>
        <v>0.42254916130956088</v>
      </c>
      <c r="T80" s="30">
        <f>SUM('Fruits, berries, cocoa, coffee'!U160,'Fruits, berries, cocoa, coffee'!W160)/(1-'Common input data'!B150)</f>
        <v>0.32287092440692761</v>
      </c>
      <c r="U80" s="30">
        <f>SUM('Grains, oil crops, sugar'!U152,'Grains, oil crops, sugar'!W152)/(1-'Common input data'!B152)</f>
        <v>1.0906779384952165</v>
      </c>
      <c r="V80" s="30">
        <f>SUM('Vegetables, roots, legumes'!U111,'Vegetables, roots, legumes'!W111)/(1-'Common input data'!B152)</f>
        <v>0.22718284800882835</v>
      </c>
      <c r="W80" s="30">
        <f>SUM('Dairy products'!Q20,'Dairy products'!S20)/(1-'Common input data'!B156)</f>
        <v>0.26724533755561958</v>
      </c>
      <c r="X80" s="30">
        <f>SUM('Dairy products'!Q147,'Dairy products'!S147)/(1-'Common input data'!B156)</f>
        <v>2.2864444222967371</v>
      </c>
      <c r="Y80" s="30">
        <f>SUM('Grains, oil crops, sugar'!U195,'Grains, oil crops, sugar'!W195)/(1-'Common input data'!B151)</f>
        <v>1.6776923316679531</v>
      </c>
      <c r="Z80" s="30">
        <f>SUM('Dairy products'!Q63,'Dairy products'!S63)/(1-'Common input data'!B156)</f>
        <v>1.1483932767894072</v>
      </c>
      <c r="AA80" s="30">
        <f>X80</f>
        <v>2.2864444222967371</v>
      </c>
      <c r="AB80" s="30">
        <f>U80</f>
        <v>1.0906779384952165</v>
      </c>
      <c r="AC80" s="30">
        <f>SUM('Meat and eggs'!R58,'Meat and eggs'!T58)/(1-'Common input data'!B156)</f>
        <v>1.1599248900702206</v>
      </c>
      <c r="AD80" s="30">
        <f>SUM('Fruits, berries, cocoa, coffee'!U278,'Fruits, berries, cocoa, coffee'!W278)/(1-'Common input data'!B150)</f>
        <v>0.49068662685281511</v>
      </c>
      <c r="AE80" s="1039">
        <v>0</v>
      </c>
      <c r="AF80" s="1028" t="s">
        <v>926</v>
      </c>
      <c r="AG80" s="578"/>
    </row>
    <row r="81" spans="1:35">
      <c r="A81" s="197" t="s">
        <v>927</v>
      </c>
      <c r="B81" s="29"/>
      <c r="C81" s="29"/>
      <c r="D81" s="30">
        <f>SUM('Grains, oil crops, sugar'!U12,'Grains, oil crops, sugar'!W12)/(1-'Common input data'!B151)</f>
        <v>1.5231872801658091E-4</v>
      </c>
      <c r="E81" s="30">
        <f>('Grains, oil crops, sugar'!C20/SUM('Grains, oil crops, sugar'!C20,'Grains, oil crops, sugar'!C25)*SUM('Grains, oil crops, sugar'!U22,'Grains, oil crops, sugar'!W22)
+'Grains, oil crops, sugar'!C25/SUM('Grains, oil crops, sugar'!C20,'Grains, oil crops, sugar'!C25)*SUM('Grains, oil crops, sugar'!U27,'Grains, oil crops, sugar'!W27))/(1-'Common input data'!B151)</f>
        <v>1.6863329045181598E-4</v>
      </c>
      <c r="F81" s="30">
        <f>SUM('Grains, oil crops, sugar'!U32,'Grains, oil crops, sugar'!W32)/(1-'Common input data'!B151)</f>
        <v>1.3176694862330939E-4</v>
      </c>
      <c r="G81" s="30">
        <f>('Grains, oil crops, sugar'!C40/SUM('Grains, oil crops, sugar'!C40,'Grains, oil crops, sugar'!C45)*SUM('Grains, oil crops, sugar'!U42,'Grains, oil crops, sugar'!W42)
+'Grains, oil crops, sugar'!C45/SUM('Grains, oil crops, sugar'!C40,'Grains, oil crops, sugar'!C45)*SUM('Grains, oil crops, sugar'!U47,'Grains, oil crops, sugar'!W47))/(1-'Common input data'!B151)</f>
        <v>1.5061824082438088E-4</v>
      </c>
      <c r="H81" s="30">
        <f>SUM('Grains, oil crops, sugar'!U74,'Grains, oil crops, sugar'!W74)/(1-'Common input data'!B151)</f>
        <v>6.0078057913328547E-4</v>
      </c>
      <c r="I81" s="30">
        <f>SUM('Grains, oil crops, sugar'!U230,'Grains, oil crops, sugar'!W230)/(1-'Common input data'!B151)</f>
        <v>6.3282476642506451E-4</v>
      </c>
      <c r="J81" s="30">
        <f t="shared" ref="J81:J89" si="0">H81</f>
        <v>6.0078057913328547E-4</v>
      </c>
      <c r="K81" s="1153">
        <v>1.9484830823814095E-2</v>
      </c>
      <c r="L81" s="30">
        <f>SUM('Dairy products'!Q27,'Dairy products'!S27)/(1-'Common input data'!B156)</f>
        <v>0.20947518802248052</v>
      </c>
      <c r="M81" s="30">
        <f>SUM('Fruits, berries, cocoa, coffee'!U224,'Fruits, berries, cocoa, coffee'!W224)/(1-'Common input data'!G150)</f>
        <v>3.4360627570107949E-3</v>
      </c>
      <c r="N81" s="30">
        <f>SUM('Fruits, berries, cocoa, coffee'!U203,'Fruits, berries, cocoa, coffee'!W203)/(1-'Common input data'!G150)</f>
        <v>1.6064708993816703E-3</v>
      </c>
      <c r="O81" s="30">
        <f>AVERAGE(P81,Q81,S81,T81)</f>
        <v>3.5232601714451668E-4</v>
      </c>
      <c r="P81" s="30">
        <f>SUM('Fruits, berries, cocoa, coffee'!U96,'Fruits, berries, cocoa, coffee'!W96)/(1-'Common input data'!B150)</f>
        <v>8.4007725116800504E-5</v>
      </c>
      <c r="Q81" s="30">
        <f>SUM('Fruits, berries, cocoa, coffee'!U12,'Fruits, berries, cocoa, coffee'!W12)/(1-'Common input data'!B150)</f>
        <v>4.040769400127637E-5</v>
      </c>
      <c r="R81" s="30">
        <v>3.8509375269369135E-5</v>
      </c>
      <c r="S81" s="30">
        <f>SUM('Fruits, berries, cocoa, coffee'!U140,'Fruits, berries, cocoa, coffee'!W140)/(1-'Common input data'!B150)</f>
        <v>1.0979235433100233E-3</v>
      </c>
      <c r="T81" s="30">
        <f>SUM('Fruits, berries, cocoa, coffee'!U161,'Fruits, berries, cocoa, coffee'!W161)/(1-'Common input data'!B150)</f>
        <v>1.8696510614996659E-4</v>
      </c>
      <c r="U81" s="30">
        <f>SUM('Grains, oil crops, sugar'!U153,'Grains, oil crops, sugar'!W153)/(1-'Common input data'!B152)</f>
        <v>3.0900375649536063E-4</v>
      </c>
      <c r="V81" s="30">
        <f>SUM('Vegetables, roots, legumes'!U112,'Vegetables, roots, legumes'!W112)/(1-'Common input data'!B152)</f>
        <v>2.7868303125397638E-5</v>
      </c>
      <c r="W81" s="30">
        <f>SUM('Dairy products'!Q21,'Dairy products'!S21)/(1-'Common input data'!B156)</f>
        <v>2.1288128864073223E-2</v>
      </c>
      <c r="X81" s="30">
        <f>SUM('Dairy products'!Q148,'Dairy products'!S148)/(1-'Common input data'!B156)</f>
        <v>0.18662242389642483</v>
      </c>
      <c r="Y81" s="30">
        <f>SUM('Grains, oil crops, sugar'!U196,'Grains, oil crops, sugar'!W199)/(1-'Common input data'!B151)</f>
        <v>0.38441747461119402</v>
      </c>
      <c r="Z81" s="30">
        <f>SUM('Dairy products'!Q64,'Dairy products'!S64)/(1-'Common input data'!B156)</f>
        <v>0.10644064432036611</v>
      </c>
      <c r="AA81" s="30">
        <f t="shared" ref="AA81:AA91" si="1">X81</f>
        <v>0.18662242389642483</v>
      </c>
      <c r="AB81" s="30">
        <f t="shared" ref="AB81:AB91" si="2">U81</f>
        <v>3.0900375649536063E-4</v>
      </c>
      <c r="AC81" s="30">
        <f>SUM('Meat and eggs'!R59,'Meat and eggs'!T59)/(1-'Common input data'!B156)</f>
        <v>2.0852087168506095E-3</v>
      </c>
      <c r="AD81" s="30">
        <f>SUM('Fruits, berries, cocoa, coffee'!U279,'Fruits, berries, cocoa, coffee'!W279)/(1-'Common input data'!B150)</f>
        <v>4.8763941157069934E-4</v>
      </c>
      <c r="AE81" s="1039">
        <v>0</v>
      </c>
      <c r="AF81" s="578" t="s">
        <v>928</v>
      </c>
      <c r="AG81" s="578"/>
    </row>
    <row r="82" spans="1:35">
      <c r="A82" s="197" t="s">
        <v>929</v>
      </c>
      <c r="B82" s="29"/>
      <c r="C82" s="29"/>
      <c r="D82" s="30">
        <f>SUM('Grains, oil crops, sugar'!U13,'Grains, oil crops, sugar'!W13)/(1-'Common input data'!B151)</f>
        <v>1.091765394841804E-3</v>
      </c>
      <c r="E82" s="30">
        <f>('Grains, oil crops, sugar'!C20/SUM('Grains, oil crops, sugar'!C20,'Grains, oil crops, sugar'!C25)*SUM('Grains, oil crops, sugar'!U23,'Grains, oil crops, sugar'!W23)
+'Grains, oil crops, sugar'!C25/SUM('Grains, oil crops, sugar'!C20,'Grains, oil crops, sugar'!C25)*SUM('Grains, oil crops, sugar'!U28,'Grains, oil crops, sugar'!W28))/(1-'Common input data'!B151)</f>
        <v>1.2273851441329453E-3</v>
      </c>
      <c r="F82" s="30">
        <f>SUM('Grains, oil crops, sugar'!U33,'Grains, oil crops, sugar'!W33)/(1-'Common input data'!B151)</f>
        <v>9.0964400771612595E-4</v>
      </c>
      <c r="G82" s="30">
        <f>('Grains, oil crops, sugar'!C40/SUM('Grains, oil crops, sugar'!C40,'Grains, oil crops, sugar'!C45)*SUM('Grains, oil crops, sugar'!U43,'Grains, oil crops, sugar'!W43)
+'Grains, oil crops, sugar'!C45/SUM('Grains, oil crops, sugar'!C40,'Grains, oil crops, sugar'!C45)*SUM('Grains, oil crops, sugar'!U48,'Grains, oil crops, sugar'!W48))/(1-'Common input data'!B151)</f>
        <v>1.0969582044760254E-3</v>
      </c>
      <c r="H82" s="30">
        <f>SUM('Grains, oil crops, sugar'!U75,'Grains, oil crops, sugar'!W75)/(1-'Common input data'!B151)</f>
        <v>3.5808268456652926E-3</v>
      </c>
      <c r="I82" s="30">
        <f>SUM('Grains, oil crops, sugar'!U231,'Grains, oil crops, sugar'!W231)/(1-'Common input data'!B151)</f>
        <v>9.2399798943923364E-4</v>
      </c>
      <c r="J82" s="30">
        <f t="shared" si="0"/>
        <v>3.5808268456652926E-3</v>
      </c>
      <c r="K82" s="1153">
        <v>2.8017853954818961E-3</v>
      </c>
      <c r="L82" s="30">
        <f>SUM('Dairy products'!Q29,'Dairy products'!S29)/(1-'Common input data'!B156)</f>
        <v>1.0012005567504144E-2</v>
      </c>
      <c r="M82" s="30">
        <f>SUM('Fruits, berries, cocoa, coffee'!U225,'Fruits, berries, cocoa, coffee'!W225)/(1-'Common input data'!G150)</f>
        <v>5.5213012244053825E-3</v>
      </c>
      <c r="N82" s="30">
        <f>SUM('Fruits, berries, cocoa, coffee'!U204,'Fruits, berries, cocoa, coffee'!W204)/(1-'Common input data'!G150)</f>
        <v>2.5813875854362829E-3</v>
      </c>
      <c r="O82" s="30">
        <f>AVERAGE(P82,Q82,S82,T82)</f>
        <v>2.9167262735591785E-4</v>
      </c>
      <c r="P82" s="30">
        <f>SUM('Fruits, berries, cocoa, coffee'!U97,'Fruits, berries, cocoa, coffee'!W97)/(1-'Common input data'!B150)</f>
        <v>1.9702677750814486E-4</v>
      </c>
      <c r="Q82" s="30">
        <f>SUM('Fruits, berries, cocoa, coffee'!U13,'Fruits, berries, cocoa, coffee'!W13)/(1-'Common input data'!B150)</f>
        <v>6.0009986692835239E-5</v>
      </c>
      <c r="R82" s="30">
        <v>8.0557620815363223E-5</v>
      </c>
      <c r="S82" s="30">
        <f>SUM('Fruits, berries, cocoa, coffee'!U141,'Fruits, berries, cocoa, coffee'!W141)/(1-'Common input data'!B150)</f>
        <v>1.748559142293035E-4</v>
      </c>
      <c r="T82" s="30">
        <f>SUM('Fruits, berries, cocoa, coffee'!U162,'Fruits, berries, cocoa, coffee'!W162)/(1-'Common input data'!B150)</f>
        <v>7.3479783099338774E-4</v>
      </c>
      <c r="U82" s="30">
        <f>SUM('Grains, oil crops, sugar'!U154,'Grains, oil crops, sugar'!W154)/(1-'Common input data'!B152)</f>
        <v>7.9682824428736526E-4</v>
      </c>
      <c r="V82" s="30">
        <f>SUM('Vegetables, roots, legumes'!U113,'Vegetables, roots, legumes'!W113)/(1-'Common input data'!B152)</f>
        <v>1.8168319554981782E-4</v>
      </c>
      <c r="W82" s="30">
        <f>SUM('Dairy products'!Q23,'Dairy products'!S23)/(1-'Common input data'!B156)</f>
        <v>1.0174240797548029E-3</v>
      </c>
      <c r="X82" s="30">
        <f>SUM('Dairy products'!Q150,'Dairy products'!S150)/(1-'Common input data'!B156)</f>
        <v>8.9197395169036079E-3</v>
      </c>
      <c r="Y82" s="30">
        <f>SUM('Grains, oil crops, sugar'!U197,'Grains, oil crops, sugar'!W197)/(1-'Common input data'!B151)</f>
        <v>1.8017487710866704E-3</v>
      </c>
      <c r="Z82" s="30">
        <f>SUM('Dairy products'!Q66,'Dairy products'!S66)/(1-'Common input data'!B156)</f>
        <v>5.0873003355918741E-3</v>
      </c>
      <c r="AA82" s="30">
        <f t="shared" si="1"/>
        <v>8.9197395169036079E-3</v>
      </c>
      <c r="AB82" s="30">
        <f t="shared" si="2"/>
        <v>7.9682824428736526E-4</v>
      </c>
      <c r="AC82" s="30">
        <f>SUM('Meat and eggs'!R61,'Meat and eggs'!T61)/(1-'Common input data'!B156)</f>
        <v>2.9759633209730557E-3</v>
      </c>
      <c r="AD82" s="30">
        <f>SUM('Fruits, berries, cocoa, coffee'!U280,'Fruits, berries, cocoa, coffee'!W280)/(1-'Common input data'!B150)</f>
        <v>8.9094973867081417E-5</v>
      </c>
      <c r="AE82" s="1039">
        <v>0</v>
      </c>
      <c r="AI82" s="716"/>
    </row>
    <row r="83" spans="1:35">
      <c r="A83" s="1031" t="s">
        <v>930</v>
      </c>
      <c r="B83" s="29"/>
      <c r="C83" s="29"/>
      <c r="D83" s="30">
        <f>'Grains, oil crops, sugar'!AB10/(1-'Common input data'!B151)</f>
        <v>2.6293076051009385</v>
      </c>
      <c r="E83" s="53">
        <f>('Grains, oil crops, sugar'!C20/SUM('Grains, oil crops, sugar'!C20,'Grains, oil crops, sugar'!C25)*'Grains, oil crops, sugar'!AB20
+'Grains, oil crops, sugar'!C25/SUM('Grains, oil crops, sugar'!C20,'Grains, oil crops, sugar'!C25)*'Grains, oil crops, sugar'!AB25)
/(1-'Common input data'!B151)</f>
        <v>1.2490726407686834</v>
      </c>
      <c r="F83" s="30">
        <f>'Grains, oil crops, sugar'!AB30/(1-'Common input data'!B151)</f>
        <v>2.2851042410274744</v>
      </c>
      <c r="G83" s="30">
        <f>('Grains, oil crops, sugar'!C40/SUM('Grains, oil crops, sugar'!C40,'Grains, oil crops, sugar'!C45)*'Grains, oil crops, sugar'!AB40
+'Grains, oil crops, sugar'!C45/SUM('Grains, oil crops, sugar'!C40,'Grains, oil crops, sugar'!C45)*'Grains, oil crops, sugar'!AB45)
/(1-'Common input data'!B151)</f>
        <v>2.6721667850855648</v>
      </c>
      <c r="H83" s="30">
        <f>'Grains, oil crops, sugar'!AB72/(1-'Common input data'!B151)</f>
        <v>4.0756487030598709</v>
      </c>
      <c r="I83" s="30">
        <f>'Grains, oil crops, sugar'!AB228/(1-'Common input data'!B151)</f>
        <v>2.9365643761408204</v>
      </c>
      <c r="J83" s="30">
        <f t="shared" si="0"/>
        <v>4.0756487030598709</v>
      </c>
      <c r="K83" s="1153">
        <v>4.0238823916444657</v>
      </c>
      <c r="L83" s="30">
        <f>'Dairy products'!U25/(1-'Common input data'!B156)</f>
        <v>23.270243844825501</v>
      </c>
      <c r="M83" s="30">
        <f>'Fruits, berries, cocoa, coffee'!AB222/(1-'Common input data'!G150)</f>
        <v>119.2099549246999</v>
      </c>
      <c r="N83" s="30">
        <f>'Fruits, berries, cocoa, coffee'!AB201/(1-'Common input data'!G150)</f>
        <v>55.73452438037917</v>
      </c>
      <c r="O83" s="30">
        <f t="shared" ref="O83:O91" si="3">AVERAGE(P83,Q83,S83,T83)</f>
        <v>0.59427937947584408</v>
      </c>
      <c r="P83" s="30">
        <f>'Fruits, berries, cocoa, coffee'!AB94/(1-'Common input data'!B150)</f>
        <v>0.54726719586716943</v>
      </c>
      <c r="Q83" s="30">
        <f>'Fruits, berries, cocoa, coffee'!AB10/(1-'Common input data'!B150)</f>
        <v>0.53926606382880626</v>
      </c>
      <c r="R83" s="30">
        <v>0.72290983552927723</v>
      </c>
      <c r="S83" s="30">
        <f>'Fruits, berries, cocoa, coffee'!AB138/(1-'Common input data'!B150)</f>
        <v>1.290584258207401</v>
      </c>
      <c r="T83" s="30">
        <f>'Fruits, berries, cocoa, coffee'!AB161/(1-'Common input data'!B150)</f>
        <v>0</v>
      </c>
      <c r="U83" s="30">
        <f>'Grains, oil crops, sugar'!AB151/(1-'Common input data'!B152)</f>
        <v>1.5109882845523359</v>
      </c>
      <c r="V83" s="30">
        <f>'Vegetables, roots, legumes'!AB110/(1-'Common input data'!B152)</f>
        <v>0.41453015073634258</v>
      </c>
      <c r="W83" s="30">
        <f>'Dairy products'!U19/(1-'Common input data'!B156)</f>
        <v>2.3648621793521851</v>
      </c>
      <c r="X83" s="30">
        <f>'Dairy products'!U151/(1-'Common input data'!B156)</f>
        <v>20.731568984275786</v>
      </c>
      <c r="Y83" s="30">
        <f>'Grains, oil crops, sugar'!AB194/(1-'Common input data'!B151)</f>
        <v>7.5683480965334224</v>
      </c>
      <c r="Z83" s="30">
        <f>'Dairy products'!U67/(1-'Common input data'!B156)</f>
        <v>11.824310896760927</v>
      </c>
      <c r="AA83" s="30">
        <f t="shared" si="1"/>
        <v>20.731568984275786</v>
      </c>
      <c r="AB83" s="30">
        <f t="shared" si="2"/>
        <v>1.5109882845523359</v>
      </c>
      <c r="AC83" s="30">
        <f>'Meat and eggs'!AD68/(1-'Common input data'!B156)</f>
        <v>0</v>
      </c>
      <c r="AD83" s="30">
        <f>'Fruits, berries, cocoa, coffee'!AB277/(1-'Common input data'!B150)</f>
        <v>1.1948048922336165</v>
      </c>
      <c r="AE83" s="525">
        <v>0</v>
      </c>
      <c r="AI83" s="716"/>
    </row>
    <row r="84" spans="1:35">
      <c r="A84" s="1031" t="s">
        <v>931</v>
      </c>
      <c r="B84" s="29"/>
      <c r="C84" s="29"/>
      <c r="D84" s="30">
        <v>0</v>
      </c>
      <c r="E84" s="30">
        <v>0</v>
      </c>
      <c r="F84" s="30">
        <v>0</v>
      </c>
      <c r="G84" s="30">
        <v>0</v>
      </c>
      <c r="H84" s="30">
        <v>0</v>
      </c>
      <c r="I84" s="30">
        <v>0</v>
      </c>
      <c r="J84" s="30">
        <f>H84</f>
        <v>0</v>
      </c>
      <c r="K84" s="1154">
        <v>0</v>
      </c>
      <c r="L84" s="30">
        <f>'Dairy products'!Y25/(1-'Common input data'!B156)</f>
        <v>25.649768113767593</v>
      </c>
      <c r="M84" s="30">
        <v>0</v>
      </c>
      <c r="N84" s="30">
        <v>0</v>
      </c>
      <c r="O84" s="30">
        <f>AVERAGE(P84,Q84,S84,T84)</f>
        <v>0</v>
      </c>
      <c r="P84" s="30">
        <v>0</v>
      </c>
      <c r="Q84" s="30">
        <v>0</v>
      </c>
      <c r="R84" s="30">
        <v>0</v>
      </c>
      <c r="S84" s="30">
        <v>0</v>
      </c>
      <c r="T84" s="30">
        <v>0</v>
      </c>
      <c r="U84" s="30">
        <v>0</v>
      </c>
      <c r="V84" s="30">
        <v>0</v>
      </c>
      <c r="W84" s="30">
        <f>'Dairy products'!Y19/(1-'Common input data'!B156)</f>
        <v>2.6066837513991454</v>
      </c>
      <c r="X84" s="30">
        <f>'Dairy products'!Y151/(1-'Common input data'!B156)</f>
        <v>22.851498275102749</v>
      </c>
      <c r="Y84" s="30">
        <v>0</v>
      </c>
      <c r="Z84" s="30">
        <f>'Dairy products'!Y67/(1-'Common input data'!B156)</f>
        <v>13.033418756995729</v>
      </c>
      <c r="AA84" s="30">
        <f>X84</f>
        <v>22.851498275102749</v>
      </c>
      <c r="AB84" s="30">
        <f>U84</f>
        <v>0</v>
      </c>
      <c r="AC84" s="30">
        <f>'Meat and eggs'!AH68/(1-'Common input data'!B156)</f>
        <v>0</v>
      </c>
      <c r="AD84" s="30">
        <v>0</v>
      </c>
      <c r="AE84" s="525">
        <v>0</v>
      </c>
      <c r="AI84" s="716"/>
    </row>
    <row r="85" spans="1:35">
      <c r="A85" s="1031" t="s">
        <v>932</v>
      </c>
      <c r="B85" s="29"/>
      <c r="C85" s="29"/>
      <c r="D85" s="30">
        <f>'Grains, oil crops, sugar'!AI10/(1-'Common input data'!B151)</f>
        <v>2.5050628942390765E-2</v>
      </c>
      <c r="E85" s="30">
        <f>('Grains, oil crops, sugar'!C20/SUM('Grains, oil crops, sugar'!C20,'Grains, oil crops, sugar'!C25)*'Grains, oil crops, sugar'!AI20
+'Grains, oil crops, sugar'!C25/SUM('Grains, oil crops, sugar'!C20,'Grains, oil crops, sugar'!C25)*'Grains, oil crops, sugar'!AI25)
/(1-'Common input data'!B151)</f>
        <v>1.7903374517684464E-2</v>
      </c>
      <c r="F85" s="30">
        <f>'Grains, oil crops, sugar'!AI30/(1-'Common input data'!B151)</f>
        <v>2.0565938169247268E-2</v>
      </c>
      <c r="G85" s="30">
        <f>('Grains, oil crops, sugar'!C40/SUM('Grains, oil crops, sugar'!C40,'Grains, oil crops, sugar'!C45)*'Grains, oil crops, sugar'!AI40
+'Grains, oil crops, sugar'!C45/SUM('Grains, oil crops, sugar'!C40,'Grains, oil crops, sugar'!C45)*'Grains, oil crops, sugar'!AI45)
/(1-'Common input data'!B151)</f>
        <v>2.452977447647069E-2</v>
      </c>
      <c r="H85" s="30">
        <f>'Grains, oil crops, sugar'!AI72/(1-'Common input data'!B151)</f>
        <v>5.6213057321341568E-2</v>
      </c>
      <c r="I85" s="30">
        <f>'Grains, oil crops, sugar'!AI228/(1-'Common input data'!B151)</f>
        <v>2.8013647977787871E-2</v>
      </c>
      <c r="J85" s="30">
        <f t="shared" si="0"/>
        <v>5.6213057321341568E-2</v>
      </c>
      <c r="K85" s="1153">
        <v>4.9772384398568847E-2</v>
      </c>
      <c r="L85" s="30">
        <f>'Dairy products'!AC25/(1-'Common input data'!B156)</f>
        <v>0.54550662876920553</v>
      </c>
      <c r="M85" s="30">
        <f>'Fruits, berries, cocoa, coffee'!AI222/(1-'Common input data'!G150)</f>
        <v>0.38694439684854642</v>
      </c>
      <c r="N85" s="30">
        <f>'Fruits, berries, cocoa, coffee'!AI201/(1-'Common input data'!G150)</f>
        <v>0.18090906865646328</v>
      </c>
      <c r="O85" s="30">
        <f t="shared" si="3"/>
        <v>4.0268018476306306E-3</v>
      </c>
      <c r="P85" s="30">
        <f>'Fruits, berries, cocoa, coffee'!AI94/(1-'Common input data'!B150)</f>
        <v>9.2476557316412411E-3</v>
      </c>
      <c r="Q85" s="30">
        <f>'Fruits, berries, cocoa, coffee'!AI10/(1-'Common input data'!B150)</f>
        <v>1.8811298828500561E-3</v>
      </c>
      <c r="R85" s="30">
        <v>2.5645120346233729E-3</v>
      </c>
      <c r="S85" s="30">
        <f>'Fruits, berries, cocoa, coffee'!AI138/(1-'Common input data'!B150)</f>
        <v>4.9784217760312256E-3</v>
      </c>
      <c r="T85" s="30">
        <f>'Fruits, berries, cocoa, coffee'!AI161/(1-'Common input data'!B150)</f>
        <v>0</v>
      </c>
      <c r="U85" s="30">
        <f>'Grains, oil crops, sugar'!AI151/(1-'Common input data'!B152)</f>
        <v>1.4455121255550683E-2</v>
      </c>
      <c r="V85" s="30">
        <f>'Vegetables, roots, legumes'!AI110/(1-'Common input data'!B152)</f>
        <v>4.3748030062591399E-3</v>
      </c>
      <c r="W85" s="30">
        <f>'Dairy products'!AC19/(1-'Common input data'!B156)</f>
        <v>5.5437665525325773E-2</v>
      </c>
      <c r="X85" s="30">
        <f>'Dairy products'!AC151/(1-'Common input data'!B156)</f>
        <v>0.4859944047480742</v>
      </c>
      <c r="Y85" s="30">
        <f>'Grains, oil crops, sugar'!AI194/(1-'Common input data'!B151)</f>
        <v>0.15082036379289021</v>
      </c>
      <c r="Z85" s="30">
        <f>'Dairy products'!AC67/(1-'Common input data'!B156)</f>
        <v>0.27718832762662887</v>
      </c>
      <c r="AA85" s="30">
        <f t="shared" si="1"/>
        <v>0.4859944047480742</v>
      </c>
      <c r="AB85" s="30">
        <f t="shared" si="2"/>
        <v>1.4455121255550683E-2</v>
      </c>
      <c r="AC85" s="30">
        <f>'Meat and eggs'!AL68/(1-'Common input data'!B156)</f>
        <v>0</v>
      </c>
      <c r="AD85" s="30">
        <f>'Fruits, berries, cocoa, coffee'!AI277/(1-'Common input data'!B150)</f>
        <v>2.1482277121374869E-3</v>
      </c>
      <c r="AE85" s="525">
        <v>0</v>
      </c>
      <c r="AI85" s="716"/>
    </row>
    <row r="86" spans="1:35">
      <c r="A86" s="1031" t="s">
        <v>933</v>
      </c>
      <c r="B86" s="29"/>
      <c r="C86" s="29"/>
      <c r="D86" s="30">
        <f>'Grains, oil crops, sugar'!AP10/(1-'Common input data'!B151)</f>
        <v>1.7915807207034007E-3</v>
      </c>
      <c r="E86" s="30">
        <f>('Grains, oil crops, sugar'!C20/SUM('Grains, oil crops, sugar'!C20,'Grains, oil crops, sugar'!C25)*'Grains, oil crops, sugar'!AP20
+'Grains, oil crops, sugar'!C25/SUM('Grains, oil crops, sugar'!C20,'Grains, oil crops, sugar'!C25)*'Grains, oil crops, sugar'!AP25)
/(1-'Common input data'!B151)</f>
        <v>1.0825296219995257E-3</v>
      </c>
      <c r="F86" s="30">
        <f>'Grains, oil crops, sugar'!AP30/(1-'Common input data'!B151)</f>
        <v>1.4472326859840672E-3</v>
      </c>
      <c r="G86" s="30">
        <f>('Grains, oil crops, sugar'!C40/SUM('Grains, oil crops, sugar'!C40,'Grains, oil crops, sugar'!C45)*'Grains, oil crops, sugar'!AP40
+'Grains, oil crops, sugar'!C45/SUM('Grains, oil crops, sugar'!C40,'Grains, oil crops, sugar'!C45)*'Grains, oil crops, sugar'!AP45)
/(1-'Common input data'!B151)</f>
        <v>1.4706873007520683E-3</v>
      </c>
      <c r="H86" s="30">
        <f>'Grains, oil crops, sugar'!AP72/(1-'Common input data'!B151)</f>
        <v>4.0462598708949412E-3</v>
      </c>
      <c r="I86" s="30">
        <f>'Grains, oil crops, sugar'!AP228/(1-'Common input data'!B151)</f>
        <v>9.2771601710684819E-3</v>
      </c>
      <c r="J86" s="30">
        <f t="shared" si="0"/>
        <v>4.0462598708949412E-3</v>
      </c>
      <c r="K86" s="1153">
        <v>7.1296908705293779E-3</v>
      </c>
      <c r="L86" s="30">
        <f>'Dairy products'!AG25/(1-'Common input data'!B156)</f>
        <v>1.8154975588599919E-2</v>
      </c>
      <c r="M86" s="30">
        <f>'Fruits, berries, cocoa, coffee'!AP222/(1-'Common input data'!G150)</f>
        <v>0.64316886471991641</v>
      </c>
      <c r="N86" s="30">
        <f>'Fruits, berries, cocoa, coffee'!AP201/(1-'Common input data'!G150)</f>
        <v>0.17927363071522193</v>
      </c>
      <c r="O86" s="30">
        <f t="shared" si="3"/>
        <v>1.5421477980955155E-3</v>
      </c>
      <c r="P86" s="30">
        <f>'Fruits, berries, cocoa, coffee'!AP94/(1-'Common input data'!B150)</f>
        <v>2.9175301730282968E-3</v>
      </c>
      <c r="Q86" s="30">
        <f>'Fruits, berries, cocoa, coffee'!AP10/(1-'Common input data'!B150)</f>
        <v>1.0406493776414518E-3</v>
      </c>
      <c r="R86" s="30">
        <v>1.3353917898752525E-3</v>
      </c>
      <c r="S86" s="30">
        <f>'Fruits, berries, cocoa, coffee'!AP138/(1-'Common input data'!B150)</f>
        <v>2.2104116417123133E-3</v>
      </c>
      <c r="T86" s="30">
        <f>'Fruits, berries, cocoa, coffee'!AP161/(1-'Common input data'!B150)</f>
        <v>0</v>
      </c>
      <c r="U86" s="30">
        <f>'Grains, oil crops, sugar'!AP151/(1-'Common input data'!B152)</f>
        <v>2.518313807587227E-3</v>
      </c>
      <c r="V86" s="30">
        <f>'Vegetables, roots, legumes'!AP110/(1-'Common input data'!B152)</f>
        <v>1.9911828014147342E-3</v>
      </c>
      <c r="W86" s="30">
        <f>'Dairy products'!AG19/(1-'Common input data'!B156)</f>
        <v>1.8450178443699104E-3</v>
      </c>
      <c r="X86" s="30">
        <f>'Dairy products'!AG151/(1-'Common input data'!B156)</f>
        <v>1.6174352590920364E-2</v>
      </c>
      <c r="Y86" s="30">
        <f>'Grains, oil crops, sugar'!AP194/(1-'Common input data'!B151)</f>
        <v>2.9195599930262845E-2</v>
      </c>
      <c r="Z86" s="30">
        <f>'Dairy products'!AG67/(1-'Common input data'!B156)</f>
        <v>9.2250892218495514E-3</v>
      </c>
      <c r="AA86" s="30">
        <f t="shared" si="1"/>
        <v>1.6174352590920364E-2</v>
      </c>
      <c r="AB86" s="30">
        <f t="shared" si="2"/>
        <v>2.518313807587227E-3</v>
      </c>
      <c r="AC86" s="30">
        <f>'Meat and eggs'!AP68/(1-'Common input data'!B156)</f>
        <v>0</v>
      </c>
      <c r="AD86" s="30">
        <f>'Fruits, berries, cocoa, coffee'!AP277/(1-'Common input data'!B150)</f>
        <v>1.4285714285714288E-3</v>
      </c>
      <c r="AE86" s="525">
        <v>0</v>
      </c>
      <c r="AI86" s="716"/>
    </row>
    <row r="87" spans="1:35">
      <c r="A87" s="1031" t="s">
        <v>934</v>
      </c>
      <c r="B87" s="29"/>
      <c r="C87" s="29"/>
      <c r="D87" s="30">
        <f>'Grains, oil crops, sugar'!AW10/(1-'Common input data'!B151)</f>
        <v>5.8917296421068516E-5</v>
      </c>
      <c r="E87" s="30">
        <f>('Grains, oil crops, sugar'!C20/SUM('Grains, oil crops, sugar'!C20,'Grains, oil crops, sugar'!C25)*'Grains, oil crops, sugar'!AW20
+'Grains, oil crops, sugar'!C25/SUM('Grains, oil crops, sugar'!C20,'Grains, oil crops, sugar'!C25)*'Grains, oil crops, sugar'!AW25)
/(1-'Common input data'!B151)</f>
        <v>0</v>
      </c>
      <c r="F87" s="30">
        <f>'Grains, oil crops, sugar'!AW30/(1-'Common input data'!B151)</f>
        <v>0</v>
      </c>
      <c r="G87" s="30">
        <f>('Grains, oil crops, sugar'!C40/SUM('Grains, oil crops, sugar'!C40,'Grains, oil crops, sugar'!C45)*'Grains, oil crops, sugar'!AW40
+'Grains, oil crops, sugar'!C45/SUM('Grains, oil crops, sugar'!C40,'Grains, oil crops, sugar'!C45)*'Grains, oil crops, sugar'!AW45)
/(1-'Common input data'!B151)</f>
        <v>0</v>
      </c>
      <c r="H87" s="30">
        <f>'Grains, oil crops, sugar'!AW72/(1-'Common input data'!B151)</f>
        <v>2.8811011229529296E-3</v>
      </c>
      <c r="I87" s="30">
        <f>'Grains, oil crops, sugar'!AW228/(1-'Common input data'!B151)</f>
        <v>4.4354783758249888E-4</v>
      </c>
      <c r="J87" s="30">
        <f t="shared" si="0"/>
        <v>2.8811011229529296E-3</v>
      </c>
      <c r="K87" s="1153">
        <v>1.9141550384358638E-4</v>
      </c>
      <c r="L87" s="30">
        <f>'Dairy products'!AK25/(1-'Common input data'!B156)</f>
        <v>5.2547595551410198E-2</v>
      </c>
      <c r="M87" s="30">
        <f>'Fruits, berries, cocoa, coffee'!AW222/(1-'Common input data'!G150)</f>
        <v>7.1848729319302258E-3</v>
      </c>
      <c r="N87" s="30">
        <f>'Fruits, berries, cocoa, coffee'!AW201/(1-'Common input data'!G150)</f>
        <v>3.3591613707725739E-3</v>
      </c>
      <c r="O87" s="30">
        <f t="shared" si="3"/>
        <v>6.2643646313343543E-2</v>
      </c>
      <c r="P87" s="30">
        <f>'Fruits, berries, cocoa, coffee'!AW94/(1-'Common input data'!B150)</f>
        <v>0.14158081995540492</v>
      </c>
      <c r="Q87" s="30">
        <f>'Fruits, berries, cocoa, coffee'!AW10/(1-'Common input data'!B150)</f>
        <v>2.3682272279709284E-2</v>
      </c>
      <c r="R87" s="30">
        <v>3.2852883420140498E-2</v>
      </c>
      <c r="S87" s="30">
        <f>'Fruits, berries, cocoa, coffee'!AW138/(1-'Common input data'!B150)</f>
        <v>8.5311493018259937E-2</v>
      </c>
      <c r="T87" s="30">
        <f>'Fruits, berries, cocoa, coffee'!AW161/(1-'Common input data'!B150)</f>
        <v>0</v>
      </c>
      <c r="U87" s="30">
        <f>'Grains, oil crops, sugar'!AW151/(1-'Common input data'!B152)</f>
        <v>3.1319106365027535E-2</v>
      </c>
      <c r="V87" s="30">
        <f>'Vegetables, roots, legumes'!AW110/(1-'Common input data'!B152)</f>
        <v>1.2433545839101895E-2</v>
      </c>
      <c r="W87" s="30">
        <f>'Dairy products'!AK19/(1-'Common input data'!B156)</f>
        <v>5.3402027999400617E-3</v>
      </c>
      <c r="X87" s="30">
        <f>'Dairy products'!AK151/(1-'Common input data'!B156)</f>
        <v>4.6814898434084422E-2</v>
      </c>
      <c r="Y87" s="30">
        <f>'Grains, oil crops, sugar'!AW194/(1-'Common input data'!B151)</f>
        <v>0.10546684294488945</v>
      </c>
      <c r="Z87" s="30">
        <f>'Dairy products'!AK67/(1-'Common input data'!B156)</f>
        <v>2.6701013999700308E-2</v>
      </c>
      <c r="AA87" s="30">
        <f t="shared" si="1"/>
        <v>4.6814898434084422E-2</v>
      </c>
      <c r="AB87" s="30">
        <f t="shared" si="2"/>
        <v>3.1319106365027535E-2</v>
      </c>
      <c r="AC87" s="30">
        <f>'Meat and eggs'!AT68/(1-'Common input data'!B156)</f>
        <v>0</v>
      </c>
      <c r="AD87" s="30">
        <f>'Fruits, berries, cocoa, coffee'!AW277/(1-'Common input data'!B150)</f>
        <v>9.3007905624499371E-2</v>
      </c>
      <c r="AE87" s="525">
        <v>1E-3</v>
      </c>
      <c r="AI87" s="716"/>
    </row>
    <row r="88" spans="1:35">
      <c r="A88" s="1031" t="s">
        <v>935</v>
      </c>
      <c r="B88" s="29"/>
      <c r="C88" s="29"/>
      <c r="D88" s="30">
        <f>'Grains, oil crops, sugar'!BD10/(1-'Common input data'!B151)</f>
        <v>1.8599446101211648E-11</v>
      </c>
      <c r="E88" s="30">
        <f>('Grains, oil crops, sugar'!C20/SUM('Grains, oil crops, sugar'!C20,'Grains, oil crops, sugar'!C25)*'Grains, oil crops, sugar'!BD20
+'Grains, oil crops, sugar'!C25/SUM('Grains, oil crops, sugar'!C20,'Grains, oil crops, sugar'!C25)*'Grains, oil crops, sugar'!BD25)
/(1-'Common input data'!B151)</f>
        <v>8.835808793693177E-12</v>
      </c>
      <c r="F88" s="30">
        <f>'Grains, oil crops, sugar'!BD30/(1-'Common input data'!B151)</f>
        <v>1.6164587621541913E-11</v>
      </c>
      <c r="G88" s="30">
        <f>('Grains, oil crops, sugar'!C40/SUM('Grains, oil crops, sugar'!C40,'Grains, oil crops, sugar'!C45)*'Grains, oil crops, sugar'!BD40
+'Grains, oil crops, sugar'!C45/SUM('Grains, oil crops, sugar'!C40,'Grains, oil crops, sugar'!C45)*'Grains, oil crops, sugar'!BD45)
/(1-'Common input data'!B151)</f>
        <v>1.890262744314352E-11</v>
      </c>
      <c r="H88" s="30">
        <f>'Grains, oil crops, sugar'!BD72/(1-'Common input data'!B151)</f>
        <v>2.8830711261387418E-11</v>
      </c>
      <c r="I88" s="30">
        <f>'Grains, oil crops, sugar'!BD228/(1-'Common input data'!B151)</f>
        <v>5.529509918304381E-9</v>
      </c>
      <c r="J88" s="30">
        <f t="shared" si="0"/>
        <v>2.8830711261387418E-11</v>
      </c>
      <c r="K88" s="1153">
        <v>2.1152741570614994E-9</v>
      </c>
      <c r="L88" s="30">
        <f>'Dairy products'!AO25/(1-'Common input data'!B156)</f>
        <v>6.6520384459214227E-10</v>
      </c>
      <c r="M88" s="30">
        <f>'Fruits, berries, cocoa, coffee'!BD222/(1-'Common input data'!G150)</f>
        <v>7.1203302496798829E-8</v>
      </c>
      <c r="N88" s="30">
        <f>'Fruits, berries, cocoa, coffee'!BD201/(1-'Common input data'!G150)</f>
        <v>3.3289855712789064E-8</v>
      </c>
      <c r="O88" s="30">
        <f t="shared" si="3"/>
        <v>2.9258252442438379E-10</v>
      </c>
      <c r="P88" s="30">
        <f>'Fruits, berries, cocoa, coffee'!BD94/(1-'Common input data'!B150)</f>
        <v>9.2718872090358766E-10</v>
      </c>
      <c r="Q88" s="30">
        <f>'Fruits, berries, cocoa, coffee'!BD10/(1-'Common input data'!B150)</f>
        <v>2.3220415674385479E-10</v>
      </c>
      <c r="R88" s="30">
        <v>1.9713530531902472E-10</v>
      </c>
      <c r="S88" s="30">
        <f>'Fruits, berries, cocoa, coffee'!BD138/(1-'Common input data'!B150)</f>
        <v>1.0937220050092857E-11</v>
      </c>
      <c r="T88" s="30">
        <f>'Fruits, berries, cocoa, coffee'!BD161/(1-'Common input data'!B150)</f>
        <v>0</v>
      </c>
      <c r="U88" s="30">
        <f>'Grains, oil crops, sugar'!BD151/(1-'Common input data'!B152)</f>
        <v>1.0688572574609249E-11</v>
      </c>
      <c r="V88" s="30">
        <f>'Vegetables, roots, legumes'!BD110/(1-'Common input data'!B152)</f>
        <v>4.4930404506502192E-12</v>
      </c>
      <c r="W88" s="30">
        <f>'Dairy products'!AO19/(1-'Common input data'!B156)</f>
        <v>6.7602016726843725E-11</v>
      </c>
      <c r="X88" s="30">
        <f>'Dairy products'!AO151/(1-'Common input data'!B156)</f>
        <v>5.9263321367532836E-10</v>
      </c>
      <c r="Y88" s="30">
        <f>'Grains, oil crops, sugar'!BD194/(1-'Common input data'!B151)</f>
        <v>1.8089118912217557E-9</v>
      </c>
      <c r="Z88" s="30">
        <f>'Dairy products'!AO67/(1-'Common input data'!B156)</f>
        <v>3.3801008363421864E-10</v>
      </c>
      <c r="AA88" s="30">
        <f t="shared" si="1"/>
        <v>5.9263321367532836E-10</v>
      </c>
      <c r="AB88" s="30">
        <f t="shared" si="2"/>
        <v>1.0688572574609249E-11</v>
      </c>
      <c r="AC88" s="30">
        <f>'Meat and eggs'!AZ68/(1-'Common input data'!B156)</f>
        <v>0</v>
      </c>
      <c r="AD88" s="30">
        <f>'Fruits, berries, cocoa, coffee'!BD277/(1-'Common input data'!B150)</f>
        <v>4.2562909377833763E-10</v>
      </c>
      <c r="AE88" s="525">
        <v>0</v>
      </c>
      <c r="AI88" s="716"/>
    </row>
    <row r="89" spans="1:35" ht="15">
      <c r="A89" s="1031" t="s">
        <v>936</v>
      </c>
      <c r="B89" s="29"/>
      <c r="C89" s="29"/>
      <c r="D89" s="30">
        <f>'Grains, oil crops, sugar'!BK10/(1-'Common input data'!B151)</f>
        <v>1.6960087995696887E-4</v>
      </c>
      <c r="E89" s="30">
        <f>('Grains, oil crops, sugar'!C20/SUM('Grains, oil crops, sugar'!C20,'Grains, oil crops, sugar'!C25)*'Grains, oil crops, sugar'!BK20
+'Grains, oil crops, sugar'!C25/SUM('Grains, oil crops, sugar'!C20,'Grains, oil crops, sugar'!C25)*'Grains, oil crops, sugar'!BK25)
/(1-'Common input data'!B151)</f>
        <v>7.8067040048042719E-5</v>
      </c>
      <c r="F89" s="30">
        <f>'Grains, oil crops, sugar'!BK30/(1-'Common input data'!B151)</f>
        <v>2.7535506104381065E-4</v>
      </c>
      <c r="G89" s="30">
        <f>('Grains, oil crops, sugar'!C40/SUM('Grains, oil crops, sugar'!C40,'Grains, oil crops, sugar'!C45)*'Grains, oil crops, sugar'!BK40
+'Grains, oil crops, sugar'!C45/SUM('Grains, oil crops, sugar'!C40,'Grains, oil crops, sugar'!C45)*'Grains, oil crops, sugar'!BK45)
/(1-'Common input data'!B151)</f>
        <v>1.7355809850322737E-4</v>
      </c>
      <c r="H89" s="30">
        <f>'Grains, oil crops, sugar'!BK72/(1-'Common input data'!B151)</f>
        <v>3.3887588849253734E-4</v>
      </c>
      <c r="I89" s="30">
        <f>'Grains, oil crops, sugar'!BK228/(1-'Common input data'!B151)</f>
        <v>3.8649104208305144E-4</v>
      </c>
      <c r="J89" s="30">
        <f t="shared" si="0"/>
        <v>3.3887588849253734E-4</v>
      </c>
      <c r="K89" s="1153">
        <v>0</v>
      </c>
      <c r="L89" s="30">
        <f>'Dairy products'!AS25/(1-'Common input data'!B156)</f>
        <v>1.1563424274587716E-3</v>
      </c>
      <c r="M89" s="30">
        <f>'Fruits, berries, cocoa, coffee'!BK222/(1-'Common input data'!G150)</f>
        <v>8.9121142183937962E-2</v>
      </c>
      <c r="N89" s="30">
        <f>'Fruits, berries, cocoa, coffee'!BK201/(1-'Common input data'!G150)</f>
        <v>4.1667027514568404E-2</v>
      </c>
      <c r="O89" s="30">
        <f t="shared" si="3"/>
        <v>3.7818437655902522E-4</v>
      </c>
      <c r="P89" s="30">
        <f>'Fruits, berries, cocoa, coffee'!BK94/(1-'Common input data'!B150)</f>
        <v>4.6173126170841102E-4</v>
      </c>
      <c r="Q89" s="30">
        <f>'Fruits, berries, cocoa, coffee'!BK10/(1-'Common input data'!B150)</f>
        <v>3.8020721014415791E-4</v>
      </c>
      <c r="R89" s="30">
        <v>0</v>
      </c>
      <c r="S89" s="30">
        <f>'Fruits, berries, cocoa, coffee'!BK138/(1-'Common input data'!B150)</f>
        <v>6.7079903438353207E-4</v>
      </c>
      <c r="T89" s="30">
        <f>'Fruits, berries, cocoa, coffee'!BK161/(1-'Common input data'!B150)</f>
        <v>0</v>
      </c>
      <c r="U89" s="30">
        <f>'Grains, oil crops, sugar'!BK151/(1-'Common input data'!B152)</f>
        <v>5.1826898160145117E-4</v>
      </c>
      <c r="V89" s="30">
        <f>'Vegetables, roots, legumes'!BD110/(1-'Common input data'!B152)</f>
        <v>4.4930404506502192E-12</v>
      </c>
      <c r="W89" s="30">
        <f>'Dairy products'!AS19/(1-'Common input data'!B156)</f>
        <v>1.1751447433524102E-4</v>
      </c>
      <c r="X89" s="30">
        <f>'Dairy products'!AS151/(1-'Common input data'!B156)</f>
        <v>1.0301908722644161E-3</v>
      </c>
      <c r="Y89" s="30">
        <f>'Grains, oil crops, sugar'!BK194/(1-'Common input data'!B151)</f>
        <v>1.9541942558590712E-3</v>
      </c>
      <c r="Z89" s="30">
        <f>'Dairy products'!AS67/(1-'Common input data'!B156)</f>
        <v>5.8757237167620508E-4</v>
      </c>
      <c r="AA89" s="30">
        <f t="shared" si="1"/>
        <v>1.0301908722644161E-3</v>
      </c>
      <c r="AB89" s="30">
        <f t="shared" si="2"/>
        <v>5.1826898160145117E-4</v>
      </c>
      <c r="AC89" s="30">
        <f>'Meat and eggs'!AR56/(1-'Common input data'!B156)</f>
        <v>0</v>
      </c>
      <c r="AD89" s="30">
        <f>'Fruits, berries, cocoa, coffee'!BK277/(1-'Common input data'!B150)</f>
        <v>1.0364052949879321E-3</v>
      </c>
      <c r="AE89" s="1206">
        <v>0</v>
      </c>
      <c r="AI89" s="716"/>
    </row>
    <row r="90" spans="1:35" ht="15">
      <c r="A90" s="109" t="s">
        <v>937</v>
      </c>
      <c r="B90" s="29"/>
      <c r="C90" s="29"/>
      <c r="D90" s="30">
        <f>'Grains, oil crops, sugar'!BR10/(1-'Common input data'!B151)</f>
        <v>1.8907544958889856E-3</v>
      </c>
      <c r="E90" s="30">
        <f>('Grains, oil crops, sugar'!C20/SUM('Grains, oil crops, sugar'!C20,'Grains, oil crops, sugar'!C25)*'Grains, oil crops, sugar'!BR20
+'Grains, oil crops, sugar'!C25/SUM('Grains, oil crops, sugar'!C20,'Grains, oil crops, sugar'!C25)*'Grains, oil crops, sugar'!BR25)
/(1-'Common input data'!B151)</f>
        <v>9.2517438456926583E-4</v>
      </c>
      <c r="F90" s="30">
        <f>'Grains, oil crops, sugar'!BR30/(1-'Common input data'!B151)</f>
        <v>1.3444593747462162E-3</v>
      </c>
      <c r="G90" s="30">
        <f>('Grains, oil crops, sugar'!C40/SUM('Grains, oil crops, sugar'!C40,'Grains, oil crops, sugar'!C45)*'Grains, oil crops, sugar'!BR40
+'Grains, oil crops, sugar'!C45/SUM('Grains, oil crops, sugar'!C40,'Grains, oil crops, sugar'!C45)*'Grains, oil crops, sugar'!BR45)
/(1-'Common input data'!B151)</f>
        <v>2.0764171347365441E-3</v>
      </c>
      <c r="H90" s="30">
        <f>'Grains, oil crops, sugar'!BR72/(1-'Common input data'!B151)</f>
        <v>3.1270019878313141E-3</v>
      </c>
      <c r="I90" s="30">
        <f>'Grains, oil crops, sugar'!BR228/(1-'Common input data'!B151)</f>
        <v>7.1529301155877844E-4</v>
      </c>
      <c r="J90" s="30">
        <f>H90</f>
        <v>3.1270019878313141E-3</v>
      </c>
      <c r="K90" s="1153">
        <v>0</v>
      </c>
      <c r="L90" s="30">
        <f>'Dairy products'!AW25/(1-'Common input data'!B156)</f>
        <v>4.5327819941029704E-2</v>
      </c>
      <c r="M90" s="30">
        <f>'Fruits, berries, cocoa, coffee'!BR222/(1-'Common input data'!G150)</f>
        <v>9.8801349666080875E-3</v>
      </c>
      <c r="N90" s="30">
        <f>'Fruits, berries, cocoa, coffee'!BR201/(1-'Common input data'!G150)</f>
        <v>4.6192838804920934E-3</v>
      </c>
      <c r="O90" s="30">
        <f t="shared" si="3"/>
        <v>1.1487423909262599E-4</v>
      </c>
      <c r="P90" s="30">
        <f>'Fruits, berries, cocoa, coffee'!BR94/(1-'Common input data'!B150)</f>
        <v>2.8434699489762971E-4</v>
      </c>
      <c r="Q90" s="30">
        <f>'Fruits, berries, cocoa, coffee'!BR10/(1-'Common input data'!B150)</f>
        <v>4.8032268418019945E-5</v>
      </c>
      <c r="R90" s="30">
        <v>0</v>
      </c>
      <c r="S90" s="30">
        <f>'Fruits, berries, cocoa, coffee'!BR138/(1-'Common input data'!B150)</f>
        <v>1.2711769305485431E-4</v>
      </c>
      <c r="T90" s="30">
        <f>'Fruits, berries, cocoa, coffee'!BR161/(1-'Common input data'!B150)</f>
        <v>0</v>
      </c>
      <c r="U90" s="30">
        <f>'Grains, oil crops, sugar'!BR151/(1-'Common input data'!B152)</f>
        <v>1.2281183047812257E-3</v>
      </c>
      <c r="V90" s="30">
        <f>'Vegetables, roots, legumes'!BD110/(1-'Common input data'!B152)</f>
        <v>4.4930404506502192E-12</v>
      </c>
      <c r="W90" s="30">
        <f>'Dairy products'!AW19/(1-'Common input data'!B156)</f>
        <v>4.606485766364808E-3</v>
      </c>
      <c r="X90" s="30">
        <f>'Dairy products'!AW151/(1-'Common input data'!B156)</f>
        <v>4.0382766604452641E-2</v>
      </c>
      <c r="Y90" s="30">
        <f>'Grains, oil crops, sugar'!BR194/(1-'Common input data'!B151)</f>
        <v>2.7769815427344959E-4</v>
      </c>
      <c r="Z90" s="30">
        <f>'Dairy products'!AW67/(1-'Common input data'!B156)</f>
        <v>2.3032428831824037E-2</v>
      </c>
      <c r="AA90" s="30">
        <f t="shared" si="1"/>
        <v>4.0382766604452641E-2</v>
      </c>
      <c r="AB90" s="30">
        <f t="shared" si="2"/>
        <v>1.2281183047812257E-3</v>
      </c>
      <c r="AC90" s="30">
        <f>'Meat and eggs'!BG68/(1-'Common input data'!B156)</f>
        <v>0</v>
      </c>
      <c r="AD90" s="30">
        <f>'Fruits, berries, cocoa, coffee'!BR277/(1-'Common input data'!B150)</f>
        <v>5.4852273111564528E-5</v>
      </c>
      <c r="AE90" s="58">
        <v>0</v>
      </c>
      <c r="AI90" s="716"/>
    </row>
    <row r="91" spans="1:35" ht="15">
      <c r="A91" s="110" t="s">
        <v>938</v>
      </c>
      <c r="B91" s="34"/>
      <c r="C91" s="34"/>
      <c r="D91" s="1037">
        <f>'Grains, oil crops, sugar'!BV10</f>
        <v>0.20087726476814771</v>
      </c>
      <c r="E91" s="1037">
        <f>('Grains, oil crops, sugar'!C20/SUM('Grains, oil crops, sugar'!C20,'Grains, oil crops, sugar'!C25)*'Grains, oil crops, sugar'!BV20
+'Grains, oil crops, sugar'!C25/SUM('Grains, oil crops, sugar'!C20,'Grains, oil crops, sugar'!C25)*'Grains, oil crops, sugar'!BV25)</f>
        <v>0.20087726476814774</v>
      </c>
      <c r="F91" s="1037">
        <f>'Grains, oil crops, sugar'!BV30</f>
        <v>0.20087726476814774</v>
      </c>
      <c r="G91" s="1037">
        <f>('Grains, oil crops, sugar'!C40/SUM('Grains, oil crops, sugar'!C40,'Grains, oil crops, sugar'!C45)*'Grains, oil crops, sugar'!BV40
+'Grains, oil crops, sugar'!C45/SUM('Grains, oil crops, sugar'!C40,'Grains, oil crops, sugar'!C45)*'Grains, oil crops, sugar'!BV45)</f>
        <v>0.20087726476814777</v>
      </c>
      <c r="H91" s="1037">
        <f>'Grains, oil crops, sugar'!BV72</f>
        <v>0.17393233288783219</v>
      </c>
      <c r="I91" s="1037">
        <f>'Grains, oil crops, sugar'!BV228</f>
        <v>32.827911452032978</v>
      </c>
      <c r="J91" s="560">
        <f>H90</f>
        <v>3.1270019878313141E-3</v>
      </c>
      <c r="K91" s="1038">
        <v>0</v>
      </c>
      <c r="L91" s="1037">
        <f>'Dairy products'!BA25</f>
        <v>0.27908312973458471</v>
      </c>
      <c r="M91" s="1037">
        <f>'Fruits, berries, cocoa, coffee'!BV222/(1-'Common input data'!G150)</f>
        <v>27.442647367593242</v>
      </c>
      <c r="N91" s="1037">
        <f>'Fruits, berries, cocoa, coffee'!BV201/(1-'Common input data'!G150)</f>
        <v>12.830328639394242</v>
      </c>
      <c r="O91" s="560">
        <f t="shared" si="3"/>
        <v>1.7271314966632121</v>
      </c>
      <c r="P91" s="1037">
        <f>'Fruits, berries, cocoa, coffee'!BV94/(1-'Common input data'!B150)</f>
        <v>5.3559749342234175</v>
      </c>
      <c r="Q91" s="1037">
        <f>'Fruits, berries, cocoa, coffee'!BV10/(1-'Common input data'!B150)</f>
        <v>1.0903240136374566</v>
      </c>
      <c r="R91" s="1037">
        <v>0</v>
      </c>
      <c r="S91" s="1037">
        <f>'Fruits, berries, cocoa, coffee'!BV138/(1-'Common input data'!B150)</f>
        <v>0.46222703879197424</v>
      </c>
      <c r="T91" s="1037">
        <f>'Fruits, berries, cocoa, coffee'!BV161/(1-'Common input data'!B150)</f>
        <v>0</v>
      </c>
      <c r="U91" s="1037">
        <f>'Grains, oil crops, sugar'!BV151/(1-'Common input data'!B152)</f>
        <v>1.9118100354389942</v>
      </c>
      <c r="V91" s="1037">
        <f>'Vegetables, roots, legumes'!BD110/(1-'Common input data'!B152)</f>
        <v>4.4930404506502192E-12</v>
      </c>
      <c r="W91" s="1037">
        <f>'Dairy products'!AW19/(1-'Common input data'!B156)</f>
        <v>4.606485766364808E-3</v>
      </c>
      <c r="X91" s="1037">
        <f>'Dairy products'!BA151/(1-'Common input data'!B156)</f>
        <v>0.1488512186031371</v>
      </c>
      <c r="Y91" s="1037">
        <f>'Grains, oil crops, sugar'!BV194</f>
        <v>11.128739313241514</v>
      </c>
      <c r="Z91" s="1037">
        <f>'Dairy products'!BA67/(1-'Common input data'!B156)</f>
        <v>0.1488512186031371</v>
      </c>
      <c r="AA91" s="560">
        <f t="shared" si="1"/>
        <v>0.1488512186031371</v>
      </c>
      <c r="AB91" s="560">
        <f t="shared" si="2"/>
        <v>1.9118100354389942</v>
      </c>
      <c r="AC91" s="1037">
        <f>'Meat and eggs'!BD68/(1-'Common input data'!B156)</f>
        <v>0</v>
      </c>
      <c r="AD91" s="1037">
        <f>'Fruits, berries, cocoa, coffee'!BV277/(1-'Common input data'!B150)</f>
        <v>0.35835335363787973</v>
      </c>
      <c r="AE91" s="59">
        <v>0</v>
      </c>
      <c r="AI91" s="716"/>
    </row>
    <row r="92" spans="1:35" ht="25.5">
      <c r="A92" s="148" t="s">
        <v>939</v>
      </c>
      <c r="B92" s="29"/>
      <c r="C92" s="29"/>
      <c r="D92" s="31"/>
      <c r="E92" s="31"/>
      <c r="F92" s="31"/>
      <c r="G92" s="31"/>
      <c r="H92" s="31"/>
      <c r="I92" s="31"/>
      <c r="J92" s="718"/>
      <c r="K92" s="31"/>
      <c r="L92" s="31"/>
      <c r="M92" s="31"/>
      <c r="N92" s="31"/>
      <c r="O92" s="31"/>
      <c r="P92" s="31"/>
      <c r="Q92" s="31"/>
      <c r="R92" s="31"/>
      <c r="S92" s="31"/>
      <c r="T92" s="31"/>
      <c r="U92" s="31"/>
      <c r="V92" s="31"/>
      <c r="W92" s="31"/>
      <c r="X92" s="31"/>
      <c r="Y92" s="31"/>
      <c r="Z92" s="31"/>
      <c r="AA92" s="30"/>
      <c r="AB92" s="265"/>
      <c r="AI92" s="716"/>
    </row>
    <row r="93" spans="1:35" ht="15">
      <c r="A93" s="114" t="s">
        <v>940</v>
      </c>
      <c r="B93" s="14"/>
      <c r="C93" s="14"/>
      <c r="D93" s="14"/>
      <c r="E93" s="14"/>
      <c r="F93" s="14"/>
      <c r="G93" s="14"/>
      <c r="H93" s="14"/>
      <c r="I93" s="14"/>
      <c r="J93" s="14"/>
      <c r="K93" s="14"/>
      <c r="L93" s="55"/>
      <c r="M93" s="55"/>
      <c r="N93" s="55"/>
      <c r="O93" s="55"/>
      <c r="P93" s="55"/>
      <c r="Q93" s="55"/>
      <c r="R93" s="55"/>
      <c r="S93" s="55"/>
      <c r="AI93" s="716"/>
    </row>
    <row r="94" spans="1:35">
      <c r="A94" s="114" t="s">
        <v>941</v>
      </c>
      <c r="D94" s="695"/>
      <c r="E94" s="695"/>
      <c r="F94" s="695"/>
      <c r="G94" s="695"/>
      <c r="H94" s="695"/>
      <c r="I94" s="695"/>
      <c r="J94" s="695"/>
      <c r="K94" s="695"/>
      <c r="L94" s="695"/>
      <c r="M94" s="695"/>
      <c r="N94" s="695"/>
      <c r="O94" s="695"/>
      <c r="P94" s="695"/>
      <c r="Q94" s="695"/>
      <c r="R94" s="695"/>
      <c r="S94" s="695"/>
      <c r="T94" s="695"/>
      <c r="U94" s="695"/>
      <c r="V94" s="695"/>
      <c r="W94" s="695"/>
      <c r="X94" s="695"/>
      <c r="Y94" s="695"/>
      <c r="Z94" s="695"/>
      <c r="AA94" s="695"/>
      <c r="AB94" s="695"/>
      <c r="AC94" s="717"/>
      <c r="AI94" s="716"/>
    </row>
    <row r="95" spans="1:35">
      <c r="A95" s="114" t="s">
        <v>942</v>
      </c>
      <c r="D95" s="695"/>
      <c r="E95" s="695"/>
      <c r="F95" s="695"/>
      <c r="G95" s="695"/>
      <c r="H95" s="695"/>
      <c r="I95" s="695"/>
      <c r="J95" s="695"/>
      <c r="K95" s="695"/>
      <c r="L95" s="695"/>
      <c r="M95" s="695"/>
      <c r="N95" s="695"/>
      <c r="O95" s="695"/>
      <c r="P95" s="695"/>
      <c r="Q95" s="695"/>
      <c r="R95" s="695"/>
      <c r="S95" s="695"/>
      <c r="T95" s="695"/>
      <c r="U95" s="695"/>
      <c r="V95" s="695"/>
      <c r="W95" s="695"/>
      <c r="X95" s="695"/>
      <c r="Y95" s="695"/>
      <c r="Z95" s="695"/>
      <c r="AA95" s="695"/>
      <c r="AB95" s="695"/>
      <c r="AC95" s="695"/>
      <c r="AI95" s="716"/>
    </row>
    <row r="96" spans="1:35">
      <c r="A96" s="114" t="s">
        <v>943</v>
      </c>
      <c r="C96" s="14"/>
      <c r="D96" s="14"/>
      <c r="E96" s="15"/>
      <c r="F96" s="15"/>
      <c r="G96" s="14"/>
      <c r="J96" s="718"/>
      <c r="N96" s="15"/>
      <c r="Q96" s="695"/>
      <c r="AB96" s="695"/>
      <c r="AI96" s="716"/>
    </row>
    <row r="97" spans="1:35">
      <c r="A97" s="148" t="s">
        <v>944</v>
      </c>
      <c r="J97" s="718"/>
      <c r="M97" s="718"/>
      <c r="N97" s="15"/>
      <c r="Q97" s="716"/>
      <c r="AI97" s="716"/>
    </row>
    <row r="98" spans="1:35">
      <c r="A98" s="14"/>
      <c r="L98" s="695"/>
      <c r="M98" s="718"/>
    </row>
    <row r="99" spans="1:35">
      <c r="A99" s="175" t="s">
        <v>945</v>
      </c>
      <c r="L99" s="695"/>
    </row>
    <row r="100" spans="1:35" ht="38.25">
      <c r="A100" s="580"/>
      <c r="B100" s="623"/>
      <c r="C100" s="719" t="s">
        <v>946</v>
      </c>
      <c r="D100" s="719" t="s">
        <v>947</v>
      </c>
      <c r="E100" s="719" t="s">
        <v>948</v>
      </c>
      <c r="F100" s="719" t="s">
        <v>949</v>
      </c>
      <c r="G100" s="719" t="s">
        <v>950</v>
      </c>
      <c r="H100" s="719">
        <v>0</v>
      </c>
      <c r="I100" s="719" t="s">
        <v>951</v>
      </c>
      <c r="J100" s="715" t="s">
        <v>952</v>
      </c>
      <c r="K100" s="99" t="s">
        <v>608</v>
      </c>
      <c r="L100" s="695"/>
      <c r="S100" s="695"/>
    </row>
    <row r="101" spans="1:35" ht="25.5">
      <c r="A101" s="13" t="s">
        <v>953</v>
      </c>
      <c r="B101" s="29" t="s">
        <v>366</v>
      </c>
      <c r="C101" s="720">
        <v>0.06</v>
      </c>
      <c r="D101" s="720">
        <v>0.3</v>
      </c>
      <c r="E101" s="720">
        <v>0.1</v>
      </c>
      <c r="F101" s="720">
        <v>0.05</v>
      </c>
      <c r="G101" s="720">
        <v>0.1</v>
      </c>
      <c r="H101" s="720">
        <v>0</v>
      </c>
      <c r="I101" s="720">
        <v>0.8</v>
      </c>
      <c r="J101" s="690">
        <v>0.3</v>
      </c>
      <c r="K101" s="114" t="s">
        <v>954</v>
      </c>
    </row>
    <row r="102" spans="1:35">
      <c r="A102" s="28"/>
      <c r="B102" s="29" t="s">
        <v>123</v>
      </c>
      <c r="C102" s="30">
        <v>0.18</v>
      </c>
      <c r="D102" s="30"/>
      <c r="E102" s="30"/>
      <c r="F102" s="721"/>
      <c r="G102" s="30"/>
      <c r="H102" s="30"/>
      <c r="I102" s="30"/>
      <c r="J102" s="620"/>
      <c r="K102" s="114" t="s">
        <v>955</v>
      </c>
      <c r="S102" s="695"/>
      <c r="T102" s="695"/>
      <c r="U102" s="695"/>
      <c r="V102" s="695"/>
      <c r="W102" s="721"/>
    </row>
    <row r="103" spans="1:35">
      <c r="A103" s="28"/>
      <c r="B103" s="29" t="s">
        <v>125</v>
      </c>
      <c r="C103" s="30"/>
      <c r="D103" s="30"/>
      <c r="E103" s="30"/>
      <c r="F103" s="30">
        <v>0.08</v>
      </c>
      <c r="G103" s="30"/>
      <c r="H103" s="30"/>
      <c r="I103" s="30"/>
      <c r="J103" s="620"/>
      <c r="S103" s="695"/>
      <c r="T103" s="695"/>
      <c r="U103" s="695"/>
      <c r="V103" s="695"/>
      <c r="W103" s="721"/>
    </row>
    <row r="104" spans="1:35">
      <c r="A104" s="33"/>
      <c r="B104" s="34" t="s">
        <v>134</v>
      </c>
      <c r="C104" s="560">
        <v>0.35</v>
      </c>
      <c r="D104" s="560"/>
      <c r="E104" s="560"/>
      <c r="F104" s="560"/>
      <c r="G104" s="560"/>
      <c r="H104" s="560"/>
      <c r="I104" s="560"/>
      <c r="J104" s="561"/>
      <c r="S104" s="695"/>
      <c r="T104" s="722"/>
      <c r="V104" s="722"/>
      <c r="W104" s="721"/>
    </row>
    <row r="105" spans="1:35">
      <c r="S105" s="695"/>
      <c r="T105" s="722"/>
      <c r="V105" s="722"/>
      <c r="W105" s="721"/>
    </row>
    <row r="106" spans="1:35" ht="30">
      <c r="A106" s="268" t="s">
        <v>956</v>
      </c>
      <c r="S106" s="695"/>
      <c r="T106" s="722"/>
      <c r="V106" s="722"/>
      <c r="W106" s="721"/>
    </row>
    <row r="107" spans="1:35">
      <c r="A107" s="114" t="s">
        <v>957</v>
      </c>
    </row>
    <row r="109" spans="1:35" ht="15">
      <c r="A109"/>
      <c r="B109"/>
      <c r="C109"/>
    </row>
    <row r="110" spans="1:35" ht="15">
      <c r="A110"/>
    </row>
    <row r="111" spans="1:35" ht="15">
      <c r="A111"/>
      <c r="B111"/>
      <c r="C111"/>
      <c r="D111"/>
    </row>
    <row r="112" spans="1:35" ht="15">
      <c r="A112"/>
      <c r="B112"/>
      <c r="C112"/>
    </row>
    <row r="113" spans="1:3" s="114" customFormat="1" ht="15">
      <c r="A113"/>
      <c r="B113"/>
      <c r="C113"/>
    </row>
    <row r="114" spans="1:3" s="114" customFormat="1" ht="15">
      <c r="A114"/>
      <c r="B114"/>
      <c r="C114"/>
    </row>
    <row r="115" spans="1:3" s="114" customFormat="1" ht="15">
      <c r="A115"/>
      <c r="B115"/>
      <c r="C115"/>
    </row>
    <row r="116" spans="1:3" s="114" customFormat="1" ht="15">
      <c r="A116"/>
      <c r="B116"/>
      <c r="C116"/>
    </row>
    <row r="117" spans="1:3" s="114" customFormat="1" ht="15">
      <c r="A117"/>
      <c r="B117"/>
      <c r="C117"/>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39997558519241921"/>
  </sheetPr>
  <dimension ref="A1:DU870"/>
  <sheetViews>
    <sheetView topLeftCell="A292" workbookViewId="0">
      <selection activeCell="B76" sqref="B76"/>
    </sheetView>
  </sheetViews>
  <sheetFormatPr defaultColWidth="8.7109375" defaultRowHeight="12.75"/>
  <cols>
    <col min="1" max="1" width="55" style="28" bestFit="1" customWidth="1"/>
    <col min="2" max="2" width="31.42578125" style="29" customWidth="1"/>
    <col min="3" max="3" width="42.28515625" style="29" customWidth="1"/>
    <col min="4" max="4" width="35.42578125" style="29" customWidth="1"/>
    <col min="5" max="5" width="37.7109375" style="29" customWidth="1"/>
    <col min="6" max="6" width="44.7109375" style="29" bestFit="1" customWidth="1"/>
    <col min="7" max="7" width="31.42578125" style="29" bestFit="1" customWidth="1"/>
    <col min="8" max="8" width="27.42578125" style="29" customWidth="1"/>
    <col min="9" max="9" width="34" style="29" customWidth="1"/>
    <col min="10" max="10" width="50.42578125" style="29" bestFit="1" customWidth="1"/>
    <col min="11" max="12" width="18" style="29" customWidth="1"/>
    <col min="13" max="13" width="34.42578125" style="29" customWidth="1"/>
    <col min="14" max="14" width="53.42578125" style="29" customWidth="1"/>
    <col min="15" max="15" width="30" style="29" customWidth="1"/>
    <col min="16" max="16" width="20.42578125" style="29" bestFit="1" customWidth="1"/>
    <col min="17" max="17" width="23" style="29" bestFit="1" customWidth="1"/>
    <col min="18" max="18" width="25.42578125" style="29" bestFit="1" customWidth="1"/>
    <col min="19" max="19" width="23.42578125" style="29" bestFit="1" customWidth="1"/>
    <col min="20" max="20" width="27.42578125" style="29" customWidth="1"/>
    <col min="21" max="21" width="24.42578125" style="29" customWidth="1"/>
    <col min="22" max="22" width="42.42578125" style="29" customWidth="1"/>
    <col min="23" max="23" width="47.42578125" style="29" customWidth="1"/>
    <col min="24" max="24" width="35.42578125" style="29" bestFit="1" customWidth="1"/>
    <col min="25" max="25" width="31.42578125" style="29" bestFit="1" customWidth="1"/>
    <col min="26" max="26" width="7.42578125" style="29" bestFit="1" customWidth="1"/>
    <col min="27" max="27" width="12.42578125" style="29" bestFit="1" customWidth="1"/>
    <col min="28" max="28" width="9.42578125" style="29" bestFit="1" customWidth="1"/>
    <col min="29" max="30" width="16.42578125" style="29" bestFit="1" customWidth="1"/>
    <col min="31" max="31" width="10.7109375" style="29" bestFit="1" customWidth="1"/>
    <col min="32" max="32" width="26.28515625" style="29" bestFit="1" customWidth="1"/>
    <col min="33" max="33" width="10.7109375" style="29" bestFit="1" customWidth="1"/>
    <col min="34" max="34" width="8.7109375" style="29"/>
    <col min="35" max="35" width="43.28515625" style="29" bestFit="1" customWidth="1"/>
    <col min="36" max="37" width="43.28515625" style="29" customWidth="1"/>
    <col min="38" max="63" width="8.7109375" style="29"/>
    <col min="64" max="64" width="12.28515625" style="29" bestFit="1" customWidth="1"/>
    <col min="65" max="68" width="8.7109375" style="29"/>
    <col min="69" max="69" width="16.42578125" style="29" bestFit="1" customWidth="1"/>
    <col min="70" max="73" width="16.42578125" style="29" customWidth="1"/>
    <col min="74" max="74" width="21.42578125" style="29" bestFit="1" customWidth="1"/>
    <col min="75" max="76" width="21.42578125" style="29" customWidth="1"/>
    <col min="77" max="77" width="31.7109375" style="29" bestFit="1" customWidth="1"/>
    <col min="78" max="79" width="31.7109375" style="29" customWidth="1"/>
    <col min="80" max="80" width="22.28515625" style="29" bestFit="1" customWidth="1"/>
    <col min="81" max="81" width="17.42578125" style="29" bestFit="1" customWidth="1"/>
    <col min="82" max="82" width="22.42578125" style="29" bestFit="1" customWidth="1"/>
    <col min="83" max="83" width="8.7109375" style="29"/>
    <col min="84" max="84" width="31.42578125" style="29" bestFit="1" customWidth="1"/>
    <col min="85" max="85" width="17.7109375" style="29" bestFit="1" customWidth="1"/>
    <col min="86" max="86" width="15.42578125" style="29" bestFit="1" customWidth="1"/>
    <col min="87" max="87" width="8.42578125" style="29" customWidth="1"/>
    <col min="88" max="16384" width="8.7109375" style="29"/>
  </cols>
  <sheetData>
    <row r="1" spans="1:7" ht="23.25">
      <c r="A1" s="587" t="s">
        <v>958</v>
      </c>
    </row>
    <row r="2" spans="1:7">
      <c r="E2" s="27" t="s">
        <v>608</v>
      </c>
    </row>
    <row r="3" spans="1:7">
      <c r="A3" s="72" t="s">
        <v>870</v>
      </c>
      <c r="B3" s="73" t="s">
        <v>871</v>
      </c>
      <c r="C3" s="73" t="s">
        <v>107</v>
      </c>
      <c r="D3" s="74" t="s">
        <v>959</v>
      </c>
      <c r="E3" s="23" t="s">
        <v>888</v>
      </c>
      <c r="F3" s="23" t="s">
        <v>107</v>
      </c>
    </row>
    <row r="4" spans="1:7">
      <c r="A4" s="9" t="s">
        <v>44</v>
      </c>
      <c r="B4" s="75" t="s">
        <v>122</v>
      </c>
      <c r="C4" s="75" t="s">
        <v>203</v>
      </c>
      <c r="D4" s="588">
        <v>0.23512608085018297</v>
      </c>
      <c r="E4" s="14" t="s">
        <v>903</v>
      </c>
      <c r="F4" s="29" t="s">
        <v>960</v>
      </c>
    </row>
    <row r="5" spans="1:7">
      <c r="A5" s="13"/>
      <c r="B5" s="14"/>
      <c r="C5" s="29" t="s">
        <v>961</v>
      </c>
      <c r="D5" s="112">
        <v>0.12658505282894914</v>
      </c>
      <c r="E5" s="14" t="s">
        <v>903</v>
      </c>
      <c r="F5" s="29" t="s">
        <v>960</v>
      </c>
    </row>
    <row r="6" spans="1:7">
      <c r="A6" s="13"/>
      <c r="B6" s="14"/>
      <c r="C6" s="29" t="s">
        <v>962</v>
      </c>
      <c r="D6" s="112">
        <v>1.8248091789190072E-2</v>
      </c>
      <c r="E6" s="14" t="s">
        <v>903</v>
      </c>
      <c r="F6" s="29" t="s">
        <v>960</v>
      </c>
    </row>
    <row r="7" spans="1:7">
      <c r="A7" s="13"/>
      <c r="B7" s="14"/>
      <c r="C7" s="29" t="s">
        <v>963</v>
      </c>
      <c r="D7" s="112">
        <v>0.10251274167564287</v>
      </c>
      <c r="E7" s="14" t="s">
        <v>903</v>
      </c>
      <c r="F7" s="29" t="s">
        <v>960</v>
      </c>
    </row>
    <row r="8" spans="1:7">
      <c r="A8" s="13"/>
      <c r="B8" s="14"/>
      <c r="C8" s="29" t="s">
        <v>964</v>
      </c>
      <c r="D8" s="112">
        <v>1.717416608313841E-2</v>
      </c>
      <c r="E8" s="14" t="s">
        <v>903</v>
      </c>
      <c r="F8" s="29" t="s">
        <v>960</v>
      </c>
    </row>
    <row r="9" spans="1:7">
      <c r="A9" s="13"/>
      <c r="B9" s="14"/>
      <c r="C9" s="29" t="s">
        <v>965</v>
      </c>
      <c r="D9" s="112">
        <v>3.2821329020673647E-2</v>
      </c>
      <c r="E9" s="14" t="s">
        <v>903</v>
      </c>
      <c r="F9" s="29" t="s">
        <v>960</v>
      </c>
    </row>
    <row r="10" spans="1:7">
      <c r="A10" s="13"/>
      <c r="B10" s="14"/>
      <c r="C10" s="29" t="s">
        <v>966</v>
      </c>
      <c r="D10" s="112">
        <v>1.1527781552222855E-2</v>
      </c>
      <c r="E10" s="14" t="s">
        <v>903</v>
      </c>
      <c r="F10" s="29" t="s">
        <v>960</v>
      </c>
    </row>
    <row r="11" spans="1:7">
      <c r="A11" s="14"/>
      <c r="B11" s="14" t="s">
        <v>201</v>
      </c>
      <c r="C11" s="29" t="s">
        <v>203</v>
      </c>
      <c r="D11" s="32">
        <v>0.11974343487198442</v>
      </c>
      <c r="E11" s="14" t="s">
        <v>903</v>
      </c>
      <c r="F11" s="29" t="s">
        <v>967</v>
      </c>
      <c r="G11" s="27"/>
    </row>
    <row r="12" spans="1:7">
      <c r="A12" s="14"/>
      <c r="B12" s="14" t="s">
        <v>204</v>
      </c>
      <c r="C12" s="29" t="s">
        <v>968</v>
      </c>
      <c r="D12" s="32">
        <v>0.13907935910323102</v>
      </c>
      <c r="E12" s="14" t="s">
        <v>903</v>
      </c>
      <c r="F12" s="29" t="s">
        <v>969</v>
      </c>
      <c r="G12" s="589"/>
    </row>
    <row r="13" spans="1:7" ht="25.5">
      <c r="A13" s="14"/>
      <c r="B13" s="14" t="s">
        <v>125</v>
      </c>
      <c r="C13" s="29" t="s">
        <v>970</v>
      </c>
      <c r="D13" s="32">
        <v>0.15531116733070377</v>
      </c>
      <c r="E13" s="14" t="s">
        <v>971</v>
      </c>
      <c r="F13" s="16" t="s">
        <v>972</v>
      </c>
    </row>
    <row r="14" spans="1:7" ht="25.5">
      <c r="A14" s="14"/>
      <c r="B14" s="29" t="s">
        <v>134</v>
      </c>
      <c r="C14" s="29" t="s">
        <v>973</v>
      </c>
      <c r="D14" s="32">
        <v>4.1870794894080854E-2</v>
      </c>
      <c r="E14" s="14" t="s">
        <v>971</v>
      </c>
      <c r="F14" s="16" t="s">
        <v>972</v>
      </c>
    </row>
    <row r="15" spans="1:7">
      <c r="A15" s="9" t="s">
        <v>23</v>
      </c>
      <c r="B15" s="10" t="s">
        <v>122</v>
      </c>
      <c r="C15" s="75" t="s">
        <v>198</v>
      </c>
      <c r="D15" s="588">
        <v>0.69686847599164914</v>
      </c>
      <c r="E15" s="14" t="s">
        <v>903</v>
      </c>
      <c r="F15" s="16" t="s">
        <v>974</v>
      </c>
    </row>
    <row r="16" spans="1:7">
      <c r="A16" s="13"/>
      <c r="B16" s="14" t="s">
        <v>176</v>
      </c>
      <c r="C16" s="29" t="s">
        <v>198</v>
      </c>
      <c r="D16" s="112">
        <v>9.6615662056578289E-2</v>
      </c>
      <c r="E16" s="14" t="s">
        <v>903</v>
      </c>
      <c r="F16" s="16" t="s">
        <v>975</v>
      </c>
    </row>
    <row r="17" spans="1:6">
      <c r="A17" s="13"/>
      <c r="B17" s="14" t="s">
        <v>199</v>
      </c>
      <c r="C17" s="29" t="s">
        <v>198</v>
      </c>
      <c r="D17" s="112">
        <v>0.12471332462161271</v>
      </c>
      <c r="E17" s="14" t="s">
        <v>903</v>
      </c>
      <c r="F17" s="16" t="s">
        <v>976</v>
      </c>
    </row>
    <row r="18" spans="1:6">
      <c r="A18" s="13"/>
      <c r="B18" s="14" t="s">
        <v>125</v>
      </c>
      <c r="C18" s="29" t="s">
        <v>198</v>
      </c>
      <c r="D18" s="112">
        <v>8.1802537330159963E-2</v>
      </c>
      <c r="E18" s="14" t="s">
        <v>903</v>
      </c>
      <c r="F18" s="16" t="s">
        <v>977</v>
      </c>
    </row>
    <row r="19" spans="1:6">
      <c r="A19" s="9" t="s">
        <v>30</v>
      </c>
      <c r="B19" s="10" t="s">
        <v>122</v>
      </c>
      <c r="C19" s="75" t="s">
        <v>198</v>
      </c>
      <c r="D19" s="590">
        <v>0.70601336302895323</v>
      </c>
      <c r="E19" s="14" t="s">
        <v>903</v>
      </c>
      <c r="F19" s="16" t="s">
        <v>974</v>
      </c>
    </row>
    <row r="20" spans="1:6">
      <c r="A20" s="13"/>
      <c r="B20" s="14" t="s">
        <v>176</v>
      </c>
      <c r="C20" s="29" t="s">
        <v>198</v>
      </c>
      <c r="D20" s="32">
        <v>0.19213092759423567</v>
      </c>
      <c r="E20" s="14" t="s">
        <v>903</v>
      </c>
      <c r="F20" s="16" t="s">
        <v>975</v>
      </c>
    </row>
    <row r="21" spans="1:6">
      <c r="A21" s="13"/>
      <c r="B21" s="14" t="s">
        <v>125</v>
      </c>
      <c r="C21" s="29" t="s">
        <v>198</v>
      </c>
      <c r="D21" s="112">
        <v>0.1018557093768111</v>
      </c>
      <c r="E21" s="14" t="s">
        <v>903</v>
      </c>
      <c r="F21" s="16" t="s">
        <v>977</v>
      </c>
    </row>
    <row r="22" spans="1:6">
      <c r="A22" s="9" t="s">
        <v>37</v>
      </c>
      <c r="B22" s="10" t="s">
        <v>122</v>
      </c>
      <c r="C22" s="75" t="s">
        <v>198</v>
      </c>
      <c r="D22" s="588">
        <v>0.93860561914672225</v>
      </c>
      <c r="E22" s="14" t="s">
        <v>903</v>
      </c>
      <c r="F22" s="16" t="s">
        <v>974</v>
      </c>
    </row>
    <row r="23" spans="1:6">
      <c r="A23" s="21"/>
      <c r="B23" s="22" t="s">
        <v>125</v>
      </c>
      <c r="C23" s="34" t="s">
        <v>198</v>
      </c>
      <c r="D23" s="591">
        <v>6.1394380853277752E-2</v>
      </c>
      <c r="E23" s="14" t="s">
        <v>903</v>
      </c>
      <c r="F23" s="16" t="s">
        <v>977</v>
      </c>
    </row>
    <row r="24" spans="1:6">
      <c r="A24" s="44" t="s">
        <v>978</v>
      </c>
      <c r="B24" s="14"/>
      <c r="D24" s="15"/>
      <c r="E24" s="14"/>
      <c r="F24" s="16"/>
    </row>
    <row r="25" spans="1:6">
      <c r="A25" s="44" t="s">
        <v>979</v>
      </c>
      <c r="B25" s="14"/>
      <c r="D25" s="31"/>
      <c r="E25" s="30"/>
    </row>
    <row r="26" spans="1:6">
      <c r="A26" s="44" t="s">
        <v>980</v>
      </c>
      <c r="B26" s="14"/>
      <c r="D26" s="31"/>
      <c r="E26" s="30"/>
    </row>
    <row r="27" spans="1:6">
      <c r="A27" s="14"/>
      <c r="B27" s="14"/>
      <c r="D27" s="31"/>
      <c r="E27" s="30"/>
    </row>
    <row r="28" spans="1:6">
      <c r="A28" s="27" t="s">
        <v>981</v>
      </c>
      <c r="B28" s="14"/>
      <c r="D28" s="31"/>
      <c r="E28" s="30"/>
    </row>
    <row r="29" spans="1:6">
      <c r="A29" s="60" t="s">
        <v>982</v>
      </c>
      <c r="B29" s="592">
        <v>0.69499999999999995</v>
      </c>
      <c r="C29" s="23" t="s">
        <v>608</v>
      </c>
      <c r="D29" s="31"/>
      <c r="E29" s="30"/>
    </row>
    <row r="30" spans="1:6">
      <c r="A30" s="13" t="s">
        <v>983</v>
      </c>
      <c r="B30" s="112">
        <v>0.59</v>
      </c>
      <c r="C30" s="29" t="s">
        <v>984</v>
      </c>
      <c r="D30" s="31"/>
      <c r="E30" s="30"/>
    </row>
    <row r="31" spans="1:6">
      <c r="A31" s="21" t="s">
        <v>985</v>
      </c>
      <c r="B31" s="591">
        <v>0.77</v>
      </c>
      <c r="D31" s="31"/>
      <c r="E31" s="30"/>
    </row>
    <row r="32" spans="1:6">
      <c r="A32" s="14"/>
      <c r="B32" s="14"/>
      <c r="D32" s="31"/>
      <c r="E32" s="30"/>
    </row>
    <row r="33" spans="1:24">
      <c r="A33" s="576" t="s">
        <v>986</v>
      </c>
      <c r="B33" s="171" t="s">
        <v>987</v>
      </c>
      <c r="C33" s="171" t="s">
        <v>988</v>
      </c>
      <c r="D33" s="171" t="s">
        <v>989</v>
      </c>
      <c r="E33" s="171" t="s">
        <v>930</v>
      </c>
      <c r="F33" s="171" t="s">
        <v>931</v>
      </c>
      <c r="G33" s="171" t="s">
        <v>932</v>
      </c>
      <c r="H33" s="171" t="s">
        <v>933</v>
      </c>
      <c r="I33" s="171" t="s">
        <v>934</v>
      </c>
      <c r="J33" s="171" t="s">
        <v>935</v>
      </c>
      <c r="K33" s="623"/>
      <c r="L33" s="623"/>
      <c r="M33" s="623"/>
      <c r="N33" s="623"/>
      <c r="O33" s="623"/>
      <c r="P33" s="171" t="s">
        <v>990</v>
      </c>
      <c r="Q33" s="623"/>
      <c r="R33" s="623"/>
      <c r="S33" s="623"/>
      <c r="T33" s="623"/>
      <c r="U33" s="623"/>
      <c r="V33" s="623"/>
      <c r="W33" s="262" t="s">
        <v>937</v>
      </c>
    </row>
    <row r="34" spans="1:24">
      <c r="B34" s="23" t="s">
        <v>991</v>
      </c>
      <c r="C34" s="23" t="s">
        <v>991</v>
      </c>
      <c r="D34" s="23" t="s">
        <v>991</v>
      </c>
      <c r="E34" s="23" t="s">
        <v>991</v>
      </c>
      <c r="F34" s="23" t="s">
        <v>991</v>
      </c>
      <c r="G34" s="23" t="s">
        <v>991</v>
      </c>
      <c r="H34" s="23" t="s">
        <v>991</v>
      </c>
      <c r="I34" s="23" t="s">
        <v>991</v>
      </c>
      <c r="J34" s="23" t="s">
        <v>122</v>
      </c>
      <c r="K34" s="23" t="s">
        <v>176</v>
      </c>
      <c r="L34" s="23" t="s">
        <v>199</v>
      </c>
      <c r="M34" s="23" t="s">
        <v>201</v>
      </c>
      <c r="N34" s="23" t="s">
        <v>124</v>
      </c>
      <c r="O34" s="23" t="s">
        <v>992</v>
      </c>
      <c r="P34" s="23" t="s">
        <v>122</v>
      </c>
      <c r="Q34" s="23" t="s">
        <v>176</v>
      </c>
      <c r="R34" s="23" t="s">
        <v>201</v>
      </c>
      <c r="S34" s="23" t="s">
        <v>199</v>
      </c>
      <c r="T34" s="23" t="s">
        <v>124</v>
      </c>
      <c r="U34" s="23" t="s">
        <v>992</v>
      </c>
      <c r="V34" s="23" t="s">
        <v>993</v>
      </c>
      <c r="W34" s="626" t="s">
        <v>991</v>
      </c>
      <c r="X34" s="23" t="s">
        <v>608</v>
      </c>
    </row>
    <row r="35" spans="1:24" ht="15">
      <c r="A35" s="28" t="s">
        <v>994</v>
      </c>
      <c r="B35" s="50">
        <v>0.2338050790919704</v>
      </c>
      <c r="C35" s="50">
        <v>2.917195265343879E-5</v>
      </c>
      <c r="D35" s="50">
        <v>1.1055771717820345E-3</v>
      </c>
      <c r="E35" s="31">
        <v>1.9556679419099579</v>
      </c>
      <c r="G35" s="31">
        <v>2.3179638928771399E-2</v>
      </c>
      <c r="H35" s="31">
        <v>2.1291190748807232E-3</v>
      </c>
      <c r="I35" s="31">
        <v>2.1180668880499379E-5</v>
      </c>
      <c r="J35" s="265">
        <v>1.3834189809839826E-11</v>
      </c>
      <c r="K35" s="265">
        <v>7.6207118432527099E-11</v>
      </c>
      <c r="L35" s="265">
        <v>5.6559716593536638E-11</v>
      </c>
      <c r="M35" s="265">
        <v>6.0189446531529722E-11</v>
      </c>
      <c r="N35" s="265">
        <v>7.6808030649995505E-11</v>
      </c>
      <c r="O35" s="265">
        <v>6.6683873621766078E-11</v>
      </c>
      <c r="P35" s="31">
        <v>1.2082644354749981E-4</v>
      </c>
      <c r="Q35" s="31">
        <v>0</v>
      </c>
      <c r="R35" s="31">
        <v>0</v>
      </c>
      <c r="S35" s="31">
        <v>0</v>
      </c>
      <c r="T35" s="31">
        <v>0</v>
      </c>
      <c r="U35" s="31">
        <v>0</v>
      </c>
      <c r="V35" s="31">
        <v>0</v>
      </c>
      <c r="W35" s="32">
        <v>1.3981497689080323E-3</v>
      </c>
      <c r="X35" s="44" t="s">
        <v>995</v>
      </c>
    </row>
    <row r="36" spans="1:24" ht="15">
      <c r="A36" s="597" t="s">
        <v>996</v>
      </c>
      <c r="B36" s="50">
        <v>0.14871823200000001</v>
      </c>
      <c r="C36" s="50">
        <v>7.446445786666667E-5</v>
      </c>
      <c r="D36" s="50">
        <v>6.7100148098434009E-4</v>
      </c>
      <c r="E36" s="31">
        <v>1.1983044853899125</v>
      </c>
      <c r="G36" s="31">
        <v>1.7382300134975645E-2</v>
      </c>
      <c r="H36" s="31">
        <v>2.3781458733999161E-3</v>
      </c>
      <c r="I36" s="31">
        <v>0</v>
      </c>
      <c r="J36" s="265">
        <v>8.4766801897240216E-12</v>
      </c>
      <c r="K36" s="265">
        <v>4.6694702039832284E-11</v>
      </c>
      <c r="L36" s="265">
        <v>3.4656068463353542E-11</v>
      </c>
      <c r="M36" s="265">
        <v>3.6880127861291675E-11</v>
      </c>
      <c r="N36" s="265">
        <v>4.7062901461670093E-11</v>
      </c>
      <c r="O36" s="265">
        <v>4.0859484962511821E-11</v>
      </c>
      <c r="P36" s="31">
        <v>9.720501733203052E-5</v>
      </c>
      <c r="Q36" s="31">
        <v>1.6086408583092845E-4</v>
      </c>
      <c r="R36" s="31">
        <v>2.6574147729639338E-4</v>
      </c>
      <c r="S36" s="31">
        <v>1.2024030016632364E-4</v>
      </c>
      <c r="T36" s="31">
        <v>1.9747297326005111E-4</v>
      </c>
      <c r="U36" s="31">
        <v>1.5885663671318738E-4</v>
      </c>
      <c r="V36" s="31">
        <v>2.6574147729639338E-4</v>
      </c>
      <c r="W36" s="32">
        <v>4.2428513732386034E-4</v>
      </c>
      <c r="X36" s="598" t="s">
        <v>674</v>
      </c>
    </row>
    <row r="37" spans="1:24" ht="15">
      <c r="A37" s="28" t="s">
        <v>997</v>
      </c>
      <c r="B37" s="50">
        <v>0.1730634265270819</v>
      </c>
      <c r="C37" s="50">
        <v>1.4880759066793784E-5</v>
      </c>
      <c r="D37" s="50">
        <v>4.3294022950517196E-4</v>
      </c>
      <c r="E37" s="31">
        <v>0.76526136857346172</v>
      </c>
      <c r="G37" s="31">
        <v>9.0702934938670689E-3</v>
      </c>
      <c r="H37" s="31">
        <v>8.3313355104028296E-4</v>
      </c>
      <c r="I37" s="31">
        <v>8.288087822804104E-6</v>
      </c>
      <c r="J37" s="265">
        <v>5.4133786212416719E-12</v>
      </c>
      <c r="K37" s="265">
        <v>2.9820176777945386E-11</v>
      </c>
      <c r="L37" s="265">
        <v>2.2132063014862161E-11</v>
      </c>
      <c r="M37" s="265">
        <v>2.3552392121033371E-11</v>
      </c>
      <c r="N37" s="265">
        <v>3.0055316341302593E-11</v>
      </c>
      <c r="O37" s="265">
        <v>2.6093689678082377E-11</v>
      </c>
      <c r="P37" s="31">
        <v>4.7279912692499918E-5</v>
      </c>
      <c r="Q37" s="31">
        <v>0</v>
      </c>
      <c r="R37" s="31">
        <v>0</v>
      </c>
      <c r="S37" s="31">
        <v>0</v>
      </c>
      <c r="T37" s="31">
        <v>0</v>
      </c>
      <c r="U37" s="31">
        <v>0</v>
      </c>
      <c r="V37" s="31">
        <v>0</v>
      </c>
      <c r="W37" s="32">
        <v>5.4710208348575178E-4</v>
      </c>
      <c r="X37" s="44" t="s">
        <v>995</v>
      </c>
    </row>
    <row r="38" spans="1:24" ht="15">
      <c r="A38" s="28" t="s">
        <v>998</v>
      </c>
      <c r="B38" s="50">
        <v>0.35199999999999998</v>
      </c>
      <c r="C38" s="50">
        <v>3.0282608695652176E-3</v>
      </c>
      <c r="D38" s="50">
        <v>8.0270270270270275E-4</v>
      </c>
      <c r="E38" s="31">
        <v>0</v>
      </c>
      <c r="G38" s="31">
        <v>0</v>
      </c>
      <c r="H38" s="31">
        <v>0</v>
      </c>
      <c r="I38" s="31">
        <v>0</v>
      </c>
      <c r="J38" s="265">
        <v>0</v>
      </c>
      <c r="K38" s="265">
        <v>0</v>
      </c>
      <c r="L38" s="265">
        <v>0</v>
      </c>
      <c r="M38" s="265">
        <v>0</v>
      </c>
      <c r="N38" s="265">
        <v>0</v>
      </c>
      <c r="O38" s="265">
        <v>0</v>
      </c>
      <c r="P38" s="31">
        <v>0</v>
      </c>
      <c r="Q38" s="31">
        <v>0</v>
      </c>
      <c r="R38" s="31">
        <v>0</v>
      </c>
      <c r="S38" s="31">
        <v>0</v>
      </c>
      <c r="T38" s="31">
        <v>0</v>
      </c>
      <c r="U38" s="31">
        <v>0</v>
      </c>
      <c r="V38" s="31">
        <v>0</v>
      </c>
      <c r="W38" s="32">
        <v>0</v>
      </c>
      <c r="X38" s="598" t="s">
        <v>674</v>
      </c>
    </row>
    <row r="39" spans="1:24" ht="15">
      <c r="A39" s="28" t="s">
        <v>999</v>
      </c>
      <c r="B39" s="50">
        <v>0.44869999999999999</v>
      </c>
      <c r="C39" s="50">
        <v>9.6234782608695668E-3</v>
      </c>
      <c r="D39" s="50">
        <v>6.8003378378378378E-4</v>
      </c>
      <c r="E39" s="31">
        <v>0.69917054502257636</v>
      </c>
      <c r="G39" s="31">
        <v>6.6773932997494694E-3</v>
      </c>
      <c r="H39" s="31">
        <v>1.9775357080027279E-3</v>
      </c>
      <c r="I39" s="31">
        <v>1.6325503911544949E-8</v>
      </c>
      <c r="J39" s="265">
        <v>1.2240855920579657E-9</v>
      </c>
      <c r="K39" s="265">
        <v>1.2240855920579657E-9</v>
      </c>
      <c r="L39" s="265">
        <v>1.2240855920579657E-9</v>
      </c>
      <c r="M39" s="265">
        <v>1.2240855920579657E-9</v>
      </c>
      <c r="N39" s="265">
        <v>1.2240855920579657E-9</v>
      </c>
      <c r="O39" s="265">
        <v>1.2240855920579657E-9</v>
      </c>
      <c r="P39" s="31">
        <v>1.7483213418478656E-4</v>
      </c>
      <c r="Q39" s="31">
        <v>1.7483213418478656E-4</v>
      </c>
      <c r="R39" s="31">
        <v>1.7483213418478656E-4</v>
      </c>
      <c r="S39" s="31">
        <v>1.7483213418478656E-4</v>
      </c>
      <c r="T39" s="31">
        <v>1.7483213418478656E-4</v>
      </c>
      <c r="U39" s="31">
        <v>1.7483213418478656E-4</v>
      </c>
      <c r="V39" s="31">
        <v>1.7483213418478656E-4</v>
      </c>
      <c r="W39" s="32">
        <v>1.6298871329744173E-4</v>
      </c>
      <c r="X39" s="598" t="s">
        <v>674</v>
      </c>
    </row>
    <row r="40" spans="1:24" ht="15">
      <c r="A40" s="28" t="s">
        <v>1000</v>
      </c>
      <c r="B40" s="50">
        <v>0.35638595208112128</v>
      </c>
      <c r="C40" s="50">
        <v>5.0912565200720437E-5</v>
      </c>
      <c r="D40" s="50">
        <v>2.1642242395263898E-3</v>
      </c>
      <c r="E40" s="31">
        <v>3.6028621822138502</v>
      </c>
      <c r="G40" s="31">
        <v>4.6748295917499051E-2</v>
      </c>
      <c r="H40" s="31">
        <v>4.772314896829697E-3</v>
      </c>
      <c r="I40" s="31">
        <v>0</v>
      </c>
      <c r="J40" s="265">
        <v>2.5486269023136124E-11</v>
      </c>
      <c r="K40" s="265">
        <v>1.4039384658926178E-10</v>
      </c>
      <c r="L40" s="265">
        <v>1.0419808986211246E-10</v>
      </c>
      <c r="M40" s="265">
        <v>1.1088502093307585E-10</v>
      </c>
      <c r="N40" s="265">
        <v>1.4150088723596421E-10</v>
      </c>
      <c r="O40" s="265">
        <v>1.2284948854903835E-10</v>
      </c>
      <c r="P40" s="31">
        <v>2.619591529506602E-4</v>
      </c>
      <c r="Q40" s="31">
        <v>7.5985893657902221E-5</v>
      </c>
      <c r="R40" s="31">
        <v>5.8391266296085826E-6</v>
      </c>
      <c r="S40" s="31">
        <v>4.2862008841355604E-4</v>
      </c>
      <c r="T40" s="31">
        <v>3.3589412767076452E-4</v>
      </c>
      <c r="U40" s="31">
        <v>3.8225710804216028E-4</v>
      </c>
      <c r="V40" s="31">
        <v>4.1961467477433012E-4</v>
      </c>
      <c r="W40" s="32">
        <v>2.4833089615307951E-3</v>
      </c>
      <c r="X40" s="44" t="s">
        <v>995</v>
      </c>
    </row>
    <row r="41" spans="1:24" ht="15">
      <c r="A41" s="28" t="s">
        <v>1001</v>
      </c>
      <c r="B41" s="50">
        <v>0.19920904697118996</v>
      </c>
      <c r="C41" s="50">
        <v>5.1239629093669534E-5</v>
      </c>
      <c r="D41" s="50">
        <v>1.0115952333789821E-3</v>
      </c>
      <c r="E41" s="31">
        <v>1.6813356850331302</v>
      </c>
      <c r="G41" s="31">
        <v>2.1815871428166229E-2</v>
      </c>
      <c r="H41" s="31">
        <v>2.2270802851871918E-3</v>
      </c>
      <c r="I41" s="31">
        <v>0</v>
      </c>
      <c r="J41" s="265">
        <v>1.1893592210796859E-11</v>
      </c>
      <c r="K41" s="265">
        <v>6.5517128408322167E-11</v>
      </c>
      <c r="L41" s="265">
        <v>4.8625775268985818E-11</v>
      </c>
      <c r="M41" s="265">
        <v>5.1746343102102067E-11</v>
      </c>
      <c r="N41" s="265">
        <v>6.6033747376783304E-11</v>
      </c>
      <c r="O41" s="265">
        <v>5.7329761322884558E-11</v>
      </c>
      <c r="P41" s="31">
        <v>1.2224760471030811E-4</v>
      </c>
      <c r="Q41" s="31">
        <v>3.546008370702104E-5</v>
      </c>
      <c r="R41" s="31">
        <v>2.7249257604840054E-6</v>
      </c>
      <c r="S41" s="31">
        <v>2.0002270792632618E-4</v>
      </c>
      <c r="T41" s="31">
        <v>1.5675059291302346E-4</v>
      </c>
      <c r="U41" s="31">
        <v>1.7838665041967482E-4</v>
      </c>
      <c r="V41" s="31">
        <v>1.9582018156135406E-4</v>
      </c>
      <c r="W41" s="32">
        <v>1.1588775153810382E-3</v>
      </c>
      <c r="X41" s="44" t="s">
        <v>995</v>
      </c>
    </row>
    <row r="42" spans="1:24" ht="15">
      <c r="A42" s="28" t="s">
        <v>1002</v>
      </c>
      <c r="B42" s="50">
        <v>0.75600000000000001</v>
      </c>
      <c r="C42" s="50">
        <v>1.3478260869565217E-3</v>
      </c>
      <c r="D42" s="50">
        <v>5.7094594594594588E-5</v>
      </c>
      <c r="E42" s="31">
        <v>0</v>
      </c>
      <c r="G42" s="31">
        <v>0</v>
      </c>
      <c r="H42" s="31">
        <v>0</v>
      </c>
      <c r="I42" s="31">
        <v>0</v>
      </c>
      <c r="J42" s="265">
        <v>0</v>
      </c>
      <c r="K42" s="265">
        <v>0</v>
      </c>
      <c r="L42" s="265">
        <v>0</v>
      </c>
      <c r="M42" s="265">
        <v>0</v>
      </c>
      <c r="N42" s="265">
        <v>0</v>
      </c>
      <c r="O42" s="265">
        <v>0</v>
      </c>
      <c r="P42" s="31">
        <v>0</v>
      </c>
      <c r="Q42" s="31">
        <v>0</v>
      </c>
      <c r="R42" s="31">
        <v>0</v>
      </c>
      <c r="S42" s="31">
        <v>0</v>
      </c>
      <c r="T42" s="31">
        <v>0</v>
      </c>
      <c r="U42" s="31">
        <v>0</v>
      </c>
      <c r="V42" s="31">
        <v>0</v>
      </c>
      <c r="W42" s="32">
        <v>0</v>
      </c>
      <c r="X42" s="598" t="s">
        <v>674</v>
      </c>
    </row>
    <row r="43" spans="1:24" ht="15">
      <c r="A43" s="28" t="s">
        <v>1003</v>
      </c>
      <c r="B43" s="50">
        <v>0.51145695082426001</v>
      </c>
      <c r="C43" s="50">
        <v>1.888576E-4</v>
      </c>
      <c r="D43" s="50">
        <v>3.6457857382550334E-4</v>
      </c>
      <c r="E43" s="31">
        <v>3.2916947144928419</v>
      </c>
      <c r="G43" s="31">
        <v>6.4523947598083151E-2</v>
      </c>
      <c r="H43" s="31">
        <v>1.011426776710587E-2</v>
      </c>
      <c r="I43" s="31">
        <v>6.2369446038920209E-2</v>
      </c>
      <c r="J43" s="265">
        <v>7.7936133129481974E-10</v>
      </c>
      <c r="K43" s="265">
        <v>7.7936133129481974E-10</v>
      </c>
      <c r="L43" s="265">
        <v>7.7936133129481974E-10</v>
      </c>
      <c r="M43" s="265">
        <v>7.7936133129481974E-10</v>
      </c>
      <c r="N43" s="265">
        <v>7.7936133129481974E-10</v>
      </c>
      <c r="O43" s="265">
        <v>7.7936133129481974E-10</v>
      </c>
      <c r="P43" s="31">
        <v>5.7023544135234832E-4</v>
      </c>
      <c r="Q43" s="31">
        <v>5.7023544135234832E-4</v>
      </c>
      <c r="R43" s="31">
        <v>5.7023544135234832E-4</v>
      </c>
      <c r="S43" s="31">
        <v>5.7023544135234832E-4</v>
      </c>
      <c r="T43" s="31">
        <v>5.7023544135234832E-4</v>
      </c>
      <c r="U43" s="31">
        <v>5.7023544135234832E-4</v>
      </c>
      <c r="V43" s="31">
        <v>5.7023544135234832E-4</v>
      </c>
      <c r="W43" s="32">
        <v>9.6656269337992126E-5</v>
      </c>
      <c r="X43" s="598" t="s">
        <v>674</v>
      </c>
    </row>
    <row r="44" spans="1:24" ht="15">
      <c r="A44" s="28" t="s">
        <v>1004</v>
      </c>
      <c r="B44" s="50">
        <v>0.18633333333333335</v>
      </c>
      <c r="C44" s="50">
        <v>5.7200000000000001E-5</v>
      </c>
      <c r="D44" s="50">
        <v>3.7807606263982104E-4</v>
      </c>
      <c r="E44" s="31">
        <v>3.4079539036640161</v>
      </c>
      <c r="G44" s="31">
        <v>2.4649958528599483E-2</v>
      </c>
      <c r="H44" s="31">
        <v>7.1567031976944341E-3</v>
      </c>
      <c r="I44" s="31">
        <v>0</v>
      </c>
      <c r="J44" s="265">
        <v>2.4107508312698664E-11</v>
      </c>
      <c r="K44" s="265">
        <v>1.32798795328964E-10</v>
      </c>
      <c r="L44" s="265">
        <v>9.8561163081103598E-11</v>
      </c>
      <c r="M44" s="265">
        <v>1.0488634336674496E-10</v>
      </c>
      <c r="N44" s="265">
        <v>1.3384594709404374E-10</v>
      </c>
      <c r="O44" s="265">
        <v>1.1620355508757368E-10</v>
      </c>
      <c r="P44" s="31">
        <v>3.4112843521040374E-4</v>
      </c>
      <c r="Q44" s="31">
        <v>2.2468907204852303E-5</v>
      </c>
      <c r="R44" s="31">
        <v>2.2572040869752838E-4</v>
      </c>
      <c r="S44" s="31">
        <v>3.9898559247395548E-5</v>
      </c>
      <c r="T44" s="31">
        <v>2.6911624976542396E-4</v>
      </c>
      <c r="U44" s="31">
        <v>1.5450740450640975E-4</v>
      </c>
      <c r="V44" s="31">
        <v>4.1905759682388184E-4</v>
      </c>
      <c r="W44" s="32">
        <v>4.1089245822623225E-3</v>
      </c>
      <c r="X44" s="598" t="s">
        <v>674</v>
      </c>
    </row>
    <row r="45" spans="1:24" ht="15">
      <c r="A45" s="28" t="s">
        <v>1005</v>
      </c>
      <c r="B45" s="50">
        <v>0.34925070944763487</v>
      </c>
      <c r="C45" s="50">
        <v>1.1358174136458998E-4</v>
      </c>
      <c r="D45" s="50">
        <v>3.9035944428793761E-4</v>
      </c>
      <c r="E45" s="31">
        <v>0.73368917258203559</v>
      </c>
      <c r="G45" s="31">
        <v>7.0189597510348098E-3</v>
      </c>
      <c r="H45" s="31">
        <v>1.173902676131257E-3</v>
      </c>
      <c r="I45" s="31">
        <v>1.5346362118863489E-2</v>
      </c>
      <c r="J45" s="265">
        <v>5.1900402197171845E-12</v>
      </c>
      <c r="K45" s="265">
        <v>2.8589893237712183E-11</v>
      </c>
      <c r="L45" s="265">
        <v>2.1218966052314068E-11</v>
      </c>
      <c r="M45" s="265">
        <v>2.2580696997446577E-11</v>
      </c>
      <c r="N45" s="265">
        <v>2.8815331707188885E-11</v>
      </c>
      <c r="O45" s="265">
        <v>2.5017148879751478E-11</v>
      </c>
      <c r="P45" s="31">
        <v>2.5165538619563823E-4</v>
      </c>
      <c r="Q45" s="31">
        <v>3.118755990826498E-5</v>
      </c>
      <c r="R45" s="31">
        <v>2.3990589030782411E-5</v>
      </c>
      <c r="S45" s="31">
        <v>3.3676099046727004E-5</v>
      </c>
      <c r="T45" s="31">
        <v>3.1981119741074448E-5</v>
      </c>
      <c r="U45" s="31">
        <v>3.282860939390073E-5</v>
      </c>
      <c r="V45" s="31">
        <v>3.7073791476891766E-5</v>
      </c>
      <c r="W45" s="32">
        <v>5.9439522796242341E-4</v>
      </c>
      <c r="X45" s="44" t="s">
        <v>995</v>
      </c>
    </row>
    <row r="46" spans="1:24" ht="15">
      <c r="A46" s="28" t="s">
        <v>1006</v>
      </c>
      <c r="B46" s="50">
        <v>0.36893326879829125</v>
      </c>
      <c r="C46" s="50">
        <v>1.4918041680130087E-3</v>
      </c>
      <c r="D46" s="50">
        <v>7.600431831142968E-4</v>
      </c>
      <c r="E46" s="31">
        <v>1.5757741746202125</v>
      </c>
      <c r="G46" s="31">
        <v>2.0056080001888809E-2</v>
      </c>
      <c r="H46" s="31">
        <v>3.139437564665718E-3</v>
      </c>
      <c r="I46" s="31">
        <v>8.6360125079011571E-3</v>
      </c>
      <c r="J46" s="265">
        <v>2.3061530130448621E-10</v>
      </c>
      <c r="K46" s="265">
        <v>2.6672964041055452E-10</v>
      </c>
      <c r="L46" s="265">
        <v>2.5535366451468485E-10</v>
      </c>
      <c r="M46" s="265">
        <v>2.5745530220813198E-10</v>
      </c>
      <c r="N46" s="265">
        <v>2.6707757256756309E-10</v>
      </c>
      <c r="O46" s="265">
        <v>2.6121561854112397E-10</v>
      </c>
      <c r="P46" s="31">
        <v>1.9659311858851616E-4</v>
      </c>
      <c r="Q46" s="31">
        <v>1.0113000222390837E-4</v>
      </c>
      <c r="R46" s="31">
        <v>1.1148251396172646E-4</v>
      </c>
      <c r="S46" s="31">
        <v>1.6080944779679331E-4</v>
      </c>
      <c r="T46" s="31">
        <v>1.7097885173638014E-4</v>
      </c>
      <c r="U46" s="31">
        <v>1.6589414976658673E-4</v>
      </c>
      <c r="V46" s="31">
        <v>2.0184820224151029E-4</v>
      </c>
      <c r="W46" s="32">
        <v>1.016917039250863E-3</v>
      </c>
      <c r="X46" s="44" t="s">
        <v>1007</v>
      </c>
    </row>
    <row r="47" spans="1:24" ht="15">
      <c r="A47" s="28" t="s">
        <v>1008</v>
      </c>
      <c r="B47" s="50">
        <v>8.1686799312500002E-2</v>
      </c>
      <c r="C47" s="50">
        <v>3.8913171000000006E-5</v>
      </c>
      <c r="D47" s="50">
        <v>2.08610474795302E-4</v>
      </c>
      <c r="E47" s="31">
        <v>0</v>
      </c>
      <c r="F47" s="31">
        <v>7.3866788480253645</v>
      </c>
      <c r="G47" s="31">
        <v>1.8997999159790301E-2</v>
      </c>
      <c r="H47" s="31">
        <v>9.0770504004214524E-4</v>
      </c>
      <c r="I47" s="31">
        <v>0</v>
      </c>
      <c r="J47" s="265">
        <v>5.5354244641578695E-11</v>
      </c>
      <c r="K47" s="265">
        <v>2.8865453695370912E-10</v>
      </c>
      <c r="L47" s="265">
        <v>2.1618316910095464E-10</v>
      </c>
      <c r="M47" s="265">
        <v>2.2921447966978216E-10</v>
      </c>
      <c r="N47" s="265">
        <v>2.9011571920041655E-10</v>
      </c>
      <c r="O47" s="265">
        <v>2.5314944415068559E-10</v>
      </c>
      <c r="P47" s="31">
        <v>2.6183799231984962E-5</v>
      </c>
      <c r="Q47" s="31">
        <v>2.6183799231984962E-5</v>
      </c>
      <c r="R47" s="31">
        <v>2.6183799231984962E-5</v>
      </c>
      <c r="S47" s="31">
        <v>2.6183799231984962E-5</v>
      </c>
      <c r="T47" s="31">
        <v>2.6183799231984962E-5</v>
      </c>
      <c r="U47" s="31">
        <v>2.6183799231984962E-5</v>
      </c>
      <c r="V47" s="31">
        <v>2.6183799231984962E-5</v>
      </c>
      <c r="W47" s="32">
        <v>7.1386629974122616E-4</v>
      </c>
      <c r="X47" s="598" t="s">
        <v>674</v>
      </c>
    </row>
    <row r="48" spans="1:24" ht="15">
      <c r="A48" s="33" t="s">
        <v>1009</v>
      </c>
      <c r="B48" s="602">
        <v>8.5925000000000001E-2</v>
      </c>
      <c r="C48" s="602">
        <v>4.8608695652173906E-5</v>
      </c>
      <c r="D48" s="602">
        <v>3.8059645270270272E-4</v>
      </c>
      <c r="E48" s="35">
        <v>2.1141830698519994</v>
      </c>
      <c r="F48" s="35"/>
      <c r="G48" s="35">
        <v>5.419355935720626E-2</v>
      </c>
      <c r="H48" s="35">
        <v>4.9330938296546667E-4</v>
      </c>
      <c r="I48" s="35">
        <v>0</v>
      </c>
      <c r="J48" s="1352">
        <v>1.4955509191666774E-11</v>
      </c>
      <c r="K48" s="1352">
        <v>8.2384026520834119E-11</v>
      </c>
      <c r="L48" s="1352">
        <v>6.1144119967983763E-11</v>
      </c>
      <c r="M48" s="1352">
        <v>6.5068054813254771E-11</v>
      </c>
      <c r="N48" s="1352">
        <v>8.3033645205792559E-11</v>
      </c>
      <c r="O48" s="1352">
        <v>7.2088882586888154E-11</v>
      </c>
      <c r="P48" s="35">
        <v>5.2854576746299989E-5</v>
      </c>
      <c r="Q48" s="35">
        <v>5.2854576746299989E-5</v>
      </c>
      <c r="R48" s="35">
        <v>5.2854576746299989E-5</v>
      </c>
      <c r="S48" s="35">
        <v>5.2854576746299989E-5</v>
      </c>
      <c r="T48" s="35">
        <v>5.2854576746299989E-5</v>
      </c>
      <c r="U48" s="35">
        <v>5.2854576746299989E-5</v>
      </c>
      <c r="V48" s="35">
        <v>5.2854576746299989E-5</v>
      </c>
      <c r="W48" s="162">
        <v>4.0672752686476956E-3</v>
      </c>
      <c r="X48" s="598" t="s">
        <v>674</v>
      </c>
    </row>
    <row r="49" spans="1:23">
      <c r="A49" s="524" t="s">
        <v>1010</v>
      </c>
      <c r="B49" s="31"/>
      <c r="C49" s="31"/>
      <c r="D49" s="31"/>
      <c r="E49" s="31"/>
      <c r="G49" s="31"/>
      <c r="H49" s="31"/>
      <c r="I49" s="31"/>
      <c r="J49" s="31"/>
      <c r="K49" s="31"/>
      <c r="L49" s="31"/>
      <c r="M49" s="31"/>
      <c r="N49" s="31"/>
      <c r="O49" s="31"/>
      <c r="P49" s="31"/>
      <c r="Q49" s="31"/>
      <c r="R49" s="31"/>
      <c r="S49" s="31"/>
      <c r="T49" s="31"/>
      <c r="U49" s="31"/>
      <c r="V49" s="31"/>
      <c r="W49" s="32"/>
    </row>
    <row r="50" spans="1:23">
      <c r="A50" s="598" t="s">
        <v>1011</v>
      </c>
      <c r="E50" s="600"/>
    </row>
    <row r="51" spans="1:23">
      <c r="B51" s="601"/>
      <c r="C51" s="601"/>
      <c r="D51" s="601"/>
      <c r="E51" s="600"/>
    </row>
    <row r="52" spans="1:23">
      <c r="A52" s="596" t="s">
        <v>1012</v>
      </c>
      <c r="D52" s="601"/>
    </row>
    <row r="53" spans="1:23">
      <c r="A53" s="580"/>
      <c r="B53" s="608" t="s">
        <v>1013</v>
      </c>
      <c r="C53" s="171" t="s">
        <v>1014</v>
      </c>
      <c r="D53" s="1017" t="s">
        <v>1015</v>
      </c>
      <c r="E53" s="23" t="s">
        <v>608</v>
      </c>
    </row>
    <row r="54" spans="1:23">
      <c r="A54" s="1018" t="s">
        <v>122</v>
      </c>
      <c r="B54" s="601">
        <v>0.19026004110092165</v>
      </c>
      <c r="C54" s="601">
        <v>7.5294389039438792E-3</v>
      </c>
      <c r="D54" s="633">
        <v>5.6159200422688038E-3</v>
      </c>
      <c r="E54" s="29" t="s">
        <v>1016</v>
      </c>
    </row>
    <row r="55" spans="1:23">
      <c r="A55" s="1018" t="s">
        <v>176</v>
      </c>
      <c r="B55" s="601">
        <v>0.20888938255902417</v>
      </c>
      <c r="C55" s="601">
        <v>6.5046164490006062E-3</v>
      </c>
      <c r="D55" s="633"/>
    </row>
    <row r="56" spans="1:23">
      <c r="A56" s="1018" t="s">
        <v>199</v>
      </c>
      <c r="B56" s="601">
        <v>0.1828750174282166</v>
      </c>
      <c r="D56" s="633"/>
    </row>
    <row r="57" spans="1:23">
      <c r="A57" s="1019" t="s">
        <v>125</v>
      </c>
      <c r="B57" s="1021">
        <v>0.19400814702938748</v>
      </c>
      <c r="C57" s="1021">
        <v>7.0170276764722431E-3</v>
      </c>
      <c r="D57" s="1020">
        <v>5.6159200422688038E-3</v>
      </c>
    </row>
    <row r="58" spans="1:23">
      <c r="A58" s="29"/>
      <c r="E58" s="600"/>
      <c r="Q58" s="23"/>
      <c r="V58" s="23"/>
      <c r="W58" s="23"/>
    </row>
    <row r="59" spans="1:23">
      <c r="A59" s="596" t="s">
        <v>1017</v>
      </c>
      <c r="E59" s="600"/>
      <c r="Q59" s="23"/>
      <c r="V59" s="23"/>
      <c r="W59" s="23"/>
    </row>
    <row r="60" spans="1:23" ht="15">
      <c r="A60" s="580"/>
      <c r="B60" s="1022" t="s">
        <v>1018</v>
      </c>
      <c r="C60" s="1023" t="s">
        <v>1019</v>
      </c>
      <c r="D60" s="23" t="s">
        <v>608</v>
      </c>
      <c r="E60" s="600"/>
      <c r="F60"/>
      <c r="G60" s="14"/>
      <c r="H60" s="14"/>
      <c r="Q60" s="23"/>
      <c r="V60" s="23"/>
      <c r="W60" s="23"/>
    </row>
    <row r="61" spans="1:23" ht="15">
      <c r="A61" s="28" t="s">
        <v>1020</v>
      </c>
      <c r="B61" s="67">
        <v>15.621999999999998</v>
      </c>
      <c r="C61" s="78">
        <v>33.58</v>
      </c>
      <c r="D61" s="29" t="s">
        <v>1016</v>
      </c>
      <c r="E61" s="600"/>
      <c r="F61" s="55"/>
      <c r="G61" s="67"/>
      <c r="H61" s="67"/>
      <c r="Q61" s="23"/>
      <c r="V61" s="23"/>
      <c r="W61" s="23"/>
    </row>
    <row r="62" spans="1:23" ht="15">
      <c r="A62" s="33" t="s">
        <v>1021</v>
      </c>
      <c r="B62" s="82">
        <v>8.8695000000000004</v>
      </c>
      <c r="C62" s="180">
        <v>16.425000000000001</v>
      </c>
      <c r="E62" s="600"/>
      <c r="F62" s="55"/>
      <c r="G62" s="67"/>
      <c r="H62" s="67"/>
      <c r="Q62" s="23"/>
      <c r="V62" s="23"/>
      <c r="W62" s="23"/>
    </row>
    <row r="63" spans="1:23">
      <c r="A63" s="29"/>
      <c r="E63" s="600"/>
      <c r="Q63" s="23"/>
      <c r="V63" s="23"/>
      <c r="W63" s="23"/>
    </row>
    <row r="64" spans="1:23">
      <c r="A64" s="601"/>
      <c r="B64" s="601"/>
      <c r="C64" s="601"/>
      <c r="D64" s="601"/>
      <c r="E64" s="600"/>
      <c r="Q64" s="23"/>
      <c r="V64" s="23"/>
      <c r="W64" s="23"/>
    </row>
    <row r="65" spans="1:32">
      <c r="A65" s="179" t="s">
        <v>1022</v>
      </c>
    </row>
    <row r="66" spans="1:32">
      <c r="A66" s="580"/>
      <c r="B66" s="171" t="s">
        <v>1023</v>
      </c>
      <c r="C66" s="262" t="s">
        <v>1024</v>
      </c>
      <c r="D66" s="23" t="s">
        <v>608</v>
      </c>
    </row>
    <row r="67" spans="1:32">
      <c r="A67" s="28" t="s">
        <v>1025</v>
      </c>
      <c r="B67" s="31">
        <v>0.64051653311889267</v>
      </c>
      <c r="C67" s="32">
        <v>0.35948346688110727</v>
      </c>
      <c r="D67" s="44" t="s">
        <v>1026</v>
      </c>
    </row>
    <row r="68" spans="1:32">
      <c r="A68" s="28" t="s">
        <v>317</v>
      </c>
      <c r="B68" s="31">
        <v>1.0000000000000002</v>
      </c>
      <c r="C68" s="32">
        <v>0</v>
      </c>
    </row>
    <row r="69" spans="1:32">
      <c r="A69" s="28" t="s">
        <v>367</v>
      </c>
      <c r="B69" s="31">
        <v>1</v>
      </c>
      <c r="C69" s="32">
        <v>0</v>
      </c>
    </row>
    <row r="70" spans="1:32">
      <c r="A70" s="33" t="s">
        <v>320</v>
      </c>
      <c r="B70" s="35">
        <v>0.28347909877529476</v>
      </c>
      <c r="C70" s="162">
        <v>0.71652090122470535</v>
      </c>
      <c r="E70" s="605"/>
    </row>
    <row r="71" spans="1:32">
      <c r="A71" s="29"/>
      <c r="E71" s="99"/>
      <c r="F71" s="606"/>
    </row>
    <row r="72" spans="1:32">
      <c r="A72" s="607" t="s">
        <v>1027</v>
      </c>
      <c r="E72" s="99"/>
      <c r="F72" s="603"/>
      <c r="G72" s="607" t="s">
        <v>1028</v>
      </c>
      <c r="H72" s="547"/>
      <c r="W72" s="23"/>
      <c r="X72" s="23"/>
      <c r="Y72" s="23"/>
      <c r="AB72" s="23"/>
      <c r="AC72" s="23"/>
      <c r="AD72" s="23"/>
      <c r="AE72" s="23"/>
      <c r="AF72" s="23"/>
    </row>
    <row r="73" spans="1:32">
      <c r="A73" s="580"/>
      <c r="B73" s="608" t="s">
        <v>1013</v>
      </c>
      <c r="C73" s="171" t="s">
        <v>1014</v>
      </c>
      <c r="D73" s="171" t="s">
        <v>1015</v>
      </c>
      <c r="E73" s="171" t="s">
        <v>1018</v>
      </c>
      <c r="F73" s="262" t="s">
        <v>1019</v>
      </c>
      <c r="G73" s="609" t="s">
        <v>1013</v>
      </c>
      <c r="H73" s="23" t="s">
        <v>1014</v>
      </c>
      <c r="I73" s="23" t="s">
        <v>1015</v>
      </c>
      <c r="J73" s="23" t="s">
        <v>1018</v>
      </c>
      <c r="K73" s="23" t="s">
        <v>1019</v>
      </c>
      <c r="L73" s="23"/>
    </row>
    <row r="74" spans="1:32">
      <c r="A74" s="28" t="s">
        <v>994</v>
      </c>
      <c r="B74" s="601">
        <v>0.82</v>
      </c>
      <c r="C74" s="31">
        <v>0.7</v>
      </c>
      <c r="D74" s="603">
        <v>0.63</v>
      </c>
      <c r="E74" s="99"/>
      <c r="F74" s="100"/>
      <c r="G74" s="44" t="s">
        <v>1029</v>
      </c>
      <c r="H74" s="44" t="s">
        <v>1030</v>
      </c>
      <c r="I74" s="44" t="s">
        <v>1031</v>
      </c>
      <c r="J74" s="44" t="s">
        <v>1032</v>
      </c>
      <c r="K74" s="44" t="s">
        <v>1032</v>
      </c>
      <c r="L74" s="44"/>
      <c r="W74" s="14"/>
      <c r="X74" s="14"/>
      <c r="Y74" s="14"/>
      <c r="AB74" s="14"/>
      <c r="AC74" s="14"/>
      <c r="AD74" s="14"/>
      <c r="AE74" s="14"/>
      <c r="AF74" s="14"/>
    </row>
    <row r="75" spans="1:32">
      <c r="A75" s="597" t="s">
        <v>996</v>
      </c>
      <c r="B75" s="601">
        <v>0</v>
      </c>
      <c r="C75" s="31">
        <v>0.05</v>
      </c>
      <c r="D75" s="603">
        <v>0</v>
      </c>
      <c r="E75" s="99"/>
      <c r="F75" s="100"/>
      <c r="G75" s="114" t="s">
        <v>1033</v>
      </c>
      <c r="H75" s="578" t="s">
        <v>1033</v>
      </c>
      <c r="I75" s="578" t="s">
        <v>1033</v>
      </c>
      <c r="J75" s="578" t="s">
        <v>1033</v>
      </c>
      <c r="K75" s="578" t="s">
        <v>1033</v>
      </c>
      <c r="L75" s="578"/>
    </row>
    <row r="76" spans="1:32">
      <c r="A76" s="597" t="s">
        <v>1034</v>
      </c>
      <c r="B76" s="601">
        <v>0.18</v>
      </c>
      <c r="C76" s="31">
        <v>0.25</v>
      </c>
      <c r="D76" s="603">
        <v>0.37</v>
      </c>
      <c r="E76" s="99"/>
      <c r="F76" s="100"/>
      <c r="G76" s="114"/>
    </row>
    <row r="77" spans="1:32">
      <c r="A77" s="610" t="s">
        <v>997</v>
      </c>
      <c r="B77" s="611">
        <v>0.6405642656280206</v>
      </c>
      <c r="C77" s="612">
        <v>8.8074896464604341E-2</v>
      </c>
      <c r="D77" s="612">
        <v>5.4319647753535871E-2</v>
      </c>
      <c r="E77" s="101">
        <v>0.37969256300634702</v>
      </c>
      <c r="F77" s="102">
        <v>0.3713879752341146</v>
      </c>
      <c r="G77" s="99"/>
    </row>
    <row r="78" spans="1:32">
      <c r="A78" s="610" t="s">
        <v>998</v>
      </c>
      <c r="B78" s="611">
        <v>8.3420605373427451E-3</v>
      </c>
      <c r="C78" s="611">
        <v>8.5442606399345339E-2</v>
      </c>
      <c r="D78" s="612">
        <v>4.5611611182579094E-2</v>
      </c>
      <c r="E78" s="101">
        <v>4.301375064727217E-2</v>
      </c>
      <c r="F78" s="102">
        <v>4.2072959326960695E-2</v>
      </c>
      <c r="G78" s="99"/>
    </row>
    <row r="79" spans="1:32">
      <c r="A79" s="610" t="s">
        <v>999</v>
      </c>
      <c r="B79" s="611">
        <v>0</v>
      </c>
      <c r="C79" s="611">
        <v>0</v>
      </c>
      <c r="D79" s="612">
        <v>0</v>
      </c>
      <c r="E79" s="101">
        <v>5.3775230652985943E-2</v>
      </c>
      <c r="F79" s="102">
        <v>5.2599065601466884E-2</v>
      </c>
      <c r="G79" s="99"/>
    </row>
    <row r="80" spans="1:32">
      <c r="A80" s="610" t="s">
        <v>1000</v>
      </c>
      <c r="B80" s="611">
        <v>0</v>
      </c>
      <c r="C80" s="612">
        <v>2.5440857361444948E-2</v>
      </c>
      <c r="D80" s="612">
        <v>0.12753015210598617</v>
      </c>
      <c r="E80" s="101">
        <v>5.2167269609666765E-3</v>
      </c>
      <c r="F80" s="102">
        <v>5.1026273678956508E-3</v>
      </c>
      <c r="G80" s="99"/>
    </row>
    <row r="81" spans="1:22">
      <c r="A81" s="610" t="s">
        <v>1001</v>
      </c>
      <c r="B81" s="611">
        <v>9.4035905871915862E-2</v>
      </c>
      <c r="C81" s="612">
        <v>8.0238910156792659E-2</v>
      </c>
      <c r="D81" s="612">
        <v>0.16637767195352429</v>
      </c>
      <c r="E81" s="101">
        <v>0.25950287090888652</v>
      </c>
      <c r="F81" s="102">
        <v>0.25382705689887358</v>
      </c>
      <c r="G81" s="99"/>
    </row>
    <row r="82" spans="1:22">
      <c r="A82" s="610" t="s">
        <v>1002</v>
      </c>
      <c r="B82" s="611">
        <v>5.8352129931957458E-2</v>
      </c>
      <c r="C82" s="611">
        <v>9.3051856004105912E-2</v>
      </c>
      <c r="D82" s="612">
        <v>0.24321995138462515</v>
      </c>
      <c r="E82" s="101">
        <v>4.7888301980761008E-2</v>
      </c>
      <c r="F82" s="102">
        <v>4.6840895089476295E-2</v>
      </c>
      <c r="G82" s="99"/>
    </row>
    <row r="83" spans="1:22">
      <c r="A83" s="610" t="s">
        <v>1003</v>
      </c>
      <c r="B83" s="611">
        <v>8.6803803360971765E-2</v>
      </c>
      <c r="C83" s="611">
        <v>0.54568146980494203</v>
      </c>
      <c r="D83" s="612">
        <v>0.27132988396229257</v>
      </c>
      <c r="E83" s="101">
        <v>7.6027228420067233E-2</v>
      </c>
      <c r="F83" s="102">
        <v>9.6236244156333237E-2</v>
      </c>
      <c r="G83" s="99"/>
    </row>
    <row r="84" spans="1:22">
      <c r="A84" s="610" t="s">
        <v>1004</v>
      </c>
      <c r="B84" s="611">
        <v>8.2971100007234767E-3</v>
      </c>
      <c r="C84" s="611">
        <v>4.809550764647566E-2</v>
      </c>
      <c r="D84" s="612">
        <v>1.3153024386955616E-2</v>
      </c>
      <c r="E84" s="101">
        <v>1.1646616830306858E-2</v>
      </c>
      <c r="F84" s="102">
        <v>1.1391883498289433E-2</v>
      </c>
      <c r="G84" s="99"/>
    </row>
    <row r="85" spans="1:22">
      <c r="A85" s="610" t="s">
        <v>1005</v>
      </c>
      <c r="B85" s="611">
        <v>4.1279536594362324E-3</v>
      </c>
      <c r="C85" s="612">
        <v>0</v>
      </c>
      <c r="D85" s="612">
        <v>0</v>
      </c>
      <c r="E85" s="101">
        <v>0.10492649213375996</v>
      </c>
      <c r="F85" s="102">
        <v>0.1026315531529754</v>
      </c>
    </row>
    <row r="86" spans="1:22">
      <c r="A86" s="613" t="s">
        <v>1006</v>
      </c>
      <c r="B86" s="753">
        <v>9.9476771009631745E-2</v>
      </c>
      <c r="C86" s="753">
        <v>3.3973896162289213E-2</v>
      </c>
      <c r="D86" s="754">
        <v>7.8458057270501078E-2</v>
      </c>
      <c r="E86" s="103">
        <v>1.8310218458646693E-2</v>
      </c>
      <c r="F86" s="104">
        <v>1.7909739673614394E-2</v>
      </c>
      <c r="H86" s="115"/>
    </row>
    <row r="87" spans="1:22">
      <c r="A87" s="29"/>
      <c r="B87" s="604"/>
      <c r="C87" s="604"/>
      <c r="D87" s="604"/>
      <c r="H87" s="115"/>
    </row>
    <row r="88" spans="1:22">
      <c r="A88" s="109" t="s">
        <v>1035</v>
      </c>
    </row>
    <row r="89" spans="1:22">
      <c r="A89" s="576"/>
      <c r="B89" s="171" t="s">
        <v>1036</v>
      </c>
      <c r="C89" s="171" t="s">
        <v>1037</v>
      </c>
      <c r="D89" s="171" t="s">
        <v>1038</v>
      </c>
      <c r="E89" s="171" t="s">
        <v>1039</v>
      </c>
      <c r="F89" s="262" t="s">
        <v>1040</v>
      </c>
      <c r="G89" s="607" t="s">
        <v>608</v>
      </c>
    </row>
    <row r="90" spans="1:22">
      <c r="A90" s="28" t="s">
        <v>1041</v>
      </c>
      <c r="B90" s="30">
        <v>0.4</v>
      </c>
      <c r="C90" s="100"/>
      <c r="F90" s="100"/>
      <c r="G90" s="614" t="s">
        <v>1042</v>
      </c>
    </row>
    <row r="91" spans="1:22">
      <c r="A91" s="28" t="s">
        <v>1043</v>
      </c>
      <c r="B91" s="30">
        <v>51</v>
      </c>
      <c r="C91" s="637"/>
      <c r="D91" s="603"/>
      <c r="F91" s="100"/>
      <c r="G91" s="99"/>
    </row>
    <row r="92" spans="1:22">
      <c r="A92" s="597" t="s">
        <v>1044</v>
      </c>
      <c r="B92" s="261">
        <v>0.99</v>
      </c>
      <c r="C92" s="100"/>
      <c r="D92" s="601">
        <f>0.35*0.8*0.1</f>
        <v>2.7999999999999997E-2</v>
      </c>
      <c r="E92" s="31">
        <f>0.35*0.8</f>
        <v>0.27999999999999997</v>
      </c>
      <c r="F92" s="32">
        <f>0.35*0.8*0.9</f>
        <v>0.252</v>
      </c>
      <c r="G92" s="44" t="s">
        <v>1045</v>
      </c>
    </row>
    <row r="93" spans="1:22">
      <c r="A93" s="597" t="s">
        <v>1046</v>
      </c>
      <c r="B93" s="261">
        <v>0.49</v>
      </c>
      <c r="C93" s="100"/>
      <c r="D93" s="607"/>
      <c r="F93" s="100"/>
      <c r="G93" s="599"/>
    </row>
    <row r="94" spans="1:22">
      <c r="A94" s="597" t="s">
        <v>1047</v>
      </c>
      <c r="B94" s="615">
        <v>937.6</v>
      </c>
      <c r="C94" s="528">
        <v>264.459289854107</v>
      </c>
      <c r="F94" s="100"/>
      <c r="G94" s="616"/>
    </row>
    <row r="95" spans="1:22">
      <c r="A95" s="617" t="s">
        <v>1048</v>
      </c>
      <c r="B95" s="259">
        <v>7.75</v>
      </c>
      <c r="C95" s="260"/>
      <c r="D95" s="34"/>
      <c r="E95" s="34"/>
      <c r="F95" s="531"/>
      <c r="G95" s="616"/>
      <c r="U95" s="618"/>
      <c r="V95" s="599"/>
    </row>
    <row r="96" spans="1:22">
      <c r="A96" s="598" t="s">
        <v>1049</v>
      </c>
      <c r="B96" s="261"/>
      <c r="C96" s="261"/>
      <c r="F96" s="616"/>
      <c r="G96" s="616"/>
      <c r="U96" s="618"/>
      <c r="V96" s="599"/>
    </row>
    <row r="97" spans="1:90">
      <c r="A97" s="598" t="s">
        <v>1050</v>
      </c>
      <c r="B97" s="261"/>
      <c r="C97" s="261"/>
      <c r="F97" s="616"/>
      <c r="G97" s="616"/>
      <c r="U97" s="618"/>
      <c r="V97" s="599"/>
    </row>
    <row r="98" spans="1:90">
      <c r="A98" s="44" t="s">
        <v>1051</v>
      </c>
      <c r="F98" s="616"/>
      <c r="G98" s="616"/>
      <c r="R98" s="619"/>
    </row>
    <row r="99" spans="1:90">
      <c r="A99" s="29"/>
      <c r="F99" s="616"/>
      <c r="G99" s="616"/>
      <c r="R99" s="619"/>
    </row>
    <row r="100" spans="1:90">
      <c r="A100" s="23" t="s">
        <v>1052</v>
      </c>
      <c r="F100" s="616"/>
      <c r="G100" s="616"/>
      <c r="R100" s="619"/>
    </row>
    <row r="101" spans="1:90">
      <c r="A101" s="576"/>
      <c r="B101" s="171" t="s">
        <v>1053</v>
      </c>
      <c r="C101" s="262" t="s">
        <v>719</v>
      </c>
      <c r="D101" s="23" t="s">
        <v>608</v>
      </c>
      <c r="F101" s="616"/>
      <c r="G101" s="616"/>
    </row>
    <row r="102" spans="1:90">
      <c r="A102" s="28" t="s">
        <v>1054</v>
      </c>
      <c r="B102" s="30">
        <v>1.0917808219178082</v>
      </c>
      <c r="C102" s="620">
        <v>0.43424657534246575</v>
      </c>
      <c r="D102" s="29" t="s">
        <v>1055</v>
      </c>
      <c r="F102" s="616"/>
      <c r="G102" s="616"/>
    </row>
    <row r="103" spans="1:90">
      <c r="A103" s="28" t="s">
        <v>1044</v>
      </c>
      <c r="B103" s="30">
        <v>0.30428571428571427</v>
      </c>
      <c r="C103" s="620">
        <v>0.2385714285714286</v>
      </c>
      <c r="F103" s="616"/>
      <c r="G103" s="616"/>
    </row>
    <row r="104" spans="1:90">
      <c r="A104" s="33" t="s">
        <v>1056</v>
      </c>
      <c r="B104" s="259">
        <v>1.1320754716981132</v>
      </c>
      <c r="C104" s="260">
        <v>0.94339622641509424</v>
      </c>
      <c r="D104" s="603"/>
      <c r="E104" s="599"/>
      <c r="F104" s="599"/>
      <c r="G104" s="616"/>
    </row>
    <row r="105" spans="1:90">
      <c r="A105" s="598" t="s">
        <v>1049</v>
      </c>
      <c r="B105" s="30"/>
      <c r="C105" s="30"/>
    </row>
    <row r="106" spans="1:90">
      <c r="A106" s="598"/>
      <c r="B106" s="30"/>
      <c r="C106" s="30"/>
    </row>
    <row r="107" spans="1:90">
      <c r="A107" s="109" t="s">
        <v>1013</v>
      </c>
      <c r="E107" s="23" t="s">
        <v>1028</v>
      </c>
    </row>
    <row r="108" spans="1:90">
      <c r="A108" s="621" t="s">
        <v>1057</v>
      </c>
      <c r="B108" s="622">
        <v>79.400000000000006</v>
      </c>
      <c r="C108" s="623"/>
      <c r="D108" s="582"/>
      <c r="E108" s="29" t="s">
        <v>1058</v>
      </c>
      <c r="BY108" s="99"/>
      <c r="BZ108" s="99"/>
      <c r="CA108" s="99"/>
      <c r="CB108" s="624"/>
      <c r="CC108" s="624"/>
      <c r="CD108" s="624"/>
      <c r="CE108" s="624"/>
      <c r="CF108" s="624"/>
      <c r="CG108" s="624"/>
      <c r="CH108" s="624"/>
      <c r="CI108" s="99"/>
      <c r="CJ108" s="99"/>
      <c r="CK108" s="99"/>
      <c r="CL108" s="99"/>
    </row>
    <row r="109" spans="1:90">
      <c r="A109" s="597" t="s">
        <v>1059</v>
      </c>
      <c r="B109" s="615">
        <v>97.4</v>
      </c>
      <c r="D109" s="100"/>
      <c r="E109" s="29" t="s">
        <v>1058</v>
      </c>
      <c r="BV109" s="114"/>
      <c r="BW109" s="114"/>
      <c r="BX109" s="114"/>
      <c r="BY109" s="114"/>
      <c r="BZ109" s="114"/>
      <c r="CA109" s="114"/>
      <c r="CB109" s="63"/>
      <c r="CC109" s="63"/>
      <c r="CD109" s="63"/>
      <c r="CE109" s="63"/>
      <c r="CF109" s="63"/>
      <c r="CG109" s="63"/>
      <c r="CH109" s="63"/>
      <c r="CI109" s="540"/>
      <c r="CJ109" s="63"/>
      <c r="CK109" s="63"/>
      <c r="CL109" s="63"/>
    </row>
    <row r="110" spans="1:90">
      <c r="A110" s="597" t="s">
        <v>1060</v>
      </c>
      <c r="B110" s="178">
        <v>176.8</v>
      </c>
      <c r="D110" s="100"/>
      <c r="E110" s="29" t="s">
        <v>1058</v>
      </c>
      <c r="BV110" s="63"/>
      <c r="BW110" s="63"/>
      <c r="BX110" s="63"/>
      <c r="BY110" s="63"/>
      <c r="BZ110" s="63"/>
      <c r="CA110" s="63"/>
      <c r="CB110" s="63"/>
      <c r="CC110" s="63"/>
      <c r="CD110" s="63"/>
      <c r="CE110" s="63"/>
      <c r="CF110" s="63"/>
      <c r="CG110" s="63"/>
      <c r="CH110" s="63"/>
      <c r="CI110" s="63"/>
      <c r="CJ110" s="63"/>
      <c r="CK110" s="63"/>
      <c r="CL110" s="63"/>
    </row>
    <row r="111" spans="1:90">
      <c r="A111" s="109"/>
      <c r="D111" s="100"/>
      <c r="BV111" s="593"/>
      <c r="BW111" s="593"/>
      <c r="BX111" s="593"/>
      <c r="BY111" s="593"/>
      <c r="BZ111" s="593"/>
      <c r="CA111" s="593"/>
      <c r="CB111" s="593"/>
      <c r="CC111" s="593"/>
      <c r="CD111" s="593"/>
      <c r="CE111" s="625"/>
      <c r="CF111" s="625"/>
      <c r="CG111" s="625"/>
      <c r="CH111" s="625"/>
      <c r="CI111" s="191"/>
      <c r="CJ111" s="191"/>
      <c r="CK111" s="191"/>
      <c r="CL111" s="191"/>
    </row>
    <row r="112" spans="1:90">
      <c r="B112" s="23" t="s">
        <v>122</v>
      </c>
      <c r="C112" s="23" t="s">
        <v>176</v>
      </c>
      <c r="D112" s="626" t="s">
        <v>199</v>
      </c>
      <c r="E112" s="23" t="s">
        <v>122</v>
      </c>
      <c r="F112" s="23" t="s">
        <v>176</v>
      </c>
      <c r="G112" s="23" t="s">
        <v>199</v>
      </c>
      <c r="BV112" s="593"/>
      <c r="BW112" s="593"/>
      <c r="BX112" s="593"/>
      <c r="BY112" s="593"/>
      <c r="BZ112" s="593"/>
      <c r="CA112" s="593"/>
      <c r="CB112" s="593"/>
      <c r="CC112" s="593"/>
      <c r="CD112" s="593"/>
      <c r="CE112" s="625"/>
      <c r="CF112" s="625"/>
      <c r="CG112" s="627"/>
      <c r="CH112" s="627"/>
      <c r="CI112" s="628"/>
      <c r="CJ112" s="628"/>
      <c r="CK112" s="628"/>
      <c r="CL112" s="628"/>
    </row>
    <row r="113" spans="1:90">
      <c r="A113" s="28" t="s">
        <v>1061</v>
      </c>
      <c r="B113" s="629">
        <v>235460000</v>
      </c>
      <c r="C113" s="630">
        <v>1579136600</v>
      </c>
      <c r="D113" s="631">
        <v>5540048400</v>
      </c>
      <c r="E113" s="29" t="s">
        <v>1062</v>
      </c>
      <c r="F113" s="29" t="s">
        <v>1063</v>
      </c>
      <c r="G113" s="29" t="s">
        <v>1063</v>
      </c>
      <c r="CC113" s="599"/>
      <c r="CD113" s="618"/>
      <c r="CE113" s="618"/>
    </row>
    <row r="114" spans="1:90">
      <c r="A114" s="28" t="s">
        <v>1064</v>
      </c>
      <c r="B114" s="629">
        <v>2555264</v>
      </c>
      <c r="C114" s="630">
        <v>18499663.199999999</v>
      </c>
      <c r="D114" s="632">
        <v>58976216.399999999</v>
      </c>
      <c r="E114" s="29" t="s">
        <v>1062</v>
      </c>
      <c r="F114" s="29" t="s">
        <v>1063</v>
      </c>
      <c r="G114" s="29" t="s">
        <v>1063</v>
      </c>
      <c r="BV114" s="599"/>
      <c r="BW114" s="599"/>
      <c r="BX114" s="599"/>
      <c r="BY114" s="619"/>
      <c r="BZ114" s="619"/>
      <c r="CA114" s="619"/>
      <c r="CB114" s="599"/>
      <c r="CC114" s="600"/>
      <c r="CD114" s="599"/>
      <c r="CE114" s="599"/>
      <c r="CG114" s="619"/>
      <c r="CH114" s="619"/>
      <c r="CI114" s="619"/>
      <c r="CJ114" s="619"/>
      <c r="CK114" s="619"/>
      <c r="CL114" s="619"/>
    </row>
    <row r="115" spans="1:90">
      <c r="A115" s="28" t="s">
        <v>1065</v>
      </c>
      <c r="B115" s="601">
        <v>1.6E-2</v>
      </c>
      <c r="C115" s="601">
        <v>3.5200000000000002E-2</v>
      </c>
      <c r="D115" s="32">
        <v>3.2000000000000001E-2</v>
      </c>
      <c r="E115" s="29" t="s">
        <v>1058</v>
      </c>
      <c r="F115" s="29" t="s">
        <v>1066</v>
      </c>
      <c r="G115" s="29" t="s">
        <v>1066</v>
      </c>
      <c r="BV115" s="599"/>
      <c r="BW115" s="599"/>
      <c r="BX115" s="599"/>
      <c r="BY115" s="600"/>
      <c r="BZ115" s="600"/>
      <c r="CA115" s="600"/>
      <c r="CB115" s="599"/>
      <c r="CC115" s="599"/>
      <c r="CD115" s="599"/>
      <c r="CE115" s="599"/>
      <c r="CF115" s="619"/>
      <c r="CG115" s="619"/>
      <c r="CH115" s="619"/>
      <c r="CI115" s="619"/>
      <c r="CJ115" s="619"/>
      <c r="CK115" s="619"/>
      <c r="CL115" s="619"/>
    </row>
    <row r="116" spans="1:90" ht="25.5">
      <c r="A116" s="14" t="s">
        <v>1067</v>
      </c>
      <c r="B116" s="601">
        <v>6.9999999999999993E-3</v>
      </c>
      <c r="C116" s="601">
        <v>6.9999999999999993E-3</v>
      </c>
      <c r="D116" s="633">
        <v>6.9999999999999993E-3</v>
      </c>
      <c r="E116" s="29" t="s">
        <v>810</v>
      </c>
      <c r="F116" s="29" t="s">
        <v>810</v>
      </c>
      <c r="G116" s="29" t="s">
        <v>810</v>
      </c>
      <c r="BV116" s="599"/>
      <c r="BW116" s="599"/>
      <c r="BX116" s="599"/>
      <c r="BY116" s="600"/>
      <c r="BZ116" s="600"/>
      <c r="CA116" s="600"/>
      <c r="CB116" s="599"/>
      <c r="CC116" s="599"/>
      <c r="CD116" s="599"/>
      <c r="CE116" s="599"/>
      <c r="CF116" s="619"/>
      <c r="CG116" s="619"/>
      <c r="CH116" s="619"/>
      <c r="CI116" s="619"/>
      <c r="CJ116" s="619"/>
      <c r="CK116" s="619"/>
      <c r="CL116" s="619"/>
    </row>
    <row r="117" spans="1:90">
      <c r="A117" s="29"/>
      <c r="D117" s="100"/>
      <c r="BV117" s="599"/>
      <c r="BW117" s="599"/>
      <c r="BX117" s="599"/>
      <c r="BY117" s="619"/>
      <c r="BZ117" s="619"/>
      <c r="CA117" s="619"/>
      <c r="CB117" s="599"/>
      <c r="CC117" s="599"/>
      <c r="CD117" s="599"/>
      <c r="CE117" s="599"/>
      <c r="CF117" s="619"/>
      <c r="CG117" s="619"/>
      <c r="CH117" s="619"/>
      <c r="CI117" s="619"/>
      <c r="CJ117" s="619"/>
      <c r="CK117" s="619"/>
      <c r="CL117" s="619"/>
    </row>
    <row r="118" spans="1:90">
      <c r="A118" s="109" t="s">
        <v>1068</v>
      </c>
      <c r="B118" s="23"/>
      <c r="C118" s="23"/>
      <c r="D118" s="626"/>
      <c r="BY118" s="619"/>
      <c r="BZ118" s="619"/>
      <c r="CA118" s="619"/>
      <c r="CB118" s="619"/>
      <c r="CC118" s="599"/>
      <c r="CD118" s="599"/>
      <c r="CE118" s="618"/>
    </row>
    <row r="119" spans="1:90">
      <c r="A119" s="28" t="s">
        <v>1069</v>
      </c>
      <c r="B119" s="634">
        <v>142057.4</v>
      </c>
      <c r="C119" s="615">
        <v>1011010.4</v>
      </c>
      <c r="D119" s="528">
        <v>1979382</v>
      </c>
      <c r="E119" s="29" t="s">
        <v>1062</v>
      </c>
      <c r="F119" s="16" t="s">
        <v>1070</v>
      </c>
      <c r="G119" s="16" t="s">
        <v>1071</v>
      </c>
      <c r="BV119" s="599"/>
      <c r="BW119" s="599"/>
      <c r="BX119" s="599"/>
      <c r="BY119" s="599"/>
      <c r="BZ119" s="599"/>
      <c r="CA119" s="599"/>
      <c r="CB119" s="599"/>
      <c r="CC119" s="599"/>
      <c r="CD119" s="599"/>
      <c r="CE119" s="599"/>
      <c r="CF119" s="599"/>
      <c r="CG119" s="619"/>
      <c r="CH119" s="619"/>
      <c r="CI119" s="619"/>
      <c r="CJ119" s="619"/>
      <c r="CK119" s="619"/>
      <c r="CL119" s="619"/>
    </row>
    <row r="120" spans="1:90">
      <c r="A120" s="28" t="s">
        <v>1072</v>
      </c>
      <c r="B120" s="634">
        <v>1725.2805153545034</v>
      </c>
      <c r="C120" s="178">
        <v>12278.674281950554</v>
      </c>
      <c r="D120" s="528">
        <v>24039.502321198528</v>
      </c>
      <c r="E120" s="29" t="s">
        <v>1062</v>
      </c>
      <c r="BV120" s="599"/>
      <c r="BW120" s="599"/>
      <c r="BX120" s="599"/>
      <c r="BY120" s="599"/>
      <c r="BZ120" s="599"/>
      <c r="CA120" s="599"/>
      <c r="CB120" s="599"/>
      <c r="CC120" s="599"/>
      <c r="CD120" s="599"/>
      <c r="CE120" s="599"/>
      <c r="CF120" s="599"/>
      <c r="CG120" s="619"/>
      <c r="CH120" s="619"/>
      <c r="CI120" s="619"/>
      <c r="CJ120" s="619"/>
      <c r="CK120" s="619"/>
      <c r="CL120" s="619"/>
    </row>
    <row r="121" spans="1:90">
      <c r="A121" s="28" t="s">
        <v>1073</v>
      </c>
      <c r="B121" s="615">
        <f>B114/((1-B115)*(1-B116))</f>
        <v>2615118.8400101522</v>
      </c>
      <c r="C121" s="615">
        <f>C114/((1-C115)*(1-C116))</f>
        <v>19309777.898022477</v>
      </c>
      <c r="D121" s="635">
        <f>D114/((1-D115)*(1-D116))</f>
        <v>61355330.703353226</v>
      </c>
      <c r="E121" s="29" t="s">
        <v>1062</v>
      </c>
      <c r="F121" s="16" t="s">
        <v>1070</v>
      </c>
      <c r="G121" s="16" t="s">
        <v>1071</v>
      </c>
      <c r="BV121" s="599"/>
      <c r="BW121" s="599"/>
      <c r="BX121" s="599"/>
      <c r="BY121" s="599"/>
      <c r="BZ121" s="599"/>
      <c r="CA121" s="599"/>
      <c r="CB121" s="599"/>
      <c r="CC121" s="599"/>
      <c r="CD121" s="619"/>
      <c r="CE121" s="599"/>
      <c r="CF121" s="599"/>
      <c r="CG121" s="619"/>
      <c r="CH121" s="619"/>
      <c r="CI121" s="619"/>
      <c r="CJ121" s="619"/>
      <c r="CK121" s="619"/>
      <c r="CL121" s="619"/>
    </row>
    <row r="122" spans="1:90">
      <c r="A122" s="28" t="s">
        <v>1074</v>
      </c>
      <c r="B122" s="615">
        <f>B114/((1-B115)*(1-B116))</f>
        <v>2615118.8400101522</v>
      </c>
      <c r="C122" s="615">
        <f>C114/((1-C115)*(1-C116))</f>
        <v>19309777.898022477</v>
      </c>
      <c r="D122" s="635">
        <f>D114/((1-D115)*(1-D116))</f>
        <v>61355330.703353226</v>
      </c>
      <c r="E122" s="29" t="s">
        <v>1062</v>
      </c>
      <c r="F122" s="16" t="s">
        <v>1070</v>
      </c>
      <c r="G122" s="16" t="s">
        <v>1071</v>
      </c>
      <c r="CE122" s="618"/>
    </row>
    <row r="123" spans="1:90" ht="25.5">
      <c r="A123" s="13" t="s">
        <v>1075</v>
      </c>
      <c r="D123" s="100"/>
      <c r="BV123" s="599"/>
      <c r="BW123" s="599"/>
      <c r="BX123" s="599"/>
      <c r="BY123" s="619"/>
      <c r="BZ123" s="619"/>
      <c r="CA123" s="619"/>
      <c r="CB123" s="619"/>
      <c r="CC123" s="619"/>
      <c r="CD123" s="619"/>
      <c r="CE123" s="599"/>
      <c r="CF123" s="619"/>
      <c r="CG123" s="619"/>
      <c r="CH123" s="619"/>
      <c r="CI123" s="619"/>
      <c r="CJ123" s="619"/>
      <c r="CK123" s="619"/>
      <c r="CL123" s="619"/>
    </row>
    <row r="124" spans="1:90">
      <c r="D124" s="100"/>
      <c r="BV124" s="599"/>
      <c r="BW124" s="599"/>
      <c r="BX124" s="599"/>
      <c r="BY124" s="619"/>
      <c r="BZ124" s="619"/>
      <c r="CA124" s="619"/>
      <c r="CB124" s="619"/>
      <c r="CC124" s="619"/>
      <c r="CD124" s="619"/>
      <c r="CE124" s="599"/>
      <c r="CF124" s="619"/>
      <c r="CG124" s="619"/>
      <c r="CH124" s="619"/>
      <c r="CI124" s="619"/>
      <c r="CJ124" s="619"/>
      <c r="CK124" s="619"/>
      <c r="CL124" s="619"/>
    </row>
    <row r="125" spans="1:90">
      <c r="A125" s="636" t="s">
        <v>1076</v>
      </c>
      <c r="B125" s="23"/>
      <c r="C125" s="23"/>
      <c r="D125" s="626"/>
      <c r="BV125" s="599"/>
      <c r="BW125" s="599"/>
      <c r="BX125" s="599"/>
      <c r="BY125" s="619"/>
      <c r="BZ125" s="619"/>
      <c r="CA125" s="619"/>
      <c r="CB125" s="619"/>
      <c r="CC125" s="619"/>
      <c r="CD125" s="619"/>
      <c r="CE125" s="599"/>
      <c r="CF125" s="619"/>
      <c r="CG125" s="619"/>
      <c r="CH125" s="619"/>
      <c r="CI125" s="619"/>
      <c r="CJ125" s="619"/>
      <c r="CK125" s="619"/>
      <c r="CL125" s="619"/>
    </row>
    <row r="126" spans="1:90">
      <c r="A126" s="597" t="s">
        <v>1077</v>
      </c>
      <c r="B126" s="30">
        <v>1.5</v>
      </c>
      <c r="C126" s="261">
        <v>2.8</v>
      </c>
      <c r="D126" s="637">
        <v>1.1419999999999999</v>
      </c>
      <c r="E126" s="16" t="s">
        <v>1078</v>
      </c>
      <c r="F126" s="16" t="s">
        <v>1070</v>
      </c>
      <c r="G126" s="16" t="s">
        <v>1071</v>
      </c>
      <c r="CE126" s="618"/>
    </row>
    <row r="127" spans="1:90">
      <c r="A127" s="597" t="s">
        <v>1073</v>
      </c>
      <c r="B127" s="30">
        <v>1.5</v>
      </c>
      <c r="C127" s="261">
        <v>1.56</v>
      </c>
      <c r="D127" s="637">
        <v>1.1419999999999999</v>
      </c>
      <c r="E127" s="16" t="s">
        <v>1078</v>
      </c>
      <c r="F127" s="16" t="s">
        <v>1070</v>
      </c>
      <c r="G127" s="16" t="s">
        <v>1071</v>
      </c>
      <c r="BV127" s="599"/>
      <c r="BW127" s="599"/>
      <c r="BX127" s="599"/>
      <c r="BY127" s="619"/>
      <c r="BZ127" s="619"/>
      <c r="CA127" s="619"/>
      <c r="CB127" s="619"/>
      <c r="CC127" s="619"/>
      <c r="CD127" s="619"/>
      <c r="CE127" s="599"/>
      <c r="CF127" s="619"/>
      <c r="CG127" s="619"/>
      <c r="CH127" s="619"/>
      <c r="CI127" s="619"/>
      <c r="CJ127" s="619"/>
      <c r="CK127" s="619"/>
      <c r="CL127" s="619"/>
    </row>
    <row r="128" spans="1:90">
      <c r="A128" s="597" t="s">
        <v>1074</v>
      </c>
      <c r="B128" s="30">
        <v>1.5</v>
      </c>
      <c r="C128" s="30">
        <v>0.42599999999999999</v>
      </c>
      <c r="D128" s="637">
        <v>1.1419999999999999</v>
      </c>
      <c r="E128" s="16" t="s">
        <v>1078</v>
      </c>
      <c r="F128" s="16" t="s">
        <v>1070</v>
      </c>
      <c r="G128" s="16" t="s">
        <v>1071</v>
      </c>
      <c r="BV128" s="599"/>
      <c r="BW128" s="599"/>
      <c r="BX128" s="599"/>
      <c r="BY128" s="619"/>
      <c r="BZ128" s="619"/>
      <c r="CA128" s="619"/>
      <c r="CB128" s="619"/>
      <c r="CC128" s="619"/>
      <c r="CD128" s="619"/>
      <c r="CE128" s="599"/>
      <c r="CF128" s="619"/>
      <c r="CG128" s="619"/>
      <c r="CH128" s="619"/>
      <c r="CI128" s="619"/>
      <c r="CJ128" s="619"/>
      <c r="CK128" s="619"/>
      <c r="CL128" s="619"/>
    </row>
    <row r="129" spans="1:90">
      <c r="D129" s="100"/>
      <c r="BV129" s="599"/>
      <c r="BW129" s="599"/>
      <c r="BX129" s="599"/>
      <c r="BY129" s="619"/>
      <c r="BZ129" s="619"/>
      <c r="CA129" s="619"/>
      <c r="CB129" s="619"/>
      <c r="CC129" s="619"/>
      <c r="CD129" s="619"/>
      <c r="CE129" s="599"/>
      <c r="CF129" s="619"/>
      <c r="CG129" s="619"/>
      <c r="CH129" s="619"/>
      <c r="CI129" s="619"/>
      <c r="CJ129" s="619"/>
      <c r="CK129" s="619"/>
      <c r="CL129" s="619"/>
    </row>
    <row r="130" spans="1:90">
      <c r="A130" s="109" t="s">
        <v>1079</v>
      </c>
      <c r="B130" s="23" t="s">
        <v>1080</v>
      </c>
      <c r="C130" s="609" t="s">
        <v>1081</v>
      </c>
      <c r="D130" s="638" t="s">
        <v>1082</v>
      </c>
      <c r="CE130" s="618"/>
    </row>
    <row r="131" spans="1:90">
      <c r="A131" s="597" t="s">
        <v>1069</v>
      </c>
      <c r="B131" s="615">
        <v>1429.8677769390615</v>
      </c>
      <c r="C131" s="639">
        <v>1531</v>
      </c>
      <c r="D131" s="635">
        <v>775.26</v>
      </c>
      <c r="E131" s="29" t="s">
        <v>1083</v>
      </c>
      <c r="F131" s="16" t="s">
        <v>1070</v>
      </c>
      <c r="G131" s="16" t="s">
        <v>1071</v>
      </c>
      <c r="BV131" s="599"/>
      <c r="BW131" s="599"/>
      <c r="BX131" s="599"/>
      <c r="BY131" s="619"/>
      <c r="BZ131" s="619"/>
      <c r="CA131" s="619"/>
      <c r="CB131" s="619"/>
      <c r="CC131" s="619"/>
      <c r="CD131" s="619"/>
      <c r="CE131" s="599"/>
      <c r="CF131" s="619"/>
      <c r="CG131" s="619"/>
      <c r="CH131" s="619"/>
      <c r="CI131" s="619"/>
      <c r="CJ131" s="619"/>
      <c r="CK131" s="619"/>
      <c r="CL131" s="619"/>
    </row>
    <row r="132" spans="1:90">
      <c r="A132" s="597" t="s">
        <v>1084</v>
      </c>
      <c r="B132" s="615">
        <v>847.32905300092534</v>
      </c>
      <c r="C132" s="639">
        <v>1531</v>
      </c>
      <c r="D132" s="635">
        <v>775.26</v>
      </c>
      <c r="E132" s="29" t="s">
        <v>1083</v>
      </c>
      <c r="F132" s="16" t="s">
        <v>1070</v>
      </c>
      <c r="G132" s="16" t="s">
        <v>1071</v>
      </c>
      <c r="BV132" s="599"/>
      <c r="BW132" s="599"/>
      <c r="BX132" s="599"/>
      <c r="BY132" s="619"/>
      <c r="BZ132" s="619"/>
      <c r="CA132" s="619"/>
      <c r="CB132" s="619"/>
      <c r="CC132" s="619"/>
      <c r="CD132" s="619"/>
      <c r="CE132" s="599"/>
      <c r="CF132" s="619"/>
      <c r="CG132" s="619"/>
      <c r="CH132" s="619"/>
      <c r="CI132" s="619"/>
      <c r="CJ132" s="619"/>
      <c r="CK132" s="619"/>
      <c r="CL132" s="619"/>
    </row>
    <row r="133" spans="1:90">
      <c r="A133" s="597" t="s">
        <v>1073</v>
      </c>
      <c r="B133" s="615">
        <v>254.19871590027759</v>
      </c>
      <c r="C133" s="639">
        <v>829.93933911425597</v>
      </c>
      <c r="D133" s="635">
        <v>775.26</v>
      </c>
      <c r="E133" s="29" t="s">
        <v>1083</v>
      </c>
      <c r="F133" s="16" t="s">
        <v>1070</v>
      </c>
      <c r="G133" s="16" t="s">
        <v>1071</v>
      </c>
      <c r="BV133" s="599"/>
      <c r="BW133" s="599"/>
      <c r="BX133" s="599"/>
      <c r="BY133" s="619"/>
      <c r="BZ133" s="619"/>
      <c r="CA133" s="619"/>
      <c r="CB133" s="619"/>
      <c r="CC133" s="619"/>
      <c r="CD133" s="619"/>
      <c r="CE133" s="599"/>
      <c r="CF133" s="619"/>
      <c r="CG133" s="619"/>
      <c r="CH133" s="619"/>
      <c r="CI133" s="619"/>
      <c r="CJ133" s="619"/>
      <c r="CK133" s="619"/>
      <c r="CL133" s="619"/>
    </row>
    <row r="134" spans="1:90">
      <c r="A134" s="597" t="s">
        <v>1074</v>
      </c>
      <c r="B134" s="615">
        <v>42.366452650046263</v>
      </c>
      <c r="C134" s="639">
        <v>238.98931455785359</v>
      </c>
      <c r="D134" s="635">
        <v>775.26</v>
      </c>
      <c r="E134" s="29" t="s">
        <v>1083</v>
      </c>
      <c r="F134" s="16" t="s">
        <v>1070</v>
      </c>
      <c r="G134" s="16" t="s">
        <v>1071</v>
      </c>
      <c r="CE134" s="618"/>
    </row>
    <row r="135" spans="1:90">
      <c r="A135" s="597" t="s">
        <v>1085</v>
      </c>
      <c r="B135" s="261">
        <f>(B119*B131+B120*B132+B121*B133+B122*B134)/B113</f>
        <v>4.1626532685284863</v>
      </c>
      <c r="C135" s="261">
        <f>(C119*C131+C120*C132+C121*C133*B109/365+C122*C134*B108/365)/C113</f>
        <v>4.3359463193978085</v>
      </c>
      <c r="D135" s="640">
        <f>(D119*D131+D120*D132+D121*D133*B109/365+D122*D134*B108/365)/D113</f>
        <v>4.4392252379367267</v>
      </c>
      <c r="F135" s="16"/>
      <c r="BV135" s="599"/>
      <c r="BW135" s="599"/>
      <c r="BX135" s="599"/>
      <c r="BY135" s="599"/>
      <c r="BZ135" s="599"/>
      <c r="CA135" s="599"/>
      <c r="CB135" s="619"/>
      <c r="CC135" s="619"/>
      <c r="CD135" s="619"/>
      <c r="CE135" s="599"/>
      <c r="CI135" s="619"/>
      <c r="CJ135" s="619"/>
      <c r="CK135" s="619"/>
      <c r="CL135" s="619"/>
    </row>
    <row r="136" spans="1:90">
      <c r="B136" s="615"/>
      <c r="C136" s="603"/>
      <c r="D136" s="637"/>
      <c r="F136" s="16"/>
      <c r="BV136" s="599"/>
      <c r="BW136" s="599"/>
      <c r="BX136" s="599"/>
      <c r="BY136" s="619"/>
      <c r="BZ136" s="619"/>
      <c r="CA136" s="619"/>
      <c r="CB136" s="619"/>
      <c r="CC136" s="619"/>
      <c r="CD136" s="619"/>
      <c r="CE136" s="599"/>
      <c r="CI136" s="619"/>
      <c r="CJ136" s="619"/>
      <c r="CK136" s="619"/>
      <c r="CL136" s="619"/>
    </row>
    <row r="137" spans="1:90">
      <c r="A137" s="109" t="s">
        <v>1086</v>
      </c>
      <c r="B137" s="23" t="s">
        <v>1087</v>
      </c>
      <c r="C137" s="607" t="s">
        <v>1088</v>
      </c>
      <c r="D137" s="641" t="s">
        <v>1089</v>
      </c>
      <c r="BV137" s="599"/>
      <c r="BW137" s="599"/>
      <c r="BX137" s="599"/>
      <c r="BY137" s="619"/>
      <c r="BZ137" s="619"/>
      <c r="CA137" s="619"/>
      <c r="CB137" s="619"/>
      <c r="CC137" s="619"/>
      <c r="CD137" s="619"/>
      <c r="CE137" s="599"/>
      <c r="CI137" s="619"/>
      <c r="CJ137" s="619"/>
      <c r="CK137" s="619"/>
      <c r="CL137" s="619"/>
    </row>
    <row r="138" spans="1:90">
      <c r="A138" s="597" t="s">
        <v>1069</v>
      </c>
      <c r="B138" s="642">
        <v>0.71</v>
      </c>
      <c r="C138" s="601">
        <v>0.47168014708804201</v>
      </c>
      <c r="D138" s="637">
        <v>0.3</v>
      </c>
      <c r="E138" s="16" t="s">
        <v>1078</v>
      </c>
      <c r="F138" s="16" t="s">
        <v>1070</v>
      </c>
      <c r="G138" s="16" t="s">
        <v>1071</v>
      </c>
      <c r="CE138" s="618"/>
    </row>
    <row r="139" spans="1:90">
      <c r="A139" s="597" t="s">
        <v>1084</v>
      </c>
      <c r="B139" s="642">
        <v>0.48499999999999999</v>
      </c>
      <c r="C139" s="601">
        <v>0.47168014708804201</v>
      </c>
      <c r="D139" s="637">
        <v>0.3</v>
      </c>
      <c r="E139" s="16" t="s">
        <v>1078</v>
      </c>
      <c r="F139" s="16" t="s">
        <v>1070</v>
      </c>
      <c r="G139" s="16" t="s">
        <v>1071</v>
      </c>
      <c r="BV139" s="599"/>
      <c r="BW139" s="599"/>
      <c r="BX139" s="599"/>
      <c r="BY139" s="619"/>
      <c r="BZ139" s="619"/>
      <c r="CA139" s="619"/>
      <c r="CB139" s="619"/>
      <c r="CC139" s="599"/>
      <c r="CD139" s="599"/>
      <c r="CE139" s="619"/>
      <c r="CI139" s="619"/>
      <c r="CJ139" s="619"/>
      <c r="CK139" s="619"/>
      <c r="CL139" s="619"/>
    </row>
    <row r="140" spans="1:90">
      <c r="A140" s="597" t="s">
        <v>1073</v>
      </c>
      <c r="B140" s="642">
        <v>0.39500000000000002</v>
      </c>
      <c r="C140" s="601">
        <v>9.0602909188036554E-2</v>
      </c>
      <c r="D140" s="637">
        <v>0.3</v>
      </c>
      <c r="E140" s="16" t="s">
        <v>1078</v>
      </c>
      <c r="F140" s="16" t="s">
        <v>1070</v>
      </c>
      <c r="G140" s="16" t="s">
        <v>1071</v>
      </c>
      <c r="BV140" s="599"/>
      <c r="BW140" s="599"/>
      <c r="BX140" s="599"/>
      <c r="BY140" s="619"/>
      <c r="BZ140" s="619"/>
      <c r="CA140" s="619"/>
      <c r="CB140" s="619"/>
      <c r="CC140" s="599"/>
      <c r="CD140" s="599"/>
      <c r="CE140" s="619"/>
      <c r="CF140" s="619"/>
      <c r="CG140" s="619"/>
      <c r="CH140" s="619"/>
      <c r="CI140" s="619"/>
      <c r="CJ140" s="619"/>
      <c r="CK140" s="619"/>
      <c r="CL140" s="619"/>
    </row>
    <row r="141" spans="1:90">
      <c r="A141" s="597" t="s">
        <v>1074</v>
      </c>
      <c r="B141" s="642">
        <v>4.7E-2</v>
      </c>
      <c r="C141" s="601">
        <v>1.4855427474036429E-2</v>
      </c>
      <c r="D141" s="637">
        <v>0.3</v>
      </c>
      <c r="E141" s="16" t="s">
        <v>1078</v>
      </c>
      <c r="F141" s="16" t="s">
        <v>1070</v>
      </c>
      <c r="G141" s="16" t="s">
        <v>1071</v>
      </c>
      <c r="BV141" s="599"/>
      <c r="BW141" s="599"/>
      <c r="BX141" s="599"/>
      <c r="BY141" s="619"/>
      <c r="BZ141" s="619"/>
      <c r="CA141" s="619"/>
      <c r="CB141" s="619"/>
      <c r="CC141" s="599"/>
      <c r="CD141" s="599"/>
      <c r="CE141" s="619"/>
      <c r="CF141" s="619"/>
      <c r="CG141" s="619"/>
      <c r="CH141" s="619"/>
      <c r="CI141" s="619"/>
      <c r="CJ141" s="619"/>
      <c r="CK141" s="619"/>
      <c r="CL141" s="619"/>
    </row>
    <row r="142" spans="1:90">
      <c r="D142" s="100"/>
      <c r="CC142" s="599"/>
      <c r="CD142" s="599"/>
      <c r="CE142" s="619"/>
      <c r="CF142" s="619"/>
      <c r="CG142" s="619"/>
      <c r="CH142" s="619"/>
      <c r="CI142" s="619"/>
      <c r="CJ142" s="619"/>
      <c r="CK142" s="619"/>
      <c r="CL142" s="619"/>
    </row>
    <row r="143" spans="1:90">
      <c r="A143" s="109" t="s">
        <v>1090</v>
      </c>
      <c r="B143" s="178">
        <f>B138*365*B119+B139*365*B120+B140*$B$109*B121+B141*B122*$B$108</f>
        <v>147490160.61209112</v>
      </c>
      <c r="C143" s="178">
        <f>C138*365*C119+C139*365*C120+C140*$B$109*C121+C141*C122*$B$108</f>
        <v>369352511.89101684</v>
      </c>
      <c r="D143" s="528">
        <f>D138*365*D119+D139*365*D120+D140*$B$109*D121+D141*D122*$B$108</f>
        <v>3473661395.010026</v>
      </c>
      <c r="BV143" s="599"/>
      <c r="BW143" s="599"/>
      <c r="BX143" s="599"/>
      <c r="BY143" s="619"/>
      <c r="BZ143" s="619"/>
      <c r="CA143" s="619"/>
      <c r="CB143" s="619"/>
      <c r="CC143" s="599"/>
      <c r="CD143" s="599"/>
      <c r="CE143" s="619"/>
      <c r="CF143" s="619"/>
      <c r="CG143" s="619"/>
      <c r="CH143" s="619"/>
      <c r="CI143" s="619"/>
      <c r="CJ143" s="619"/>
      <c r="CK143" s="619"/>
      <c r="CL143" s="619"/>
    </row>
    <row r="144" spans="1:90">
      <c r="A144" s="643" t="s">
        <v>1091</v>
      </c>
      <c r="B144" s="644">
        <f>B$138*365*B$119*B154+B$139*365*B$120*B155+B$140*$B$109*B$121*B156+B$141*B$122*$B$108*B157</f>
        <v>25132619.985705372</v>
      </c>
      <c r="C144" s="644">
        <f>C$138*365*C$119*C154+C$139*365*C$120*C155+C$140*$B$109*C$121*C156+C$141*C$122*$B$108*C157</f>
        <v>405436.34675193945</v>
      </c>
      <c r="D144" s="645">
        <f>D$138*365*D$119*D154+D$139*365*D$120*D155+D$140*$B$109*D$121*D156+D$141*D$122*$B$108*D157</f>
        <v>234827635.8264088</v>
      </c>
      <c r="BV144" s="599"/>
      <c r="BW144" s="599"/>
      <c r="BX144" s="599"/>
      <c r="BY144" s="619"/>
      <c r="BZ144" s="619"/>
      <c r="CA144" s="619"/>
      <c r="CB144" s="619"/>
      <c r="CC144" s="599"/>
      <c r="CD144" s="599"/>
      <c r="CE144" s="619"/>
      <c r="CF144" s="619"/>
      <c r="CG144" s="619"/>
      <c r="CH144" s="619"/>
      <c r="CI144" s="619"/>
      <c r="CJ144" s="619"/>
      <c r="CK144" s="619"/>
      <c r="CL144" s="619"/>
    </row>
    <row r="145" spans="1:90">
      <c r="A145" s="643" t="s">
        <v>1092</v>
      </c>
      <c r="B145" s="644">
        <f>B$138*365*B$119*B159+B$139*365*B$120*B160+B$140*$B$109*B$121*B161+B$141*B$122*$B$108*B162</f>
        <v>116580719.07849342</v>
      </c>
      <c r="C145" s="644">
        <f>C$138*365*C$119*C159+C$139*365*C$120*C160+C$140*$B$109*C$121*C161+C$141*C$122*$B$108*C162</f>
        <v>361649221.30273002</v>
      </c>
      <c r="D145" s="645">
        <f>D$138*365*D$119*D159+D$139*365*D$120*D160+D$140*$B$109*D$121*D161+D$141*D$122*$B$108*D162</f>
        <v>3186830407.3051052</v>
      </c>
      <c r="BV145" s="599"/>
      <c r="BW145" s="599"/>
      <c r="BX145" s="599"/>
      <c r="BY145" s="619"/>
      <c r="BZ145" s="619"/>
      <c r="CA145" s="619"/>
      <c r="CB145" s="619"/>
      <c r="CC145" s="599"/>
      <c r="CD145" s="599"/>
      <c r="CE145" s="619"/>
      <c r="CF145" s="619"/>
      <c r="CG145" s="619"/>
      <c r="CH145" s="619"/>
      <c r="CI145" s="619"/>
      <c r="CJ145" s="619"/>
      <c r="CK145" s="619"/>
      <c r="CL145" s="619"/>
    </row>
    <row r="146" spans="1:90">
      <c r="A146" s="643" t="s">
        <v>1093</v>
      </c>
      <c r="B146" s="644">
        <f>B$138*365*B$119*B164+B$139*365*B$120*B165+B$140*$B$109*B$121*B166+B$141*B$122*$B$108*B167</f>
        <v>5626366.7531977538</v>
      </c>
      <c r="C146" s="644"/>
      <c r="D146" s="645"/>
      <c r="CC146" s="599"/>
      <c r="CD146" s="599"/>
      <c r="CE146" s="619"/>
      <c r="CF146" s="619"/>
      <c r="CG146" s="619"/>
      <c r="CH146" s="619"/>
      <c r="CI146" s="619"/>
      <c r="CJ146" s="619"/>
      <c r="CK146" s="619"/>
      <c r="CL146" s="619"/>
    </row>
    <row r="147" spans="1:90">
      <c r="A147" s="610" t="s">
        <v>1069</v>
      </c>
      <c r="B147" s="178"/>
      <c r="C147" s="644">
        <f>C$138*365*C$119*C164</f>
        <v>3439142.8315692423</v>
      </c>
      <c r="D147" s="645">
        <f>D$138*365*D$119*D164</f>
        <v>3244797.44</v>
      </c>
      <c r="BV147" s="599"/>
      <c r="BW147" s="599"/>
      <c r="BX147" s="599"/>
      <c r="BY147" s="619"/>
      <c r="BZ147" s="619"/>
      <c r="CA147" s="619"/>
      <c r="CB147" s="619"/>
      <c r="CC147" s="599"/>
      <c r="CD147" s="599"/>
      <c r="CE147" s="619"/>
      <c r="CF147" s="619"/>
      <c r="CG147" s="619"/>
      <c r="CH147" s="619"/>
      <c r="CI147" s="619"/>
      <c r="CJ147" s="619"/>
      <c r="CK147" s="619"/>
      <c r="CL147" s="619"/>
    </row>
    <row r="148" spans="1:90">
      <c r="A148" s="610" t="s">
        <v>1084</v>
      </c>
      <c r="B148" s="178"/>
      <c r="C148" s="644">
        <f>C$139*365*C$120*C165</f>
        <v>41768.229721419149</v>
      </c>
      <c r="D148" s="645">
        <f>D$139*365*D$120*D165</f>
        <v>39407.913980575271</v>
      </c>
      <c r="BV148" s="599"/>
      <c r="BW148" s="599"/>
      <c r="BX148" s="599"/>
      <c r="BY148" s="619"/>
      <c r="BZ148" s="619"/>
      <c r="CA148" s="619"/>
      <c r="CB148" s="619"/>
      <c r="CC148" s="599"/>
      <c r="CD148" s="599"/>
      <c r="CE148" s="619"/>
      <c r="CF148" s="619"/>
      <c r="CG148" s="619"/>
      <c r="CH148" s="619"/>
      <c r="CI148" s="619"/>
      <c r="CJ148" s="619"/>
      <c r="CK148" s="619"/>
      <c r="CL148" s="619"/>
    </row>
    <row r="149" spans="1:90">
      <c r="A149" s="610" t="s">
        <v>1073</v>
      </c>
      <c r="B149" s="178"/>
      <c r="C149" s="644">
        <f>C$140*$B$109*C$121*C166</f>
        <v>3366917.7430385565</v>
      </c>
      <c r="D149" s="645">
        <f>D$140*$B$109*D$121*D166</f>
        <v>26839620.313854221</v>
      </c>
      <c r="BV149" s="599"/>
      <c r="BW149" s="599"/>
      <c r="BX149" s="599"/>
      <c r="BY149" s="619"/>
      <c r="BZ149" s="619"/>
      <c r="CA149" s="619"/>
      <c r="CB149" s="619"/>
      <c r="CC149" s="599"/>
      <c r="CD149" s="599"/>
      <c r="CE149" s="619"/>
      <c r="CF149" s="619"/>
      <c r="CG149" s="619"/>
      <c r="CH149" s="619"/>
      <c r="CI149" s="619"/>
      <c r="CJ149" s="619"/>
      <c r="CK149" s="619"/>
      <c r="CL149" s="619"/>
    </row>
    <row r="150" spans="1:90">
      <c r="A150" s="610" t="s">
        <v>1074</v>
      </c>
      <c r="B150" s="178"/>
      <c r="C150" s="644">
        <f>C$141*C$122*$B$108*C167</f>
        <v>450025.43720569269</v>
      </c>
      <c r="D150" s="645">
        <f>D$141*D$122*$B$108*D167</f>
        <v>21879526.210677881</v>
      </c>
      <c r="CC150" s="599"/>
      <c r="CD150" s="599"/>
      <c r="CE150" s="619"/>
      <c r="CF150" s="619"/>
      <c r="CG150" s="619"/>
      <c r="CH150" s="619"/>
      <c r="CI150" s="619"/>
      <c r="CJ150" s="619"/>
      <c r="CK150" s="619"/>
      <c r="CL150" s="619"/>
    </row>
    <row r="151" spans="1:90">
      <c r="A151" s="610"/>
      <c r="D151" s="100"/>
      <c r="BV151" s="599"/>
      <c r="BW151" s="599"/>
      <c r="BX151" s="599"/>
      <c r="BY151" s="619"/>
      <c r="BZ151" s="619"/>
      <c r="CA151" s="619"/>
      <c r="CB151" s="619"/>
      <c r="CC151" s="599"/>
      <c r="CD151" s="599"/>
      <c r="CE151" s="619"/>
      <c r="CF151" s="619"/>
      <c r="CG151" s="619"/>
      <c r="CH151" s="619"/>
      <c r="CI151" s="619"/>
      <c r="CJ151" s="619"/>
      <c r="CK151" s="619"/>
      <c r="CL151" s="619"/>
    </row>
    <row r="152" spans="1:90">
      <c r="A152" s="109" t="s">
        <v>1094</v>
      </c>
      <c r="B152" s="23"/>
      <c r="C152" s="23"/>
      <c r="D152" s="626"/>
      <c r="BV152" s="599"/>
      <c r="BW152" s="599"/>
      <c r="BX152" s="599"/>
      <c r="BY152" s="619"/>
      <c r="BZ152" s="619"/>
      <c r="CA152" s="619"/>
      <c r="CB152" s="619"/>
      <c r="CC152" s="599"/>
      <c r="CD152" s="599"/>
      <c r="CE152" s="619"/>
      <c r="CF152" s="619"/>
      <c r="CG152" s="619"/>
      <c r="CH152" s="619"/>
      <c r="CI152" s="619"/>
      <c r="CJ152" s="619"/>
      <c r="CK152" s="619"/>
      <c r="CL152" s="619"/>
    </row>
    <row r="153" spans="1:90">
      <c r="A153" s="109" t="s">
        <v>1095</v>
      </c>
      <c r="B153" s="609"/>
      <c r="D153" s="100"/>
      <c r="BV153" s="599"/>
      <c r="BW153" s="599"/>
      <c r="BX153" s="599"/>
      <c r="BY153" s="619"/>
      <c r="BZ153" s="619"/>
      <c r="CA153" s="619"/>
      <c r="CB153" s="619"/>
      <c r="CE153" s="618"/>
    </row>
    <row r="154" spans="1:90">
      <c r="A154" s="597" t="s">
        <v>1069</v>
      </c>
      <c r="B154" s="601">
        <v>0.35</v>
      </c>
      <c r="C154" s="31">
        <v>1.0976948408342481E-3</v>
      </c>
      <c r="D154" s="32">
        <v>6.7602339181286553E-2</v>
      </c>
      <c r="E154" s="16" t="s">
        <v>1078</v>
      </c>
      <c r="F154" s="16" t="s">
        <v>1070</v>
      </c>
      <c r="G154" s="16" t="s">
        <v>1071</v>
      </c>
      <c r="CC154" s="599"/>
      <c r="CD154" s="599"/>
      <c r="CE154" s="599"/>
      <c r="CF154" s="619"/>
      <c r="CG154" s="619"/>
      <c r="CH154" s="619"/>
      <c r="CI154" s="619"/>
      <c r="CJ154" s="619"/>
      <c r="CK154" s="619"/>
      <c r="CL154" s="619"/>
    </row>
    <row r="155" spans="1:90">
      <c r="A155" s="597" t="s">
        <v>1084</v>
      </c>
      <c r="B155" s="601">
        <v>0.35</v>
      </c>
      <c r="C155" s="31">
        <v>1.0976948408342481E-3</v>
      </c>
      <c r="D155" s="32">
        <v>6.7602339181286553E-2</v>
      </c>
      <c r="E155" s="16" t="s">
        <v>1078</v>
      </c>
      <c r="F155" s="16" t="s">
        <v>1070</v>
      </c>
      <c r="G155" s="16" t="s">
        <v>1071</v>
      </c>
      <c r="BV155" s="599"/>
      <c r="BW155" s="599"/>
      <c r="BX155" s="599"/>
      <c r="BY155" s="619"/>
      <c r="BZ155" s="619"/>
      <c r="CA155" s="619"/>
      <c r="CB155" s="619"/>
      <c r="CC155" s="599"/>
      <c r="CD155" s="599"/>
      <c r="CE155" s="599"/>
      <c r="CF155" s="619"/>
      <c r="CG155" s="619"/>
      <c r="CH155" s="619"/>
      <c r="CI155" s="619"/>
      <c r="CJ155" s="619"/>
      <c r="CK155" s="619"/>
      <c r="CL155" s="619"/>
    </row>
    <row r="156" spans="1:90">
      <c r="A156" s="597" t="s">
        <v>1073</v>
      </c>
      <c r="B156" s="601">
        <v>0.11000000000000001</v>
      </c>
      <c r="C156" s="31">
        <v>1.0976948408342481E-3</v>
      </c>
      <c r="D156" s="32">
        <v>6.7602339181286553E-2</v>
      </c>
      <c r="E156" s="16" t="s">
        <v>1078</v>
      </c>
      <c r="F156" s="16" t="s">
        <v>1070</v>
      </c>
      <c r="G156" s="16" t="s">
        <v>1071</v>
      </c>
      <c r="BV156" s="599"/>
      <c r="BW156" s="599"/>
      <c r="BX156" s="599"/>
      <c r="BY156" s="619"/>
      <c r="BZ156" s="619"/>
      <c r="CA156" s="619"/>
      <c r="CB156" s="619"/>
      <c r="CC156" s="599"/>
      <c r="CD156" s="599"/>
      <c r="CE156" s="599"/>
      <c r="CF156" s="619"/>
      <c r="CG156" s="619"/>
      <c r="CH156" s="619"/>
      <c r="CI156" s="619"/>
      <c r="CJ156" s="619"/>
      <c r="CK156" s="619"/>
      <c r="CL156" s="619"/>
    </row>
    <row r="157" spans="1:90">
      <c r="A157" s="597" t="s">
        <v>1074</v>
      </c>
      <c r="B157" s="601">
        <v>0.11000000000000001</v>
      </c>
      <c r="C157" s="31">
        <v>1.0976948408342481E-3</v>
      </c>
      <c r="D157" s="32">
        <v>6.7602339181286553E-2</v>
      </c>
      <c r="E157" s="16" t="s">
        <v>1078</v>
      </c>
      <c r="F157" s="16" t="s">
        <v>1070</v>
      </c>
      <c r="G157" s="16" t="s">
        <v>1071</v>
      </c>
      <c r="BV157" s="599"/>
      <c r="BW157" s="599"/>
      <c r="BX157" s="599"/>
      <c r="BY157" s="619"/>
      <c r="BZ157" s="619"/>
      <c r="CA157" s="619"/>
      <c r="CB157" s="619"/>
      <c r="CE157" s="618"/>
    </row>
    <row r="158" spans="1:90">
      <c r="A158" s="109" t="s">
        <v>1096</v>
      </c>
      <c r="B158" s="23"/>
      <c r="C158" s="601"/>
      <c r="D158" s="646"/>
      <c r="CC158" s="599"/>
      <c r="CD158" s="599"/>
      <c r="CE158" s="619"/>
      <c r="CF158" s="619"/>
      <c r="CG158" s="619"/>
      <c r="CH158" s="619"/>
      <c r="CI158" s="619"/>
      <c r="CJ158" s="619"/>
      <c r="CK158" s="619"/>
      <c r="CL158" s="619"/>
    </row>
    <row r="159" spans="1:90">
      <c r="A159" s="597" t="s">
        <v>1069</v>
      </c>
      <c r="B159" s="601">
        <v>0.53600000000000003</v>
      </c>
      <c r="C159" s="601">
        <v>0.97914379802414941</v>
      </c>
      <c r="D159" s="32">
        <v>0.91742690058479537</v>
      </c>
      <c r="E159" s="16" t="s">
        <v>1078</v>
      </c>
      <c r="F159" s="16" t="s">
        <v>1070</v>
      </c>
      <c r="G159" s="16" t="s">
        <v>1071</v>
      </c>
      <c r="BV159" s="599"/>
      <c r="BW159" s="599"/>
      <c r="BX159" s="599"/>
      <c r="BY159" s="619"/>
      <c r="BZ159" s="619"/>
      <c r="CA159" s="619"/>
      <c r="CB159" s="599"/>
      <c r="CC159" s="599"/>
      <c r="CD159" s="599"/>
      <c r="CE159" s="619"/>
      <c r="CF159" s="619"/>
      <c r="CG159" s="619"/>
      <c r="CH159" s="619"/>
      <c r="CI159" s="619"/>
      <c r="CJ159" s="619"/>
      <c r="CK159" s="619"/>
      <c r="CL159" s="619"/>
    </row>
    <row r="160" spans="1:90">
      <c r="A160" s="597" t="s">
        <v>1084</v>
      </c>
      <c r="B160" s="601">
        <v>0.53600000000000003</v>
      </c>
      <c r="C160" s="601">
        <v>0.97914379802414941</v>
      </c>
      <c r="D160" s="32">
        <v>0.91742690058479537</v>
      </c>
      <c r="E160" s="16" t="s">
        <v>1078</v>
      </c>
      <c r="F160" s="16" t="s">
        <v>1070</v>
      </c>
      <c r="G160" s="16" t="s">
        <v>1071</v>
      </c>
      <c r="BV160" s="599"/>
      <c r="BW160" s="599"/>
      <c r="BX160" s="599"/>
      <c r="BY160" s="619"/>
      <c r="BZ160" s="619"/>
      <c r="CA160" s="619"/>
      <c r="CB160" s="599"/>
      <c r="CC160" s="599"/>
      <c r="CD160" s="599"/>
      <c r="CE160" s="619"/>
      <c r="CF160" s="619"/>
      <c r="CG160" s="619"/>
      <c r="CH160" s="619"/>
      <c r="CI160" s="619"/>
      <c r="CJ160" s="619"/>
      <c r="CK160" s="619"/>
      <c r="CL160" s="619"/>
    </row>
    <row r="161" spans="1:90">
      <c r="A161" s="597" t="s">
        <v>1073</v>
      </c>
      <c r="B161" s="601">
        <v>0.876</v>
      </c>
      <c r="C161" s="601">
        <v>0.97914379802414941</v>
      </c>
      <c r="D161" s="32">
        <v>0.91742690058479537</v>
      </c>
      <c r="E161" s="16" t="s">
        <v>1078</v>
      </c>
      <c r="F161" s="16" t="s">
        <v>1070</v>
      </c>
      <c r="G161" s="16" t="s">
        <v>1071</v>
      </c>
      <c r="BV161" s="599"/>
      <c r="BW161" s="599"/>
      <c r="BX161" s="599"/>
      <c r="BY161" s="619"/>
      <c r="BZ161" s="619"/>
      <c r="CA161" s="619"/>
      <c r="CB161" s="599"/>
      <c r="CE161" s="619"/>
    </row>
    <row r="162" spans="1:90">
      <c r="A162" s="597" t="s">
        <v>1074</v>
      </c>
      <c r="B162" s="601">
        <v>0.876</v>
      </c>
      <c r="C162" s="601">
        <v>0.97914379802414941</v>
      </c>
      <c r="D162" s="32">
        <v>0.91742690058479537</v>
      </c>
      <c r="E162" s="16" t="s">
        <v>1078</v>
      </c>
      <c r="F162" s="16" t="s">
        <v>1070</v>
      </c>
      <c r="G162" s="16" t="s">
        <v>1071</v>
      </c>
      <c r="BV162" s="599"/>
      <c r="BW162" s="599"/>
      <c r="BX162" s="599"/>
      <c r="BY162" s="619"/>
      <c r="BZ162" s="619"/>
      <c r="CA162" s="619"/>
      <c r="CB162" s="599"/>
      <c r="CC162" s="599"/>
      <c r="CD162" s="599"/>
      <c r="CE162" s="619"/>
      <c r="CF162" s="619"/>
      <c r="CG162" s="619"/>
      <c r="CH162" s="619"/>
      <c r="CI162" s="619"/>
      <c r="CJ162" s="619"/>
      <c r="CK162" s="619"/>
      <c r="CL162" s="619"/>
    </row>
    <row r="163" spans="1:90">
      <c r="A163" s="109" t="s">
        <v>1097</v>
      </c>
      <c r="B163" s="23"/>
      <c r="C163" s="601"/>
      <c r="D163" s="646"/>
      <c r="BV163" s="599"/>
      <c r="BW163" s="599"/>
      <c r="BX163" s="599"/>
      <c r="BY163" s="599"/>
      <c r="BZ163" s="599"/>
      <c r="CA163" s="599"/>
      <c r="CB163" s="599"/>
      <c r="CC163" s="599"/>
      <c r="CD163" s="599"/>
      <c r="CE163" s="619"/>
      <c r="CF163" s="619"/>
      <c r="CG163" s="619"/>
      <c r="CH163" s="619"/>
      <c r="CI163" s="619"/>
      <c r="CJ163" s="619"/>
      <c r="CK163" s="619"/>
      <c r="CL163" s="619"/>
    </row>
    <row r="164" spans="1:90">
      <c r="A164" s="597" t="s">
        <v>1069</v>
      </c>
      <c r="B164" s="601">
        <v>0.10400000000000001</v>
      </c>
      <c r="C164" s="601">
        <v>1.9758507135016468E-2</v>
      </c>
      <c r="D164" s="32">
        <v>1.4970760233918129E-2</v>
      </c>
      <c r="E164" s="16" t="s">
        <v>1078</v>
      </c>
      <c r="F164" s="16" t="s">
        <v>1070</v>
      </c>
      <c r="G164" s="16" t="s">
        <v>1071</v>
      </c>
      <c r="BV164" s="599"/>
      <c r="BW164" s="599"/>
      <c r="BX164" s="599"/>
      <c r="BY164" s="599"/>
      <c r="BZ164" s="599"/>
      <c r="CA164" s="599"/>
      <c r="CB164" s="599"/>
      <c r="CC164" s="599"/>
      <c r="CD164" s="599"/>
      <c r="CE164" s="619"/>
      <c r="CF164" s="619"/>
      <c r="CG164" s="619"/>
      <c r="CH164" s="619"/>
      <c r="CI164" s="619"/>
      <c r="CJ164" s="619"/>
      <c r="CK164" s="619"/>
      <c r="CL164" s="619"/>
    </row>
    <row r="165" spans="1:90">
      <c r="A165" s="597" t="s">
        <v>1084</v>
      </c>
      <c r="B165" s="601">
        <v>0.10400000000000001</v>
      </c>
      <c r="C165" s="601">
        <v>1.9758507135016468E-2</v>
      </c>
      <c r="D165" s="32">
        <v>1.4970760233918129E-2</v>
      </c>
      <c r="E165" s="16" t="s">
        <v>1078</v>
      </c>
      <c r="F165" s="16" t="s">
        <v>1070</v>
      </c>
      <c r="G165" s="16" t="s">
        <v>1071</v>
      </c>
      <c r="BY165" s="599"/>
      <c r="BZ165" s="599"/>
      <c r="CA165" s="599"/>
      <c r="CB165" s="593"/>
      <c r="CE165" s="619"/>
    </row>
    <row r="166" spans="1:90">
      <c r="A166" s="597" t="s">
        <v>1073</v>
      </c>
      <c r="B166" s="601">
        <v>1.6E-2</v>
      </c>
      <c r="C166" s="601">
        <v>1.9758507135016468E-2</v>
      </c>
      <c r="D166" s="32">
        <v>1.4970760233918129E-2</v>
      </c>
      <c r="E166" s="16" t="s">
        <v>1078</v>
      </c>
      <c r="F166" s="16" t="s">
        <v>1070</v>
      </c>
      <c r="G166" s="16" t="s">
        <v>1071</v>
      </c>
      <c r="CC166" s="599"/>
      <c r="CD166" s="599"/>
      <c r="CE166" s="619"/>
      <c r="CF166" s="619"/>
      <c r="CG166" s="619"/>
      <c r="CH166" s="619"/>
      <c r="CI166" s="619"/>
      <c r="CJ166" s="619"/>
      <c r="CK166" s="619"/>
      <c r="CL166" s="619"/>
    </row>
    <row r="167" spans="1:90">
      <c r="A167" s="597" t="s">
        <v>1074</v>
      </c>
      <c r="B167" s="601">
        <v>1.6E-2</v>
      </c>
      <c r="C167" s="601">
        <v>1.9758507135016468E-2</v>
      </c>
      <c r="D167" s="32">
        <v>1.4970760233918129E-2</v>
      </c>
      <c r="E167" s="16" t="s">
        <v>1078</v>
      </c>
      <c r="F167" s="16" t="s">
        <v>1070</v>
      </c>
      <c r="G167" s="16" t="s">
        <v>1071</v>
      </c>
      <c r="CC167" s="599"/>
      <c r="CD167" s="599"/>
      <c r="CE167" s="619"/>
      <c r="CF167" s="619"/>
      <c r="CG167" s="619"/>
      <c r="CH167" s="619"/>
      <c r="CI167" s="619"/>
      <c r="CJ167" s="619"/>
      <c r="CK167" s="619"/>
      <c r="CL167" s="619"/>
    </row>
    <row r="168" spans="1:90">
      <c r="C168" s="642"/>
      <c r="D168" s="647"/>
      <c r="CC168" s="599"/>
      <c r="CD168" s="599"/>
      <c r="CE168" s="619"/>
      <c r="CF168" s="619"/>
      <c r="CG168" s="619"/>
      <c r="CH168" s="619"/>
      <c r="CI168" s="619"/>
      <c r="CJ168" s="619"/>
      <c r="CK168" s="619"/>
      <c r="CL168" s="619"/>
    </row>
    <row r="169" spans="1:90">
      <c r="A169" s="648" t="s">
        <v>1098</v>
      </c>
      <c r="B169" s="23"/>
      <c r="C169" s="23"/>
      <c r="D169" s="626"/>
      <c r="CE169" s="618"/>
    </row>
    <row r="170" spans="1:90">
      <c r="A170" s="597" t="s">
        <v>1069</v>
      </c>
      <c r="B170" s="261">
        <v>22.5</v>
      </c>
      <c r="C170" s="601">
        <v>7.85</v>
      </c>
      <c r="D170" s="100">
        <v>13.022499999999999</v>
      </c>
      <c r="E170" s="16" t="s">
        <v>1078</v>
      </c>
      <c r="F170" s="16" t="s">
        <v>1070</v>
      </c>
      <c r="G170" s="16" t="s">
        <v>1071</v>
      </c>
      <c r="CC170" s="599"/>
      <c r="CD170" s="599"/>
      <c r="CE170" s="599"/>
      <c r="CF170" s="619"/>
      <c r="CG170" s="619"/>
      <c r="CH170" s="619"/>
      <c r="CI170" s="619"/>
      <c r="CJ170" s="619"/>
      <c r="CK170" s="619"/>
      <c r="CL170" s="619"/>
    </row>
    <row r="171" spans="1:90">
      <c r="A171" s="597" t="s">
        <v>1084</v>
      </c>
      <c r="B171" s="261">
        <v>13</v>
      </c>
      <c r="C171" s="601">
        <v>7.85</v>
      </c>
      <c r="D171" s="100">
        <v>13.022499999999999</v>
      </c>
      <c r="E171" s="16" t="s">
        <v>1078</v>
      </c>
      <c r="F171" s="16" t="s">
        <v>1070</v>
      </c>
      <c r="G171" s="16" t="s">
        <v>1071</v>
      </c>
      <c r="CC171" s="599"/>
      <c r="CD171" s="599"/>
      <c r="CE171" s="599"/>
      <c r="CF171" s="619"/>
      <c r="CG171" s="619"/>
      <c r="CH171" s="619"/>
      <c r="CI171" s="619"/>
      <c r="CJ171" s="619"/>
      <c r="CK171" s="619"/>
      <c r="CL171" s="619"/>
    </row>
    <row r="172" spans="1:90">
      <c r="A172" s="597" t="s">
        <v>1073</v>
      </c>
      <c r="B172" s="261">
        <v>10.8</v>
      </c>
      <c r="C172" s="601">
        <v>7.85</v>
      </c>
      <c r="D172" s="100">
        <v>13.022499999999999</v>
      </c>
      <c r="E172" s="16" t="s">
        <v>1078</v>
      </c>
      <c r="F172" s="16" t="s">
        <v>1070</v>
      </c>
      <c r="G172" s="16" t="s">
        <v>1071</v>
      </c>
      <c r="CC172" s="599"/>
      <c r="CD172" s="599"/>
      <c r="CE172" s="599"/>
      <c r="CF172" s="619"/>
      <c r="CG172" s="619"/>
      <c r="CH172" s="619"/>
      <c r="CI172" s="619"/>
      <c r="CJ172" s="619"/>
      <c r="CK172" s="619"/>
      <c r="CL172" s="619"/>
    </row>
    <row r="173" spans="1:90">
      <c r="A173" s="597" t="s">
        <v>1074</v>
      </c>
      <c r="B173" s="261">
        <v>0.92000000000000015</v>
      </c>
      <c r="C173" s="601">
        <v>7.85</v>
      </c>
      <c r="D173" s="100">
        <v>13.022499999999999</v>
      </c>
      <c r="E173" s="16" t="s">
        <v>1078</v>
      </c>
      <c r="F173" s="16" t="s">
        <v>1070</v>
      </c>
      <c r="G173" s="16" t="s">
        <v>1071</v>
      </c>
      <c r="CE173" s="618"/>
    </row>
    <row r="174" spans="1:90">
      <c r="A174" s="597"/>
      <c r="B174" s="261"/>
      <c r="C174" s="601"/>
      <c r="D174" s="100"/>
      <c r="CC174" s="599"/>
      <c r="CD174" s="599"/>
      <c r="CE174" s="619"/>
      <c r="CF174" s="619"/>
      <c r="CG174" s="619"/>
      <c r="CH174" s="619"/>
      <c r="CI174" s="619"/>
      <c r="CJ174" s="619"/>
      <c r="CK174" s="619"/>
      <c r="CL174" s="619"/>
    </row>
    <row r="175" spans="1:90">
      <c r="A175" s="648" t="s">
        <v>1099</v>
      </c>
      <c r="B175" s="615">
        <f>B170*B119+B171*B120+B172*B121*$B$109/365+B173*B122*$B$108/365</f>
        <v>11278788.670558628</v>
      </c>
      <c r="C175" s="615">
        <f>C170*C119+C171*C120+C172*C121*$B$109/365+C173*C122*$B$108/365</f>
        <v>81456530.326558352</v>
      </c>
      <c r="D175" s="635">
        <f>D170*D119+D171*D120+D172*D121*$B$109/365+D173*D122*$B$108/365</f>
        <v>413111922.52527916</v>
      </c>
      <c r="CC175" s="599"/>
      <c r="CD175" s="599"/>
      <c r="CE175" s="619"/>
      <c r="CF175" s="619"/>
      <c r="CG175" s="619"/>
      <c r="CH175" s="619"/>
      <c r="CI175" s="619"/>
      <c r="CJ175" s="619"/>
      <c r="CK175" s="619"/>
      <c r="CL175" s="619"/>
    </row>
    <row r="176" spans="1:90">
      <c r="A176" s="643" t="s">
        <v>1091</v>
      </c>
      <c r="B176" s="611"/>
      <c r="C176" s="611"/>
      <c r="D176" s="649"/>
      <c r="CC176" s="599"/>
      <c r="CD176" s="599"/>
      <c r="CE176" s="619"/>
      <c r="CF176" s="619"/>
      <c r="CG176" s="619"/>
      <c r="CH176" s="619"/>
      <c r="CI176" s="619"/>
      <c r="CJ176" s="619"/>
      <c r="CK176" s="619"/>
      <c r="CL176" s="619"/>
    </row>
    <row r="177" spans="1:90">
      <c r="A177" s="650" t="s">
        <v>1069</v>
      </c>
      <c r="B177" s="651">
        <f>B$170*B$119*B154</f>
        <v>1118702.0249999999</v>
      </c>
      <c r="C177" s="651">
        <f>C$170*C$119*C154</f>
        <v>8711.7800658616907</v>
      </c>
      <c r="D177" s="652">
        <f>D$170*D$119*D154</f>
        <v>1742551.8375333333</v>
      </c>
      <c r="CE177" s="619"/>
    </row>
    <row r="178" spans="1:90">
      <c r="A178" s="650" t="s">
        <v>1084</v>
      </c>
      <c r="B178" s="651">
        <f>B$171*B$120*B155</f>
        <v>7850.0263448629894</v>
      </c>
      <c r="C178" s="651">
        <f>C$171*C$120*C155</f>
        <v>105.80416368091312</v>
      </c>
      <c r="D178" s="652">
        <f>D$171*D$120*D155</f>
        <v>21163.211013938351</v>
      </c>
      <c r="CC178" s="599"/>
      <c r="CD178" s="599"/>
      <c r="CE178" s="619"/>
      <c r="CF178" s="619"/>
      <c r="CG178" s="619"/>
      <c r="CH178" s="619"/>
      <c r="CI178" s="600"/>
      <c r="CJ178" s="600"/>
      <c r="CK178" s="600"/>
      <c r="CL178" s="600"/>
    </row>
    <row r="179" spans="1:90">
      <c r="A179" s="650" t="s">
        <v>1073</v>
      </c>
      <c r="B179" s="651">
        <f>B$172*B$121*$B$109/365*B156</f>
        <v>829037.09347995289</v>
      </c>
      <c r="C179" s="651">
        <f>C$172*C$121*$B$109/365*C156</f>
        <v>44401.194180861035</v>
      </c>
      <c r="D179" s="652">
        <f>D$172*D$121*$B$109/365*D156</f>
        <v>14413666.973493315</v>
      </c>
      <c r="CC179" s="599"/>
      <c r="CD179" s="599"/>
      <c r="CE179" s="619"/>
      <c r="CF179" s="619"/>
      <c r="CG179" s="619"/>
      <c r="CH179" s="619"/>
      <c r="CI179" s="600"/>
      <c r="CJ179" s="600"/>
      <c r="CK179" s="600"/>
      <c r="CL179" s="600"/>
    </row>
    <row r="180" spans="1:90">
      <c r="A180" s="650" t="s">
        <v>1074</v>
      </c>
      <c r="B180" s="651">
        <f>B$173*B$122*$B$108/365*B157</f>
        <v>57570.444144539128</v>
      </c>
      <c r="C180" s="651">
        <f>C$173*C$122*$B$108/365*C157</f>
        <v>36195.634681317926</v>
      </c>
      <c r="D180" s="652">
        <f>D$173*D$122*$B$108/365*D157</f>
        <v>11749950.284346707</v>
      </c>
      <c r="CC180" s="599"/>
      <c r="CD180" s="599"/>
      <c r="CE180" s="619"/>
      <c r="CF180" s="619"/>
      <c r="CG180" s="619"/>
      <c r="CH180" s="619"/>
      <c r="CI180" s="600"/>
      <c r="CJ180" s="600"/>
      <c r="CK180" s="600"/>
      <c r="CL180" s="600"/>
    </row>
    <row r="181" spans="1:90">
      <c r="A181" s="643" t="s">
        <v>1092</v>
      </c>
      <c r="B181" s="611"/>
      <c r="C181" s="611"/>
      <c r="D181" s="649"/>
      <c r="CC181" s="599"/>
      <c r="CD181" s="599"/>
      <c r="CE181" s="619"/>
      <c r="CF181" s="619"/>
      <c r="CG181" s="619"/>
      <c r="CH181" s="619"/>
      <c r="CI181" s="600"/>
      <c r="CJ181" s="600"/>
      <c r="CK181" s="600"/>
      <c r="CL181" s="600"/>
    </row>
    <row r="182" spans="1:90">
      <c r="A182" s="650" t="s">
        <v>1069</v>
      </c>
      <c r="B182" s="651">
        <f>B$170*B$119*B159</f>
        <v>1713212.2440000002</v>
      </c>
      <c r="C182" s="651">
        <f>C$170*C$119*C159</f>
        <v>7770907.8187486287</v>
      </c>
      <c r="D182" s="652">
        <f>D$170*D$119*D159</f>
        <v>23648056.424933333</v>
      </c>
      <c r="M182" s="651"/>
      <c r="CC182" s="599"/>
      <c r="CD182" s="599"/>
      <c r="CE182" s="599"/>
      <c r="CF182" s="599"/>
      <c r="CG182" s="599"/>
      <c r="CH182" s="599"/>
      <c r="CI182" s="599"/>
      <c r="CJ182" s="599"/>
      <c r="CK182" s="599"/>
      <c r="CL182" s="599"/>
    </row>
    <row r="183" spans="1:90">
      <c r="A183" s="650" t="s">
        <v>1084</v>
      </c>
      <c r="B183" s="651">
        <f>B$171*B$120*B160</f>
        <v>12021.754630990181</v>
      </c>
      <c r="C183" s="651">
        <f>C$171*C$120*C160</f>
        <v>94377.3140033745</v>
      </c>
      <c r="D183" s="652">
        <f>D$171*D$120*D160</f>
        <v>287204.54531718418</v>
      </c>
      <c r="M183" s="651"/>
      <c r="CC183" s="599"/>
      <c r="CD183" s="599"/>
      <c r="CE183" s="599"/>
      <c r="CF183" s="599"/>
      <c r="CG183" s="599"/>
      <c r="CH183" s="599"/>
      <c r="CI183" s="599"/>
      <c r="CJ183" s="599"/>
      <c r="CK183" s="599"/>
      <c r="CL183" s="599"/>
    </row>
    <row r="184" spans="1:90">
      <c r="A184" s="650" t="s">
        <v>1073</v>
      </c>
      <c r="B184" s="651">
        <f>B$172*B$121*$B$109/365*B161</f>
        <v>6602149.9444403518</v>
      </c>
      <c r="C184" s="651">
        <f>C$172*C$121*$B$109/365*C161</f>
        <v>39605865.209328048</v>
      </c>
      <c r="D184" s="652">
        <f>D$172*D$121*$B$109/365*D161</f>
        <v>195606926.88595426</v>
      </c>
      <c r="CC184" s="599"/>
      <c r="CD184" s="593"/>
      <c r="CE184" s="599"/>
      <c r="CF184" s="599"/>
      <c r="CG184" s="619"/>
      <c r="CH184" s="619"/>
      <c r="CI184" s="599"/>
      <c r="CJ184" s="599"/>
      <c r="CK184" s="599"/>
      <c r="CL184" s="599"/>
    </row>
    <row r="185" spans="1:90">
      <c r="A185" s="650" t="s">
        <v>1074</v>
      </c>
      <c r="B185" s="651">
        <f>B$173*B$122*$B$108/365*B162</f>
        <v>458470.08246014791</v>
      </c>
      <c r="C185" s="651">
        <f>C$173*C$122*$B$108/365*C162</f>
        <v>32286506.135735594</v>
      </c>
      <c r="D185" s="652">
        <f>D$173*D$122*$B$108/365*D162</f>
        <v>159457802.82078817</v>
      </c>
      <c r="CD185" s="593"/>
      <c r="CE185" s="599"/>
      <c r="CF185" s="599"/>
      <c r="CG185" s="619"/>
      <c r="CH185" s="619"/>
      <c r="CI185" s="599"/>
      <c r="CJ185" s="599"/>
      <c r="CK185" s="599"/>
      <c r="CL185" s="599"/>
    </row>
    <row r="186" spans="1:90">
      <c r="A186" s="643" t="s">
        <v>1093</v>
      </c>
      <c r="B186" s="611"/>
      <c r="C186" s="611"/>
      <c r="D186" s="649"/>
      <c r="CD186" s="599"/>
      <c r="CE186" s="619"/>
      <c r="CF186" s="619"/>
      <c r="CG186" s="619"/>
      <c r="CH186" s="619"/>
      <c r="CI186" s="599"/>
      <c r="CJ186" s="599"/>
      <c r="CK186" s="599"/>
      <c r="CL186" s="599"/>
    </row>
    <row r="187" spans="1:90">
      <c r="A187" s="650" t="s">
        <v>1069</v>
      </c>
      <c r="B187" s="651">
        <f>B$170*B$119*B164</f>
        <v>332414.31600000005</v>
      </c>
      <c r="C187" s="651">
        <f>C$170*C$119*C164</f>
        <v>156812.04118551043</v>
      </c>
      <c r="D187" s="652">
        <f>D$170*D$119*D164</f>
        <v>385893.83253333333</v>
      </c>
      <c r="M187" s="651"/>
      <c r="CD187" s="599"/>
      <c r="CE187" s="599"/>
      <c r="CF187" s="599"/>
      <c r="CG187" s="599"/>
      <c r="CH187" s="599"/>
      <c r="CI187" s="619"/>
      <c r="CJ187" s="599"/>
      <c r="CK187" s="599"/>
      <c r="CL187" s="599"/>
    </row>
    <row r="188" spans="1:90">
      <c r="A188" s="650" t="s">
        <v>1084</v>
      </c>
      <c r="B188" s="651">
        <f>B$171*B$120*B165</f>
        <v>2332.5792567592889</v>
      </c>
      <c r="C188" s="651">
        <f>C$171*C$120*C165</f>
        <v>1904.4749462564362</v>
      </c>
      <c r="D188" s="652">
        <f>D$171*D$120*D165</f>
        <v>4686.6626466853104</v>
      </c>
      <c r="M188" s="651"/>
      <c r="CD188" s="599"/>
      <c r="CE188" s="599"/>
      <c r="CF188" s="599"/>
      <c r="CG188" s="599"/>
      <c r="CH188" s="599"/>
      <c r="CI188" s="619"/>
      <c r="CJ188" s="599"/>
      <c r="CK188" s="599"/>
      <c r="CL188" s="599"/>
    </row>
    <row r="189" spans="1:90">
      <c r="A189" s="650" t="s">
        <v>1073</v>
      </c>
      <c r="B189" s="651">
        <f>B$172*B$121*$B$109/365*B166</f>
        <v>120587.21359708405</v>
      </c>
      <c r="C189" s="651">
        <f>C$172*C$121*$B$109/365*C166</f>
        <v>799221.49525549868</v>
      </c>
      <c r="D189" s="652">
        <f>D$172*D$121*$B$109/365*D166</f>
        <v>3191953.9318462703</v>
      </c>
      <c r="CD189" s="599"/>
      <c r="CE189" s="599"/>
      <c r="CF189" s="599"/>
      <c r="CG189" s="599"/>
      <c r="CH189" s="599"/>
      <c r="CI189" s="619"/>
      <c r="CJ189" s="619"/>
      <c r="CK189" s="599"/>
      <c r="CL189" s="599"/>
    </row>
    <row r="190" spans="1:90">
      <c r="A190" s="650" t="s">
        <v>1074</v>
      </c>
      <c r="B190" s="651">
        <f>B$173*B$122*$B$108/365*B167</f>
        <v>8373.8827846602362</v>
      </c>
      <c r="C190" s="651">
        <f>C$173*C$122*$B$108/365*C167</f>
        <v>651521.42426372273</v>
      </c>
      <c r="D190" s="652">
        <f>D$173*D$122*$B$108/365*D167</f>
        <v>2602065.114872627</v>
      </c>
      <c r="CD190" s="599"/>
      <c r="CE190" s="599"/>
      <c r="CF190" s="599"/>
      <c r="CG190" s="599"/>
      <c r="CH190" s="599"/>
      <c r="CI190" s="619"/>
      <c r="CJ190" s="619"/>
      <c r="CK190" s="599"/>
      <c r="CL190" s="599"/>
    </row>
    <row r="191" spans="1:90">
      <c r="A191" s="610"/>
      <c r="B191" s="644"/>
      <c r="C191" s="644"/>
      <c r="D191" s="645"/>
      <c r="CD191" s="599"/>
      <c r="CE191" s="600"/>
      <c r="CF191" s="600"/>
      <c r="CG191" s="599"/>
      <c r="CH191" s="599"/>
      <c r="CI191" s="619"/>
      <c r="CJ191" s="619"/>
      <c r="CK191" s="599"/>
      <c r="CL191" s="599"/>
    </row>
    <row r="192" spans="1:90">
      <c r="A192" s="109" t="s">
        <v>1100</v>
      </c>
      <c r="B192" s="615"/>
      <c r="C192" s="603"/>
      <c r="D192" s="626"/>
      <c r="CD192" s="599"/>
      <c r="CE192" s="619"/>
      <c r="CF192" s="619"/>
      <c r="CG192" s="599"/>
      <c r="CH192" s="599"/>
      <c r="CI192" s="599"/>
      <c r="CJ192" s="599"/>
      <c r="CK192" s="599"/>
      <c r="CL192" s="619"/>
    </row>
    <row r="193" spans="1:90">
      <c r="B193" s="609"/>
      <c r="C193" s="23"/>
      <c r="D193" s="626"/>
      <c r="CD193" s="653"/>
      <c r="CE193" s="619"/>
      <c r="CF193" s="619"/>
      <c r="CG193" s="599"/>
      <c r="CH193" s="599"/>
      <c r="CI193" s="599"/>
      <c r="CJ193" s="599"/>
      <c r="CK193" s="599"/>
      <c r="CL193" s="599"/>
    </row>
    <row r="194" spans="1:90">
      <c r="A194" s="28" t="s">
        <v>1101</v>
      </c>
      <c r="B194" s="601">
        <v>0.02</v>
      </c>
      <c r="C194" s="31">
        <v>0.02</v>
      </c>
      <c r="D194" s="633">
        <v>0.03</v>
      </c>
      <c r="E194" s="16" t="s">
        <v>1078</v>
      </c>
      <c r="F194" s="16" t="s">
        <v>1070</v>
      </c>
      <c r="G194" s="16" t="s">
        <v>1071</v>
      </c>
      <c r="CD194" s="653"/>
      <c r="CE194" s="619"/>
      <c r="CF194" s="619"/>
      <c r="CG194" s="599"/>
      <c r="CH194" s="599"/>
      <c r="CI194" s="599"/>
      <c r="CJ194" s="599"/>
      <c r="CK194" s="599"/>
      <c r="CL194" s="599"/>
    </row>
    <row r="195" spans="1:90">
      <c r="A195" s="597" t="s">
        <v>1102</v>
      </c>
      <c r="B195" s="601">
        <v>3.5000000000000003E-2</v>
      </c>
      <c r="C195" s="601">
        <v>0.13</v>
      </c>
      <c r="D195" s="633">
        <v>0.22120000000000001</v>
      </c>
      <c r="E195" s="16" t="s">
        <v>1078</v>
      </c>
      <c r="F195" s="16" t="s">
        <v>1070</v>
      </c>
      <c r="G195" s="16" t="s">
        <v>1071</v>
      </c>
      <c r="CD195" s="653"/>
      <c r="CE195" s="619"/>
      <c r="CF195" s="619"/>
      <c r="CG195" s="599"/>
      <c r="CH195" s="599"/>
      <c r="CI195" s="599"/>
      <c r="CJ195" s="599"/>
      <c r="CK195" s="599"/>
      <c r="CL195" s="599"/>
    </row>
    <row r="196" spans="1:90">
      <c r="A196" s="28" t="s">
        <v>1103</v>
      </c>
      <c r="B196" s="601">
        <v>0.17</v>
      </c>
      <c r="C196" s="601">
        <v>0.14699999999999999</v>
      </c>
      <c r="D196" s="633">
        <v>0.25</v>
      </c>
      <c r="E196" s="16" t="s">
        <v>1078</v>
      </c>
      <c r="F196" s="16" t="s">
        <v>1070</v>
      </c>
      <c r="G196" s="16" t="s">
        <v>1071</v>
      </c>
      <c r="CD196" s="653"/>
      <c r="CE196" s="653"/>
      <c r="CF196" s="653"/>
      <c r="CG196" s="653"/>
      <c r="CH196" s="653"/>
      <c r="CI196" s="599"/>
      <c r="CJ196" s="599"/>
      <c r="CK196" s="599"/>
      <c r="CL196" s="599"/>
    </row>
    <row r="197" spans="1:90">
      <c r="A197" s="28" t="s">
        <v>1104</v>
      </c>
      <c r="B197" s="601">
        <v>0.17</v>
      </c>
      <c r="C197" s="601">
        <v>0.114</v>
      </c>
      <c r="D197" s="633">
        <v>0.25</v>
      </c>
      <c r="E197" s="16" t="s">
        <v>1078</v>
      </c>
      <c r="F197" s="16" t="s">
        <v>1070</v>
      </c>
      <c r="G197" s="16" t="s">
        <v>1071</v>
      </c>
      <c r="CD197" s="653"/>
      <c r="CE197" s="653"/>
      <c r="CF197" s="653"/>
      <c r="CG197" s="653"/>
      <c r="CH197" s="653"/>
      <c r="CI197" s="599"/>
      <c r="CJ197" s="599"/>
      <c r="CK197" s="599"/>
      <c r="CL197" s="599"/>
    </row>
    <row r="198" spans="1:90">
      <c r="A198" s="28" t="s">
        <v>1105</v>
      </c>
      <c r="B198" s="601">
        <v>0.17</v>
      </c>
      <c r="C198" s="601">
        <v>7.1999999999999995E-2</v>
      </c>
      <c r="D198" s="633">
        <v>0.25</v>
      </c>
      <c r="E198" s="16" t="s">
        <v>1078</v>
      </c>
      <c r="F198" s="16" t="s">
        <v>1070</v>
      </c>
      <c r="G198" s="16" t="s">
        <v>1071</v>
      </c>
      <c r="CD198" s="653"/>
      <c r="CE198" s="653"/>
      <c r="CF198" s="653"/>
      <c r="CG198" s="653"/>
      <c r="CH198" s="653"/>
      <c r="CI198" s="599"/>
      <c r="CJ198" s="599"/>
      <c r="CK198" s="599"/>
      <c r="CL198" s="599"/>
    </row>
    <row r="199" spans="1:90">
      <c r="A199" s="28" t="s">
        <v>1106</v>
      </c>
      <c r="B199" s="601">
        <v>5.0000000000000001E-3</v>
      </c>
      <c r="C199" s="601">
        <v>5.0000000000000001E-3</v>
      </c>
      <c r="D199" s="633">
        <v>5.0000000000000001E-3</v>
      </c>
      <c r="E199" s="16" t="s">
        <v>1078</v>
      </c>
      <c r="F199" s="16" t="s">
        <v>1070</v>
      </c>
      <c r="G199" s="16" t="s">
        <v>1071</v>
      </c>
      <c r="CD199" s="653"/>
      <c r="CE199" s="653"/>
      <c r="CF199" s="653"/>
      <c r="CG199" s="653"/>
      <c r="CH199" s="653"/>
      <c r="CI199" s="599"/>
      <c r="CJ199" s="599"/>
      <c r="CK199" s="599"/>
      <c r="CL199" s="599"/>
    </row>
    <row r="200" spans="1:90">
      <c r="A200" s="597" t="s">
        <v>1107</v>
      </c>
      <c r="B200" s="601">
        <v>5.0000000000000001E-3</v>
      </c>
      <c r="C200" s="601">
        <v>5.0000000000000001E-3</v>
      </c>
      <c r="D200" s="633">
        <v>5.0000000000000001E-3</v>
      </c>
      <c r="E200" s="16" t="s">
        <v>1078</v>
      </c>
      <c r="F200" s="16" t="s">
        <v>1070</v>
      </c>
      <c r="G200" s="16" t="s">
        <v>1071</v>
      </c>
      <c r="CD200" s="653"/>
      <c r="CE200" s="653"/>
      <c r="CF200" s="653"/>
      <c r="CG200" s="653"/>
      <c r="CH200" s="653"/>
      <c r="CI200" s="599"/>
      <c r="CJ200" s="599"/>
      <c r="CK200" s="599"/>
      <c r="CL200" s="599"/>
    </row>
    <row r="201" spans="1:90">
      <c r="A201" s="28" t="s">
        <v>1108</v>
      </c>
      <c r="B201" s="601">
        <v>0.01</v>
      </c>
      <c r="C201" s="601">
        <v>7.0000000000000007E-2</v>
      </c>
      <c r="D201" s="633">
        <v>0.01</v>
      </c>
      <c r="E201" s="16" t="s">
        <v>1078</v>
      </c>
      <c r="F201" s="16" t="s">
        <v>1070</v>
      </c>
      <c r="G201" s="16" t="s">
        <v>1071</v>
      </c>
      <c r="CD201" s="653"/>
      <c r="CE201" s="653"/>
      <c r="CF201" s="653"/>
      <c r="CG201" s="653"/>
      <c r="CH201" s="653"/>
      <c r="CI201" s="599"/>
      <c r="CJ201" s="599"/>
      <c r="CK201" s="599"/>
      <c r="CL201" s="599"/>
    </row>
    <row r="202" spans="1:90">
      <c r="A202" s="597" t="s">
        <v>1109</v>
      </c>
      <c r="B202" s="601">
        <v>0.01</v>
      </c>
      <c r="C202" s="601">
        <v>0.01</v>
      </c>
      <c r="D202" s="633">
        <v>0.01</v>
      </c>
      <c r="E202" s="16" t="s">
        <v>1078</v>
      </c>
      <c r="F202" s="16" t="s">
        <v>1070</v>
      </c>
      <c r="G202" s="16" t="s">
        <v>1071</v>
      </c>
      <c r="CD202" s="653"/>
      <c r="CE202" s="653"/>
      <c r="CF202" s="653"/>
      <c r="CG202" s="653"/>
      <c r="CH202" s="653"/>
      <c r="CI202" s="599"/>
      <c r="CJ202" s="599"/>
      <c r="CK202" s="599"/>
      <c r="CL202" s="599"/>
    </row>
    <row r="203" spans="1:90">
      <c r="A203" s="28" t="s">
        <v>1110</v>
      </c>
      <c r="B203" s="31">
        <v>0.87</v>
      </c>
      <c r="C203" s="31">
        <v>1</v>
      </c>
      <c r="D203" s="32">
        <v>0.87</v>
      </c>
      <c r="E203" s="16" t="s">
        <v>1078</v>
      </c>
      <c r="F203" s="16" t="s">
        <v>1070</v>
      </c>
      <c r="G203" s="16" t="s">
        <v>1071</v>
      </c>
      <c r="CD203" s="653"/>
      <c r="CE203" s="653"/>
      <c r="CF203" s="653"/>
      <c r="CG203" s="653"/>
      <c r="CH203" s="653"/>
      <c r="CI203" s="599"/>
      <c r="CJ203" s="599"/>
      <c r="CK203" s="599"/>
      <c r="CL203" s="599"/>
    </row>
    <row r="204" spans="1:90">
      <c r="A204" s="29" t="s">
        <v>1111</v>
      </c>
      <c r="B204" s="31">
        <v>0.67</v>
      </c>
      <c r="C204" s="31">
        <v>0.67</v>
      </c>
      <c r="D204" s="32">
        <v>0.67</v>
      </c>
      <c r="E204" s="16" t="s">
        <v>1112</v>
      </c>
      <c r="F204" s="16" t="s">
        <v>1112</v>
      </c>
      <c r="G204" s="16" t="s">
        <v>1112</v>
      </c>
      <c r="CD204" s="653"/>
      <c r="CE204" s="653"/>
      <c r="CF204" s="653"/>
      <c r="CG204" s="653"/>
      <c r="CH204" s="653"/>
      <c r="CI204" s="599"/>
      <c r="CJ204" s="599"/>
      <c r="CK204" s="599"/>
      <c r="CL204" s="599"/>
    </row>
    <row r="205" spans="1:90">
      <c r="A205" s="28" t="s">
        <v>1113</v>
      </c>
      <c r="B205" s="31">
        <v>0.45</v>
      </c>
      <c r="C205" s="31">
        <v>0.45</v>
      </c>
      <c r="D205" s="32">
        <v>0.3</v>
      </c>
      <c r="E205" s="16" t="s">
        <v>1078</v>
      </c>
      <c r="F205" s="16" t="s">
        <v>1070</v>
      </c>
      <c r="G205" s="16" t="s">
        <v>1071</v>
      </c>
      <c r="CD205" s="653"/>
      <c r="CE205" s="653"/>
      <c r="CF205" s="653"/>
      <c r="CG205" s="653"/>
      <c r="CH205" s="653"/>
      <c r="CI205" s="599"/>
      <c r="CJ205" s="599"/>
      <c r="CK205" s="599"/>
      <c r="CL205" s="599"/>
    </row>
    <row r="206" spans="1:90">
      <c r="D206" s="100"/>
      <c r="E206" s="547"/>
      <c r="CD206" s="653"/>
      <c r="CE206" s="653"/>
      <c r="CF206" s="653"/>
      <c r="CG206" s="653"/>
      <c r="CH206" s="653"/>
      <c r="CI206" s="599"/>
      <c r="CJ206" s="599"/>
      <c r="CK206" s="599"/>
      <c r="CL206" s="599"/>
    </row>
    <row r="207" spans="1:90">
      <c r="A207" s="648" t="s">
        <v>332</v>
      </c>
      <c r="D207" s="100"/>
      <c r="E207" s="547"/>
      <c r="CD207" s="653"/>
      <c r="CE207" s="653"/>
      <c r="CF207" s="653"/>
      <c r="CG207" s="653"/>
      <c r="CH207" s="653"/>
      <c r="CI207" s="599"/>
      <c r="CJ207" s="599"/>
      <c r="CK207" s="599"/>
      <c r="CL207" s="599"/>
    </row>
    <row r="208" spans="1:90">
      <c r="A208" s="648"/>
      <c r="D208" s="100"/>
      <c r="CD208" s="653"/>
      <c r="CE208" s="653"/>
      <c r="CF208" s="653"/>
      <c r="CG208" s="653"/>
      <c r="CH208" s="653"/>
      <c r="CI208" s="599"/>
      <c r="CJ208" s="599"/>
      <c r="CK208" s="599"/>
      <c r="CL208" s="599"/>
    </row>
    <row r="209" spans="1:90">
      <c r="A209" s="648" t="s">
        <v>1114</v>
      </c>
      <c r="B209" s="23"/>
      <c r="C209" s="23"/>
      <c r="D209" s="626"/>
      <c r="CD209" s="653"/>
      <c r="CE209" s="653"/>
      <c r="CF209" s="653"/>
      <c r="CG209" s="653"/>
      <c r="CH209" s="653"/>
      <c r="CI209" s="599"/>
      <c r="CJ209" s="599"/>
      <c r="CK209" s="599"/>
      <c r="CL209" s="599"/>
    </row>
    <row r="210" spans="1:90">
      <c r="A210" s="648" t="s">
        <v>1115</v>
      </c>
      <c r="C210" s="601"/>
      <c r="D210" s="633"/>
      <c r="CD210" s="653"/>
      <c r="CE210" s="654"/>
      <c r="CF210" s="654"/>
      <c r="CG210" s="653"/>
      <c r="CH210" s="653"/>
      <c r="CI210" s="599"/>
      <c r="CJ210" s="599"/>
      <c r="CK210" s="599"/>
      <c r="CL210" s="599"/>
    </row>
    <row r="211" spans="1:90">
      <c r="A211" s="597" t="s">
        <v>1069</v>
      </c>
      <c r="B211" s="601">
        <v>0.2619999999999999</v>
      </c>
      <c r="C211" s="601">
        <v>0.31419999999999992</v>
      </c>
      <c r="D211" s="633">
        <v>0.5</v>
      </c>
      <c r="E211" s="16" t="s">
        <v>1116</v>
      </c>
      <c r="F211" s="16" t="s">
        <v>1117</v>
      </c>
      <c r="G211" s="29" t="s">
        <v>1112</v>
      </c>
      <c r="CD211" s="653"/>
      <c r="CE211" s="654"/>
      <c r="CF211" s="654"/>
      <c r="CG211" s="653"/>
      <c r="CH211" s="653"/>
      <c r="CI211" s="599"/>
      <c r="CJ211" s="599"/>
      <c r="CK211" s="599"/>
      <c r="CL211" s="599"/>
    </row>
    <row r="212" spans="1:90">
      <c r="A212" s="597" t="s">
        <v>1084</v>
      </c>
      <c r="B212" s="601">
        <v>0.2619999999999999</v>
      </c>
      <c r="C212" s="601">
        <v>0</v>
      </c>
      <c r="D212" s="633">
        <v>0</v>
      </c>
      <c r="E212" s="16" t="s">
        <v>1116</v>
      </c>
      <c r="F212" s="16" t="s">
        <v>1117</v>
      </c>
      <c r="G212" s="29" t="s">
        <v>1112</v>
      </c>
      <c r="H212" s="601"/>
      <c r="CD212" s="599"/>
      <c r="CE212" s="599"/>
      <c r="CF212" s="599"/>
      <c r="CG212" s="599"/>
      <c r="CH212" s="599"/>
      <c r="CI212" s="599"/>
      <c r="CJ212" s="599"/>
      <c r="CK212" s="599"/>
      <c r="CL212" s="599"/>
    </row>
    <row r="213" spans="1:90">
      <c r="A213" s="597" t="s">
        <v>1073</v>
      </c>
      <c r="B213" s="601">
        <v>0.2619999999999999</v>
      </c>
      <c r="C213" s="601">
        <v>0.33579999999999988</v>
      </c>
      <c r="D213" s="633">
        <v>0.5</v>
      </c>
      <c r="E213" s="16" t="s">
        <v>1116</v>
      </c>
      <c r="F213" s="16" t="s">
        <v>1117</v>
      </c>
      <c r="G213" s="29" t="s">
        <v>1112</v>
      </c>
      <c r="H213" s="601"/>
      <c r="CD213" s="599"/>
      <c r="CE213" s="619"/>
      <c r="CF213" s="619"/>
      <c r="CG213" s="599"/>
      <c r="CH213" s="599"/>
      <c r="CI213" s="599"/>
      <c r="CJ213" s="599"/>
      <c r="CK213" s="599"/>
      <c r="CL213" s="599"/>
    </row>
    <row r="214" spans="1:90">
      <c r="A214" s="597" t="s">
        <v>1074</v>
      </c>
      <c r="B214" s="601">
        <v>0.2619999999999999</v>
      </c>
      <c r="C214" s="601">
        <v>0.39249999999999996</v>
      </c>
      <c r="D214" s="633">
        <v>0.5</v>
      </c>
      <c r="E214" s="16" t="s">
        <v>1116</v>
      </c>
      <c r="F214" s="16" t="s">
        <v>1117</v>
      </c>
      <c r="G214" s="29" t="s">
        <v>1112</v>
      </c>
      <c r="H214" s="601"/>
      <c r="CD214" s="599"/>
      <c r="CE214" s="599"/>
      <c r="CF214" s="599"/>
      <c r="CG214" s="599"/>
      <c r="CH214" s="599"/>
      <c r="CI214" s="599"/>
      <c r="CJ214" s="599"/>
      <c r="CK214" s="599"/>
      <c r="CL214" s="599"/>
    </row>
    <row r="215" spans="1:90">
      <c r="A215" s="648" t="s">
        <v>1118</v>
      </c>
      <c r="D215" s="633"/>
      <c r="H215" s="601"/>
      <c r="CD215" s="599"/>
      <c r="CE215" s="599"/>
      <c r="CF215" s="599"/>
      <c r="CG215" s="599"/>
      <c r="CH215" s="599"/>
      <c r="CI215" s="599"/>
      <c r="CJ215" s="599"/>
      <c r="CK215" s="599"/>
      <c r="CL215" s="599"/>
    </row>
    <row r="216" spans="1:90">
      <c r="A216" s="597" t="s">
        <v>1069</v>
      </c>
      <c r="B216" s="601">
        <v>0.1744</v>
      </c>
      <c r="C216" s="601">
        <v>0.19967999999999997</v>
      </c>
      <c r="D216" s="633">
        <v>0.48</v>
      </c>
      <c r="E216" s="16" t="s">
        <v>1116</v>
      </c>
      <c r="F216" s="16" t="s">
        <v>1117</v>
      </c>
      <c r="G216" s="29" t="s">
        <v>1112</v>
      </c>
      <c r="H216" s="601"/>
      <c r="CD216" s="599"/>
      <c r="CE216" s="599"/>
      <c r="CF216" s="599"/>
      <c r="CG216" s="599"/>
      <c r="CH216" s="599"/>
      <c r="CI216" s="599"/>
      <c r="CJ216" s="599"/>
      <c r="CK216" s="619"/>
      <c r="CL216" s="599"/>
    </row>
    <row r="217" spans="1:90">
      <c r="A217" s="597" t="s">
        <v>1084</v>
      </c>
      <c r="B217" s="601">
        <v>0.1744</v>
      </c>
      <c r="C217" s="601">
        <v>0</v>
      </c>
      <c r="D217" s="633">
        <v>0</v>
      </c>
      <c r="E217" s="16" t="s">
        <v>1116</v>
      </c>
      <c r="F217" s="16" t="s">
        <v>1117</v>
      </c>
      <c r="G217" s="29" t="s">
        <v>1112</v>
      </c>
      <c r="H217" s="601"/>
      <c r="CD217" s="599"/>
      <c r="CE217" s="599"/>
      <c r="CF217" s="599"/>
      <c r="CG217" s="599"/>
      <c r="CH217" s="599"/>
      <c r="CI217" s="599"/>
      <c r="CJ217" s="599"/>
      <c r="CK217" s="619"/>
      <c r="CL217" s="599"/>
    </row>
    <row r="218" spans="1:90">
      <c r="A218" s="597" t="s">
        <v>1073</v>
      </c>
      <c r="B218" s="601">
        <v>0.1744</v>
      </c>
      <c r="C218" s="601">
        <v>0.20553599999999994</v>
      </c>
      <c r="D218" s="633">
        <v>0.48</v>
      </c>
      <c r="E218" s="16" t="s">
        <v>1116</v>
      </c>
      <c r="F218" s="16" t="s">
        <v>1117</v>
      </c>
      <c r="G218" s="29" t="s">
        <v>1112</v>
      </c>
      <c r="H218" s="601"/>
      <c r="CD218" s="599"/>
      <c r="CE218" s="599"/>
      <c r="CF218" s="599"/>
      <c r="CG218" s="599"/>
      <c r="CH218" s="599"/>
      <c r="CI218" s="599"/>
      <c r="CJ218" s="599"/>
      <c r="CK218" s="619"/>
      <c r="CL218" s="599"/>
    </row>
    <row r="219" spans="1:90">
      <c r="A219" s="597" t="s">
        <v>1074</v>
      </c>
      <c r="B219" s="601">
        <v>0.1744</v>
      </c>
      <c r="C219" s="601">
        <v>0.20293333333333341</v>
      </c>
      <c r="D219" s="633">
        <v>0.48</v>
      </c>
      <c r="E219" s="16" t="s">
        <v>1116</v>
      </c>
      <c r="F219" s="16" t="s">
        <v>1117</v>
      </c>
      <c r="G219" s="29" t="s">
        <v>1112</v>
      </c>
      <c r="H219" s="601"/>
      <c r="CD219" s="599"/>
      <c r="CE219" s="599"/>
      <c r="CF219" s="599"/>
      <c r="CG219" s="599"/>
      <c r="CH219" s="599"/>
      <c r="CI219" s="599"/>
      <c r="CJ219" s="599"/>
      <c r="CK219" s="619"/>
      <c r="CL219" s="599"/>
    </row>
    <row r="220" spans="1:90">
      <c r="A220" s="648" t="s">
        <v>1097</v>
      </c>
      <c r="C220" s="601"/>
      <c r="D220" s="633"/>
      <c r="H220" s="601"/>
      <c r="CD220" s="599"/>
      <c r="CE220" s="599"/>
      <c r="CF220" s="599"/>
      <c r="CG220" s="599"/>
      <c r="CH220" s="599"/>
      <c r="CI220" s="599"/>
      <c r="CJ220" s="599"/>
      <c r="CK220" s="619"/>
      <c r="CL220" s="599"/>
    </row>
    <row r="221" spans="1:90">
      <c r="A221" s="597" t="s">
        <v>1069</v>
      </c>
      <c r="B221" s="601">
        <v>0.47500000000000009</v>
      </c>
      <c r="C221" s="601">
        <v>0.20524999999999993</v>
      </c>
      <c r="D221" s="633">
        <v>0.5</v>
      </c>
      <c r="E221" s="16" t="s">
        <v>1116</v>
      </c>
      <c r="F221" s="16" t="s">
        <v>1117</v>
      </c>
      <c r="G221" s="29" t="s">
        <v>1112</v>
      </c>
      <c r="H221" s="601"/>
      <c r="CD221" s="599"/>
      <c r="CE221" s="599"/>
      <c r="CF221" s="599"/>
      <c r="CG221" s="599"/>
      <c r="CH221" s="599"/>
      <c r="CI221" s="599"/>
      <c r="CJ221" s="599"/>
      <c r="CK221" s="619"/>
      <c r="CL221" s="599"/>
    </row>
    <row r="222" spans="1:90">
      <c r="A222" s="597" t="s">
        <v>1084</v>
      </c>
      <c r="B222" s="601">
        <v>0.47500000000000009</v>
      </c>
      <c r="C222" s="29">
        <v>0</v>
      </c>
      <c r="D222" s="633">
        <v>0</v>
      </c>
      <c r="E222" s="16" t="s">
        <v>1116</v>
      </c>
      <c r="F222" s="16" t="s">
        <v>1117</v>
      </c>
      <c r="G222" s="29" t="s">
        <v>1112</v>
      </c>
      <c r="CD222" s="599"/>
      <c r="CE222" s="599"/>
      <c r="CF222" s="599"/>
      <c r="CG222" s="599"/>
      <c r="CH222" s="599"/>
      <c r="CI222" s="599"/>
      <c r="CJ222" s="599"/>
      <c r="CK222" s="619"/>
      <c r="CL222" s="599"/>
    </row>
    <row r="223" spans="1:90">
      <c r="A223" s="597" t="s">
        <v>1073</v>
      </c>
      <c r="B223" s="601">
        <v>0.47500000000000009</v>
      </c>
      <c r="C223" s="601">
        <v>0.23329999999999995</v>
      </c>
      <c r="D223" s="633">
        <v>0.5</v>
      </c>
      <c r="E223" s="16" t="s">
        <v>1116</v>
      </c>
      <c r="F223" s="16" t="s">
        <v>1117</v>
      </c>
      <c r="G223" s="29" t="s">
        <v>1112</v>
      </c>
      <c r="CD223" s="599"/>
      <c r="CE223" s="599"/>
      <c r="CF223" s="599"/>
      <c r="CG223" s="599"/>
      <c r="CH223" s="599"/>
      <c r="CI223" s="599"/>
      <c r="CJ223" s="599"/>
      <c r="CK223" s="619"/>
      <c r="CL223" s="599"/>
    </row>
    <row r="224" spans="1:90">
      <c r="A224" s="597" t="s">
        <v>1074</v>
      </c>
      <c r="B224" s="601">
        <v>0.47500000000000009</v>
      </c>
      <c r="C224" s="601">
        <v>0.23329999999999995</v>
      </c>
      <c r="D224" s="633">
        <v>0.5</v>
      </c>
      <c r="E224" s="16" t="s">
        <v>1116</v>
      </c>
      <c r="F224" s="16" t="s">
        <v>1117</v>
      </c>
      <c r="G224" s="29" t="s">
        <v>1112</v>
      </c>
      <c r="CD224" s="599"/>
      <c r="CE224" s="599"/>
      <c r="CF224" s="599"/>
      <c r="CG224" s="599"/>
      <c r="CH224" s="599"/>
      <c r="CI224" s="599"/>
      <c r="CJ224" s="599"/>
      <c r="CK224" s="619"/>
      <c r="CL224" s="599"/>
    </row>
    <row r="225" spans="1:90">
      <c r="D225" s="100"/>
      <c r="E225" s="599"/>
      <c r="CD225" s="599"/>
      <c r="CE225" s="599"/>
      <c r="CF225" s="599"/>
      <c r="CG225" s="599"/>
      <c r="CH225" s="599"/>
      <c r="CI225" s="599"/>
      <c r="CJ225" s="599"/>
      <c r="CK225" s="619"/>
      <c r="CL225" s="599"/>
    </row>
    <row r="226" spans="1:90">
      <c r="A226" s="648" t="s">
        <v>1119</v>
      </c>
      <c r="B226" s="601"/>
      <c r="C226" s="601"/>
      <c r="D226" s="633"/>
      <c r="E226" s="599"/>
      <c r="M226" s="601"/>
      <c r="CD226" s="599"/>
      <c r="CE226" s="599"/>
      <c r="CF226" s="599"/>
      <c r="CG226" s="599"/>
      <c r="CH226" s="599"/>
      <c r="CI226" s="599"/>
      <c r="CJ226" s="599"/>
      <c r="CK226" s="619"/>
      <c r="CL226" s="599"/>
    </row>
    <row r="227" spans="1:90">
      <c r="A227" s="109" t="s">
        <v>1095</v>
      </c>
      <c r="B227" s="615"/>
      <c r="C227" s="601"/>
      <c r="D227" s="633"/>
      <c r="E227" s="599"/>
      <c r="M227" s="601"/>
      <c r="CD227" s="599"/>
      <c r="CE227" s="599"/>
      <c r="CF227" s="599"/>
      <c r="CG227" s="599"/>
      <c r="CH227" s="599"/>
      <c r="CI227" s="599"/>
      <c r="CJ227" s="599"/>
      <c r="CK227" s="619"/>
      <c r="CL227" s="599"/>
    </row>
    <row r="228" spans="1:90">
      <c r="A228" s="597" t="s">
        <v>1069</v>
      </c>
      <c r="B228" s="615">
        <f>B177*B211</f>
        <v>293099.93054999987</v>
      </c>
      <c r="C228" s="615">
        <f t="shared" ref="B228:D231" si="0">C177*C211</f>
        <v>2737.2412966937427</v>
      </c>
      <c r="D228" s="635">
        <f t="shared" si="0"/>
        <v>871275.91876666667</v>
      </c>
      <c r="E228" s="599"/>
      <c r="CD228" s="599"/>
      <c r="CE228" s="599"/>
      <c r="CF228" s="599"/>
      <c r="CG228" s="599"/>
      <c r="CH228" s="599"/>
      <c r="CI228" s="599"/>
      <c r="CJ228" s="599"/>
      <c r="CK228" s="619"/>
      <c r="CL228" s="599"/>
    </row>
    <row r="229" spans="1:90">
      <c r="A229" s="597" t="s">
        <v>1084</v>
      </c>
      <c r="B229" s="615">
        <f t="shared" si="0"/>
        <v>2056.7069023541026</v>
      </c>
      <c r="C229" s="615">
        <f t="shared" si="0"/>
        <v>0</v>
      </c>
      <c r="D229" s="635">
        <f t="shared" si="0"/>
        <v>0</v>
      </c>
      <c r="E229" s="599"/>
      <c r="CD229" s="599"/>
      <c r="CE229" s="599"/>
      <c r="CF229" s="599"/>
      <c r="CG229" s="599"/>
      <c r="CH229" s="599"/>
      <c r="CI229" s="599"/>
      <c r="CJ229" s="599"/>
      <c r="CK229" s="619"/>
      <c r="CL229" s="599"/>
    </row>
    <row r="230" spans="1:90">
      <c r="A230" s="597" t="s">
        <v>1073</v>
      </c>
      <c r="B230" s="615">
        <f t="shared" si="0"/>
        <v>217207.71849174757</v>
      </c>
      <c r="C230" s="615">
        <f t="shared" si="0"/>
        <v>14909.921005933131</v>
      </c>
      <c r="D230" s="635">
        <f t="shared" si="0"/>
        <v>7206833.4867466576</v>
      </c>
      <c r="E230" s="599"/>
      <c r="CD230" s="599"/>
      <c r="CE230" s="599"/>
      <c r="CF230" s="599"/>
      <c r="CG230" s="599"/>
      <c r="CH230" s="599"/>
      <c r="CI230" s="599"/>
      <c r="CJ230" s="599"/>
      <c r="CK230" s="619"/>
      <c r="CL230" s="599"/>
    </row>
    <row r="231" spans="1:90">
      <c r="A231" s="597" t="s">
        <v>1074</v>
      </c>
      <c r="B231" s="615">
        <f t="shared" si="0"/>
        <v>15083.456365869246</v>
      </c>
      <c r="C231" s="615">
        <f t="shared" si="0"/>
        <v>14206.786612417285</v>
      </c>
      <c r="D231" s="635">
        <f t="shared" si="0"/>
        <v>5874975.1421733536</v>
      </c>
      <c r="E231" s="599"/>
      <c r="M231" s="601"/>
      <c r="CD231" s="599"/>
      <c r="CE231" s="599"/>
      <c r="CF231" s="599"/>
      <c r="CG231" s="599"/>
      <c r="CH231" s="599"/>
      <c r="CI231" s="599"/>
      <c r="CJ231" s="599"/>
      <c r="CK231" s="619"/>
      <c r="CL231" s="599"/>
    </row>
    <row r="232" spans="1:90">
      <c r="A232" s="109" t="s">
        <v>1096</v>
      </c>
      <c r="B232" s="615"/>
      <c r="C232" s="615"/>
      <c r="D232" s="635"/>
      <c r="E232" s="599"/>
      <c r="M232" s="601"/>
      <c r="CD232" s="599"/>
      <c r="CE232" s="599"/>
      <c r="CF232" s="599"/>
      <c r="CG232" s="599"/>
      <c r="CH232" s="599"/>
      <c r="CI232" s="599"/>
      <c r="CJ232" s="599"/>
      <c r="CK232" s="619"/>
      <c r="CL232" s="599"/>
    </row>
    <row r="233" spans="1:90">
      <c r="A233" s="597" t="s">
        <v>1069</v>
      </c>
      <c r="B233" s="615">
        <f t="shared" ref="B233:D236" si="1">B182*B216</f>
        <v>298784.21535360004</v>
      </c>
      <c r="C233" s="615">
        <f t="shared" si="1"/>
        <v>1551694.8732477259</v>
      </c>
      <c r="D233" s="635">
        <f t="shared" si="1"/>
        <v>11351067.083967999</v>
      </c>
      <c r="E233" s="599"/>
      <c r="M233" s="23"/>
      <c r="CD233" s="599"/>
      <c r="CE233" s="599"/>
      <c r="CF233" s="599"/>
      <c r="CG233" s="599"/>
      <c r="CH233" s="599"/>
      <c r="CI233" s="599"/>
      <c r="CJ233" s="599"/>
      <c r="CK233" s="619"/>
      <c r="CL233" s="599"/>
    </row>
    <row r="234" spans="1:90">
      <c r="A234" s="597" t="s">
        <v>1084</v>
      </c>
      <c r="B234" s="615">
        <f t="shared" si="1"/>
        <v>2096.5940076446877</v>
      </c>
      <c r="C234" s="615">
        <f t="shared" si="1"/>
        <v>0</v>
      </c>
      <c r="D234" s="635">
        <f t="shared" si="1"/>
        <v>0</v>
      </c>
      <c r="E234" s="599"/>
      <c r="M234" s="601"/>
      <c r="CD234" s="599"/>
      <c r="CE234" s="599"/>
      <c r="CF234" s="599"/>
      <c r="CG234" s="599"/>
      <c r="CH234" s="599"/>
      <c r="CI234" s="599"/>
      <c r="CJ234" s="599"/>
      <c r="CK234" s="619"/>
      <c r="CL234" s="599"/>
    </row>
    <row r="235" spans="1:90">
      <c r="A235" s="597" t="s">
        <v>1073</v>
      </c>
      <c r="B235" s="615">
        <f t="shared" si="1"/>
        <v>1151414.9503103974</v>
      </c>
      <c r="C235" s="615">
        <f t="shared" si="1"/>
        <v>8140431.111664447</v>
      </c>
      <c r="D235" s="635">
        <f t="shared" si="1"/>
        <v>93891324.905258045</v>
      </c>
      <c r="E235" s="599"/>
      <c r="M235" s="601"/>
      <c r="CD235" s="599"/>
      <c r="CE235" s="599"/>
      <c r="CF235" s="599"/>
      <c r="CG235" s="599"/>
      <c r="CH235" s="599"/>
      <c r="CI235" s="599"/>
      <c r="CJ235" s="599"/>
      <c r="CK235" s="619"/>
      <c r="CL235" s="599"/>
    </row>
    <row r="236" spans="1:90">
      <c r="A236" s="597" t="s">
        <v>1074</v>
      </c>
      <c r="B236" s="615">
        <f t="shared" si="1"/>
        <v>79957.182381049803</v>
      </c>
      <c r="C236" s="615">
        <f t="shared" si="1"/>
        <v>6552008.3118119454</v>
      </c>
      <c r="D236" s="635">
        <f t="shared" si="1"/>
        <v>76539745.353978321</v>
      </c>
      <c r="E236" s="599"/>
      <c r="M236" s="601"/>
      <c r="CD236" s="599"/>
      <c r="CE236" s="599"/>
      <c r="CF236" s="599"/>
      <c r="CG236" s="599"/>
      <c r="CH236" s="599"/>
      <c r="CI236" s="599"/>
      <c r="CJ236" s="599"/>
      <c r="CK236" s="599"/>
      <c r="CL236" s="599"/>
    </row>
    <row r="237" spans="1:90">
      <c r="A237" s="109" t="s">
        <v>1097</v>
      </c>
      <c r="B237" s="615"/>
      <c r="C237" s="615"/>
      <c r="D237" s="635"/>
      <c r="E237" s="599"/>
      <c r="M237" s="601"/>
      <c r="CD237" s="599"/>
      <c r="CE237" s="599"/>
      <c r="CF237" s="599"/>
      <c r="CG237" s="599"/>
      <c r="CH237" s="599"/>
      <c r="CI237" s="599"/>
      <c r="CJ237" s="599"/>
      <c r="CK237" s="599"/>
      <c r="CL237" s="599"/>
    </row>
    <row r="238" spans="1:90">
      <c r="A238" s="597" t="s">
        <v>1069</v>
      </c>
      <c r="B238" s="615">
        <f t="shared" ref="B238:D241" si="2">B187*B221</f>
        <v>157896.80010000005</v>
      </c>
      <c r="C238" s="615">
        <f t="shared" si="2"/>
        <v>32185.671453326006</v>
      </c>
      <c r="D238" s="635">
        <f t="shared" si="2"/>
        <v>192946.91626666667</v>
      </c>
      <c r="E238" s="599"/>
      <c r="CD238" s="599"/>
      <c r="CE238" s="599"/>
      <c r="CF238" s="599"/>
      <c r="CG238" s="599"/>
      <c r="CH238" s="599"/>
      <c r="CI238" s="599"/>
      <c r="CJ238" s="599"/>
      <c r="CK238" s="599"/>
      <c r="CL238" s="599"/>
    </row>
    <row r="239" spans="1:90">
      <c r="A239" s="597" t="s">
        <v>1084</v>
      </c>
      <c r="B239" s="615">
        <f t="shared" si="2"/>
        <v>1107.9751469606624</v>
      </c>
      <c r="C239" s="615">
        <f t="shared" si="2"/>
        <v>0</v>
      </c>
      <c r="D239" s="635">
        <f t="shared" si="2"/>
        <v>0</v>
      </c>
      <c r="E239" s="599"/>
      <c r="CD239" s="599"/>
      <c r="CE239" s="599"/>
      <c r="CF239" s="599"/>
      <c r="CG239" s="599"/>
      <c r="CH239" s="599"/>
      <c r="CI239" s="599"/>
      <c r="CJ239" s="599"/>
      <c r="CK239" s="599"/>
      <c r="CL239" s="599"/>
    </row>
    <row r="240" spans="1:90">
      <c r="A240" s="597" t="s">
        <v>1073</v>
      </c>
      <c r="B240" s="615">
        <f t="shared" si="2"/>
        <v>57278.926458614929</v>
      </c>
      <c r="C240" s="615">
        <f t="shared" si="2"/>
        <v>186458.3748431078</v>
      </c>
      <c r="D240" s="635">
        <f t="shared" si="2"/>
        <v>1595976.9659231352</v>
      </c>
      <c r="E240" s="599"/>
      <c r="CD240" s="599"/>
      <c r="CE240" s="599"/>
      <c r="CF240" s="599"/>
      <c r="CG240" s="599"/>
      <c r="CH240" s="599"/>
      <c r="CI240" s="599"/>
      <c r="CJ240" s="599"/>
      <c r="CK240" s="599"/>
      <c r="CL240" s="599"/>
    </row>
    <row r="241" spans="1:90">
      <c r="A241" s="617" t="s">
        <v>1074</v>
      </c>
      <c r="B241" s="655">
        <f t="shared" si="2"/>
        <v>3977.5943227136131</v>
      </c>
      <c r="C241" s="655">
        <f t="shared" si="2"/>
        <v>151999.94828072647</v>
      </c>
      <c r="D241" s="656">
        <f t="shared" si="2"/>
        <v>1301032.5574363135</v>
      </c>
      <c r="E241" s="599"/>
      <c r="CD241" s="599"/>
      <c r="CE241" s="599"/>
      <c r="CF241" s="599"/>
      <c r="CG241" s="599"/>
      <c r="CH241" s="599"/>
      <c r="CI241" s="599"/>
      <c r="CJ241" s="599"/>
      <c r="CK241" s="599"/>
      <c r="CL241" s="599"/>
    </row>
    <row r="242" spans="1:90">
      <c r="A242" s="29"/>
      <c r="E242" s="599"/>
      <c r="CD242" s="599"/>
      <c r="CE242" s="599"/>
      <c r="CF242" s="599"/>
      <c r="CG242" s="599"/>
      <c r="CH242" s="599"/>
      <c r="CI242" s="599"/>
      <c r="CJ242" s="599"/>
      <c r="CK242" s="599"/>
      <c r="CL242" s="599"/>
    </row>
    <row r="243" spans="1:90">
      <c r="A243" s="603"/>
      <c r="C243" s="603"/>
      <c r="M243" s="615"/>
      <c r="CD243" s="599"/>
      <c r="CE243" s="599"/>
      <c r="CF243" s="599"/>
      <c r="CG243" s="599"/>
      <c r="CH243" s="599"/>
      <c r="CI243" s="599"/>
      <c r="CJ243" s="599"/>
      <c r="CK243" s="599"/>
      <c r="CL243" s="599"/>
    </row>
    <row r="244" spans="1:90">
      <c r="A244" s="23" t="s">
        <v>1014</v>
      </c>
      <c r="D244" s="23" t="s">
        <v>608</v>
      </c>
      <c r="M244" s="615"/>
      <c r="CD244" s="599"/>
      <c r="CE244" s="599"/>
      <c r="CF244" s="599"/>
      <c r="CG244" s="599"/>
      <c r="CH244" s="599"/>
      <c r="CI244" s="599"/>
      <c r="CJ244" s="599"/>
      <c r="CK244" s="599"/>
      <c r="CL244" s="599"/>
    </row>
    <row r="245" spans="1:90">
      <c r="A245" s="657" t="s">
        <v>1120</v>
      </c>
      <c r="B245" s="658" t="s">
        <v>122</v>
      </c>
      <c r="C245" s="262" t="s">
        <v>176</v>
      </c>
      <c r="D245" s="23" t="s">
        <v>122</v>
      </c>
      <c r="E245" s="23" t="s">
        <v>176</v>
      </c>
      <c r="CD245" s="599"/>
      <c r="CE245" s="599"/>
      <c r="CF245" s="599"/>
      <c r="CG245" s="599"/>
      <c r="CH245" s="599"/>
      <c r="CI245" s="618"/>
      <c r="CJ245" s="618"/>
      <c r="CK245" s="599"/>
      <c r="CL245" s="599"/>
    </row>
    <row r="246" spans="1:90">
      <c r="A246" s="13">
        <v>30</v>
      </c>
      <c r="B246" s="601">
        <v>0</v>
      </c>
      <c r="C246" s="32">
        <v>5.8609539207760703E-3</v>
      </c>
      <c r="D246" s="29" t="s">
        <v>1121</v>
      </c>
      <c r="E246" s="16" t="s">
        <v>1070</v>
      </c>
      <c r="CD246" s="599"/>
      <c r="CE246" s="599"/>
      <c r="CF246" s="599"/>
      <c r="CG246" s="599"/>
      <c r="CH246" s="599"/>
      <c r="CI246" s="599"/>
      <c r="CJ246" s="599"/>
      <c r="CK246" s="599"/>
      <c r="CL246" s="599"/>
    </row>
    <row r="247" spans="1:90">
      <c r="A247" s="13">
        <v>32</v>
      </c>
      <c r="B247" s="31">
        <v>0</v>
      </c>
      <c r="C247" s="32">
        <v>0.3152789005658852</v>
      </c>
      <c r="E247" s="16"/>
      <c r="M247" s="615"/>
      <c r="CD247" s="599"/>
      <c r="CE247" s="599"/>
      <c r="CF247" s="599"/>
      <c r="CG247" s="599"/>
      <c r="CH247" s="599"/>
      <c r="CI247" s="599"/>
      <c r="CJ247" s="599"/>
      <c r="CK247" s="599"/>
      <c r="CL247" s="599"/>
    </row>
    <row r="248" spans="1:90">
      <c r="A248" s="13">
        <v>35</v>
      </c>
      <c r="B248" s="31">
        <v>1</v>
      </c>
      <c r="C248" s="32">
        <v>0.64874696847210989</v>
      </c>
      <c r="E248" s="16"/>
      <c r="M248" s="615"/>
      <c r="CD248" s="596"/>
      <c r="CE248" s="596"/>
      <c r="CF248" s="596"/>
      <c r="CG248" s="599"/>
      <c r="CH248" s="599"/>
      <c r="CI248" s="599"/>
      <c r="CJ248" s="599"/>
      <c r="CK248" s="599"/>
      <c r="CL248" s="599"/>
    </row>
    <row r="249" spans="1:90">
      <c r="A249" s="13">
        <v>40</v>
      </c>
      <c r="B249" s="31">
        <v>0</v>
      </c>
      <c r="C249" s="32">
        <v>3.0113177041228782E-2</v>
      </c>
      <c r="E249" s="16"/>
      <c r="M249" s="601"/>
      <c r="AI249" s="659"/>
      <c r="AJ249" s="659"/>
      <c r="AK249" s="659"/>
      <c r="AL249" s="600"/>
      <c r="AM249" s="600"/>
      <c r="AN249" s="600"/>
      <c r="AO249" s="600"/>
      <c r="AP249" s="600"/>
      <c r="AQ249" s="600"/>
      <c r="AR249" s="600"/>
      <c r="AS249" s="600"/>
      <c r="AT249" s="600"/>
      <c r="AU249" s="600"/>
      <c r="AV249" s="600"/>
      <c r="AW249" s="600"/>
      <c r="AX249" s="600"/>
      <c r="AY249" s="600"/>
      <c r="AZ249" s="600"/>
      <c r="BA249" s="600"/>
      <c r="BB249" s="600"/>
      <c r="BC249" s="600"/>
      <c r="BD249" s="600"/>
      <c r="BE249" s="600"/>
      <c r="BF249" s="600"/>
      <c r="BG249" s="600"/>
      <c r="BH249" s="600"/>
      <c r="BI249" s="600"/>
      <c r="BJ249" s="600"/>
      <c r="BK249" s="600"/>
      <c r="BL249" s="600"/>
      <c r="BM249" s="600"/>
      <c r="BN249" s="600"/>
      <c r="BO249" s="600"/>
      <c r="BP249" s="600"/>
      <c r="BQ249" s="600"/>
      <c r="BR249" s="600"/>
      <c r="BS249" s="600"/>
      <c r="BT249" s="600"/>
      <c r="BU249" s="600"/>
      <c r="BV249" s="600"/>
      <c r="BW249" s="600"/>
      <c r="BX249" s="600"/>
      <c r="BY249" s="600"/>
      <c r="BZ249" s="600"/>
      <c r="CA249" s="600"/>
      <c r="CB249" s="600"/>
      <c r="CC249" s="600"/>
      <c r="CD249" s="619"/>
      <c r="CF249" s="600"/>
      <c r="CG249" s="599"/>
      <c r="CH249" s="599"/>
      <c r="CI249" s="599"/>
      <c r="CJ249" s="599"/>
      <c r="CK249" s="599"/>
      <c r="CL249" s="599"/>
    </row>
    <row r="250" spans="1:90">
      <c r="C250" s="100"/>
      <c r="F250" s="603"/>
      <c r="G250" s="601"/>
      <c r="H250" s="616"/>
      <c r="M250" s="616"/>
      <c r="AI250" s="659"/>
      <c r="AJ250" s="659"/>
      <c r="AK250" s="659"/>
      <c r="AL250" s="660"/>
      <c r="AM250" s="660"/>
      <c r="AN250" s="660"/>
      <c r="AO250" s="660"/>
      <c r="AP250" s="660"/>
      <c r="AQ250" s="660"/>
      <c r="AR250" s="660"/>
      <c r="AS250" s="660"/>
      <c r="AT250" s="660"/>
      <c r="AU250" s="660"/>
      <c r="AV250" s="660"/>
      <c r="AW250" s="660"/>
      <c r="AX250" s="660"/>
      <c r="AY250" s="660"/>
      <c r="AZ250" s="660"/>
      <c r="BA250" s="660"/>
      <c r="BB250" s="660"/>
      <c r="BC250" s="660"/>
      <c r="BD250" s="660"/>
      <c r="BE250" s="660"/>
      <c r="BF250" s="660"/>
      <c r="BG250" s="660"/>
      <c r="BH250" s="660"/>
      <c r="BI250" s="660"/>
      <c r="BJ250" s="660"/>
      <c r="BK250" s="660"/>
      <c r="BL250" s="660"/>
      <c r="BM250" s="660"/>
      <c r="BN250" s="619"/>
      <c r="BO250" s="619"/>
      <c r="BP250" s="619"/>
      <c r="BQ250" s="619"/>
      <c r="BR250" s="619"/>
      <c r="BS250" s="619"/>
      <c r="BT250" s="619"/>
      <c r="BU250" s="619"/>
      <c r="BV250" s="619"/>
      <c r="BW250" s="619"/>
      <c r="BX250" s="619"/>
      <c r="BY250" s="599"/>
      <c r="BZ250" s="599"/>
      <c r="CA250" s="599"/>
      <c r="CB250" s="661"/>
      <c r="CC250" s="600"/>
      <c r="CD250" s="619"/>
      <c r="CF250" s="600"/>
      <c r="CG250" s="599"/>
      <c r="CH250" s="599"/>
      <c r="CI250" s="599"/>
      <c r="CJ250" s="599"/>
      <c r="CK250" s="599"/>
      <c r="CL250" s="599"/>
    </row>
    <row r="251" spans="1:90">
      <c r="A251" s="109" t="s">
        <v>1061</v>
      </c>
      <c r="B251" s="178">
        <v>135566000</v>
      </c>
      <c r="C251" s="528">
        <v>155753400</v>
      </c>
      <c r="D251" s="29" t="s">
        <v>1062</v>
      </c>
      <c r="E251" s="29" t="s">
        <v>1063</v>
      </c>
      <c r="M251" s="615"/>
      <c r="AI251" s="599"/>
      <c r="AJ251" s="599"/>
      <c r="AK251" s="599"/>
      <c r="AL251" s="593"/>
      <c r="AM251" s="593"/>
      <c r="AN251" s="593"/>
      <c r="AO251" s="593"/>
      <c r="AP251" s="593"/>
      <c r="AQ251" s="593"/>
      <c r="AR251" s="593"/>
      <c r="AS251" s="593"/>
      <c r="AT251" s="593"/>
      <c r="AU251" s="593"/>
      <c r="AV251" s="593"/>
      <c r="AW251" s="593"/>
      <c r="AX251" s="593"/>
      <c r="AY251" s="593"/>
      <c r="AZ251" s="593"/>
      <c r="BA251" s="593"/>
      <c r="BB251" s="593"/>
      <c r="BC251" s="593"/>
      <c r="BD251" s="593"/>
      <c r="BE251" s="593"/>
      <c r="BF251" s="593"/>
      <c r="BG251" s="593"/>
      <c r="BH251" s="593"/>
      <c r="BI251" s="593"/>
      <c r="BJ251" s="593"/>
      <c r="BK251" s="593"/>
      <c r="BL251" s="593"/>
      <c r="BM251" s="593"/>
      <c r="BN251" s="593"/>
      <c r="BO251" s="593"/>
      <c r="BP251" s="593"/>
      <c r="BQ251" s="593"/>
      <c r="BR251" s="593"/>
      <c r="BS251" s="593"/>
      <c r="BT251" s="593"/>
      <c r="BU251" s="593"/>
      <c r="BV251" s="593"/>
      <c r="BW251" s="593"/>
      <c r="BX251" s="593"/>
      <c r="BY251" s="593"/>
      <c r="BZ251" s="593"/>
      <c r="CA251" s="593"/>
      <c r="CB251" s="593"/>
      <c r="CC251" s="593"/>
      <c r="CD251" s="619"/>
      <c r="CE251" s="599"/>
      <c r="CF251" s="599"/>
      <c r="CG251" s="599"/>
      <c r="CH251" s="599"/>
      <c r="CI251" s="599"/>
      <c r="CJ251" s="599"/>
      <c r="CK251" s="599"/>
      <c r="CL251" s="599"/>
    </row>
    <row r="252" spans="1:90">
      <c r="A252" s="109" t="s">
        <v>1064</v>
      </c>
      <c r="B252" s="29">
        <v>92635260</v>
      </c>
      <c r="C252" s="100">
        <v>102141966.66666667</v>
      </c>
      <c r="D252" s="29" t="s">
        <v>1062</v>
      </c>
      <c r="E252" s="29" t="s">
        <v>1063</v>
      </c>
      <c r="M252" s="615"/>
      <c r="AI252" s="659"/>
      <c r="AJ252" s="659"/>
      <c r="AK252" s="659"/>
      <c r="AL252" s="619"/>
      <c r="AM252" s="619"/>
      <c r="AN252" s="619"/>
      <c r="AO252" s="619"/>
      <c r="AP252" s="619"/>
      <c r="AQ252" s="619"/>
      <c r="AR252" s="619"/>
      <c r="AS252" s="619"/>
      <c r="AT252" s="619"/>
      <c r="AU252" s="619"/>
      <c r="AV252" s="619"/>
      <c r="AW252" s="619"/>
      <c r="AX252" s="619"/>
      <c r="AY252" s="619"/>
      <c r="AZ252" s="619"/>
      <c r="BA252" s="619"/>
      <c r="BB252" s="619"/>
      <c r="BC252" s="619"/>
      <c r="BD252" s="619"/>
      <c r="BE252" s="619"/>
      <c r="BF252" s="619"/>
      <c r="BG252" s="619"/>
      <c r="BH252" s="619"/>
      <c r="BI252" s="619"/>
      <c r="BJ252" s="619"/>
      <c r="BK252" s="619"/>
      <c r="BL252" s="619"/>
      <c r="BM252" s="619"/>
      <c r="BN252" s="619"/>
      <c r="BO252" s="619"/>
      <c r="BP252" s="619"/>
      <c r="BQ252" s="619"/>
      <c r="BR252" s="619"/>
      <c r="BS252" s="619"/>
      <c r="BT252" s="619"/>
      <c r="BU252" s="619"/>
      <c r="BV252" s="619"/>
      <c r="BW252" s="619"/>
      <c r="BX252" s="619"/>
      <c r="BY252" s="619"/>
      <c r="BZ252" s="619"/>
      <c r="CA252" s="619"/>
      <c r="CB252" s="619"/>
      <c r="CC252" s="619"/>
      <c r="CD252" s="619"/>
      <c r="CE252" s="599"/>
      <c r="CF252" s="599"/>
      <c r="CG252" s="599"/>
      <c r="CH252" s="599"/>
      <c r="CI252" s="599"/>
      <c r="CJ252" s="599"/>
      <c r="CK252" s="599"/>
      <c r="CL252" s="599"/>
    </row>
    <row r="253" spans="1:90">
      <c r="A253" s="28" t="s">
        <v>1065</v>
      </c>
      <c r="B253" s="31">
        <v>3.1E-2</v>
      </c>
      <c r="C253" s="32">
        <v>3.1E-2</v>
      </c>
      <c r="D253" s="29" t="s">
        <v>810</v>
      </c>
      <c r="E253" s="29" t="s">
        <v>810</v>
      </c>
      <c r="F253" s="603"/>
      <c r="H253" s="547"/>
      <c r="AI253" s="593"/>
      <c r="AJ253" s="593"/>
      <c r="AK253" s="593"/>
      <c r="AL253" s="662"/>
      <c r="AM253" s="662"/>
      <c r="AN253" s="662"/>
      <c r="AO253" s="662"/>
      <c r="AP253" s="662"/>
      <c r="AQ253" s="662"/>
      <c r="AR253" s="662"/>
      <c r="AS253" s="662"/>
      <c r="AT253" s="662"/>
      <c r="AU253" s="662"/>
      <c r="AV253" s="662"/>
      <c r="AW253" s="662"/>
      <c r="AX253" s="662"/>
      <c r="AY253" s="662"/>
      <c r="AZ253" s="662"/>
      <c r="BA253" s="662"/>
      <c r="BB253" s="662"/>
      <c r="BC253" s="662"/>
      <c r="BD253" s="662"/>
      <c r="BE253" s="662"/>
      <c r="BF253" s="662"/>
      <c r="BG253" s="662"/>
      <c r="BH253" s="662"/>
      <c r="BI253" s="662"/>
      <c r="BJ253" s="662"/>
      <c r="BK253" s="662"/>
      <c r="BL253" s="662"/>
      <c r="BM253" s="662"/>
      <c r="BN253" s="662"/>
      <c r="BO253" s="662"/>
      <c r="BP253" s="662"/>
      <c r="BQ253" s="662"/>
      <c r="BR253" s="662"/>
      <c r="BS253" s="662"/>
      <c r="BT253" s="662"/>
      <c r="BU253" s="662"/>
      <c r="BV253" s="662"/>
      <c r="BW253" s="662"/>
      <c r="BX253" s="662"/>
      <c r="BY253" s="662"/>
      <c r="BZ253" s="662"/>
      <c r="CA253" s="662"/>
      <c r="CB253" s="662"/>
      <c r="CC253" s="619"/>
      <c r="CD253" s="619"/>
      <c r="CE253" s="599"/>
      <c r="CF253" s="599"/>
      <c r="CG253" s="599"/>
      <c r="CH253" s="599"/>
      <c r="CI253" s="599"/>
      <c r="CJ253" s="599"/>
      <c r="CK253" s="599"/>
      <c r="CL253" s="599"/>
    </row>
    <row r="254" spans="1:90" ht="25.5">
      <c r="A254" s="14" t="s">
        <v>1067</v>
      </c>
      <c r="B254" s="31">
        <v>7.0000000000000001E-3</v>
      </c>
      <c r="C254" s="32">
        <v>7.0000000000000001E-3</v>
      </c>
      <c r="D254" s="29" t="s">
        <v>810</v>
      </c>
      <c r="E254" s="29" t="s">
        <v>810</v>
      </c>
      <c r="F254" s="603"/>
      <c r="G254" s="23"/>
      <c r="J254" s="594"/>
      <c r="K254" s="23"/>
      <c r="L254" s="23"/>
      <c r="AI254" s="593"/>
      <c r="AJ254" s="593"/>
      <c r="AK254" s="593"/>
      <c r="AL254" s="663"/>
      <c r="AM254" s="663"/>
      <c r="AN254" s="663"/>
      <c r="AO254" s="663"/>
      <c r="AP254" s="663"/>
      <c r="AQ254" s="663"/>
      <c r="AR254" s="663"/>
      <c r="AS254" s="663"/>
      <c r="AT254" s="663"/>
      <c r="AU254" s="663"/>
      <c r="AV254" s="663"/>
      <c r="AW254" s="663"/>
      <c r="AX254" s="663"/>
      <c r="AY254" s="663"/>
      <c r="AZ254" s="663"/>
      <c r="BA254" s="663"/>
      <c r="BB254" s="663"/>
      <c r="BC254" s="663"/>
      <c r="BD254" s="663"/>
      <c r="BE254" s="663"/>
      <c r="BF254" s="663"/>
      <c r="BG254" s="663"/>
      <c r="BH254" s="663"/>
      <c r="BI254" s="663"/>
      <c r="BJ254" s="663"/>
      <c r="BK254" s="663"/>
      <c r="BL254" s="663"/>
      <c r="BM254" s="663"/>
      <c r="BN254" s="663"/>
      <c r="BO254" s="663"/>
      <c r="BP254" s="663"/>
      <c r="BQ254" s="663"/>
      <c r="BR254" s="663"/>
      <c r="BS254" s="663"/>
      <c r="BT254" s="663"/>
      <c r="BU254" s="663"/>
      <c r="BV254" s="663"/>
      <c r="BW254" s="663"/>
      <c r="BX254" s="663"/>
      <c r="BY254" s="663"/>
      <c r="BZ254" s="663"/>
      <c r="CA254" s="663"/>
      <c r="CB254" s="663"/>
      <c r="CC254" s="663"/>
      <c r="CD254" s="599"/>
      <c r="CE254" s="659"/>
      <c r="CF254" s="599"/>
      <c r="CG254" s="593"/>
      <c r="CH254" s="593"/>
      <c r="CI254" s="659"/>
      <c r="CJ254" s="599"/>
      <c r="CK254" s="619"/>
      <c r="CL254" s="619"/>
    </row>
    <row r="255" spans="1:90">
      <c r="A255" s="109" t="s">
        <v>1122</v>
      </c>
      <c r="B255" s="664">
        <v>1.4634384358612476</v>
      </c>
      <c r="C255" s="665">
        <v>1.5248717552922255</v>
      </c>
      <c r="F255" s="607"/>
      <c r="J255" s="607"/>
      <c r="AI255" s="593"/>
      <c r="AJ255" s="593"/>
      <c r="AK255" s="593"/>
      <c r="AL255" s="663"/>
      <c r="AM255" s="663"/>
      <c r="AN255" s="663"/>
      <c r="AO255" s="663"/>
      <c r="AP255" s="663"/>
      <c r="AQ255" s="663"/>
      <c r="AR255" s="663"/>
      <c r="AS255" s="663"/>
      <c r="AT255" s="663"/>
      <c r="AU255" s="663"/>
      <c r="AV255" s="663"/>
      <c r="AW255" s="663"/>
      <c r="AX255" s="663"/>
      <c r="AY255" s="663"/>
      <c r="AZ255" s="663"/>
      <c r="BA255" s="663"/>
      <c r="BB255" s="663"/>
      <c r="BC255" s="663"/>
      <c r="BD255" s="663"/>
      <c r="BE255" s="663"/>
      <c r="BF255" s="663"/>
      <c r="BG255" s="663"/>
      <c r="BH255" s="663"/>
      <c r="BI255" s="663"/>
      <c r="BJ255" s="663"/>
      <c r="BK255" s="663"/>
      <c r="BL255" s="663"/>
      <c r="BM255" s="663"/>
      <c r="BN255" s="663"/>
      <c r="BO255" s="663"/>
      <c r="BP255" s="663"/>
      <c r="BQ255" s="663"/>
      <c r="BR255" s="663"/>
      <c r="BS255" s="663"/>
      <c r="BT255" s="663"/>
      <c r="BU255" s="663"/>
      <c r="BV255" s="663"/>
      <c r="BW255" s="663"/>
      <c r="BX255" s="663"/>
      <c r="BY255" s="663"/>
      <c r="BZ255" s="663"/>
      <c r="CA255" s="663"/>
      <c r="CB255" s="663"/>
      <c r="CC255" s="663"/>
      <c r="CD255" s="599"/>
      <c r="CE255" s="619"/>
      <c r="CF255" s="619"/>
      <c r="CG255" s="600"/>
      <c r="CH255" s="599"/>
      <c r="CI255" s="600"/>
      <c r="CJ255" s="599"/>
      <c r="CK255" s="619"/>
      <c r="CL255" s="619"/>
    </row>
    <row r="256" spans="1:90">
      <c r="C256" s="100"/>
      <c r="F256" s="616"/>
      <c r="G256" s="601"/>
      <c r="J256" s="616"/>
      <c r="K256" s="601"/>
      <c r="L256" s="601"/>
      <c r="AI256" s="659"/>
      <c r="AJ256" s="659"/>
      <c r="AK256" s="659"/>
      <c r="AL256" s="619"/>
      <c r="AM256" s="619"/>
      <c r="AN256" s="619"/>
      <c r="AO256" s="619"/>
      <c r="AP256" s="619"/>
      <c r="AQ256" s="619"/>
      <c r="AR256" s="619"/>
      <c r="AS256" s="619"/>
      <c r="AT256" s="619"/>
      <c r="AU256" s="619"/>
      <c r="AV256" s="619"/>
      <c r="AW256" s="619"/>
      <c r="AX256" s="619"/>
      <c r="AY256" s="619"/>
      <c r="AZ256" s="619"/>
      <c r="BA256" s="619"/>
      <c r="BB256" s="619"/>
      <c r="BC256" s="619"/>
      <c r="BD256" s="619"/>
      <c r="BE256" s="619"/>
      <c r="BF256" s="619"/>
      <c r="BG256" s="619"/>
      <c r="BH256" s="619"/>
      <c r="BI256" s="619"/>
      <c r="BJ256" s="619"/>
      <c r="BK256" s="619"/>
      <c r="BL256" s="619"/>
      <c r="BM256" s="619"/>
      <c r="BN256" s="619"/>
      <c r="BO256" s="619"/>
      <c r="BP256" s="619"/>
      <c r="BQ256" s="619"/>
      <c r="BR256" s="619"/>
      <c r="BS256" s="619"/>
      <c r="BT256" s="619"/>
      <c r="BU256" s="619"/>
      <c r="BV256" s="619"/>
      <c r="BW256" s="619"/>
      <c r="BX256" s="619"/>
      <c r="BY256" s="619"/>
      <c r="BZ256" s="619"/>
      <c r="CA256" s="619"/>
      <c r="CB256" s="619"/>
      <c r="CD256" s="599"/>
      <c r="CE256" s="619"/>
      <c r="CF256" s="599"/>
      <c r="CG256" s="600"/>
      <c r="CH256" s="599"/>
      <c r="CI256" s="600"/>
      <c r="CJ256" s="599"/>
      <c r="CK256" s="619"/>
      <c r="CL256" s="619"/>
    </row>
    <row r="257" spans="1:90">
      <c r="A257" s="109" t="s">
        <v>1068</v>
      </c>
      <c r="B257" s="178"/>
      <c r="C257" s="100"/>
      <c r="F257" s="616"/>
      <c r="G257" s="601"/>
      <c r="J257" s="616"/>
      <c r="K257" s="601"/>
      <c r="L257" s="601"/>
      <c r="AI257" s="593"/>
      <c r="AJ257" s="593"/>
      <c r="AK257" s="593"/>
      <c r="AL257" s="619"/>
      <c r="AM257" s="619"/>
      <c r="AN257" s="619"/>
      <c r="AO257" s="619"/>
      <c r="AP257" s="619"/>
      <c r="AQ257" s="619"/>
      <c r="AR257" s="619"/>
      <c r="AS257" s="619"/>
      <c r="AT257" s="619"/>
      <c r="AU257" s="619"/>
      <c r="AV257" s="619"/>
      <c r="AW257" s="619"/>
      <c r="AX257" s="619"/>
      <c r="AY257" s="619"/>
      <c r="AZ257" s="619"/>
      <c r="BA257" s="619"/>
      <c r="BB257" s="619"/>
      <c r="BC257" s="619"/>
      <c r="BD257" s="619"/>
      <c r="BE257" s="619"/>
      <c r="BF257" s="619"/>
      <c r="BG257" s="619"/>
      <c r="BH257" s="619"/>
      <c r="BI257" s="619"/>
      <c r="BJ257" s="619"/>
      <c r="BK257" s="619"/>
      <c r="BL257" s="619"/>
      <c r="BM257" s="619"/>
      <c r="BN257" s="619"/>
      <c r="BO257" s="619"/>
      <c r="BP257" s="619"/>
      <c r="BQ257" s="619"/>
      <c r="BR257" s="619"/>
      <c r="BS257" s="619"/>
      <c r="BT257" s="619"/>
      <c r="BU257" s="619"/>
      <c r="BV257" s="619"/>
      <c r="BW257" s="619"/>
      <c r="BX257" s="619"/>
      <c r="BY257" s="619"/>
      <c r="BZ257" s="619"/>
      <c r="CA257" s="619"/>
      <c r="CB257" s="619"/>
      <c r="CD257" s="599"/>
      <c r="CE257" s="599"/>
      <c r="CF257" s="599"/>
      <c r="CG257" s="599"/>
      <c r="CH257" s="599"/>
      <c r="CI257" s="599"/>
      <c r="CJ257" s="599"/>
      <c r="CK257" s="619"/>
      <c r="CL257" s="619"/>
    </row>
    <row r="258" spans="1:90">
      <c r="A258" s="597" t="s">
        <v>1123</v>
      </c>
      <c r="B258" s="178">
        <f>B252/((1-B253)*(1-B254))</f>
        <v>96272732.658017889</v>
      </c>
      <c r="C258" s="528">
        <f>C252/((1-C253)*(1-C254))</f>
        <v>106152735.47096619</v>
      </c>
      <c r="G258" s="601"/>
      <c r="K258" s="601"/>
      <c r="L258" s="601"/>
      <c r="AI258" s="659"/>
      <c r="AJ258" s="659"/>
      <c r="AK258" s="659"/>
      <c r="AL258" s="666"/>
      <c r="AM258" s="666"/>
      <c r="AN258" s="666"/>
      <c r="AO258" s="666"/>
      <c r="AP258" s="666"/>
      <c r="AQ258" s="666"/>
      <c r="AR258" s="666"/>
      <c r="AS258" s="666"/>
      <c r="AT258" s="666"/>
      <c r="AU258" s="666"/>
      <c r="AV258" s="666"/>
      <c r="AW258" s="666"/>
      <c r="AX258" s="666"/>
      <c r="AY258" s="666"/>
      <c r="AZ258" s="666"/>
      <c r="BA258" s="666"/>
      <c r="BB258" s="666"/>
      <c r="BC258" s="666"/>
      <c r="BD258" s="666"/>
      <c r="BE258" s="666"/>
      <c r="BF258" s="666"/>
      <c r="BG258" s="666"/>
      <c r="BH258" s="666"/>
      <c r="BI258" s="666"/>
      <c r="BJ258" s="666"/>
      <c r="BK258" s="666"/>
      <c r="BL258" s="666"/>
      <c r="BM258" s="666"/>
      <c r="BN258" s="666"/>
      <c r="BO258" s="666"/>
      <c r="BP258" s="666"/>
      <c r="BQ258" s="666"/>
      <c r="BR258" s="666"/>
      <c r="BS258" s="666"/>
      <c r="BT258" s="666"/>
      <c r="BU258" s="666"/>
      <c r="BV258" s="666"/>
      <c r="BW258" s="666"/>
      <c r="BX258" s="666"/>
      <c r="BY258" s="666"/>
      <c r="BZ258" s="666"/>
      <c r="CA258" s="666"/>
      <c r="CB258" s="599"/>
      <c r="CC258" s="599"/>
      <c r="CD258" s="599"/>
      <c r="CE258" s="599"/>
      <c r="CF258" s="599"/>
      <c r="CG258" s="599"/>
      <c r="CH258" s="599"/>
      <c r="CI258" s="599"/>
      <c r="CJ258" s="599"/>
      <c r="CK258" s="619"/>
      <c r="CL258" s="619"/>
    </row>
    <row r="259" spans="1:90">
      <c r="A259" s="597" t="s">
        <v>1124</v>
      </c>
      <c r="B259" s="178">
        <v>854478.72865275294</v>
      </c>
      <c r="C259" s="528">
        <v>1052447.2236879722</v>
      </c>
      <c r="D259" s="44" t="s">
        <v>1125</v>
      </c>
      <c r="E259" s="29" t="s">
        <v>1125</v>
      </c>
      <c r="G259" s="601"/>
      <c r="K259" s="601"/>
      <c r="L259" s="601"/>
      <c r="AI259" s="659"/>
      <c r="AJ259" s="659"/>
      <c r="AK259" s="659"/>
      <c r="AL259" s="619"/>
      <c r="AM259" s="619"/>
      <c r="AN259" s="619"/>
      <c r="AO259" s="619"/>
      <c r="AP259" s="619"/>
      <c r="AQ259" s="619"/>
      <c r="AR259" s="619"/>
      <c r="AS259" s="619"/>
      <c r="AT259" s="619"/>
      <c r="AU259" s="619"/>
      <c r="AV259" s="619"/>
      <c r="AW259" s="619"/>
      <c r="AX259" s="619"/>
      <c r="AY259" s="619"/>
      <c r="AZ259" s="619"/>
      <c r="BA259" s="619"/>
      <c r="BB259" s="619"/>
      <c r="BC259" s="619"/>
      <c r="BD259" s="619"/>
      <c r="BE259" s="619"/>
      <c r="BF259" s="619"/>
      <c r="BG259" s="619"/>
      <c r="BH259" s="619"/>
      <c r="BI259" s="619"/>
      <c r="BJ259" s="619"/>
      <c r="BK259" s="619"/>
      <c r="BL259" s="619"/>
      <c r="BM259" s="619"/>
      <c r="BN259" s="619"/>
      <c r="BO259" s="619"/>
      <c r="BP259" s="619"/>
      <c r="BQ259" s="115"/>
      <c r="BR259" s="115"/>
      <c r="BS259" s="115"/>
      <c r="BT259" s="115"/>
      <c r="BU259" s="115"/>
      <c r="BV259" s="115"/>
      <c r="BW259" s="115"/>
      <c r="BX259" s="115"/>
      <c r="BY259" s="619"/>
      <c r="BZ259" s="619"/>
      <c r="CA259" s="619"/>
      <c r="CB259" s="599"/>
      <c r="CC259" s="619"/>
      <c r="CD259" s="619"/>
      <c r="CE259" s="599"/>
      <c r="CF259" s="599"/>
      <c r="CG259" s="599"/>
      <c r="CH259" s="599"/>
      <c r="CI259" s="599"/>
      <c r="CJ259" s="599"/>
      <c r="CK259" s="619"/>
      <c r="CL259" s="619"/>
    </row>
    <row r="260" spans="1:90">
      <c r="C260" s="100"/>
      <c r="F260" s="607"/>
      <c r="J260" s="607"/>
      <c r="AI260" s="659"/>
      <c r="AJ260" s="659"/>
      <c r="AK260" s="659"/>
      <c r="AL260" s="619"/>
      <c r="AM260" s="619"/>
      <c r="AN260" s="619"/>
      <c r="AO260" s="619"/>
      <c r="AP260" s="619"/>
      <c r="AQ260" s="619"/>
      <c r="AR260" s="619"/>
      <c r="AS260" s="619"/>
      <c r="AT260" s="619"/>
      <c r="AU260" s="619"/>
      <c r="AV260" s="619"/>
      <c r="AW260" s="619"/>
      <c r="AX260" s="619"/>
      <c r="AY260" s="619"/>
      <c r="AZ260" s="619"/>
      <c r="BA260" s="619"/>
      <c r="BB260" s="619"/>
      <c r="BC260" s="619"/>
      <c r="BD260" s="619"/>
      <c r="BE260" s="619"/>
      <c r="BF260" s="619"/>
      <c r="BG260" s="619"/>
      <c r="BH260" s="619"/>
      <c r="BI260" s="619"/>
      <c r="BJ260" s="619"/>
      <c r="BK260" s="619"/>
      <c r="BL260" s="619"/>
      <c r="BM260" s="619"/>
      <c r="BN260" s="619"/>
      <c r="BO260" s="619"/>
      <c r="BP260" s="619"/>
      <c r="BQ260" s="619"/>
      <c r="BR260" s="619"/>
      <c r="BS260" s="619"/>
      <c r="BT260" s="619"/>
      <c r="BU260" s="619"/>
      <c r="BV260" s="619"/>
      <c r="BW260" s="619"/>
      <c r="BX260" s="619"/>
      <c r="BY260" s="619"/>
      <c r="BZ260" s="619"/>
      <c r="CA260" s="619"/>
      <c r="CB260" s="619"/>
      <c r="CC260" s="619"/>
      <c r="CD260" s="619"/>
      <c r="CE260" s="599"/>
      <c r="CF260" s="599"/>
      <c r="CG260" s="599"/>
      <c r="CH260" s="599"/>
      <c r="CI260" s="599"/>
      <c r="CJ260" s="599"/>
      <c r="CK260" s="619"/>
      <c r="CL260" s="619"/>
    </row>
    <row r="261" spans="1:90">
      <c r="A261" s="109" t="s">
        <v>1079</v>
      </c>
      <c r="B261" s="23"/>
      <c r="C261" s="626"/>
      <c r="F261" s="616"/>
      <c r="J261" s="616"/>
      <c r="AI261" s="114"/>
      <c r="AJ261" s="114"/>
      <c r="AK261" s="114"/>
      <c r="AL261" s="114"/>
      <c r="AM261" s="114"/>
      <c r="AN261" s="114"/>
      <c r="AO261" s="114"/>
      <c r="AP261" s="114"/>
      <c r="AQ261" s="114"/>
      <c r="AR261" s="114"/>
      <c r="AS261" s="114"/>
      <c r="AT261" s="114"/>
      <c r="AU261" s="114"/>
      <c r="AV261" s="114"/>
      <c r="AW261" s="114"/>
      <c r="AX261" s="114"/>
      <c r="AY261" s="114"/>
      <c r="AZ261" s="114"/>
      <c r="BA261" s="114"/>
      <c r="BB261" s="114"/>
      <c r="BC261" s="114"/>
      <c r="BD261" s="114"/>
      <c r="BE261" s="114"/>
      <c r="BF261" s="114"/>
      <c r="BG261" s="114"/>
      <c r="BH261" s="114"/>
      <c r="BI261" s="114"/>
      <c r="BJ261" s="114"/>
      <c r="BK261" s="114"/>
      <c r="BL261" s="114"/>
      <c r="BM261" s="114"/>
      <c r="BN261" s="25"/>
      <c r="BO261" s="25"/>
      <c r="BP261" s="25"/>
      <c r="BQ261" s="599"/>
      <c r="BR261" s="599"/>
      <c r="BS261" s="599"/>
      <c r="BT261" s="599"/>
      <c r="BU261" s="599"/>
      <c r="BV261" s="599"/>
      <c r="BW261" s="599"/>
      <c r="BX261" s="599"/>
      <c r="BY261" s="619"/>
      <c r="BZ261" s="619"/>
      <c r="CA261" s="619"/>
      <c r="CB261" s="599"/>
      <c r="CC261" s="619"/>
      <c r="CD261" s="619"/>
      <c r="CE261" s="599"/>
      <c r="CF261" s="599"/>
      <c r="CG261" s="599"/>
      <c r="CH261" s="599"/>
      <c r="CI261" s="599"/>
      <c r="CJ261" s="599"/>
      <c r="CK261" s="619"/>
      <c r="CL261" s="619"/>
    </row>
    <row r="262" spans="1:90">
      <c r="A262" s="597" t="s">
        <v>1126</v>
      </c>
      <c r="B262" s="603">
        <v>2.5</v>
      </c>
      <c r="C262" s="637">
        <v>2.5</v>
      </c>
      <c r="D262" s="29" t="s">
        <v>1121</v>
      </c>
      <c r="E262" s="29" t="s">
        <v>1121</v>
      </c>
      <c r="H262" s="547"/>
    </row>
    <row r="263" spans="1:90">
      <c r="A263" s="597" t="s">
        <v>1127</v>
      </c>
      <c r="B263" s="29">
        <v>63</v>
      </c>
      <c r="C263" s="100">
        <v>63</v>
      </c>
      <c r="D263" s="29" t="s">
        <v>1121</v>
      </c>
      <c r="E263" s="29" t="s">
        <v>1121</v>
      </c>
      <c r="H263" s="547"/>
    </row>
    <row r="264" spans="1:90">
      <c r="A264" s="597" t="s">
        <v>1085</v>
      </c>
      <c r="B264" s="261">
        <v>2.934795077157097</v>
      </c>
      <c r="C264" s="640">
        <v>3.0154447824775392</v>
      </c>
      <c r="D264" s="29" t="s">
        <v>1121</v>
      </c>
      <c r="E264" s="29" t="s">
        <v>1121</v>
      </c>
      <c r="H264" s="547"/>
    </row>
    <row r="265" spans="1:90">
      <c r="C265" s="100"/>
      <c r="H265" s="547"/>
    </row>
    <row r="266" spans="1:90">
      <c r="A266" s="109" t="s">
        <v>1086</v>
      </c>
      <c r="C266" s="641" t="s">
        <v>1088</v>
      </c>
      <c r="H266" s="547"/>
    </row>
    <row r="267" spans="1:90">
      <c r="A267" s="597" t="s">
        <v>1128</v>
      </c>
      <c r="C267" s="633">
        <v>0.02</v>
      </c>
      <c r="E267" s="16" t="s">
        <v>1070</v>
      </c>
      <c r="H267" s="547"/>
    </row>
    <row r="268" spans="1:90">
      <c r="A268" s="597" t="s">
        <v>1129</v>
      </c>
      <c r="C268" s="32">
        <v>3.9E-2</v>
      </c>
      <c r="E268" s="16" t="s">
        <v>1070</v>
      </c>
      <c r="H268" s="547"/>
    </row>
    <row r="269" spans="1:90">
      <c r="C269" s="100"/>
      <c r="H269" s="547"/>
    </row>
    <row r="270" spans="1:90">
      <c r="A270" s="109" t="s">
        <v>1130</v>
      </c>
      <c r="B270" s="178"/>
      <c r="C270" s="528"/>
      <c r="H270" s="547"/>
    </row>
    <row r="271" spans="1:90">
      <c r="A271" s="643" t="s">
        <v>1091</v>
      </c>
      <c r="B271" s="667"/>
      <c r="C271" s="668"/>
      <c r="H271" s="547"/>
    </row>
    <row r="272" spans="1:90">
      <c r="A272" s="643" t="s">
        <v>1092</v>
      </c>
      <c r="B272" s="667"/>
      <c r="C272" s="668"/>
      <c r="H272" s="547"/>
    </row>
    <row r="273" spans="1:8">
      <c r="A273" s="109" t="s">
        <v>1093</v>
      </c>
      <c r="B273" s="667"/>
      <c r="C273" s="100"/>
      <c r="H273" s="547"/>
    </row>
    <row r="274" spans="1:8">
      <c r="A274" s="610" t="s">
        <v>1123</v>
      </c>
      <c r="C274" s="645">
        <f>C$267*$A$248*C$258*C285</f>
        <v>74306914.829676345</v>
      </c>
      <c r="H274" s="547"/>
    </row>
    <row r="275" spans="1:8">
      <c r="A275" s="610" t="s">
        <v>1124</v>
      </c>
      <c r="C275" s="100">
        <f>C$268*365*C$259*C286</f>
        <v>1947606.2097957768</v>
      </c>
    </row>
    <row r="276" spans="1:8">
      <c r="A276" s="597"/>
      <c r="B276" s="603"/>
      <c r="C276" s="100"/>
    </row>
    <row r="277" spans="1:8">
      <c r="A277" s="109" t="s">
        <v>1094</v>
      </c>
      <c r="B277" s="609"/>
      <c r="C277" s="626"/>
    </row>
    <row r="278" spans="1:8">
      <c r="A278" s="109" t="s">
        <v>1095</v>
      </c>
      <c r="C278" s="100"/>
    </row>
    <row r="279" spans="1:8">
      <c r="A279" s="28" t="s">
        <v>1123</v>
      </c>
      <c r="B279" s="615">
        <v>0</v>
      </c>
      <c r="C279" s="635">
        <v>0</v>
      </c>
      <c r="D279" s="16" t="s">
        <v>1078</v>
      </c>
      <c r="E279" s="16" t="s">
        <v>1070</v>
      </c>
    </row>
    <row r="280" spans="1:8">
      <c r="A280" s="28" t="s">
        <v>1124</v>
      </c>
      <c r="B280" s="30">
        <v>0.78</v>
      </c>
      <c r="C280" s="528">
        <v>0.78</v>
      </c>
      <c r="D280" s="16" t="s">
        <v>1078</v>
      </c>
      <c r="E280" s="16" t="s">
        <v>1070</v>
      </c>
    </row>
    <row r="281" spans="1:8">
      <c r="A281" s="109" t="s">
        <v>1096</v>
      </c>
      <c r="B281" s="261"/>
      <c r="C281" s="528"/>
    </row>
    <row r="282" spans="1:8">
      <c r="A282" s="28" t="s">
        <v>1123</v>
      </c>
      <c r="B282" s="615">
        <v>0</v>
      </c>
      <c r="C282" s="635">
        <v>0</v>
      </c>
      <c r="D282" s="16" t="s">
        <v>1078</v>
      </c>
      <c r="E282" s="16" t="s">
        <v>1070</v>
      </c>
    </row>
    <row r="283" spans="1:8">
      <c r="A283" s="28" t="s">
        <v>1124</v>
      </c>
      <c r="B283" s="30">
        <v>0.09</v>
      </c>
      <c r="C283" s="528">
        <v>0.09</v>
      </c>
      <c r="D283" s="16" t="s">
        <v>1078</v>
      </c>
      <c r="E283" s="16" t="s">
        <v>1070</v>
      </c>
    </row>
    <row r="284" spans="1:8">
      <c r="A284" s="109" t="s">
        <v>1097</v>
      </c>
      <c r="B284" s="261"/>
      <c r="C284" s="620"/>
    </row>
    <row r="285" spans="1:8">
      <c r="A285" s="28" t="s">
        <v>1123</v>
      </c>
      <c r="B285" s="261">
        <v>1</v>
      </c>
      <c r="C285" s="640">
        <v>1</v>
      </c>
      <c r="D285" s="16" t="s">
        <v>1078</v>
      </c>
      <c r="E285" s="16" t="s">
        <v>1070</v>
      </c>
    </row>
    <row r="286" spans="1:8">
      <c r="A286" s="28" t="s">
        <v>1124</v>
      </c>
      <c r="B286" s="30">
        <v>0.13</v>
      </c>
      <c r="C286" s="620">
        <v>0.13</v>
      </c>
      <c r="D286" s="16" t="s">
        <v>1078</v>
      </c>
      <c r="E286" s="16" t="s">
        <v>1070</v>
      </c>
    </row>
    <row r="287" spans="1:8">
      <c r="C287" s="100"/>
    </row>
    <row r="288" spans="1:8">
      <c r="A288" s="648" t="s">
        <v>1098</v>
      </c>
      <c r="B288" s="609"/>
      <c r="C288" s="626"/>
    </row>
    <row r="289" spans="1:5">
      <c r="A289" s="597" t="s">
        <v>1131</v>
      </c>
      <c r="B289" s="601">
        <v>0.28999999999999998</v>
      </c>
      <c r="C289" s="633">
        <v>0.51800000000000002</v>
      </c>
      <c r="D289" s="16" t="s">
        <v>1078</v>
      </c>
      <c r="E289" s="16" t="s">
        <v>1070</v>
      </c>
    </row>
    <row r="290" spans="1:5">
      <c r="A290" s="597" t="s">
        <v>1132</v>
      </c>
      <c r="B290" s="601">
        <v>0.61599999999999999</v>
      </c>
      <c r="C290" s="633">
        <v>0.51800000000000002</v>
      </c>
      <c r="D290" s="16" t="s">
        <v>1078</v>
      </c>
      <c r="E290" s="16" t="s">
        <v>1070</v>
      </c>
    </row>
    <row r="291" spans="1:5">
      <c r="A291" s="648" t="s">
        <v>1133</v>
      </c>
      <c r="B291" s="261"/>
      <c r="C291" s="528"/>
    </row>
    <row r="292" spans="1:5">
      <c r="A292" s="643" t="s">
        <v>1091</v>
      </c>
      <c r="B292" s="642"/>
      <c r="C292" s="100"/>
    </row>
    <row r="293" spans="1:5">
      <c r="A293" s="650" t="s">
        <v>1123</v>
      </c>
      <c r="B293" s="651">
        <f>B$289*B$258*B279*A248/365</f>
        <v>0</v>
      </c>
      <c r="C293" s="652">
        <v>0</v>
      </c>
    </row>
    <row r="294" spans="1:5">
      <c r="A294" s="650" t="s">
        <v>1124</v>
      </c>
      <c r="B294" s="651">
        <f>B$290*B$259*B280</f>
        <v>410559.93954307475</v>
      </c>
      <c r="C294" s="652">
        <v>0</v>
      </c>
    </row>
    <row r="295" spans="1:5">
      <c r="A295" s="643" t="s">
        <v>1092</v>
      </c>
      <c r="B295" s="642"/>
      <c r="C295" s="100"/>
    </row>
    <row r="296" spans="1:5">
      <c r="A296" s="650" t="s">
        <v>1123</v>
      </c>
      <c r="B296" s="651">
        <f>B$289*B$258*B282*A248/365</f>
        <v>0</v>
      </c>
      <c r="C296" s="652">
        <v>0</v>
      </c>
    </row>
    <row r="297" spans="1:5">
      <c r="A297" s="650" t="s">
        <v>1124</v>
      </c>
      <c r="B297" s="651">
        <f>B$290*B$259*B283</f>
        <v>47372.300716508624</v>
      </c>
      <c r="C297" s="652">
        <v>0</v>
      </c>
    </row>
    <row r="298" spans="1:5">
      <c r="A298" s="643" t="s">
        <v>1093</v>
      </c>
      <c r="B298" s="642"/>
      <c r="C298" s="100"/>
    </row>
    <row r="299" spans="1:5">
      <c r="A299" s="650" t="s">
        <v>1123</v>
      </c>
      <c r="B299" s="651">
        <f>B$289*B$258*B285*A248/365</f>
        <v>2677173.2506270725</v>
      </c>
      <c r="C299" s="652">
        <f>C$289*C$258*C285*(A246/365*C246+A247/365*C247+A248/365*C248+A249/365*C249)</f>
        <v>5148515.2325537475</v>
      </c>
    </row>
    <row r="300" spans="1:5">
      <c r="A300" s="650" t="s">
        <v>1124</v>
      </c>
      <c r="B300" s="651">
        <f>B$290*B$259*B286</f>
        <v>68426.656590512459</v>
      </c>
      <c r="C300" s="652">
        <f>C$290*C$259*C286</f>
        <v>70871.796043148046</v>
      </c>
    </row>
    <row r="301" spans="1:5">
      <c r="A301" s="650"/>
      <c r="B301" s="642"/>
      <c r="C301" s="100"/>
    </row>
    <row r="302" spans="1:5">
      <c r="A302" s="109" t="s">
        <v>1134</v>
      </c>
      <c r="C302" s="626"/>
    </row>
    <row r="303" spans="1:5">
      <c r="A303" s="28" t="s">
        <v>1135</v>
      </c>
      <c r="C303" s="669">
        <v>1.4999999999999999E-2</v>
      </c>
      <c r="E303" s="16" t="s">
        <v>1070</v>
      </c>
    </row>
    <row r="304" spans="1:5">
      <c r="C304" s="100"/>
      <c r="E304" s="16"/>
    </row>
    <row r="305" spans="1:5">
      <c r="A305" s="648" t="s">
        <v>1136</v>
      </c>
      <c r="B305" s="609"/>
      <c r="C305" s="100"/>
    </row>
    <row r="306" spans="1:5">
      <c r="A306" s="597" t="s">
        <v>1131</v>
      </c>
      <c r="B306" s="31">
        <v>1.7559999999999999E-2</v>
      </c>
      <c r="C306" s="626"/>
      <c r="D306" s="16" t="s">
        <v>1078</v>
      </c>
    </row>
    <row r="307" spans="1:5">
      <c r="A307" s="597" t="s">
        <v>1132</v>
      </c>
      <c r="B307" s="31">
        <v>2.5559999999999999E-2</v>
      </c>
      <c r="C307" s="100"/>
      <c r="D307" s="16" t="s">
        <v>1078</v>
      </c>
    </row>
    <row r="308" spans="1:5">
      <c r="A308" s="597" t="s">
        <v>1137</v>
      </c>
      <c r="B308" s="178">
        <f>B306*B258*A248/365+B307*B259</f>
        <v>183947.93244578296</v>
      </c>
      <c r="C308" s="100"/>
    </row>
    <row r="309" spans="1:5">
      <c r="C309" s="100"/>
    </row>
    <row r="310" spans="1:5">
      <c r="A310" s="28" t="s">
        <v>1106</v>
      </c>
      <c r="B310" s="601">
        <v>5.0000000000000001E-3</v>
      </c>
      <c r="C310" s="32"/>
      <c r="D310" s="16" t="s">
        <v>1078</v>
      </c>
    </row>
    <row r="311" spans="1:5">
      <c r="A311" s="597" t="s">
        <v>1107</v>
      </c>
      <c r="B311" s="601">
        <v>5.0000000000000001E-3</v>
      </c>
      <c r="C311" s="32"/>
      <c r="D311" s="16" t="s">
        <v>1078</v>
      </c>
    </row>
    <row r="312" spans="1:5">
      <c r="A312" s="28" t="s">
        <v>1138</v>
      </c>
      <c r="B312" s="601">
        <v>0.01</v>
      </c>
      <c r="C312" s="633">
        <v>0.01</v>
      </c>
      <c r="D312" s="16" t="s">
        <v>1078</v>
      </c>
      <c r="E312" s="16" t="s">
        <v>1070</v>
      </c>
    </row>
    <row r="313" spans="1:5">
      <c r="A313" s="597" t="s">
        <v>1109</v>
      </c>
      <c r="B313" s="601">
        <v>0.01</v>
      </c>
      <c r="C313" s="633">
        <v>0.01</v>
      </c>
      <c r="D313" s="16" t="s">
        <v>1078</v>
      </c>
      <c r="E313" s="16" t="s">
        <v>1070</v>
      </c>
    </row>
    <row r="314" spans="1:5">
      <c r="A314" s="28" t="s">
        <v>1110</v>
      </c>
      <c r="B314" s="31"/>
      <c r="C314" s="32">
        <v>1</v>
      </c>
      <c r="D314" s="16"/>
      <c r="E314" s="16" t="s">
        <v>1070</v>
      </c>
    </row>
    <row r="315" spans="1:5">
      <c r="A315" s="29" t="s">
        <v>1111</v>
      </c>
      <c r="B315" s="31"/>
      <c r="C315" s="32">
        <v>0.67</v>
      </c>
      <c r="D315" s="16"/>
      <c r="E315" s="16" t="s">
        <v>1112</v>
      </c>
    </row>
    <row r="316" spans="1:5">
      <c r="A316" s="28" t="s">
        <v>1139</v>
      </c>
      <c r="B316" s="31"/>
      <c r="C316" s="633">
        <v>0.36</v>
      </c>
      <c r="D316" s="16"/>
      <c r="E316" s="16" t="s">
        <v>1070</v>
      </c>
    </row>
    <row r="317" spans="1:5">
      <c r="A317" s="28" t="s">
        <v>1140</v>
      </c>
      <c r="B317" s="31"/>
      <c r="C317" s="633">
        <v>0.39</v>
      </c>
      <c r="E317" s="16" t="s">
        <v>1070</v>
      </c>
    </row>
    <row r="318" spans="1:5">
      <c r="C318" s="100"/>
    </row>
    <row r="319" spans="1:5">
      <c r="A319" s="648" t="s">
        <v>1114</v>
      </c>
      <c r="B319" s="23"/>
      <c r="C319" s="100"/>
    </row>
    <row r="320" spans="1:5">
      <c r="A320" s="648" t="s">
        <v>1115</v>
      </c>
      <c r="C320" s="100"/>
    </row>
    <row r="321" spans="1:5">
      <c r="A321" s="597" t="s">
        <v>1123</v>
      </c>
      <c r="B321" s="601">
        <v>5.0000000000000044E-2</v>
      </c>
      <c r="C321" s="633">
        <v>0.11499999999999999</v>
      </c>
      <c r="D321" s="16" t="s">
        <v>1116</v>
      </c>
      <c r="E321" s="16" t="s">
        <v>1070</v>
      </c>
    </row>
    <row r="322" spans="1:5">
      <c r="A322" s="597" t="s">
        <v>1124</v>
      </c>
      <c r="B322" s="601">
        <v>0.20799999999999996</v>
      </c>
      <c r="C322" s="633">
        <v>0.30624999999999991</v>
      </c>
      <c r="D322" s="16" t="s">
        <v>1116</v>
      </c>
      <c r="E322" s="16" t="s">
        <v>1070</v>
      </c>
    </row>
    <row r="323" spans="1:5">
      <c r="A323" s="648" t="s">
        <v>1118</v>
      </c>
      <c r="C323" s="100"/>
      <c r="E323" s="16"/>
    </row>
    <row r="324" spans="1:5">
      <c r="A324" s="597" t="s">
        <v>1123</v>
      </c>
      <c r="B324" s="601">
        <v>0</v>
      </c>
      <c r="C324" s="633">
        <v>0</v>
      </c>
      <c r="D324" s="16" t="s">
        <v>1116</v>
      </c>
      <c r="E324" s="16" t="s">
        <v>1070</v>
      </c>
    </row>
    <row r="325" spans="1:5">
      <c r="A325" s="597" t="s">
        <v>1124</v>
      </c>
      <c r="B325" s="601">
        <v>0.13600000000000001</v>
      </c>
      <c r="C325" s="633">
        <v>2.0000000000000018E-2</v>
      </c>
      <c r="D325" s="16" t="s">
        <v>1116</v>
      </c>
      <c r="E325" s="16" t="s">
        <v>1070</v>
      </c>
    </row>
    <row r="326" spans="1:5">
      <c r="A326" s="648" t="s">
        <v>1097</v>
      </c>
      <c r="C326" s="633"/>
      <c r="E326" s="16"/>
    </row>
    <row r="327" spans="1:5">
      <c r="A327" s="597" t="s">
        <v>1123</v>
      </c>
      <c r="B327" s="601">
        <v>0.14500000000000002</v>
      </c>
      <c r="C327" s="633">
        <v>0.16120000000000001</v>
      </c>
      <c r="D327" s="16" t="s">
        <v>1116</v>
      </c>
      <c r="E327" s="16" t="s">
        <v>1070</v>
      </c>
    </row>
    <row r="328" spans="1:5">
      <c r="A328" s="597" t="s">
        <v>1124</v>
      </c>
      <c r="B328" s="601">
        <v>0.48</v>
      </c>
      <c r="C328" s="633">
        <v>0.29552</v>
      </c>
      <c r="D328" s="16" t="s">
        <v>1116</v>
      </c>
      <c r="E328" s="16" t="s">
        <v>1070</v>
      </c>
    </row>
    <row r="329" spans="1:5">
      <c r="C329" s="633"/>
      <c r="E329" s="16"/>
    </row>
    <row r="330" spans="1:5">
      <c r="A330" s="648" t="s">
        <v>1119</v>
      </c>
      <c r="B330" s="601"/>
      <c r="C330" s="100"/>
    </row>
    <row r="331" spans="1:5">
      <c r="A331" s="109" t="s">
        <v>1095</v>
      </c>
      <c r="B331" s="601"/>
      <c r="C331" s="100"/>
    </row>
    <row r="332" spans="1:5">
      <c r="A332" s="597" t="s">
        <v>1123</v>
      </c>
      <c r="B332" s="615">
        <f>B293*B321</f>
        <v>0</v>
      </c>
      <c r="C332" s="635">
        <f>C293*C321</f>
        <v>0</v>
      </c>
    </row>
    <row r="333" spans="1:5">
      <c r="A333" s="597" t="s">
        <v>1124</v>
      </c>
      <c r="B333" s="615">
        <f>B294*B322</f>
        <v>85396.467424959526</v>
      </c>
      <c r="C333" s="635">
        <f>C294*C322</f>
        <v>0</v>
      </c>
    </row>
    <row r="334" spans="1:5">
      <c r="A334" s="109" t="s">
        <v>1096</v>
      </c>
      <c r="B334" s="601"/>
      <c r="C334" s="100"/>
    </row>
    <row r="335" spans="1:5">
      <c r="A335" s="597" t="s">
        <v>1123</v>
      </c>
      <c r="B335" s="615">
        <f>B296*B324</f>
        <v>0</v>
      </c>
      <c r="C335" s="635">
        <f>C296*C324</f>
        <v>0</v>
      </c>
    </row>
    <row r="336" spans="1:5">
      <c r="A336" s="597" t="s">
        <v>1124</v>
      </c>
      <c r="B336" s="615">
        <f>B297*B325</f>
        <v>6442.6328974451735</v>
      </c>
      <c r="C336" s="635">
        <f>C297*C325</f>
        <v>0</v>
      </c>
    </row>
    <row r="337" spans="1:4">
      <c r="A337" s="109" t="s">
        <v>1097</v>
      </c>
      <c r="B337" s="601"/>
      <c r="C337" s="637"/>
    </row>
    <row r="338" spans="1:4">
      <c r="A338" s="597" t="s">
        <v>1123</v>
      </c>
      <c r="B338" s="615">
        <f>B299*B327</f>
        <v>388190.12134092557</v>
      </c>
      <c r="C338" s="635">
        <f>C299*C327</f>
        <v>829940.65548766416</v>
      </c>
    </row>
    <row r="339" spans="1:4">
      <c r="A339" s="617" t="s">
        <v>1124</v>
      </c>
      <c r="B339" s="655">
        <f>B300*B328</f>
        <v>32844.795163445982</v>
      </c>
      <c r="C339" s="656">
        <f>C300*C328</f>
        <v>20944.03316667111</v>
      </c>
    </row>
    <row r="341" spans="1:4">
      <c r="A341" s="23" t="s">
        <v>1015</v>
      </c>
    </row>
    <row r="342" spans="1:4">
      <c r="A342" s="580"/>
      <c r="B342" s="262" t="s">
        <v>122</v>
      </c>
      <c r="C342" s="23" t="s">
        <v>608</v>
      </c>
    </row>
    <row r="343" spans="1:4">
      <c r="A343" s="670" t="s">
        <v>1141</v>
      </c>
      <c r="B343" s="637">
        <f>16*7</f>
        <v>112</v>
      </c>
      <c r="C343" s="29" t="s">
        <v>1121</v>
      </c>
    </row>
    <row r="344" spans="1:4">
      <c r="A344" s="670" t="s">
        <v>1142</v>
      </c>
      <c r="B344" s="527">
        <f>60*7</f>
        <v>420</v>
      </c>
      <c r="C344" s="29" t="s">
        <v>1121</v>
      </c>
    </row>
    <row r="345" spans="1:4">
      <c r="A345" s="597" t="s">
        <v>1143</v>
      </c>
      <c r="B345" s="671">
        <f>SUM(B343:B344)</f>
        <v>532</v>
      </c>
      <c r="C345" s="29" t="s">
        <v>1121</v>
      </c>
    </row>
    <row r="346" spans="1:4">
      <c r="B346" s="100"/>
    </row>
    <row r="347" spans="1:4">
      <c r="A347" s="28" t="s">
        <v>1144</v>
      </c>
      <c r="B347" s="100">
        <v>131251000</v>
      </c>
      <c r="C347" s="44" t="s">
        <v>1145</v>
      </c>
      <c r="D347" s="109"/>
    </row>
    <row r="348" spans="1:4">
      <c r="A348" s="28" t="s">
        <v>1061</v>
      </c>
      <c r="B348" s="635">
        <v>4208000</v>
      </c>
      <c r="C348" s="29" t="s">
        <v>1146</v>
      </c>
      <c r="D348" s="23"/>
    </row>
    <row r="349" spans="1:4">
      <c r="A349" s="28" t="s">
        <v>1064</v>
      </c>
      <c r="B349" s="635">
        <v>3596972</v>
      </c>
      <c r="C349" s="29" t="s">
        <v>1146</v>
      </c>
    </row>
    <row r="350" spans="1:4">
      <c r="B350" s="100"/>
      <c r="D350" s="14"/>
    </row>
    <row r="351" spans="1:4">
      <c r="A351" s="28" t="s">
        <v>1147</v>
      </c>
      <c r="B351" s="635">
        <v>6998038.666666667</v>
      </c>
      <c r="C351" s="29" t="s">
        <v>1146</v>
      </c>
      <c r="D351" s="23"/>
    </row>
    <row r="352" spans="1:4">
      <c r="A352" s="28" t="s">
        <v>1065</v>
      </c>
      <c r="B352" s="633">
        <v>3.1E-2</v>
      </c>
      <c r="C352" s="29" t="s">
        <v>810</v>
      </c>
      <c r="D352" s="23"/>
    </row>
    <row r="353" spans="1:4">
      <c r="A353" s="28" t="s">
        <v>1148</v>
      </c>
      <c r="B353" s="635">
        <f>B351/(1-B352)</f>
        <v>7221918.1286549717</v>
      </c>
      <c r="D353" s="23"/>
    </row>
    <row r="354" spans="1:4">
      <c r="B354" s="100"/>
    </row>
    <row r="355" spans="1:4">
      <c r="A355" s="648" t="s">
        <v>1149</v>
      </c>
      <c r="B355" s="672">
        <v>2.4273110493299277</v>
      </c>
      <c r="C355" s="29" t="s">
        <v>1121</v>
      </c>
      <c r="D355" s="23"/>
    </row>
    <row r="356" spans="1:4">
      <c r="B356" s="100"/>
      <c r="D356" s="603"/>
    </row>
    <row r="357" spans="1:4">
      <c r="A357" s="109" t="s">
        <v>1094</v>
      </c>
      <c r="B357" s="638"/>
      <c r="D357" s="601"/>
    </row>
    <row r="358" spans="1:4">
      <c r="A358" s="109" t="s">
        <v>1095</v>
      </c>
      <c r="B358" s="100"/>
      <c r="D358" s="601"/>
    </row>
    <row r="359" spans="1:4">
      <c r="A359" s="28" t="s">
        <v>1150</v>
      </c>
      <c r="B359" s="620">
        <v>0.78</v>
      </c>
      <c r="C359" s="16" t="s">
        <v>1078</v>
      </c>
      <c r="D359" s="601"/>
    </row>
    <row r="360" spans="1:4">
      <c r="A360" s="109" t="s">
        <v>1096</v>
      </c>
      <c r="B360" s="100"/>
      <c r="D360" s="601"/>
    </row>
    <row r="361" spans="1:4">
      <c r="A361" s="28" t="s">
        <v>1150</v>
      </c>
      <c r="B361" s="620">
        <v>0.09</v>
      </c>
      <c r="C361" s="16" t="s">
        <v>1078</v>
      </c>
      <c r="D361" s="601"/>
    </row>
    <row r="362" spans="1:4">
      <c r="A362" s="109" t="s">
        <v>1097</v>
      </c>
      <c r="B362" s="100"/>
    </row>
    <row r="363" spans="1:4">
      <c r="A363" s="28" t="s">
        <v>1150</v>
      </c>
      <c r="B363" s="620">
        <v>0.13</v>
      </c>
      <c r="C363" s="16" t="s">
        <v>1078</v>
      </c>
    </row>
    <row r="364" spans="1:4">
      <c r="A364" s="597"/>
      <c r="B364" s="640"/>
    </row>
    <row r="365" spans="1:4">
      <c r="A365" s="648" t="s">
        <v>1098</v>
      </c>
      <c r="B365" s="640"/>
    </row>
    <row r="366" spans="1:4">
      <c r="A366" s="28" t="s">
        <v>1150</v>
      </c>
      <c r="B366" s="637">
        <v>0.61599999999999999</v>
      </c>
      <c r="C366" s="16" t="s">
        <v>1078</v>
      </c>
    </row>
    <row r="367" spans="1:4">
      <c r="A367" s="643" t="s">
        <v>1091</v>
      </c>
      <c r="B367" s="652"/>
    </row>
    <row r="368" spans="1:4">
      <c r="A368" s="28" t="s">
        <v>1150</v>
      </c>
      <c r="B368" s="652">
        <f>B$366*B$353*B359*B345/365</f>
        <v>5057625.2119086767</v>
      </c>
    </row>
    <row r="369" spans="1:3">
      <c r="A369" s="643" t="s">
        <v>1092</v>
      </c>
      <c r="B369" s="647"/>
    </row>
    <row r="370" spans="1:3">
      <c r="A370" s="28" t="s">
        <v>1150</v>
      </c>
      <c r="B370" s="652">
        <f>B$366*B$353*B361*B345/365</f>
        <v>583572.13983561646</v>
      </c>
    </row>
    <row r="371" spans="1:3">
      <c r="A371" s="643" t="s">
        <v>1093</v>
      </c>
      <c r="B371" s="647"/>
    </row>
    <row r="372" spans="1:3">
      <c r="A372" s="28" t="s">
        <v>1150</v>
      </c>
      <c r="B372" s="652">
        <f>B$366*B$353*B363*B345/365</f>
        <v>842937.5353181127</v>
      </c>
    </row>
    <row r="373" spans="1:3">
      <c r="B373" s="100"/>
    </row>
    <row r="374" spans="1:3">
      <c r="A374" s="648" t="s">
        <v>1136</v>
      </c>
      <c r="B374" s="638"/>
    </row>
    <row r="375" spans="1:3">
      <c r="A375" s="597" t="s">
        <v>1150</v>
      </c>
      <c r="B375" s="32">
        <v>2.5559999999999999E-2</v>
      </c>
      <c r="C375" s="16" t="s">
        <v>1078</v>
      </c>
    </row>
    <row r="376" spans="1:3">
      <c r="A376" s="597" t="s">
        <v>1137</v>
      </c>
      <c r="B376" s="528">
        <f>B375*B353*B345/365</f>
        <v>269049.49304109591</v>
      </c>
    </row>
    <row r="377" spans="1:3">
      <c r="B377" s="100"/>
    </row>
    <row r="378" spans="1:3">
      <c r="A378" s="109" t="s">
        <v>1151</v>
      </c>
      <c r="B378" s="638"/>
    </row>
    <row r="379" spans="1:3">
      <c r="A379" s="28" t="s">
        <v>1115</v>
      </c>
      <c r="B379" s="633">
        <v>5.0000000000000001E-3</v>
      </c>
      <c r="C379" s="16" t="s">
        <v>1078</v>
      </c>
    </row>
    <row r="380" spans="1:3">
      <c r="A380" s="597" t="s">
        <v>1118</v>
      </c>
      <c r="B380" s="633">
        <v>5.0000000000000001E-3</v>
      </c>
      <c r="C380" s="16" t="s">
        <v>1078</v>
      </c>
    </row>
    <row r="381" spans="1:3">
      <c r="A381" s="28" t="s">
        <v>1097</v>
      </c>
      <c r="B381" s="633">
        <v>0.01</v>
      </c>
      <c r="C381" s="16" t="s">
        <v>1078</v>
      </c>
    </row>
    <row r="382" spans="1:3">
      <c r="A382" s="597" t="s">
        <v>1109</v>
      </c>
      <c r="B382" s="633">
        <v>0.01</v>
      </c>
    </row>
    <row r="383" spans="1:3">
      <c r="B383" s="100"/>
    </row>
    <row r="384" spans="1:3">
      <c r="A384" s="648" t="s">
        <v>1152</v>
      </c>
      <c r="B384" s="626"/>
    </row>
    <row r="385" spans="1:125">
      <c r="A385" s="648" t="s">
        <v>1115</v>
      </c>
      <c r="B385" s="100"/>
    </row>
    <row r="386" spans="1:125">
      <c r="A386" s="597" t="s">
        <v>1150</v>
      </c>
      <c r="B386" s="633">
        <v>0.20799999999999996</v>
      </c>
      <c r="C386" s="16" t="s">
        <v>1116</v>
      </c>
    </row>
    <row r="387" spans="1:125">
      <c r="A387" s="648" t="s">
        <v>1118</v>
      </c>
      <c r="B387" s="100"/>
    </row>
    <row r="388" spans="1:125">
      <c r="A388" s="597" t="s">
        <v>1150</v>
      </c>
      <c r="B388" s="633">
        <v>0.13600000000000001</v>
      </c>
      <c r="C388" s="16" t="s">
        <v>1116</v>
      </c>
    </row>
    <row r="389" spans="1:125">
      <c r="A389" s="648" t="s">
        <v>1097</v>
      </c>
      <c r="B389" s="100"/>
    </row>
    <row r="390" spans="1:125">
      <c r="A390" s="597" t="s">
        <v>1150</v>
      </c>
      <c r="B390" s="633">
        <v>0.48</v>
      </c>
      <c r="C390" s="16" t="s">
        <v>1116</v>
      </c>
    </row>
    <row r="391" spans="1:125">
      <c r="B391" s="100"/>
    </row>
    <row r="392" spans="1:125">
      <c r="A392" s="648" t="s">
        <v>1119</v>
      </c>
      <c r="B392" s="633"/>
      <c r="AL392" s="23"/>
      <c r="AM392" s="23"/>
      <c r="AN392" s="23"/>
      <c r="AO392" s="23"/>
      <c r="AP392" s="23"/>
      <c r="AQ392" s="23"/>
      <c r="AR392" s="23"/>
      <c r="AS392" s="23"/>
      <c r="AT392" s="23"/>
      <c r="AU392" s="23"/>
      <c r="AV392" s="23"/>
      <c r="AW392" s="23"/>
      <c r="AX392" s="23"/>
      <c r="BA392" s="23"/>
      <c r="BD392" s="23"/>
    </row>
    <row r="393" spans="1:125">
      <c r="A393" s="109" t="s">
        <v>1095</v>
      </c>
      <c r="B393" s="100"/>
      <c r="H393" s="31"/>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row>
    <row r="394" spans="1:125">
      <c r="A394" s="597" t="s">
        <v>1150</v>
      </c>
      <c r="B394" s="635">
        <f>B368*B386</f>
        <v>1051986.0440770045</v>
      </c>
      <c r="H394" s="31"/>
    </row>
    <row r="395" spans="1:125">
      <c r="A395" s="109" t="s">
        <v>1096</v>
      </c>
      <c r="B395" s="100"/>
      <c r="H395" s="31"/>
    </row>
    <row r="396" spans="1:125">
      <c r="A396" s="597" t="s">
        <v>1150</v>
      </c>
      <c r="B396" s="635">
        <f>B370*B388</f>
        <v>79365.811017643849</v>
      </c>
      <c r="H396" s="31"/>
      <c r="AE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J396" s="23"/>
    </row>
    <row r="397" spans="1:125">
      <c r="A397" s="109" t="s">
        <v>1097</v>
      </c>
      <c r="B397" s="633"/>
      <c r="H397" s="31"/>
      <c r="AE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H397" s="23"/>
      <c r="CI397" s="23"/>
      <c r="CJ397" s="23"/>
    </row>
    <row r="398" spans="1:125" ht="15">
      <c r="A398" s="617" t="s">
        <v>1150</v>
      </c>
      <c r="B398" s="656">
        <f>B372*B390</f>
        <v>404610.0169526941</v>
      </c>
      <c r="H398" s="31"/>
      <c r="BN398"/>
      <c r="BO398"/>
      <c r="BP398"/>
      <c r="BQ398" s="135"/>
      <c r="BR398" s="135"/>
      <c r="BS398" s="135"/>
      <c r="BT398" s="135"/>
      <c r="BU398" s="135"/>
      <c r="BV398"/>
      <c r="BW398"/>
      <c r="BX398"/>
      <c r="BY398" s="135"/>
      <c r="BZ398" s="135"/>
      <c r="CA398" s="135"/>
      <c r="CB398"/>
      <c r="CH398" s="91"/>
      <c r="CI398" s="92"/>
      <c r="CJ398" s="92"/>
      <c r="CK398" s="92"/>
      <c r="CL398" s="6"/>
      <c r="CM398" s="6"/>
      <c r="CN398"/>
      <c r="CO398"/>
      <c r="CP398"/>
      <c r="CQ398"/>
      <c r="CR398"/>
      <c r="CS398" s="6"/>
      <c r="CT398" s="6"/>
      <c r="CU398"/>
      <c r="CV398"/>
      <c r="CW398"/>
      <c r="CX398"/>
      <c r="CY398"/>
      <c r="CZ398" s="6"/>
      <c r="DA398"/>
      <c r="DB398"/>
      <c r="DC398"/>
      <c r="DD398"/>
      <c r="DE398"/>
      <c r="DF398"/>
      <c r="DG398"/>
      <c r="DH398"/>
      <c r="DI398" s="6"/>
      <c r="DJ398"/>
      <c r="DK398"/>
      <c r="DL398"/>
      <c r="DM398"/>
      <c r="DN398"/>
      <c r="DO398"/>
      <c r="DP398" s="6"/>
      <c r="DQ398" s="91"/>
      <c r="DR398" s="92"/>
      <c r="DS398" s="91"/>
      <c r="DT398" s="92"/>
      <c r="DU398" s="92"/>
    </row>
    <row r="399" spans="1:125" ht="15">
      <c r="A399" s="29"/>
      <c r="AE399" s="134"/>
      <c r="BN399"/>
      <c r="BO399"/>
      <c r="BP399"/>
      <c r="BQ399" s="27"/>
      <c r="BR399" s="27"/>
      <c r="BS399" s="27"/>
      <c r="BT399" s="27"/>
      <c r="BU399" s="27"/>
      <c r="BV399"/>
      <c r="BW399"/>
      <c r="BX399"/>
      <c r="BY399" s="27"/>
      <c r="BZ399" s="27"/>
      <c r="CA399" s="27"/>
      <c r="CB399" s="27"/>
      <c r="CH399" s="27"/>
      <c r="CI399" s="27"/>
      <c r="CJ399" s="27"/>
      <c r="CK399"/>
      <c r="CL399" s="27"/>
      <c r="CM399" s="27"/>
      <c r="CN399" s="27"/>
      <c r="CO399" s="27"/>
      <c r="CP399" s="27"/>
      <c r="CQ399" s="27"/>
      <c r="CR399"/>
      <c r="CS399" s="27"/>
      <c r="CT399" s="27"/>
      <c r="CU399" s="27"/>
      <c r="CV399" s="27"/>
      <c r="CW399" s="27"/>
      <c r="CX399" s="27"/>
      <c r="CY399"/>
      <c r="CZ399" s="27"/>
      <c r="DA399" s="27"/>
      <c r="DB399" s="27"/>
      <c r="DC399" s="27"/>
      <c r="DD399" s="27"/>
      <c r="DE399" s="27"/>
      <c r="DF399" s="27"/>
      <c r="DG399" s="27"/>
      <c r="DH399"/>
      <c r="DI399" s="27"/>
      <c r="DJ399" s="27"/>
      <c r="DK399" s="27"/>
      <c r="DL399" s="27"/>
      <c r="DM399" s="27"/>
      <c r="DN399" s="27"/>
      <c r="DO399"/>
      <c r="DP399" s="27"/>
      <c r="DQ399" s="27"/>
      <c r="DR399" s="27"/>
      <c r="DS399" s="27"/>
      <c r="DT399" s="27"/>
      <c r="DU399" s="27"/>
    </row>
    <row r="400" spans="1:125">
      <c r="B400" s="178"/>
      <c r="BQ400" s="27"/>
      <c r="BR400" s="27"/>
      <c r="BS400" s="27"/>
      <c r="BT400" s="27"/>
      <c r="BU400" s="27"/>
    </row>
    <row r="401" spans="1:82">
      <c r="A401" s="23" t="s">
        <v>1153</v>
      </c>
      <c r="I401" s="619"/>
      <c r="J401" s="619"/>
      <c r="O401" s="673" t="s">
        <v>1154</v>
      </c>
      <c r="P401" s="623"/>
      <c r="Q401" s="623"/>
      <c r="R401" s="582"/>
      <c r="S401" s="576" t="s">
        <v>293</v>
      </c>
      <c r="T401" s="623"/>
      <c r="U401" s="623"/>
      <c r="V401" s="582"/>
      <c r="W401" s="23" t="s">
        <v>608</v>
      </c>
      <c r="BJ401" s="27"/>
      <c r="BK401" s="27"/>
      <c r="BL401" s="27"/>
      <c r="BM401" s="27"/>
      <c r="BN401" s="27"/>
      <c r="BO401" s="27"/>
      <c r="BP401" s="27"/>
      <c r="BQ401" s="27"/>
      <c r="BR401" s="27"/>
      <c r="BS401" s="27"/>
      <c r="BT401" s="27"/>
      <c r="BU401" s="27"/>
    </row>
    <row r="402" spans="1:82" ht="47.1" customHeight="1">
      <c r="A402" s="576" t="s">
        <v>122</v>
      </c>
      <c r="B402" s="171" t="s">
        <v>1155</v>
      </c>
      <c r="C402" s="171" t="s">
        <v>1156</v>
      </c>
      <c r="D402" s="171" t="s">
        <v>1064</v>
      </c>
      <c r="E402" s="171" t="s">
        <v>1157</v>
      </c>
      <c r="F402" s="171" t="s">
        <v>1158</v>
      </c>
      <c r="G402" s="171" t="s">
        <v>1159</v>
      </c>
      <c r="H402" s="171" t="s">
        <v>1160</v>
      </c>
      <c r="I402" s="171" t="s">
        <v>1161</v>
      </c>
      <c r="J402" s="171" t="s">
        <v>1162</v>
      </c>
      <c r="K402" s="61" t="s">
        <v>1163</v>
      </c>
      <c r="L402" s="61" t="s">
        <v>1164</v>
      </c>
      <c r="M402" s="61" t="s">
        <v>1165</v>
      </c>
      <c r="N402" s="61" t="s">
        <v>1166</v>
      </c>
      <c r="O402" s="171" t="s">
        <v>1096</v>
      </c>
      <c r="P402" s="171" t="s">
        <v>1095</v>
      </c>
      <c r="Q402" s="171" t="s">
        <v>1097</v>
      </c>
      <c r="R402" s="171" t="s">
        <v>1167</v>
      </c>
      <c r="S402" s="171" t="s">
        <v>1168</v>
      </c>
      <c r="T402" s="171" t="s">
        <v>1169</v>
      </c>
      <c r="U402" s="171" t="s">
        <v>1170</v>
      </c>
      <c r="V402" s="171" t="s">
        <v>1171</v>
      </c>
      <c r="W402" s="197" t="s">
        <v>1172</v>
      </c>
      <c r="X402" s="23" t="s">
        <v>1173</v>
      </c>
      <c r="Y402" s="27" t="s">
        <v>1174</v>
      </c>
      <c r="Z402" s="27" t="s">
        <v>293</v>
      </c>
      <c r="AA402" s="27"/>
      <c r="BJ402" s="27"/>
      <c r="BK402" s="27"/>
      <c r="BL402" s="27"/>
      <c r="BM402" s="27"/>
      <c r="BN402" s="27"/>
      <c r="BO402" s="27"/>
      <c r="BP402" s="27"/>
      <c r="BQ402" s="27"/>
      <c r="BT402" s="27"/>
      <c r="BU402" s="27"/>
      <c r="BV402" s="27"/>
      <c r="BW402" s="27"/>
      <c r="BX402" s="27"/>
      <c r="BY402" s="27"/>
      <c r="BZ402" s="27"/>
      <c r="CA402" s="27"/>
      <c r="CB402" s="27"/>
      <c r="CC402" s="27"/>
      <c r="CD402" s="27"/>
    </row>
    <row r="403" spans="1:82">
      <c r="A403" s="109" t="s">
        <v>1175</v>
      </c>
      <c r="V403" s="100"/>
      <c r="W403" s="179" t="s">
        <v>1176</v>
      </c>
      <c r="X403" s="179" t="s">
        <v>1177</v>
      </c>
      <c r="Y403" s="179" t="s">
        <v>1178</v>
      </c>
      <c r="Z403" s="179" t="s">
        <v>1179</v>
      </c>
    </row>
    <row r="404" spans="1:82">
      <c r="A404" s="28" t="s">
        <v>1180</v>
      </c>
      <c r="B404" s="639">
        <v>192055.4</v>
      </c>
      <c r="C404" s="639">
        <f>B404/(1-$B$441)</f>
        <v>199596.76455518868</v>
      </c>
      <c r="D404" s="615">
        <v>35320.800000000003</v>
      </c>
      <c r="E404" s="615">
        <v>35320.800000000003</v>
      </c>
      <c r="F404" s="615">
        <v>327.56764191381723</v>
      </c>
      <c r="G404" s="615">
        <v>12</v>
      </c>
      <c r="H404" s="615">
        <f>D404*F404</f>
        <v>11569951.166509556</v>
      </c>
      <c r="I404" s="615"/>
      <c r="J404" s="178"/>
      <c r="K404" s="615">
        <v>63</v>
      </c>
      <c r="L404" s="615">
        <v>86.4</v>
      </c>
      <c r="M404" s="615">
        <v>1086.9700000000003</v>
      </c>
      <c r="N404" s="615"/>
      <c r="O404" s="601">
        <v>0.152</v>
      </c>
      <c r="P404" s="601">
        <v>0.16600000000000001</v>
      </c>
      <c r="Q404" s="601">
        <v>0.19</v>
      </c>
      <c r="R404" s="601">
        <v>0.49199999999999999</v>
      </c>
      <c r="S404" s="615">
        <v>1780</v>
      </c>
      <c r="T404" s="615">
        <v>1900</v>
      </c>
      <c r="U404" s="615">
        <v>150</v>
      </c>
      <c r="V404" s="635">
        <v>30</v>
      </c>
      <c r="W404" s="179" t="s">
        <v>1181</v>
      </c>
      <c r="X404" s="179" t="s">
        <v>1182</v>
      </c>
      <c r="Y404" s="179" t="s">
        <v>1183</v>
      </c>
      <c r="Z404" s="179" t="s">
        <v>1184</v>
      </c>
    </row>
    <row r="405" spans="1:82">
      <c r="A405" s="28" t="s">
        <v>1185</v>
      </c>
      <c r="B405" s="178">
        <f>E404</f>
        <v>35320.800000000003</v>
      </c>
      <c r="C405" s="639">
        <f>B405/(1-$B$441)</f>
        <v>36707.728090441138</v>
      </c>
      <c r="D405" s="615"/>
      <c r="E405" s="615"/>
      <c r="F405" s="615">
        <v>327.56764191381723</v>
      </c>
      <c r="G405" s="615">
        <v>24</v>
      </c>
      <c r="H405" s="178"/>
      <c r="I405" s="178"/>
      <c r="J405" s="178">
        <f>SUM(H406:I406)</f>
        <v>14810515.650140466</v>
      </c>
      <c r="K405" s="615">
        <v>47</v>
      </c>
      <c r="L405" s="615">
        <v>61.019999999999996</v>
      </c>
      <c r="M405" s="615">
        <v>899</v>
      </c>
      <c r="N405" s="615"/>
      <c r="O405" s="31">
        <v>0.24199999999999999</v>
      </c>
      <c r="P405" s="31">
        <v>0.11600000000000002</v>
      </c>
      <c r="Q405" s="31">
        <v>0.12</v>
      </c>
      <c r="R405" s="31">
        <v>0.52200000000000002</v>
      </c>
      <c r="S405" s="615">
        <v>2570</v>
      </c>
      <c r="T405" s="615">
        <v>1270</v>
      </c>
      <c r="U405" s="615">
        <v>30</v>
      </c>
      <c r="V405" s="635">
        <v>60</v>
      </c>
      <c r="W405" s="179" t="s">
        <v>1186</v>
      </c>
      <c r="X405" s="179" t="s">
        <v>1187</v>
      </c>
      <c r="Y405" s="23" t="s">
        <v>1188</v>
      </c>
      <c r="Z405" s="179" t="s">
        <v>1189</v>
      </c>
    </row>
    <row r="406" spans="1:82">
      <c r="A406" s="28" t="s">
        <v>205</v>
      </c>
      <c r="D406" s="615">
        <v>38203.599999999999</v>
      </c>
      <c r="E406" s="615">
        <f>D406/(1-$B$441)</f>
        <v>39703.725874724725</v>
      </c>
      <c r="F406" s="615">
        <v>297.94424658434235</v>
      </c>
      <c r="G406" s="615">
        <v>26.093906983220201</v>
      </c>
      <c r="H406" s="615">
        <f>D406*F406</f>
        <v>11382542.818809582</v>
      </c>
      <c r="I406" s="615">
        <f>$E$404*$F$404/$E$411*E406</f>
        <v>3427972.8313308838</v>
      </c>
      <c r="J406" s="615">
        <f>SUM(H406:I406)</f>
        <v>14810515.650140466</v>
      </c>
      <c r="K406" s="615">
        <v>47</v>
      </c>
      <c r="L406" s="615">
        <v>61.019999999999996</v>
      </c>
      <c r="M406" s="615">
        <v>899</v>
      </c>
      <c r="N406" s="615"/>
      <c r="O406" s="601">
        <v>0.24199999999999999</v>
      </c>
      <c r="P406" s="601">
        <v>0.11600000000000002</v>
      </c>
      <c r="Q406" s="601">
        <v>0.12</v>
      </c>
      <c r="R406" s="601">
        <v>0.52200000000000002</v>
      </c>
      <c r="S406" s="615">
        <v>2820</v>
      </c>
      <c r="T406" s="615">
        <v>1400</v>
      </c>
      <c r="U406" s="615">
        <v>390</v>
      </c>
      <c r="V406" s="635">
        <v>50</v>
      </c>
      <c r="AA406" s="114"/>
    </row>
    <row r="407" spans="1:82">
      <c r="A407" s="28" t="s">
        <v>1190</v>
      </c>
      <c r="D407" s="615">
        <v>68919.199999999997</v>
      </c>
      <c r="E407" s="615">
        <f>D407/(1-$B$441)</f>
        <v>71625.423371235389</v>
      </c>
      <c r="F407" s="615">
        <v>344.14635633204517</v>
      </c>
      <c r="G407" s="615">
        <v>18.43130426728203</v>
      </c>
      <c r="H407" s="615">
        <f>D407*F407</f>
        <v>23718291.561319485</v>
      </c>
      <c r="I407" s="615">
        <f>$E$404*$F$404/$E$411*E407</f>
        <v>6184054.5172983557</v>
      </c>
      <c r="J407" s="615">
        <f>SUM(H407:I407)</f>
        <v>29902346.078617841</v>
      </c>
      <c r="K407" s="615">
        <v>47</v>
      </c>
      <c r="L407" s="615">
        <v>57.480000000000004</v>
      </c>
      <c r="M407" s="615">
        <v>899</v>
      </c>
      <c r="N407" s="615"/>
      <c r="O407" s="31">
        <v>0.30199999999999999</v>
      </c>
      <c r="P407" s="31">
        <v>0.158</v>
      </c>
      <c r="Q407" s="31">
        <v>0.21600000000000003</v>
      </c>
      <c r="R407" s="31">
        <v>0.32400000000000007</v>
      </c>
      <c r="S407" s="615">
        <v>1720</v>
      </c>
      <c r="T407" s="615">
        <v>300</v>
      </c>
      <c r="U407" s="615">
        <v>760</v>
      </c>
      <c r="V407" s="635">
        <v>570</v>
      </c>
      <c r="AA407" s="63"/>
    </row>
    <row r="408" spans="1:82">
      <c r="A408" s="28" t="s">
        <v>206</v>
      </c>
      <c r="D408" s="615">
        <v>8623.7999999999993</v>
      </c>
      <c r="E408" s="615">
        <f>D408/(1-$B$441)</f>
        <v>8962.4273942364343</v>
      </c>
      <c r="F408" s="615">
        <v>363.72148031854312</v>
      </c>
      <c r="G408" s="615">
        <v>29.752899734699518</v>
      </c>
      <c r="H408" s="615">
        <f>D408*F408</f>
        <v>3136661.3019710518</v>
      </c>
      <c r="I408" s="615">
        <f>$E$404*$F$404/$E$411*E408</f>
        <v>773805.40322983358</v>
      </c>
      <c r="J408" s="615">
        <f>SUM(H408:I408)</f>
        <v>3910466.7052008854</v>
      </c>
      <c r="K408" s="615">
        <v>47</v>
      </c>
      <c r="L408" s="615">
        <v>57.480000000000004</v>
      </c>
      <c r="M408" s="615">
        <v>899</v>
      </c>
      <c r="N408" s="615"/>
      <c r="O408" s="31">
        <v>0.30199999999999999</v>
      </c>
      <c r="P408" s="31">
        <v>0.158</v>
      </c>
      <c r="Q408" s="31">
        <v>0.21600000000000003</v>
      </c>
      <c r="R408" s="31">
        <v>0.32400000000000007</v>
      </c>
      <c r="S408" s="615">
        <v>1820</v>
      </c>
      <c r="T408" s="615">
        <v>320</v>
      </c>
      <c r="U408" s="615">
        <v>800</v>
      </c>
      <c r="V408" s="635">
        <v>610</v>
      </c>
      <c r="AA408" s="593"/>
    </row>
    <row r="409" spans="1:82">
      <c r="A409" s="28" t="s">
        <v>1191</v>
      </c>
      <c r="D409" s="615">
        <v>8934.7999999999993</v>
      </c>
      <c r="E409" s="615">
        <f>D409/(1-$B$441)</f>
        <v>9285.6393100516816</v>
      </c>
      <c r="F409" s="615">
        <v>323.61378485019912</v>
      </c>
      <c r="G409" s="615">
        <v>27.235102834567879</v>
      </c>
      <c r="H409" s="615">
        <f>D409*F409</f>
        <v>2891424.4448795589</v>
      </c>
      <c r="I409" s="615">
        <f>$E$404*$F$404/$E$411*E409</f>
        <v>801711.13856744324</v>
      </c>
      <c r="J409" s="615">
        <f>SUM(H409:I409)</f>
        <v>3693135.5834470019</v>
      </c>
      <c r="K409" s="615">
        <v>47</v>
      </c>
      <c r="L409" s="615">
        <v>57.480000000000004</v>
      </c>
      <c r="M409" s="615">
        <v>899</v>
      </c>
      <c r="N409" s="615"/>
      <c r="O409" s="31">
        <v>0.30199999999999999</v>
      </c>
      <c r="P409" s="31">
        <v>0.158</v>
      </c>
      <c r="Q409" s="31">
        <v>0.21600000000000003</v>
      </c>
      <c r="R409" s="31">
        <v>0.32400000000000007</v>
      </c>
      <c r="S409" s="615">
        <v>3090</v>
      </c>
      <c r="T409" s="615">
        <v>2750</v>
      </c>
      <c r="U409" s="615">
        <v>340</v>
      </c>
      <c r="V409" s="635">
        <v>50</v>
      </c>
      <c r="Z409" s="599"/>
      <c r="AA409" s="593"/>
    </row>
    <row r="410" spans="1:82">
      <c r="A410" s="28" t="s">
        <v>207</v>
      </c>
      <c r="D410" s="615">
        <v>4261.8</v>
      </c>
      <c r="E410" s="615">
        <f>D410/(1-$B$441)</f>
        <v>4429.146439940263</v>
      </c>
      <c r="F410" s="615">
        <v>153.31207933423187</v>
      </c>
      <c r="G410" s="615">
        <v>10.244373608342778</v>
      </c>
      <c r="H410" s="615">
        <f>D410*F410</f>
        <v>653385.41970662936</v>
      </c>
      <c r="I410" s="615">
        <f>$E$404*$F$404/$E$411*E410</f>
        <v>382407.27608303825</v>
      </c>
      <c r="J410" s="615">
        <f>SUM(H410:I410)</f>
        <v>1035792.6957896675</v>
      </c>
      <c r="K410" s="615">
        <v>28</v>
      </c>
      <c r="L410" s="615">
        <v>26.1</v>
      </c>
      <c r="M410" s="615">
        <v>313</v>
      </c>
      <c r="N410" s="615"/>
      <c r="O410" s="31">
        <v>0.19666666666666666</v>
      </c>
      <c r="P410" s="31">
        <v>0.14400000000000002</v>
      </c>
      <c r="Q410" s="31">
        <v>0.26799999999999996</v>
      </c>
      <c r="R410" s="31">
        <v>0.39133333333333331</v>
      </c>
      <c r="S410" s="615">
        <v>770</v>
      </c>
      <c r="T410" s="615">
        <v>140</v>
      </c>
      <c r="U410" s="615">
        <v>310</v>
      </c>
      <c r="V410" s="635">
        <v>280</v>
      </c>
      <c r="Z410" s="599"/>
    </row>
    <row r="411" spans="1:82">
      <c r="A411" s="28" t="s">
        <v>1192</v>
      </c>
      <c r="D411" s="615">
        <f>SUM(D406:D410)</f>
        <v>128943.2</v>
      </c>
      <c r="E411" s="615">
        <f>SUM(E406:E410)</f>
        <v>134006.3623901885</v>
      </c>
      <c r="G411" s="178"/>
      <c r="H411" s="178"/>
      <c r="I411" s="178"/>
      <c r="J411" s="615">
        <f>SUM(J406:J410)</f>
        <v>53352256.71319586</v>
      </c>
      <c r="K411" s="178"/>
      <c r="L411" s="178"/>
      <c r="M411" s="178"/>
      <c r="N411" s="178"/>
      <c r="O411" s="31"/>
      <c r="P411" s="31"/>
      <c r="Q411" s="31"/>
      <c r="R411" s="31"/>
      <c r="S411" s="178"/>
      <c r="T411" s="178"/>
      <c r="U411" s="178"/>
      <c r="V411" s="528"/>
      <c r="Z411" s="599"/>
      <c r="AA411" s="618"/>
    </row>
    <row r="412" spans="1:82">
      <c r="A412" s="109" t="s">
        <v>1193</v>
      </c>
      <c r="D412" s="178"/>
      <c r="E412" s="178"/>
      <c r="F412" s="615"/>
      <c r="G412" s="178"/>
      <c r="H412" s="178"/>
      <c r="I412" s="178"/>
      <c r="J412" s="178"/>
      <c r="K412" s="178"/>
      <c r="L412" s="178"/>
      <c r="M412" s="178"/>
      <c r="N412" s="178"/>
      <c r="O412" s="31"/>
      <c r="P412" s="31"/>
      <c r="Q412" s="31"/>
      <c r="R412" s="31"/>
      <c r="S412" s="178"/>
      <c r="T412" s="178"/>
      <c r="U412" s="178"/>
      <c r="V412" s="528"/>
      <c r="Z412" s="599"/>
      <c r="AA412" s="618"/>
    </row>
    <row r="413" spans="1:82">
      <c r="A413" s="28" t="s">
        <v>202</v>
      </c>
      <c r="B413" s="615">
        <v>335916.4</v>
      </c>
      <c r="C413" s="639">
        <f>B413/(1-$B$441)</f>
        <v>349106.69838508364</v>
      </c>
      <c r="D413" s="615">
        <v>98365.8</v>
      </c>
      <c r="E413" s="615">
        <v>98365.8</v>
      </c>
      <c r="F413" s="615">
        <v>292.005</v>
      </c>
      <c r="G413" s="615">
        <v>12</v>
      </c>
      <c r="H413" s="615">
        <f>D413*F413</f>
        <v>28723305.429000001</v>
      </c>
      <c r="I413" s="615"/>
      <c r="J413" s="615">
        <f>H413</f>
        <v>28723305.429000001</v>
      </c>
      <c r="K413" s="615">
        <v>128.24</v>
      </c>
      <c r="L413" s="615">
        <v>139</v>
      </c>
      <c r="M413" s="615">
        <v>2125.0300000000002</v>
      </c>
      <c r="N413" s="615"/>
      <c r="O413" s="601">
        <v>0.62799999999999989</v>
      </c>
      <c r="P413" s="601">
        <v>9.4E-2</v>
      </c>
      <c r="Q413" s="601">
        <v>0.01</v>
      </c>
      <c r="R413" s="601">
        <v>0.26800000000000013</v>
      </c>
      <c r="S413" s="615">
        <v>3620</v>
      </c>
      <c r="T413" s="615">
        <v>1300</v>
      </c>
      <c r="U413" s="615">
        <v>2160</v>
      </c>
      <c r="V413" s="635">
        <v>1910</v>
      </c>
      <c r="W413" s="178"/>
      <c r="Z413" s="599"/>
      <c r="AA413" s="618"/>
    </row>
    <row r="414" spans="1:82">
      <c r="A414" s="28" t="s">
        <v>1185</v>
      </c>
      <c r="B414" s="178">
        <f>E413*$B$445/12</f>
        <v>229520.19999999998</v>
      </c>
      <c r="C414" s="639">
        <f>B414/(1-$B$441)</f>
        <v>238532.68025819538</v>
      </c>
      <c r="F414" s="615">
        <v>258.83000000000004</v>
      </c>
      <c r="G414" s="615">
        <v>12</v>
      </c>
      <c r="H414" s="178"/>
      <c r="I414" s="178"/>
      <c r="J414" s="178"/>
      <c r="K414" s="615">
        <v>47</v>
      </c>
      <c r="L414" s="615">
        <v>61.019999999999996</v>
      </c>
      <c r="M414" s="615">
        <v>899</v>
      </c>
      <c r="N414" s="615"/>
      <c r="O414" s="31">
        <v>0.24199999999999999</v>
      </c>
      <c r="P414" s="31">
        <v>0.11600000000000002</v>
      </c>
      <c r="Q414" s="31">
        <v>0.12</v>
      </c>
      <c r="R414" s="31">
        <v>0.52200000000000002</v>
      </c>
      <c r="S414" s="615">
        <v>2510</v>
      </c>
      <c r="T414" s="615">
        <v>2350</v>
      </c>
      <c r="U414" s="615">
        <v>420</v>
      </c>
      <c r="V414" s="635">
        <v>50</v>
      </c>
      <c r="Z414" s="599"/>
    </row>
    <row r="415" spans="1:82">
      <c r="A415" s="28" t="s">
        <v>205</v>
      </c>
      <c r="C415" s="178"/>
      <c r="D415" s="615">
        <v>15997.6</v>
      </c>
      <c r="E415" s="615">
        <f>D415/(1-$B$441)</f>
        <v>16625.771525549852</v>
      </c>
      <c r="F415" s="615">
        <v>258.83000000000004</v>
      </c>
      <c r="G415" s="615">
        <v>29.4</v>
      </c>
      <c r="H415" s="615">
        <f>D415*F415</f>
        <v>4140658.8080000007</v>
      </c>
      <c r="I415" s="615"/>
      <c r="J415" s="615">
        <f>H415</f>
        <v>4140658.8080000007</v>
      </c>
      <c r="K415" s="615">
        <v>47</v>
      </c>
      <c r="L415" s="615">
        <v>61.019999999999996</v>
      </c>
      <c r="M415" s="615">
        <v>899</v>
      </c>
      <c r="N415" s="615"/>
      <c r="O415" s="601">
        <v>0.24199999999999999</v>
      </c>
      <c r="P415" s="601">
        <v>0.11600000000000002</v>
      </c>
      <c r="Q415" s="601">
        <v>0.12</v>
      </c>
      <c r="R415" s="601">
        <v>0.52200000000000002</v>
      </c>
      <c r="S415" s="615">
        <v>2330</v>
      </c>
      <c r="T415" s="615">
        <v>2170</v>
      </c>
      <c r="U415" s="615">
        <v>390</v>
      </c>
      <c r="V415" s="635">
        <v>50</v>
      </c>
      <c r="Z415" s="599"/>
      <c r="AA415" s="618"/>
    </row>
    <row r="416" spans="1:82">
      <c r="A416" s="28" t="s">
        <v>1190</v>
      </c>
      <c r="D416" s="615">
        <v>72982.8</v>
      </c>
      <c r="E416" s="615">
        <f>D416/(1-$B$441)</f>
        <v>75848.587169006583</v>
      </c>
      <c r="F416" s="615">
        <v>318.72000000000003</v>
      </c>
      <c r="G416" s="615">
        <v>19.66</v>
      </c>
      <c r="H416" s="615">
        <f>D416*F416</f>
        <v>23261078.016000003</v>
      </c>
      <c r="I416" s="615"/>
      <c r="J416" s="615">
        <f>H416</f>
        <v>23261078.016000003</v>
      </c>
      <c r="K416" s="615">
        <v>47</v>
      </c>
      <c r="L416" s="615">
        <v>57.266666666666673</v>
      </c>
      <c r="M416" s="615">
        <v>899</v>
      </c>
      <c r="N416" s="615"/>
      <c r="O416" s="31">
        <v>0.44674556213017752</v>
      </c>
      <c r="P416" s="31">
        <v>0.2337278106508876</v>
      </c>
      <c r="Q416" s="31">
        <v>0.31952662721893499</v>
      </c>
      <c r="R416" s="31">
        <v>0</v>
      </c>
      <c r="S416" s="615">
        <v>2370</v>
      </c>
      <c r="T416" s="615">
        <v>0</v>
      </c>
      <c r="U416" s="615">
        <v>1650</v>
      </c>
      <c r="V416" s="635">
        <v>170</v>
      </c>
      <c r="Z416" s="599"/>
      <c r="AA416" s="618"/>
      <c r="BM416" s="44"/>
      <c r="BP416" s="44"/>
      <c r="BU416" s="44"/>
      <c r="BX416" s="44"/>
      <c r="CA416" s="44"/>
      <c r="CD416" s="44"/>
    </row>
    <row r="417" spans="1:82">
      <c r="A417" s="28" t="s">
        <v>206</v>
      </c>
      <c r="D417" s="615">
        <v>11403</v>
      </c>
      <c r="E417" s="615">
        <f>D417/(1-$B$441)</f>
        <v>11850.757157688962</v>
      </c>
      <c r="F417" s="615">
        <v>341.75</v>
      </c>
      <c r="G417" s="615">
        <v>26.76</v>
      </c>
      <c r="H417" s="615">
        <f>D417*F417</f>
        <v>3896975.25</v>
      </c>
      <c r="I417" s="615"/>
      <c r="J417" s="615">
        <f>H417</f>
        <v>3896975.25</v>
      </c>
      <c r="K417" s="615">
        <v>47</v>
      </c>
      <c r="L417" s="615">
        <v>57.266666666666673</v>
      </c>
      <c r="M417" s="615">
        <v>899</v>
      </c>
      <c r="N417" s="615"/>
      <c r="O417" s="31">
        <v>0.44674556213017752</v>
      </c>
      <c r="P417" s="31">
        <v>0.2337278106508876</v>
      </c>
      <c r="Q417" s="31">
        <v>0.31952662721893499</v>
      </c>
      <c r="R417" s="31">
        <v>0</v>
      </c>
      <c r="S417" s="615">
        <v>2540</v>
      </c>
      <c r="T417" s="615">
        <v>0</v>
      </c>
      <c r="U417" s="615">
        <v>1770</v>
      </c>
      <c r="V417" s="635">
        <v>180</v>
      </c>
      <c r="Z417" s="599"/>
      <c r="AA417" s="618"/>
      <c r="BM417" s="44"/>
      <c r="BP417" s="44"/>
      <c r="BU417" s="44"/>
      <c r="BX417" s="44"/>
      <c r="CA417" s="44"/>
      <c r="CD417" s="44"/>
    </row>
    <row r="418" spans="1:82">
      <c r="A418" s="28" t="s">
        <v>1191</v>
      </c>
      <c r="D418" s="615">
        <v>23347</v>
      </c>
      <c r="E418" s="615">
        <f>D418/(1-$B$441)</f>
        <v>24263.757551571009</v>
      </c>
      <c r="F418" s="615">
        <v>318.99</v>
      </c>
      <c r="G418" s="615">
        <v>28.04</v>
      </c>
      <c r="H418" s="615">
        <f>D418*F418</f>
        <v>7447459.5300000003</v>
      </c>
      <c r="I418" s="615"/>
      <c r="J418" s="615">
        <f>H418</f>
        <v>7447459.5300000003</v>
      </c>
      <c r="K418" s="615">
        <v>47</v>
      </c>
      <c r="L418" s="615">
        <v>57.266666666666673</v>
      </c>
      <c r="M418" s="615">
        <v>899</v>
      </c>
      <c r="N418" s="615"/>
      <c r="O418" s="31">
        <v>0.30199999999999999</v>
      </c>
      <c r="P418" s="31">
        <v>0.158</v>
      </c>
      <c r="Q418" s="31">
        <v>0.21600000000000003</v>
      </c>
      <c r="R418" s="31">
        <v>0.32400000000000007</v>
      </c>
      <c r="S418" s="615">
        <v>3040</v>
      </c>
      <c r="T418" s="615">
        <v>2710</v>
      </c>
      <c r="U418" s="615">
        <v>340</v>
      </c>
      <c r="V418" s="635">
        <v>50</v>
      </c>
      <c r="Z418" s="599"/>
      <c r="BM418" s="44"/>
      <c r="BP418" s="44"/>
      <c r="BU418" s="44"/>
      <c r="BX418" s="44"/>
      <c r="CA418" s="44"/>
      <c r="CD418" s="44"/>
    </row>
    <row r="419" spans="1:82">
      <c r="A419" s="28" t="s">
        <v>207</v>
      </c>
      <c r="D419" s="615">
        <v>15796.6</v>
      </c>
      <c r="E419" s="615">
        <f>D419/(1-$B$441)</f>
        <v>16416.878936871828</v>
      </c>
      <c r="F419" s="615">
        <v>165.59</v>
      </c>
      <c r="G419" s="615">
        <v>10.58</v>
      </c>
      <c r="H419" s="615">
        <f>D419*F419</f>
        <v>2615758.9939999999</v>
      </c>
      <c r="I419" s="615"/>
      <c r="J419" s="615">
        <f>H419</f>
        <v>2615758.9939999999</v>
      </c>
      <c r="K419" s="615">
        <v>28</v>
      </c>
      <c r="L419" s="615">
        <v>26.1</v>
      </c>
      <c r="M419" s="615">
        <v>313</v>
      </c>
      <c r="N419" s="615"/>
      <c r="O419" s="31">
        <v>0.32311062431544357</v>
      </c>
      <c r="P419" s="31">
        <v>0.23658269441401975</v>
      </c>
      <c r="Q419" s="31">
        <v>0.44030668127053663</v>
      </c>
      <c r="R419" s="31">
        <v>0</v>
      </c>
      <c r="S419" s="615">
        <v>400</v>
      </c>
      <c r="T419" s="615">
        <v>0</v>
      </c>
      <c r="U419" s="615">
        <v>420</v>
      </c>
      <c r="V419" s="635">
        <v>560</v>
      </c>
      <c r="Z419" s="599"/>
      <c r="AA419" s="618"/>
      <c r="BM419" s="44"/>
      <c r="BP419" s="44"/>
      <c r="BU419" s="44"/>
      <c r="BX419" s="44"/>
      <c r="CA419" s="44"/>
      <c r="CD419" s="44"/>
    </row>
    <row r="420" spans="1:82">
      <c r="A420" s="109" t="s">
        <v>201</v>
      </c>
      <c r="G420" s="178"/>
      <c r="H420" s="178"/>
      <c r="I420" s="178"/>
      <c r="J420" s="178"/>
      <c r="K420" s="178"/>
      <c r="L420" s="178"/>
      <c r="M420" s="178"/>
      <c r="N420" s="178"/>
      <c r="O420" s="31"/>
      <c r="P420" s="31"/>
      <c r="Q420" s="31"/>
      <c r="R420" s="31"/>
      <c r="S420" s="178"/>
      <c r="T420" s="178"/>
      <c r="U420" s="178"/>
      <c r="V420" s="528"/>
      <c r="Z420" s="599"/>
      <c r="AA420" s="618"/>
      <c r="BM420" s="44"/>
      <c r="BP420" s="44"/>
      <c r="BU420" s="44"/>
      <c r="BX420" s="44"/>
      <c r="CA420" s="44"/>
      <c r="CD420" s="44"/>
    </row>
    <row r="421" spans="1:82">
      <c r="A421" s="109" t="s">
        <v>1194</v>
      </c>
      <c r="G421" s="178"/>
      <c r="H421" s="178"/>
      <c r="I421" s="178"/>
      <c r="J421" s="615"/>
      <c r="K421" s="178"/>
      <c r="L421" s="178"/>
      <c r="M421" s="178"/>
      <c r="N421" s="178"/>
      <c r="O421" s="31"/>
      <c r="P421" s="31"/>
      <c r="Q421" s="31"/>
      <c r="R421" s="31"/>
      <c r="S421" s="178"/>
      <c r="T421" s="178"/>
      <c r="U421" s="178"/>
      <c r="V421" s="528"/>
      <c r="Z421" s="599"/>
      <c r="AA421" s="618"/>
    </row>
    <row r="422" spans="1:82">
      <c r="A422" s="28" t="s">
        <v>202</v>
      </c>
      <c r="B422" s="178">
        <v>1241306</v>
      </c>
      <c r="C422" s="615">
        <f>B422/(1-$B$441)</f>
        <v>1290047.8790127384</v>
      </c>
      <c r="D422" s="178">
        <v>183422.42313843966</v>
      </c>
      <c r="E422" s="178">
        <v>183422.42313843966</v>
      </c>
      <c r="F422" s="178">
        <v>315.03838931609135</v>
      </c>
      <c r="G422" s="178">
        <v>12</v>
      </c>
      <c r="H422" s="615">
        <f>D422*F422</f>
        <v>57785104.749988593</v>
      </c>
      <c r="I422" s="178"/>
      <c r="J422" s="615">
        <f>H422</f>
        <v>57785104.749988593</v>
      </c>
      <c r="K422" s="178">
        <v>101.3</v>
      </c>
      <c r="L422" s="178">
        <v>112.584</v>
      </c>
      <c r="N422" s="178">
        <v>10.252000000000001</v>
      </c>
      <c r="O422" s="31">
        <v>0.28400000000000003</v>
      </c>
      <c r="P422" s="31">
        <v>0</v>
      </c>
      <c r="Q422" s="31">
        <v>0.02</v>
      </c>
      <c r="R422" s="31">
        <v>0.69600000000000006</v>
      </c>
      <c r="S422" s="178">
        <v>1010</v>
      </c>
      <c r="T422" s="178">
        <v>3940</v>
      </c>
      <c r="U422" s="178">
        <v>760</v>
      </c>
      <c r="V422" s="528">
        <v>250</v>
      </c>
      <c r="Z422" s="599"/>
    </row>
    <row r="423" spans="1:82">
      <c r="A423" s="28" t="s">
        <v>1195</v>
      </c>
      <c r="B423" s="178">
        <f>E422*$B$445/12</f>
        <v>427985.65398969251</v>
      </c>
      <c r="C423" s="615">
        <f>B423/(1-$B$441)</f>
        <v>444791.1998953381</v>
      </c>
      <c r="D423" s="178"/>
      <c r="E423" s="178"/>
      <c r="F423" s="178">
        <v>309.1664759389426</v>
      </c>
      <c r="G423" s="178">
        <v>12</v>
      </c>
      <c r="H423" s="178"/>
      <c r="I423" s="178"/>
      <c r="J423" s="178"/>
      <c r="K423" s="178">
        <v>69.599999999999994</v>
      </c>
      <c r="L423" s="178">
        <v>50.16</v>
      </c>
      <c r="N423" s="178">
        <v>3.78</v>
      </c>
      <c r="O423" s="31">
        <v>0.35</v>
      </c>
      <c r="P423" s="31">
        <v>0</v>
      </c>
      <c r="Q423" s="31">
        <v>0</v>
      </c>
      <c r="R423" s="31">
        <v>0.65</v>
      </c>
      <c r="S423" s="178">
        <v>1700</v>
      </c>
      <c r="T423" s="178">
        <v>1670</v>
      </c>
      <c r="U423" s="178">
        <v>780</v>
      </c>
      <c r="V423" s="528">
        <v>340</v>
      </c>
      <c r="Z423" s="599"/>
    </row>
    <row r="424" spans="1:82">
      <c r="A424" s="28" t="s">
        <v>1180</v>
      </c>
      <c r="B424" s="178">
        <v>1065666</v>
      </c>
      <c r="C424" s="615">
        <f>B424/(1-$B$441)</f>
        <v>1107511.0915728989</v>
      </c>
      <c r="D424" s="178">
        <v>175887.57686156034</v>
      </c>
      <c r="E424" s="178">
        <v>175887.57686156034</v>
      </c>
      <c r="F424" s="178">
        <v>315.03838931609135</v>
      </c>
      <c r="G424" s="178">
        <v>12</v>
      </c>
      <c r="H424" s="615">
        <f>D424*F424</f>
        <v>55411338.91517619</v>
      </c>
      <c r="I424" s="178"/>
      <c r="J424" s="615">
        <f>H424</f>
        <v>55411338.91517619</v>
      </c>
      <c r="K424" s="178">
        <v>76.44</v>
      </c>
      <c r="L424" s="178">
        <v>74.052000000000007</v>
      </c>
      <c r="N424" s="178">
        <v>6.524</v>
      </c>
      <c r="O424" s="31">
        <v>0.27</v>
      </c>
      <c r="P424" s="31">
        <v>0</v>
      </c>
      <c r="Q424" s="31">
        <v>0.1</v>
      </c>
      <c r="R424" s="31">
        <v>0.63</v>
      </c>
      <c r="S424" s="178">
        <v>1360</v>
      </c>
      <c r="T424" s="178">
        <v>1960</v>
      </c>
      <c r="U424" s="178">
        <v>0</v>
      </c>
      <c r="V424" s="528">
        <v>0</v>
      </c>
      <c r="Z424" s="599"/>
    </row>
    <row r="425" spans="1:82">
      <c r="A425" s="28" t="s">
        <v>1196</v>
      </c>
      <c r="B425" s="178">
        <f>E424</f>
        <v>175887.57686156034</v>
      </c>
      <c r="C425" s="615">
        <f>B425/(1-$B$441)</f>
        <v>182794.0858055515</v>
      </c>
      <c r="D425" s="178"/>
      <c r="E425" s="178"/>
      <c r="F425" s="178">
        <v>309.1664759389426</v>
      </c>
      <c r="G425" s="178">
        <v>24</v>
      </c>
      <c r="H425" s="178"/>
      <c r="I425" s="178"/>
      <c r="J425" s="178"/>
      <c r="K425" s="178">
        <v>73.8</v>
      </c>
      <c r="L425" s="178">
        <v>53.68</v>
      </c>
      <c r="N425" s="178">
        <v>4.43</v>
      </c>
      <c r="O425" s="31">
        <v>0.38</v>
      </c>
      <c r="P425" s="31">
        <v>0</v>
      </c>
      <c r="Q425" s="31">
        <v>0</v>
      </c>
      <c r="R425" s="31">
        <v>0.62</v>
      </c>
      <c r="S425" s="178">
        <v>1700</v>
      </c>
      <c r="T425" s="178">
        <v>1670</v>
      </c>
      <c r="U425" s="178">
        <v>780</v>
      </c>
      <c r="V425" s="528">
        <v>340</v>
      </c>
    </row>
    <row r="426" spans="1:82">
      <c r="A426" s="28" t="s">
        <v>205</v>
      </c>
      <c r="C426" s="178"/>
      <c r="D426" s="178">
        <v>512804</v>
      </c>
      <c r="E426" s="178">
        <f>D426/(1-$B$441)</f>
        <v>532940.07484798133</v>
      </c>
      <c r="F426" s="178">
        <v>309.1664759389426</v>
      </c>
      <c r="G426" s="615">
        <v>20</v>
      </c>
      <c r="H426" s="615">
        <f>D426*F426</f>
        <v>158541805.52739352</v>
      </c>
      <c r="I426" s="615"/>
      <c r="J426" s="615">
        <f>H426</f>
        <v>158541805.52739352</v>
      </c>
      <c r="K426" s="615">
        <v>73.8</v>
      </c>
      <c r="L426" s="615">
        <v>53.68</v>
      </c>
      <c r="N426" s="615">
        <v>4.43</v>
      </c>
      <c r="O426" s="31">
        <v>0.38</v>
      </c>
      <c r="P426" s="31">
        <v>0</v>
      </c>
      <c r="Q426" s="31">
        <v>0</v>
      </c>
      <c r="R426" s="31">
        <v>0.62</v>
      </c>
      <c r="S426" s="615">
        <v>1700</v>
      </c>
      <c r="T426" s="615">
        <v>1670</v>
      </c>
      <c r="U426" s="615">
        <v>780</v>
      </c>
      <c r="V426" s="635">
        <v>340</v>
      </c>
      <c r="Z426" s="599"/>
    </row>
    <row r="427" spans="1:82">
      <c r="A427" s="28" t="s">
        <v>1197</v>
      </c>
      <c r="C427" s="178"/>
      <c r="D427" s="615">
        <v>219394</v>
      </c>
      <c r="E427" s="615">
        <f>D427/(1-$B$441)</f>
        <v>228008.85870858651</v>
      </c>
      <c r="F427" s="615">
        <v>374.99727372155883</v>
      </c>
      <c r="G427" s="615">
        <v>24</v>
      </c>
      <c r="H427" s="615">
        <f>D427*F427</f>
        <v>82272151.870867684</v>
      </c>
      <c r="I427" s="615"/>
      <c r="J427" s="615">
        <f>H427</f>
        <v>82272151.870867684</v>
      </c>
      <c r="K427" s="615">
        <v>71.5</v>
      </c>
      <c r="L427" s="615">
        <v>56.795999999999999</v>
      </c>
      <c r="N427" s="615">
        <v>5.47</v>
      </c>
      <c r="O427" s="31">
        <v>0.33600000000000002</v>
      </c>
      <c r="P427" s="31">
        <v>0</v>
      </c>
      <c r="Q427" s="31">
        <v>0.09</v>
      </c>
      <c r="R427" s="31">
        <v>0.57599999999999996</v>
      </c>
      <c r="S427" s="615">
        <v>2360</v>
      </c>
      <c r="T427" s="615">
        <v>2330</v>
      </c>
      <c r="U427" s="615">
        <v>1010</v>
      </c>
      <c r="V427" s="635">
        <v>330</v>
      </c>
      <c r="Z427" s="599"/>
    </row>
    <row r="428" spans="1:82">
      <c r="A428" s="28" t="s">
        <v>1198</v>
      </c>
      <c r="C428" s="178"/>
      <c r="D428" s="615">
        <v>619994</v>
      </c>
      <c r="E428" s="615">
        <f>D428/(1-$B$441)</f>
        <v>644339.06281015615</v>
      </c>
      <c r="F428" s="615">
        <v>354.14886750112288</v>
      </c>
      <c r="G428" s="615">
        <v>28</v>
      </c>
      <c r="H428" s="615">
        <f>D428*F428</f>
        <v>219570172.95749119</v>
      </c>
      <c r="I428" s="615"/>
      <c r="J428" s="615">
        <f>H428</f>
        <v>219570172.95749119</v>
      </c>
      <c r="K428" s="615">
        <v>46.18</v>
      </c>
      <c r="L428" s="615">
        <v>35.868000000000002</v>
      </c>
      <c r="N428" s="615">
        <v>1.1180000000000001</v>
      </c>
      <c r="O428" s="31">
        <v>3.8000000000000006E-2</v>
      </c>
      <c r="P428" s="31">
        <v>0</v>
      </c>
      <c r="Q428" s="31">
        <v>2.8000000000000004E-2</v>
      </c>
      <c r="R428" s="31">
        <v>0.93399999999999994</v>
      </c>
      <c r="S428" s="615">
        <v>2830</v>
      </c>
      <c r="T428" s="615">
        <v>4090</v>
      </c>
      <c r="U428" s="615">
        <v>460</v>
      </c>
      <c r="V428" s="635">
        <v>330</v>
      </c>
      <c r="Z428" s="599"/>
    </row>
    <row r="429" spans="1:82">
      <c r="A429" s="28" t="s">
        <v>207</v>
      </c>
      <c r="C429" s="178"/>
      <c r="D429" s="178">
        <v>8200</v>
      </c>
      <c r="E429" s="178">
        <f>D429/(1-$B$441)</f>
        <v>8521.9862047750139</v>
      </c>
      <c r="F429" s="178">
        <v>139.19092483921298</v>
      </c>
      <c r="G429" s="178">
        <v>10</v>
      </c>
      <c r="H429" s="615">
        <f>D429*F429</f>
        <v>1141365.5836815464</v>
      </c>
      <c r="I429" s="178"/>
      <c r="J429" s="615">
        <f>H429</f>
        <v>1141365.5836815464</v>
      </c>
      <c r="K429" s="178">
        <v>31.62</v>
      </c>
      <c r="L429" s="178">
        <v>30.244</v>
      </c>
      <c r="N429" s="178">
        <v>4.0439999999999996</v>
      </c>
      <c r="O429" s="31">
        <v>0.41200000000000003</v>
      </c>
      <c r="P429" s="31">
        <v>0</v>
      </c>
      <c r="Q429" s="31">
        <v>0.192</v>
      </c>
      <c r="R429" s="31">
        <v>0.39200000000000002</v>
      </c>
      <c r="S429" s="178">
        <v>680</v>
      </c>
      <c r="T429" s="178">
        <v>120</v>
      </c>
      <c r="U429" s="178">
        <v>280</v>
      </c>
      <c r="V429" s="528">
        <v>250</v>
      </c>
      <c r="Z429" s="599"/>
    </row>
    <row r="430" spans="1:82">
      <c r="A430" s="28" t="s">
        <v>1199</v>
      </c>
      <c r="C430" s="178"/>
      <c r="D430" s="178"/>
      <c r="E430" s="178"/>
      <c r="F430" s="178"/>
      <c r="G430" s="178"/>
      <c r="H430" s="178">
        <f>SUM(H424:H429)</f>
        <v>516936834.85461015</v>
      </c>
      <c r="I430" s="178"/>
      <c r="J430" s="615">
        <f>H430</f>
        <v>516936834.85461015</v>
      </c>
      <c r="K430" s="178"/>
      <c r="L430" s="178"/>
      <c r="M430" s="178"/>
      <c r="N430" s="178"/>
      <c r="O430" s="31"/>
      <c r="P430" s="31"/>
      <c r="Q430" s="31"/>
      <c r="R430" s="31"/>
      <c r="S430" s="178"/>
      <c r="T430" s="178"/>
      <c r="U430" s="178"/>
      <c r="V430" s="528"/>
      <c r="Z430" s="599"/>
    </row>
    <row r="431" spans="1:82">
      <c r="A431" s="109" t="s">
        <v>204</v>
      </c>
      <c r="C431" s="178"/>
      <c r="D431" s="178"/>
      <c r="E431" s="178"/>
      <c r="F431" s="178"/>
      <c r="G431" s="178"/>
      <c r="H431" s="178"/>
      <c r="I431" s="178"/>
      <c r="J431" s="178"/>
      <c r="K431" s="178"/>
      <c r="L431" s="178"/>
      <c r="M431" s="178"/>
      <c r="N431" s="178"/>
      <c r="O431" s="31"/>
      <c r="P431" s="31"/>
      <c r="Q431" s="31"/>
      <c r="R431" s="31"/>
      <c r="S431" s="178"/>
      <c r="T431" s="178"/>
      <c r="U431" s="178"/>
      <c r="V431" s="528"/>
      <c r="Z431" s="599"/>
    </row>
    <row r="432" spans="1:82">
      <c r="A432" s="109" t="s">
        <v>1194</v>
      </c>
      <c r="C432" s="178"/>
      <c r="D432" s="178"/>
      <c r="E432" s="178"/>
      <c r="F432" s="178"/>
      <c r="G432" s="178"/>
      <c r="H432" s="178"/>
      <c r="I432" s="178"/>
      <c r="J432" s="178"/>
      <c r="K432" s="178"/>
      <c r="L432" s="178"/>
      <c r="M432" s="178"/>
      <c r="N432" s="178"/>
      <c r="O432" s="31"/>
      <c r="P432" s="31"/>
      <c r="Q432" s="31"/>
      <c r="R432" s="31"/>
      <c r="S432" s="178"/>
      <c r="T432" s="178"/>
      <c r="U432" s="178"/>
      <c r="V432" s="528"/>
      <c r="Z432" s="599"/>
    </row>
    <row r="433" spans="1:82">
      <c r="A433" s="28" t="s">
        <v>1200</v>
      </c>
      <c r="B433" s="29">
        <v>4924478</v>
      </c>
      <c r="C433" s="615">
        <f>B433/(1-$B$441)</f>
        <v>5117845.5587461041</v>
      </c>
      <c r="D433" s="615">
        <v>1259600</v>
      </c>
      <c r="E433" s="615">
        <v>1259600</v>
      </c>
      <c r="F433" s="615">
        <v>300.11535168869602</v>
      </c>
      <c r="G433" s="615">
        <v>12</v>
      </c>
      <c r="H433" s="615">
        <f>D433*F433</f>
        <v>378025296.98708153</v>
      </c>
      <c r="I433" s="615"/>
      <c r="J433" s="615">
        <f>H433</f>
        <v>378025296.98708153</v>
      </c>
      <c r="K433" s="615">
        <v>120</v>
      </c>
      <c r="L433" s="615">
        <v>135.80000000000001</v>
      </c>
      <c r="M433" s="615">
        <v>1477.52</v>
      </c>
      <c r="N433" s="615"/>
      <c r="O433" s="31">
        <v>0.66983016983016985</v>
      </c>
      <c r="P433" s="31">
        <v>0.18931068931068931</v>
      </c>
      <c r="Q433" s="31">
        <v>0</v>
      </c>
      <c r="R433" s="31">
        <v>0.14085914085914086</v>
      </c>
      <c r="S433" s="615">
        <v>4220</v>
      </c>
      <c r="T433" s="615">
        <v>700</v>
      </c>
      <c r="U433" s="615">
        <v>2160</v>
      </c>
      <c r="V433" s="635">
        <v>1910</v>
      </c>
      <c r="Z433" s="599"/>
    </row>
    <row r="434" spans="1:82">
      <c r="A434" s="28" t="s">
        <v>1185</v>
      </c>
      <c r="B434" s="178">
        <f>E433*$B$445/12</f>
        <v>2939066.6666666665</v>
      </c>
      <c r="C434" s="615">
        <f>B434/(1-$B$441)</f>
        <v>3054473.8522252948</v>
      </c>
      <c r="F434" s="615">
        <v>297.84718846662543</v>
      </c>
      <c r="G434" s="615">
        <v>12</v>
      </c>
      <c r="H434" s="615"/>
      <c r="I434" s="615"/>
      <c r="J434" s="615"/>
      <c r="K434" s="615">
        <v>45.28</v>
      </c>
      <c r="L434" s="615">
        <v>49.48</v>
      </c>
      <c r="M434" s="615">
        <v>555.53</v>
      </c>
      <c r="N434" s="615"/>
      <c r="O434" s="31">
        <v>0.66983016983016985</v>
      </c>
      <c r="P434" s="31">
        <v>0.18931068931068931</v>
      </c>
      <c r="Q434" s="31">
        <v>0</v>
      </c>
      <c r="R434" s="31">
        <v>0.14085914085914086</v>
      </c>
      <c r="S434" s="615">
        <v>3820</v>
      </c>
      <c r="T434" s="615">
        <v>1350</v>
      </c>
      <c r="U434" s="615">
        <v>450</v>
      </c>
      <c r="V434" s="635">
        <v>60</v>
      </c>
      <c r="AA434" s="618"/>
    </row>
    <row r="435" spans="1:82">
      <c r="A435" s="28" t="s">
        <v>205</v>
      </c>
      <c r="D435" s="615">
        <v>507400</v>
      </c>
      <c r="E435" s="615">
        <f>D435/(1-$B$441)</f>
        <v>527323.87808571244</v>
      </c>
      <c r="F435" s="615">
        <v>297.84718846662543</v>
      </c>
      <c r="G435" s="615">
        <v>29</v>
      </c>
      <c r="H435" s="615">
        <f>D435*F435</f>
        <v>151127663.42796573</v>
      </c>
      <c r="I435" s="615"/>
      <c r="J435" s="615">
        <f>H435</f>
        <v>151127663.42796573</v>
      </c>
      <c r="K435" s="615">
        <v>45.28</v>
      </c>
      <c r="L435" s="615">
        <v>49.48</v>
      </c>
      <c r="M435" s="615">
        <v>555.53</v>
      </c>
      <c r="N435" s="615"/>
      <c r="O435" s="31">
        <v>0.66983016983016985</v>
      </c>
      <c r="P435" s="31">
        <v>0.18931068931068931</v>
      </c>
      <c r="Q435" s="31">
        <v>0</v>
      </c>
      <c r="R435" s="31">
        <v>0.14085914085914086</v>
      </c>
      <c r="S435" s="615">
        <v>3820</v>
      </c>
      <c r="T435" s="615">
        <v>1350</v>
      </c>
      <c r="U435" s="615">
        <v>450</v>
      </c>
      <c r="V435" s="635">
        <v>60</v>
      </c>
      <c r="AA435" s="618"/>
    </row>
    <row r="436" spans="1:82">
      <c r="A436" s="28" t="s">
        <v>206</v>
      </c>
      <c r="D436" s="615">
        <v>1378600</v>
      </c>
      <c r="E436" s="615">
        <f>D436/(1-$B$441)</f>
        <v>1432732.9490125407</v>
      </c>
      <c r="F436" s="615">
        <v>387.30020845710942</v>
      </c>
      <c r="G436" s="615">
        <v>20</v>
      </c>
      <c r="H436" s="615">
        <f>D436*F436</f>
        <v>533932067.37897104</v>
      </c>
      <c r="I436" s="615"/>
      <c r="J436" s="615">
        <f>H436</f>
        <v>533932067.37897104</v>
      </c>
      <c r="K436" s="615">
        <v>45.28</v>
      </c>
      <c r="L436" s="615">
        <v>49.48</v>
      </c>
      <c r="M436" s="615">
        <v>555.53</v>
      </c>
      <c r="N436" s="615"/>
      <c r="O436" s="31">
        <v>0.47902684563758396</v>
      </c>
      <c r="P436" s="31">
        <v>0.29618528610354222</v>
      </c>
      <c r="Q436" s="31">
        <v>0.21237693389592122</v>
      </c>
      <c r="R436" s="31">
        <v>1.2410934362952597E-2</v>
      </c>
      <c r="S436" s="615">
        <v>2880</v>
      </c>
      <c r="T436" s="615">
        <v>0</v>
      </c>
      <c r="U436" s="615">
        <v>2010</v>
      </c>
      <c r="V436" s="635">
        <v>210</v>
      </c>
      <c r="Z436" s="599"/>
      <c r="AA436" s="618"/>
    </row>
    <row r="437" spans="1:82">
      <c r="A437" s="33" t="s">
        <v>207</v>
      </c>
      <c r="B437" s="34"/>
      <c r="C437" s="34"/>
      <c r="D437" s="655">
        <v>323600</v>
      </c>
      <c r="E437" s="655">
        <f>D437/(1-$B$441)</f>
        <v>336306.67510551156</v>
      </c>
      <c r="F437" s="655">
        <v>145.88026490008352</v>
      </c>
      <c r="G437" s="655">
        <v>8</v>
      </c>
      <c r="H437" s="655">
        <f>D437*F437</f>
        <v>47206853.721667029</v>
      </c>
      <c r="I437" s="655"/>
      <c r="J437" s="615">
        <f>H437</f>
        <v>47206853.721667029</v>
      </c>
      <c r="K437" s="655">
        <v>45.28</v>
      </c>
      <c r="L437" s="655">
        <v>49.48</v>
      </c>
      <c r="M437" s="655">
        <v>555.53</v>
      </c>
      <c r="N437" s="655"/>
      <c r="O437" s="35">
        <v>0.47902684563758396</v>
      </c>
      <c r="P437" s="35">
        <v>0.29618528610354222</v>
      </c>
      <c r="Q437" s="35">
        <v>0.21237693389592122</v>
      </c>
      <c r="R437" s="35">
        <v>1.2410934362952597E-2</v>
      </c>
      <c r="S437" s="655">
        <v>350</v>
      </c>
      <c r="T437" s="655">
        <v>0</v>
      </c>
      <c r="U437" s="655">
        <v>370</v>
      </c>
      <c r="V437" s="656">
        <v>490</v>
      </c>
      <c r="Z437" s="599"/>
    </row>
    <row r="438" spans="1:82">
      <c r="A438" s="44" t="s">
        <v>1201</v>
      </c>
      <c r="C438" s="619"/>
      <c r="D438" s="619"/>
      <c r="E438" s="618"/>
      <c r="F438" s="615"/>
      <c r="G438" s="615"/>
      <c r="H438" s="615"/>
      <c r="I438" s="619"/>
      <c r="J438" s="619"/>
      <c r="K438" s="619"/>
      <c r="L438" s="619"/>
      <c r="M438" s="31"/>
      <c r="N438" s="31"/>
      <c r="O438" s="31"/>
      <c r="P438" s="31"/>
      <c r="Q438" s="619"/>
      <c r="R438" s="619"/>
      <c r="S438" s="619"/>
      <c r="T438" s="619"/>
      <c r="X438" s="599"/>
      <c r="Y438" s="599"/>
      <c r="Z438" s="618"/>
      <c r="AA438" s="599"/>
      <c r="BM438" s="44"/>
      <c r="BP438" s="44"/>
      <c r="BU438" s="44"/>
      <c r="BX438" s="44"/>
      <c r="CA438" s="44"/>
      <c r="CD438" s="44"/>
    </row>
    <row r="439" spans="1:82">
      <c r="A439" s="44"/>
      <c r="D439" s="619"/>
      <c r="E439" s="618"/>
      <c r="F439" s="615"/>
      <c r="G439" s="615"/>
      <c r="H439" s="615"/>
      <c r="I439" s="619"/>
      <c r="J439" s="619"/>
      <c r="K439" s="619"/>
      <c r="L439" s="619"/>
      <c r="M439" s="31"/>
      <c r="N439" s="31"/>
      <c r="O439" s="31"/>
      <c r="P439" s="31"/>
      <c r="Q439" s="619"/>
      <c r="R439" s="619"/>
      <c r="S439" s="619"/>
      <c r="T439" s="619"/>
      <c r="X439" s="599"/>
      <c r="Y439" s="599"/>
      <c r="Z439" s="618"/>
      <c r="AA439" s="599"/>
      <c r="BM439" s="44"/>
      <c r="BP439" s="44"/>
      <c r="BU439" s="44"/>
      <c r="BX439" s="44"/>
      <c r="CA439" s="44"/>
      <c r="CD439" s="44"/>
    </row>
    <row r="440" spans="1:82">
      <c r="A440" s="27"/>
      <c r="C440" s="674" t="s">
        <v>608</v>
      </c>
      <c r="E440" s="618"/>
      <c r="F440" s="615"/>
      <c r="G440" s="615"/>
      <c r="H440" s="615"/>
      <c r="I440" s="619"/>
      <c r="J440" s="619"/>
      <c r="K440" s="619"/>
      <c r="L440" s="619"/>
      <c r="M440" s="31"/>
      <c r="N440" s="31"/>
      <c r="O440" s="31"/>
      <c r="P440" s="31"/>
      <c r="Q440" s="619"/>
      <c r="R440" s="619"/>
      <c r="S440" s="619"/>
      <c r="T440" s="619"/>
      <c r="X440" s="599"/>
      <c r="Y440" s="599"/>
      <c r="Z440" s="618"/>
      <c r="AA440" s="599"/>
      <c r="BM440" s="44"/>
      <c r="BP440" s="44"/>
      <c r="BU440" s="44"/>
      <c r="BX440" s="44"/>
      <c r="CA440" s="44"/>
      <c r="CD440" s="44"/>
    </row>
    <row r="441" spans="1:82" ht="25.5">
      <c r="A441" s="7" t="s">
        <v>1202</v>
      </c>
      <c r="B441" s="1024">
        <v>3.7783000000000011E-2</v>
      </c>
      <c r="C441" s="675" t="s">
        <v>810</v>
      </c>
      <c r="D441" s="14"/>
      <c r="E441" s="618"/>
      <c r="F441" s="615"/>
      <c r="G441" s="615"/>
      <c r="H441" s="615"/>
      <c r="I441" s="619"/>
      <c r="J441" s="619"/>
      <c r="K441" s="619"/>
      <c r="L441" s="619"/>
      <c r="M441" s="31"/>
      <c r="N441" s="31"/>
      <c r="O441" s="31"/>
      <c r="P441" s="31"/>
      <c r="Q441" s="619"/>
      <c r="R441" s="619"/>
      <c r="S441" s="619"/>
      <c r="T441" s="619"/>
      <c r="X441" s="599"/>
      <c r="Y441" s="599"/>
      <c r="Z441" s="618"/>
      <c r="AA441" s="599"/>
    </row>
    <row r="442" spans="1:82">
      <c r="A442" s="13"/>
      <c r="E442" s="618"/>
      <c r="F442" s="615"/>
      <c r="G442" s="615"/>
      <c r="H442" s="615"/>
      <c r="I442" s="619"/>
      <c r="J442" s="619"/>
      <c r="K442" s="619"/>
      <c r="L442" s="619"/>
      <c r="M442" s="31"/>
      <c r="N442" s="31"/>
      <c r="O442" s="31"/>
      <c r="P442" s="31"/>
      <c r="Q442" s="619"/>
      <c r="R442" s="619"/>
      <c r="S442" s="619"/>
      <c r="T442" s="619"/>
      <c r="X442" s="599"/>
      <c r="Y442" s="599"/>
      <c r="Z442" s="618"/>
      <c r="AA442" s="599"/>
    </row>
    <row r="443" spans="1:82">
      <c r="A443" s="14"/>
      <c r="C443" s="675"/>
      <c r="E443" s="618"/>
      <c r="F443" s="615"/>
      <c r="G443" s="615"/>
      <c r="H443" s="615"/>
      <c r="I443" s="619"/>
      <c r="J443" s="619"/>
      <c r="K443" s="619"/>
      <c r="L443" s="619"/>
      <c r="M443" s="31"/>
      <c r="N443" s="31"/>
      <c r="O443" s="31"/>
      <c r="P443" s="31"/>
      <c r="Q443" s="619"/>
      <c r="R443" s="619"/>
      <c r="S443" s="619"/>
      <c r="T443" s="619"/>
      <c r="X443" s="599"/>
      <c r="Y443" s="599"/>
      <c r="Z443" s="618"/>
      <c r="AA443" s="599"/>
    </row>
    <row r="444" spans="1:82">
      <c r="A444" s="27" t="s">
        <v>1203</v>
      </c>
      <c r="C444" s="23" t="s">
        <v>608</v>
      </c>
      <c r="E444" s="618"/>
      <c r="F444" s="615"/>
      <c r="G444" s="615"/>
      <c r="H444" s="615"/>
      <c r="I444" s="619"/>
      <c r="J444" s="619"/>
      <c r="K444" s="619"/>
      <c r="L444" s="619"/>
      <c r="M444" s="31"/>
      <c r="N444" s="31"/>
      <c r="O444" s="31"/>
      <c r="P444" s="31"/>
      <c r="Q444" s="619"/>
      <c r="R444" s="619"/>
      <c r="S444" s="619"/>
      <c r="T444" s="619"/>
      <c r="X444" s="599"/>
      <c r="Y444" s="599"/>
      <c r="Z444" s="618"/>
      <c r="AA444" s="599"/>
    </row>
    <row r="445" spans="1:82">
      <c r="A445" s="60" t="s">
        <v>202</v>
      </c>
      <c r="B445" s="676">
        <v>28</v>
      </c>
      <c r="C445" s="44" t="s">
        <v>1204</v>
      </c>
      <c r="E445" s="618"/>
      <c r="F445" s="615"/>
      <c r="G445" s="615"/>
      <c r="H445" s="615"/>
      <c r="I445" s="619"/>
      <c r="J445" s="619"/>
      <c r="K445" s="619"/>
      <c r="L445" s="619"/>
      <c r="M445" s="31"/>
      <c r="N445" s="31"/>
      <c r="O445" s="31"/>
      <c r="P445" s="31"/>
      <c r="Q445" s="619"/>
      <c r="R445" s="619"/>
      <c r="S445" s="619"/>
      <c r="T445" s="619"/>
      <c r="X445" s="599"/>
      <c r="Y445" s="599"/>
      <c r="Z445" s="618"/>
      <c r="AA445" s="599"/>
    </row>
    <row r="446" spans="1:82">
      <c r="A446" s="21" t="s">
        <v>1205</v>
      </c>
      <c r="B446" s="677">
        <v>24</v>
      </c>
      <c r="C446" s="44" t="s">
        <v>1121</v>
      </c>
      <c r="E446" s="618"/>
      <c r="F446" s="615"/>
      <c r="G446" s="615"/>
      <c r="H446" s="615"/>
      <c r="I446" s="619"/>
      <c r="J446" s="619"/>
      <c r="K446" s="619"/>
      <c r="L446" s="619"/>
      <c r="M446" s="31"/>
      <c r="N446" s="31"/>
      <c r="O446" s="31"/>
      <c r="P446" s="31"/>
      <c r="Q446" s="619"/>
      <c r="R446" s="619"/>
      <c r="S446" s="619"/>
      <c r="T446" s="619"/>
      <c r="X446" s="599"/>
      <c r="Y446" s="599"/>
      <c r="Z446" s="618"/>
      <c r="AA446" s="599"/>
    </row>
    <row r="447" spans="1:82">
      <c r="A447" s="14"/>
      <c r="B447" s="178"/>
      <c r="E447" s="618"/>
      <c r="F447" s="615"/>
      <c r="G447" s="615"/>
      <c r="H447" s="615"/>
      <c r="I447" s="619"/>
      <c r="J447" s="619"/>
      <c r="K447" s="619"/>
      <c r="L447" s="619"/>
      <c r="M447" s="31"/>
      <c r="N447" s="31"/>
      <c r="O447" s="31"/>
      <c r="P447" s="31"/>
      <c r="Q447" s="619"/>
      <c r="R447" s="619"/>
      <c r="S447" s="619"/>
      <c r="T447" s="619"/>
      <c r="X447" s="599"/>
      <c r="Y447" s="599"/>
      <c r="Z447" s="618"/>
      <c r="AA447" s="599"/>
    </row>
    <row r="448" spans="1:82">
      <c r="A448" s="580"/>
      <c r="B448" s="262" t="s">
        <v>122</v>
      </c>
      <c r="C448" s="674" t="s">
        <v>608</v>
      </c>
      <c r="E448" s="618"/>
      <c r="F448" s="615"/>
      <c r="G448" s="615"/>
      <c r="H448" s="615"/>
      <c r="I448" s="619"/>
      <c r="J448" s="619"/>
      <c r="K448" s="619"/>
      <c r="L448" s="619"/>
      <c r="M448" s="31"/>
      <c r="N448" s="31"/>
      <c r="O448" s="31"/>
      <c r="P448" s="31"/>
      <c r="Q448" s="619"/>
      <c r="R448" s="619"/>
      <c r="S448" s="619"/>
      <c r="T448" s="619"/>
      <c r="X448" s="599"/>
      <c r="Y448" s="599"/>
      <c r="Z448" s="618"/>
      <c r="AA448" s="599"/>
    </row>
    <row r="449" spans="1:27">
      <c r="A449" s="109" t="s">
        <v>1206</v>
      </c>
      <c r="B449" s="635">
        <v>2975347274.8800001</v>
      </c>
      <c r="C449" s="29" t="s">
        <v>1207</v>
      </c>
      <c r="N449" s="599"/>
      <c r="O449" s="599"/>
      <c r="P449" s="599"/>
      <c r="Q449" s="599"/>
      <c r="X449" s="599"/>
      <c r="Y449" s="599"/>
      <c r="Z449" s="618"/>
      <c r="AA449" s="599"/>
    </row>
    <row r="450" spans="1:27">
      <c r="A450" s="678" t="s">
        <v>1208</v>
      </c>
      <c r="B450" s="656">
        <v>8830.9009762428996</v>
      </c>
      <c r="C450" s="29" t="s">
        <v>1207</v>
      </c>
      <c r="J450" s="599"/>
      <c r="K450" s="599"/>
      <c r="L450" s="599"/>
      <c r="M450" s="599"/>
      <c r="N450" s="599"/>
      <c r="O450" s="599"/>
      <c r="P450" s="599"/>
      <c r="Q450" s="599"/>
      <c r="X450" s="599"/>
      <c r="Y450" s="599"/>
    </row>
    <row r="451" spans="1:27">
      <c r="A451" s="44" t="s">
        <v>1209</v>
      </c>
      <c r="C451" s="603"/>
      <c r="J451" s="599"/>
      <c r="K451" s="593"/>
      <c r="L451" s="593"/>
      <c r="M451" s="599"/>
      <c r="N451" s="599"/>
      <c r="O451" s="599"/>
      <c r="P451" s="599"/>
      <c r="Q451" s="599"/>
      <c r="X451" s="599"/>
      <c r="Y451" s="599"/>
      <c r="Z451" s="618"/>
      <c r="AA451" s="599"/>
    </row>
    <row r="452" spans="1:27">
      <c r="A452" s="29"/>
      <c r="C452" s="178"/>
      <c r="J452" s="599"/>
      <c r="K452" s="600"/>
      <c r="L452" s="600"/>
      <c r="M452" s="599"/>
      <c r="N452" s="599"/>
      <c r="O452" s="599"/>
      <c r="P452" s="599"/>
      <c r="Q452" s="599"/>
      <c r="X452" s="599"/>
      <c r="Y452" s="599"/>
      <c r="Z452" s="618"/>
      <c r="AA452" s="599"/>
    </row>
    <row r="453" spans="1:27">
      <c r="A453" s="57" t="s">
        <v>1100</v>
      </c>
      <c r="J453" s="599"/>
      <c r="K453" s="600"/>
      <c r="L453" s="600"/>
      <c r="M453" s="599"/>
      <c r="N453" s="599"/>
      <c r="O453" s="599"/>
      <c r="P453" s="599"/>
      <c r="Q453" s="599"/>
      <c r="X453" s="599"/>
      <c r="Y453" s="599"/>
    </row>
    <row r="454" spans="1:27">
      <c r="A454" s="580"/>
      <c r="B454" s="679" t="s">
        <v>1118</v>
      </c>
      <c r="C454" s="679" t="s">
        <v>1115</v>
      </c>
      <c r="D454" s="679" t="s">
        <v>1097</v>
      </c>
      <c r="E454" s="262" t="s">
        <v>1167</v>
      </c>
      <c r="F454" s="23" t="s">
        <v>608</v>
      </c>
      <c r="G454" s="23"/>
      <c r="J454" s="599"/>
      <c r="K454" s="600"/>
      <c r="L454" s="600"/>
      <c r="M454" s="599"/>
      <c r="N454" s="599"/>
      <c r="O454" s="599"/>
      <c r="P454" s="599"/>
      <c r="Q454" s="599"/>
      <c r="X454" s="599"/>
      <c r="Y454" s="599"/>
      <c r="Z454" s="618"/>
      <c r="AA454" s="599"/>
    </row>
    <row r="455" spans="1:27" ht="25.5">
      <c r="A455" s="109" t="s">
        <v>1210</v>
      </c>
      <c r="B455" s="601">
        <v>3.5000000000000003E-2</v>
      </c>
      <c r="C455" s="601">
        <v>0.02</v>
      </c>
      <c r="D455" s="601">
        <v>0.17</v>
      </c>
      <c r="E455" s="633">
        <v>0.01</v>
      </c>
      <c r="F455" s="16" t="s">
        <v>1211</v>
      </c>
      <c r="J455" s="599"/>
      <c r="K455" s="600"/>
      <c r="L455" s="600"/>
      <c r="M455" s="599"/>
      <c r="N455" s="599"/>
      <c r="O455" s="599"/>
      <c r="P455" s="599"/>
      <c r="Q455" s="599"/>
      <c r="X455" s="599"/>
      <c r="Y455" s="599"/>
      <c r="Z455" s="618"/>
      <c r="AA455" s="599"/>
    </row>
    <row r="456" spans="1:27" ht="25.5">
      <c r="A456" s="109" t="s">
        <v>1212</v>
      </c>
      <c r="B456" s="31">
        <v>0.15359999999999999</v>
      </c>
      <c r="C456" s="601">
        <v>0.02</v>
      </c>
      <c r="D456" s="601">
        <v>0.17</v>
      </c>
      <c r="E456" s="633">
        <v>0.01</v>
      </c>
      <c r="F456" s="16" t="s">
        <v>1211</v>
      </c>
      <c r="J456" s="599"/>
      <c r="K456" s="599"/>
      <c r="L456" s="599"/>
      <c r="M456" s="599"/>
      <c r="N456" s="599"/>
      <c r="O456" s="599"/>
      <c r="P456" s="599"/>
      <c r="Q456" s="599"/>
      <c r="X456" s="599"/>
      <c r="Y456" s="599"/>
      <c r="Z456" s="618"/>
      <c r="AA456" s="599"/>
    </row>
    <row r="457" spans="1:27" ht="25.5">
      <c r="A457" s="109" t="s">
        <v>1213</v>
      </c>
      <c r="B457" s="601">
        <v>5.0000000000000001E-3</v>
      </c>
      <c r="C457" s="601">
        <v>5.0000000000000001E-3</v>
      </c>
      <c r="D457" s="601">
        <v>0.01</v>
      </c>
      <c r="E457" s="633">
        <v>0.02</v>
      </c>
      <c r="F457" s="16" t="s">
        <v>1211</v>
      </c>
      <c r="J457" s="549"/>
      <c r="K457" s="549"/>
      <c r="L457" s="549"/>
      <c r="M457" s="599"/>
      <c r="N457" s="599"/>
      <c r="O457" s="599"/>
      <c r="P457" s="599"/>
      <c r="Q457" s="599"/>
      <c r="X457" s="599"/>
      <c r="Y457" s="599"/>
    </row>
    <row r="458" spans="1:27" ht="25.5">
      <c r="A458" s="680" t="s">
        <v>1214</v>
      </c>
      <c r="B458" s="601">
        <v>0.01</v>
      </c>
      <c r="D458" s="31"/>
      <c r="E458" s="32"/>
      <c r="F458" s="16" t="s">
        <v>1211</v>
      </c>
      <c r="J458" s="599"/>
      <c r="K458" s="599"/>
      <c r="L458" s="599"/>
      <c r="M458" s="599"/>
      <c r="N458" s="599"/>
      <c r="O458" s="599"/>
      <c r="P458" s="599"/>
      <c r="Q458" s="599"/>
      <c r="X458" s="599"/>
      <c r="Y458" s="599"/>
      <c r="Z458" s="618"/>
      <c r="AA458" s="599"/>
    </row>
    <row r="459" spans="1:27">
      <c r="A459" s="29"/>
      <c r="C459" s="601"/>
      <c r="E459" s="32"/>
      <c r="J459" s="681"/>
      <c r="K459" s="599"/>
      <c r="L459" s="599"/>
      <c r="M459" s="599"/>
      <c r="N459" s="599"/>
      <c r="O459" s="599"/>
      <c r="P459" s="599"/>
      <c r="Q459" s="599"/>
      <c r="X459" s="599"/>
      <c r="Y459" s="599"/>
      <c r="Z459" s="618"/>
      <c r="AA459" s="599"/>
    </row>
    <row r="460" spans="1:27">
      <c r="E460" s="633"/>
      <c r="J460" s="599"/>
      <c r="K460" s="599"/>
      <c r="L460" s="599"/>
      <c r="M460" s="599"/>
      <c r="N460" s="599"/>
      <c r="O460" s="599"/>
      <c r="P460" s="599"/>
      <c r="Q460" s="599"/>
      <c r="X460" s="599"/>
      <c r="Y460" s="599"/>
      <c r="Z460" s="618"/>
      <c r="AA460" s="599"/>
    </row>
    <row r="461" spans="1:27">
      <c r="A461" s="29"/>
      <c r="B461" s="23" t="s">
        <v>122</v>
      </c>
      <c r="C461" s="23" t="s">
        <v>1215</v>
      </c>
      <c r="E461" s="637"/>
      <c r="J461" s="599"/>
      <c r="K461" s="599"/>
      <c r="L461" s="599"/>
      <c r="M461" s="599"/>
      <c r="N461" s="599"/>
      <c r="O461" s="599"/>
      <c r="P461" s="682"/>
      <c r="Q461" s="599"/>
      <c r="X461" s="599"/>
      <c r="Y461" s="599"/>
    </row>
    <row r="462" spans="1:27" ht="25.5">
      <c r="A462" s="28" t="s">
        <v>1216</v>
      </c>
      <c r="B462" s="601">
        <v>0.24</v>
      </c>
      <c r="C462" s="29">
        <v>0.23</v>
      </c>
      <c r="E462" s="637"/>
      <c r="F462" s="16" t="s">
        <v>1211</v>
      </c>
      <c r="J462" s="599"/>
      <c r="K462" s="599"/>
      <c r="L462" s="599"/>
      <c r="M462" s="599"/>
      <c r="N462" s="599"/>
      <c r="O462" s="599"/>
      <c r="P462" s="600"/>
      <c r="Q462" s="599"/>
      <c r="X462" s="599"/>
      <c r="Y462" s="599"/>
      <c r="Z462" s="599"/>
      <c r="AA462" s="599"/>
    </row>
    <row r="463" spans="1:27" ht="25.5">
      <c r="A463" s="28" t="s">
        <v>1217</v>
      </c>
      <c r="B463" s="601">
        <v>0.18</v>
      </c>
      <c r="C463" s="29">
        <v>0.23</v>
      </c>
      <c r="E463" s="637"/>
      <c r="F463" s="16" t="s">
        <v>1211</v>
      </c>
      <c r="J463" s="593"/>
      <c r="K463" s="99"/>
      <c r="L463" s="99"/>
      <c r="M463" s="593"/>
      <c r="N463" s="593"/>
      <c r="O463" s="599"/>
      <c r="P463" s="600"/>
      <c r="Q463" s="599"/>
      <c r="X463" s="599"/>
      <c r="Y463" s="599"/>
      <c r="Z463" s="599"/>
      <c r="AA463" s="599"/>
    </row>
    <row r="464" spans="1:27" ht="25.5">
      <c r="A464" s="28" t="s">
        <v>1218</v>
      </c>
      <c r="B464" s="601">
        <v>0.87</v>
      </c>
      <c r="C464" s="601">
        <v>1</v>
      </c>
      <c r="E464" s="100"/>
      <c r="F464" s="16" t="s">
        <v>1211</v>
      </c>
      <c r="J464" s="114"/>
      <c r="K464" s="683"/>
      <c r="L464" s="683"/>
      <c r="M464" s="660"/>
      <c r="N464" s="660"/>
      <c r="O464" s="599"/>
      <c r="P464" s="599"/>
      <c r="Q464" s="599"/>
      <c r="X464" s="599"/>
      <c r="Y464" s="599"/>
      <c r="Z464" s="599"/>
      <c r="AA464" s="599"/>
    </row>
    <row r="465" spans="1:27">
      <c r="A465" s="28" t="s">
        <v>1111</v>
      </c>
      <c r="B465" s="601">
        <v>0.67</v>
      </c>
      <c r="C465" s="601">
        <v>0.67</v>
      </c>
      <c r="E465" s="100"/>
      <c r="F465" s="29" t="s">
        <v>1112</v>
      </c>
      <c r="J465" s="540"/>
      <c r="K465" s="25"/>
      <c r="L465" s="25"/>
      <c r="M465" s="25"/>
      <c r="N465" s="25"/>
      <c r="O465" s="599"/>
      <c r="P465" s="599"/>
      <c r="Q465" s="599"/>
      <c r="X465" s="599"/>
      <c r="Y465" s="599"/>
      <c r="Z465" s="599"/>
      <c r="AA465" s="599"/>
    </row>
    <row r="466" spans="1:27">
      <c r="E466" s="100"/>
      <c r="J466" s="540"/>
      <c r="K466" s="25"/>
      <c r="L466" s="25"/>
      <c r="M466" s="63"/>
      <c r="N466" s="63"/>
      <c r="O466" s="599"/>
      <c r="P466" s="599"/>
      <c r="Q466" s="599"/>
      <c r="X466" s="599"/>
      <c r="Y466" s="599"/>
      <c r="Z466" s="599"/>
      <c r="AA466" s="599"/>
    </row>
    <row r="467" spans="1:27">
      <c r="A467" s="109" t="s">
        <v>332</v>
      </c>
      <c r="E467" s="100"/>
      <c r="J467" s="63"/>
      <c r="K467" s="578"/>
      <c r="L467" s="578"/>
      <c r="M467" s="599"/>
      <c r="N467" s="599"/>
      <c r="O467" s="599"/>
      <c r="P467" s="599"/>
      <c r="Q467" s="599"/>
      <c r="X467" s="599"/>
      <c r="Y467" s="599"/>
      <c r="Z467" s="599"/>
      <c r="AA467" s="599"/>
    </row>
    <row r="468" spans="1:27">
      <c r="A468" s="648" t="s">
        <v>1114</v>
      </c>
      <c r="B468" s="607" t="s">
        <v>1118</v>
      </c>
      <c r="C468" s="607" t="s">
        <v>1115</v>
      </c>
      <c r="D468" s="607" t="s">
        <v>1097</v>
      </c>
      <c r="E468" s="100"/>
      <c r="J468" s="114"/>
      <c r="K468" s="114"/>
      <c r="L468" s="114"/>
      <c r="M468" s="599"/>
      <c r="N468" s="599"/>
      <c r="O468" s="619"/>
      <c r="P468" s="599"/>
      <c r="Q468" s="599"/>
    </row>
    <row r="469" spans="1:27">
      <c r="A469" s="28" t="s">
        <v>122</v>
      </c>
      <c r="B469" s="31">
        <v>6.8800000000000083E-2</v>
      </c>
      <c r="C469" s="31">
        <v>0.21279999999999999</v>
      </c>
      <c r="D469" s="31">
        <v>0.44000000000000006</v>
      </c>
      <c r="E469" s="637"/>
      <c r="F469" s="16" t="s">
        <v>1219</v>
      </c>
      <c r="J469" s="114"/>
      <c r="K469" s="114"/>
      <c r="L469" s="114"/>
      <c r="M469" s="599"/>
      <c r="N469" s="599"/>
      <c r="O469" s="619"/>
      <c r="P469" s="599"/>
      <c r="Q469" s="599"/>
    </row>
    <row r="470" spans="1:27">
      <c r="A470" s="684" t="s">
        <v>1220</v>
      </c>
      <c r="B470" s="35">
        <v>0.4</v>
      </c>
      <c r="C470" s="35">
        <v>0.5</v>
      </c>
      <c r="D470" s="35">
        <v>0.4</v>
      </c>
      <c r="E470" s="685"/>
      <c r="F470" s="16" t="s">
        <v>1219</v>
      </c>
      <c r="J470" s="114"/>
      <c r="K470" s="114"/>
      <c r="L470" s="114"/>
      <c r="M470" s="599"/>
      <c r="N470" s="599"/>
      <c r="O470" s="599"/>
      <c r="P470" s="599"/>
      <c r="Q470" s="599"/>
    </row>
    <row r="471" spans="1:27">
      <c r="A471" s="44" t="s">
        <v>1221</v>
      </c>
      <c r="J471" s="63"/>
      <c r="K471" s="578"/>
      <c r="L471" s="578"/>
      <c r="M471" s="599"/>
      <c r="N471" s="599"/>
      <c r="O471" s="599"/>
      <c r="P471" s="599"/>
      <c r="Q471" s="599"/>
    </row>
    <row r="472" spans="1:27">
      <c r="A472" s="29"/>
      <c r="J472" s="619"/>
      <c r="K472" s="659"/>
      <c r="L472" s="659"/>
      <c r="M472" s="593"/>
      <c r="N472" s="593"/>
      <c r="O472" s="593"/>
      <c r="P472" s="593"/>
      <c r="Q472" s="593"/>
    </row>
    <row r="473" spans="1:27">
      <c r="A473" s="29"/>
    </row>
    <row r="474" spans="1:27">
      <c r="A474" s="76" t="s">
        <v>1222</v>
      </c>
      <c r="B474" s="77"/>
      <c r="C474" s="77"/>
      <c r="D474" s="77"/>
      <c r="E474" s="77"/>
    </row>
    <row r="475" spans="1:27">
      <c r="A475" s="29"/>
      <c r="C475" s="29" t="s">
        <v>1223</v>
      </c>
    </row>
    <row r="476" spans="1:27">
      <c r="A476" s="23" t="s">
        <v>871</v>
      </c>
      <c r="B476" s="29" t="s">
        <v>359</v>
      </c>
      <c r="C476" s="23" t="s">
        <v>317</v>
      </c>
      <c r="D476" s="23" t="s">
        <v>367</v>
      </c>
      <c r="E476" s="23" t="s">
        <v>320</v>
      </c>
    </row>
    <row r="477" spans="1:27">
      <c r="A477" s="29" t="s">
        <v>122</v>
      </c>
      <c r="B477" s="297">
        <v>0.33</v>
      </c>
    </row>
    <row r="478" spans="1:27">
      <c r="A478" s="29" t="s">
        <v>201</v>
      </c>
      <c r="B478" s="31">
        <v>0.18</v>
      </c>
    </row>
    <row r="479" spans="1:27">
      <c r="A479" s="29" t="s">
        <v>414</v>
      </c>
      <c r="B479" s="31">
        <v>0.2</v>
      </c>
    </row>
    <row r="480" spans="1:27">
      <c r="A480" s="29" t="s">
        <v>134</v>
      </c>
      <c r="B480" s="31">
        <v>0.28999999999999998</v>
      </c>
    </row>
    <row r="481" spans="1:1">
      <c r="A481" s="29"/>
    </row>
    <row r="601" spans="1:111" ht="1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row>
    <row r="602" spans="1:111" ht="1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row>
    <row r="603" spans="1:111" ht="1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row>
    <row r="604" spans="1:111" ht="1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row>
    <row r="605" spans="1:111" ht="1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row>
    <row r="606" spans="1:111" ht="1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row>
    <row r="607" spans="1:111" ht="1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row>
    <row r="608" spans="1:111" ht="1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row>
    <row r="609" spans="1:111" ht="1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row>
    <row r="610" spans="1:111" ht="1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row>
    <row r="611" spans="1:111" ht="1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row>
    <row r="612" spans="1:111" ht="1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row>
    <row r="613" spans="1:111" ht="1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row>
    <row r="614" spans="1:111" ht="1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row>
    <row r="615" spans="1:111" ht="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row>
    <row r="616" spans="1:111" ht="1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row>
    <row r="617" spans="1:111" ht="1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row>
    <row r="618" spans="1:111" ht="1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row>
    <row r="619" spans="1:111" ht="1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row>
    <row r="620" spans="1:111" ht="1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row>
    <row r="621" spans="1:111" ht="1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row>
    <row r="622" spans="1:111" ht="1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row>
    <row r="623" spans="1:111" ht="1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row>
    <row r="624" spans="1:111" ht="1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row>
    <row r="625" spans="1:111" ht="1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row>
    <row r="626" spans="1:111" ht="1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row>
    <row r="627" spans="1:111" ht="1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row>
    <row r="628" spans="1:111" ht="1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row>
    <row r="629" spans="1:111" ht="1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row>
    <row r="630" spans="1:111" ht="1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row>
    <row r="631" spans="1:111" ht="1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row>
    <row r="632" spans="1:111" ht="1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row>
    <row r="633" spans="1:111" ht="1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row>
    <row r="634" spans="1:111" ht="1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row>
    <row r="635" spans="1:111" ht="1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row>
    <row r="636" spans="1:111" ht="1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row>
    <row r="637" spans="1:111" ht="1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row>
    <row r="638" spans="1:111" ht="1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row>
    <row r="639" spans="1:111" ht="1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row>
    <row r="640" spans="1:111" ht="1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row>
    <row r="641" spans="1:111" ht="1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row>
    <row r="642" spans="1:111" ht="1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row>
    <row r="643" spans="1:111" ht="1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row>
    <row r="644" spans="1:111" ht="1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row>
    <row r="645" spans="1:111" ht="1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row>
    <row r="646" spans="1:111" ht="1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row>
    <row r="647" spans="1:111" ht="1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row>
    <row r="648" spans="1:111" ht="1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row>
    <row r="649" spans="1:111" ht="1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row>
    <row r="650" spans="1:111" ht="1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row>
    <row r="651" spans="1:111" ht="1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row>
    <row r="652" spans="1:111" ht="1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row>
    <row r="653" spans="1:111" ht="1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row>
    <row r="654" spans="1:111" ht="1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row>
    <row r="655" spans="1:111" ht="1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row>
    <row r="656" spans="1:111" ht="1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row>
    <row r="657" spans="1:111" ht="1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row>
    <row r="658" spans="1:111" ht="1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row>
    <row r="659" spans="1:111" ht="1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row>
    <row r="660" spans="1:111" ht="1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row>
    <row r="661" spans="1:111" ht="1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row>
    <row r="662" spans="1:111" ht="1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row>
    <row r="663" spans="1:111" ht="1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row>
    <row r="664" spans="1:111" ht="1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row>
    <row r="665" spans="1:111" ht="1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row>
    <row r="666" spans="1:111" ht="1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row>
    <row r="667" spans="1:111" ht="1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row>
    <row r="668" spans="1:111" ht="1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row>
    <row r="669" spans="1:111" ht="1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row>
    <row r="670" spans="1:111" ht="1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row>
    <row r="671" spans="1:111" ht="1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row>
    <row r="672" spans="1:111" ht="1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row>
    <row r="673" spans="1:111" ht="1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row>
    <row r="674" spans="1:111" ht="1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row>
    <row r="675" spans="1:111" ht="1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row>
    <row r="676" spans="1:111" ht="1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row>
    <row r="677" spans="1:111" ht="1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row>
    <row r="678" spans="1:111" ht="1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row>
    <row r="679" spans="1:111" ht="1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row>
    <row r="680" spans="1:111" ht="1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row>
    <row r="681" spans="1:111" ht="1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row>
    <row r="682" spans="1:111" ht="1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row>
    <row r="683" spans="1:111" ht="1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row>
    <row r="684" spans="1:111" ht="1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row>
    <row r="685" spans="1:111" ht="1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row>
    <row r="686" spans="1:111" ht="1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row>
    <row r="687" spans="1:111" ht="1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row>
    <row r="688" spans="1:111" ht="1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row>
    <row r="689" spans="1:111" ht="1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row>
    <row r="690" spans="1:111" ht="1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row>
    <row r="691" spans="1:111" ht="1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row>
    <row r="692" spans="1:111" ht="1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row>
    <row r="693" spans="1:111" ht="1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row>
    <row r="694" spans="1:111" ht="1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row>
    <row r="695" spans="1:111" ht="1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row>
    <row r="696" spans="1:111" ht="1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row>
    <row r="697" spans="1:111" ht="1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row>
    <row r="698" spans="1:111" ht="1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row>
    <row r="699" spans="1:111" ht="1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row>
    <row r="700" spans="1:111" ht="1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row>
    <row r="701" spans="1:111" ht="1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row>
    <row r="702" spans="1:111" ht="1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row>
    <row r="703" spans="1:111" ht="1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row>
    <row r="704" spans="1:111" ht="1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row>
    <row r="705" spans="1:111" ht="1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row>
    <row r="706" spans="1:111" ht="1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row>
    <row r="707" spans="1:111" ht="1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row>
    <row r="708" spans="1:111" ht="1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row>
    <row r="709" spans="1:111" ht="1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row>
    <row r="710" spans="1:111" ht="1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row>
    <row r="711" spans="1:111" ht="1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row>
    <row r="712" spans="1:111" ht="1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row>
    <row r="713" spans="1:111" ht="1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row>
    <row r="714" spans="1:111" ht="1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row>
    <row r="715" spans="1:111" ht="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row>
    <row r="716" spans="1:111" ht="1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row>
    <row r="717" spans="1:111" ht="1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row>
    <row r="718" spans="1:111" ht="1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row>
    <row r="719" spans="1:111" ht="1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row>
    <row r="720" spans="1:111" ht="1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row>
    <row r="721" spans="1:111" ht="1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row>
    <row r="722" spans="1:111" ht="1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row>
    <row r="723" spans="1:111" ht="1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row>
    <row r="724" spans="1:111" ht="1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row>
    <row r="725" spans="1:111" ht="1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row>
    <row r="726" spans="1:111" ht="1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row>
    <row r="727" spans="1:111" ht="1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row>
    <row r="728" spans="1:111" ht="1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row>
    <row r="729" spans="1:111" ht="1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row>
    <row r="730" spans="1:111" ht="1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row>
    <row r="731" spans="1:111" ht="1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row>
    <row r="732" spans="1:111" ht="1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row>
    <row r="733" spans="1:111" ht="1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row>
    <row r="734" spans="1:111" ht="1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row>
    <row r="735" spans="1:111" ht="1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row>
    <row r="736" spans="1:111" ht="1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row>
    <row r="737" spans="1:111" ht="1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row>
    <row r="738" spans="1:111" ht="1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row>
    <row r="739" spans="1:111" ht="1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row>
    <row r="740" spans="1:111" ht="1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row>
    <row r="741" spans="1:111" ht="1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row>
    <row r="742" spans="1:111" ht="1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row>
    <row r="743" spans="1:111" ht="1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row>
    <row r="744" spans="1:111" ht="1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row>
    <row r="745" spans="1:111" ht="1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row>
    <row r="746" spans="1:111" ht="1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row>
    <row r="747" spans="1:111" ht="1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row>
    <row r="748" spans="1:111" ht="1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row>
    <row r="749" spans="1:111" ht="1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row>
    <row r="750" spans="1:111" ht="1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row>
    <row r="751" spans="1:111" ht="1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row>
    <row r="752" spans="1:111" ht="1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row>
    <row r="753" spans="1:111" ht="1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row>
    <row r="754" spans="1:111" ht="1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row>
    <row r="755" spans="1:111" ht="1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row>
    <row r="756" spans="1:111" ht="1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row>
    <row r="757" spans="1:111" ht="1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row>
    <row r="758" spans="1:111" ht="1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row>
    <row r="759" spans="1:111" ht="1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row>
    <row r="760" spans="1:111" ht="1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row>
    <row r="761" spans="1:111" ht="1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row>
    <row r="762" spans="1:111" ht="1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row>
    <row r="763" spans="1:111" ht="1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row>
    <row r="764" spans="1:111" ht="1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row>
    <row r="765" spans="1:111" ht="1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row>
    <row r="766" spans="1:111" ht="1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row>
    <row r="767" spans="1:111" ht="1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row>
    <row r="768" spans="1:111" ht="1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row>
    <row r="769" spans="1:111" ht="1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row>
    <row r="770" spans="1:111" ht="1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row>
    <row r="771" spans="1:111" ht="1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row>
    <row r="772" spans="1:111" ht="1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row>
    <row r="773" spans="1:111" ht="1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row>
    <row r="774" spans="1:111" ht="1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row>
    <row r="775" spans="1:111" ht="1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row>
    <row r="776" spans="1:111" ht="1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row>
    <row r="777" spans="1:111" ht="1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row>
    <row r="778" spans="1:111" ht="1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row>
    <row r="779" spans="1:111" ht="1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row>
    <row r="780" spans="1:111" ht="1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row>
    <row r="781" spans="1:111" ht="1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row>
    <row r="782" spans="1:111" ht="1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row>
    <row r="783" spans="1:111" ht="1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row>
    <row r="784" spans="1:111" ht="1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row>
    <row r="785" spans="1:111" ht="1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row>
    <row r="786" spans="1:111" ht="1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row>
    <row r="787" spans="1:111" ht="1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row>
    <row r="788" spans="1:111" ht="1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row>
    <row r="789" spans="1:111" ht="1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row>
    <row r="790" spans="1:111" ht="1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row>
    <row r="791" spans="1:111" ht="1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row>
    <row r="792" spans="1:111" ht="1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row>
    <row r="793" spans="1:111" ht="1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row>
    <row r="794" spans="1:111" ht="1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row>
    <row r="795" spans="1:111" ht="1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row>
    <row r="796" spans="1:111" ht="1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row>
    <row r="797" spans="1:111" ht="1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row>
    <row r="798" spans="1:111" ht="1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row>
    <row r="799" spans="1:111" ht="1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row>
    <row r="800" spans="1:111" ht="1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row>
    <row r="801" spans="1:111" ht="1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row>
    <row r="802" spans="1:111" ht="1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row>
    <row r="803" spans="1:111" ht="1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row>
    <row r="804" spans="1:111" ht="1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row>
    <row r="805" spans="1:111" ht="1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row>
    <row r="806" spans="1:111" ht="1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row>
    <row r="807" spans="1:111" ht="1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row>
    <row r="808" spans="1:111" ht="1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row>
    <row r="809" spans="1:111" ht="1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row>
    <row r="810" spans="1:111" ht="1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row>
    <row r="811" spans="1:111" ht="1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row>
    <row r="812" spans="1:111" ht="1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row>
    <row r="813" spans="1:111" ht="1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row>
    <row r="814" spans="1:111" ht="1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row>
    <row r="815" spans="1:111" ht="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row>
    <row r="816" spans="1:111" ht="1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row>
    <row r="817" spans="1:111" ht="1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row>
    <row r="818" spans="1:111" ht="1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row>
    <row r="819" spans="1:111" ht="1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row>
    <row r="820" spans="1:111" ht="1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row>
    <row r="821" spans="1:111" ht="1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row>
    <row r="822" spans="1:111" ht="1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row>
    <row r="823" spans="1:111" ht="1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row>
    <row r="824" spans="1:111" ht="1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row>
    <row r="825" spans="1:111" ht="1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row>
    <row r="826" spans="1:111" ht="1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row>
    <row r="827" spans="1:111" ht="1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row>
    <row r="828" spans="1:111" ht="1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row>
    <row r="829" spans="1:111" ht="1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row>
    <row r="830" spans="1:111" ht="1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row>
    <row r="831" spans="1:111" ht="1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row>
    <row r="832" spans="1:111" ht="1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row>
    <row r="833" spans="1:111" ht="1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row>
    <row r="834" spans="1:111" ht="1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row>
    <row r="835" spans="1:111" ht="1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row>
    <row r="836" spans="1:111" ht="1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row>
    <row r="837" spans="1:111" ht="1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row>
    <row r="838" spans="1:111" ht="1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row>
    <row r="839" spans="1:111" ht="1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row>
    <row r="840" spans="1:111" ht="1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row>
    <row r="841" spans="1:111" ht="1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row>
    <row r="842" spans="1:111" ht="1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row>
    <row r="843" spans="1:111" ht="1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row>
    <row r="844" spans="1:111" ht="1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row>
    <row r="845" spans="1:111" ht="1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row>
    <row r="846" spans="1:111" ht="1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row>
    <row r="847" spans="1:111" ht="1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row>
    <row r="848" spans="1:111" ht="1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row>
    <row r="849" spans="1:111" ht="1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row>
    <row r="850" spans="1:111" ht="1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row>
    <row r="851" spans="1:111" ht="1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row>
    <row r="852" spans="1:111" ht="1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row>
    <row r="853" spans="1:111" ht="1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row>
    <row r="854" spans="1:111" ht="1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row>
    <row r="855" spans="1:111" ht="1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row>
    <row r="856" spans="1:111" ht="1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row>
    <row r="857" spans="1:111" ht="1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row>
    <row r="858" spans="1:111" ht="1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row>
    <row r="859" spans="1:111" ht="1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row>
    <row r="860" spans="1:111" ht="1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row>
    <row r="861" spans="1:111" ht="1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row>
    <row r="862" spans="1:111" ht="1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row>
    <row r="863" spans="1:111" ht="1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row>
    <row r="864" spans="1:111" ht="1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row>
    <row r="865" spans="1:111" ht="1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row>
    <row r="866" spans="1:111" ht="1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row>
    <row r="867" spans="1:111" ht="1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row>
    <row r="868" spans="1:111" ht="1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row>
    <row r="869" spans="1:111" ht="1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row>
    <row r="870" spans="1:111" ht="1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row>
  </sheetData>
  <conditionalFormatting sqref="E469">
    <cfRule type="dataBar" priority="17">
      <dataBar>
        <cfvo type="min"/>
        <cfvo type="max"/>
        <color rgb="FF638EC6"/>
      </dataBar>
      <extLst>
        <ext xmlns:x14="http://schemas.microsoft.com/office/spreadsheetml/2009/9/main" uri="{B025F937-C7B1-47D3-B67F-A62EFF666E3E}">
          <x14:id>{09B1EC8C-132B-454D-A479-3562EF356539}</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09B1EC8C-132B-454D-A479-3562EF356539}">
            <x14:dataBar minLength="0" maxLength="100" gradient="0">
              <x14:cfvo type="autoMin"/>
              <x14:cfvo type="autoMax"/>
              <x14:negativeFillColor rgb="FFFF0000"/>
              <x14:axisColor rgb="FF000000"/>
            </x14:dataBar>
          </x14:cfRule>
          <xm:sqref>E469</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sheetPr>
  <dimension ref="A1:DP909"/>
  <sheetViews>
    <sheetView workbookViewId="0"/>
  </sheetViews>
  <sheetFormatPr defaultColWidth="8.7109375" defaultRowHeight="15"/>
  <cols>
    <col min="1" max="1" width="31.42578125" style="37" customWidth="1"/>
    <col min="2" max="2" width="29.7109375" style="37" customWidth="1"/>
    <col min="3" max="3" width="34.42578125" style="37" customWidth="1"/>
    <col min="4" max="4" width="13.7109375" style="37" bestFit="1" customWidth="1"/>
    <col min="5" max="7" width="27.28515625" style="37" customWidth="1"/>
    <col min="8" max="8" width="13.7109375" style="37" bestFit="1" customWidth="1"/>
    <col min="9" max="18" width="13.7109375" style="37" customWidth="1"/>
    <col min="19" max="19" width="11.7109375" style="37" bestFit="1" customWidth="1"/>
    <col min="20" max="21" width="11.42578125" style="37" bestFit="1" customWidth="1"/>
    <col min="22" max="22" width="11.7109375" style="37" bestFit="1" customWidth="1"/>
    <col min="23" max="23" width="11.42578125" style="37" bestFit="1" customWidth="1"/>
    <col min="24" max="24" width="11.7109375" style="37" bestFit="1" customWidth="1"/>
    <col min="25" max="25" width="10.7109375" style="37" customWidth="1"/>
    <col min="26" max="26" width="20" style="37" customWidth="1"/>
    <col min="27" max="27" width="10.42578125" style="37" bestFit="1" customWidth="1"/>
    <col min="28" max="28" width="11.7109375" style="37" bestFit="1" customWidth="1"/>
    <col min="29" max="29" width="10.42578125" style="37" bestFit="1" customWidth="1"/>
    <col min="30" max="30" width="16.42578125" style="37" customWidth="1"/>
    <col min="31" max="31" width="10.42578125" style="37" customWidth="1"/>
    <col min="32" max="32" width="10.42578125" style="37" bestFit="1" customWidth="1"/>
    <col min="33" max="33" width="11.42578125" style="37" bestFit="1" customWidth="1"/>
    <col min="34" max="34" width="17.7109375" style="37" customWidth="1"/>
    <col min="35" max="35" width="12" style="37" bestFit="1" customWidth="1"/>
    <col min="36" max="38" width="8.7109375" style="37"/>
    <col min="39" max="39" width="10.42578125" style="37" bestFit="1" customWidth="1"/>
    <col min="40" max="40" width="8.7109375" style="37"/>
    <col min="41" max="41" width="40.42578125" style="37" customWidth="1"/>
    <col min="42" max="42" width="12.28515625" style="37" bestFit="1" customWidth="1"/>
    <col min="43" max="44" width="11.7109375" style="37" bestFit="1" customWidth="1"/>
    <col min="45" max="46" width="10.42578125" style="37" bestFit="1" customWidth="1"/>
    <col min="47" max="47" width="19.42578125" style="37" customWidth="1"/>
    <col min="48" max="48" width="8.7109375" style="37"/>
    <col min="49" max="49" width="11.7109375" style="37" bestFit="1" customWidth="1"/>
    <col min="50" max="50" width="8.7109375" style="37"/>
    <col min="51" max="51" width="12.28515625" style="37" bestFit="1" customWidth="1"/>
    <col min="52" max="53" width="8.7109375" style="37"/>
    <col min="54" max="54" width="12.28515625" style="37" bestFit="1" customWidth="1"/>
    <col min="55" max="55" width="11.7109375" style="37" bestFit="1" customWidth="1"/>
    <col min="56" max="56" width="17.42578125" style="37" customWidth="1"/>
    <col min="57" max="57" width="8.7109375" style="37"/>
    <col min="58" max="58" width="22.42578125" style="37" customWidth="1"/>
    <col min="59" max="59" width="8.7109375" style="37"/>
    <col min="60" max="60" width="9.42578125" style="37" bestFit="1" customWidth="1"/>
    <col min="61" max="61" width="10.42578125" style="37" bestFit="1" customWidth="1"/>
    <col min="62" max="62" width="24.28515625" style="37" customWidth="1"/>
    <col min="63" max="75" width="8.7109375" style="37"/>
    <col min="76" max="76" width="14" style="37" customWidth="1"/>
    <col min="77" max="77" width="14.28515625" style="37" customWidth="1"/>
    <col min="78" max="16384" width="8.7109375" style="37"/>
  </cols>
  <sheetData>
    <row r="1" spans="1:39">
      <c r="B1" s="36" t="s">
        <v>1224</v>
      </c>
      <c r="AB1" s="36" t="s">
        <v>1225</v>
      </c>
    </row>
    <row r="2" spans="1:39" s="36" customFormat="1" ht="15.75">
      <c r="B2" s="36" t="s">
        <v>871</v>
      </c>
      <c r="C2" s="36" t="s">
        <v>359</v>
      </c>
      <c r="D2" s="36" t="s">
        <v>1226</v>
      </c>
      <c r="E2" s="36" t="s">
        <v>1227</v>
      </c>
      <c r="F2" s="36" t="s">
        <v>1228</v>
      </c>
      <c r="G2" s="36" t="s">
        <v>1229</v>
      </c>
      <c r="H2" s="36" t="s">
        <v>1230</v>
      </c>
      <c r="I2" s="36" t="s">
        <v>1231</v>
      </c>
      <c r="J2" s="36" t="s">
        <v>934</v>
      </c>
      <c r="K2" s="36" t="s">
        <v>1232</v>
      </c>
      <c r="L2" s="36" t="s">
        <v>1233</v>
      </c>
      <c r="M2" s="36" t="s">
        <v>1234</v>
      </c>
      <c r="N2" s="36" t="s">
        <v>1235</v>
      </c>
      <c r="O2" s="36" t="s">
        <v>1236</v>
      </c>
      <c r="P2" s="36" t="s">
        <v>1237</v>
      </c>
      <c r="Q2" s="36" t="s">
        <v>1238</v>
      </c>
      <c r="R2" s="36" t="s">
        <v>1239</v>
      </c>
      <c r="S2" s="36" t="s">
        <v>1240</v>
      </c>
      <c r="T2" s="36" t="s">
        <v>1241</v>
      </c>
      <c r="U2" s="36" t="s">
        <v>1242</v>
      </c>
      <c r="V2" s="36" t="s">
        <v>1243</v>
      </c>
      <c r="W2" s="36" t="s">
        <v>1244</v>
      </c>
      <c r="X2" s="36" t="s">
        <v>1245</v>
      </c>
      <c r="Y2" s="36" t="s">
        <v>1246</v>
      </c>
      <c r="AB2" s="1150" t="s">
        <v>987</v>
      </c>
      <c r="AC2" s="36" t="s">
        <v>988</v>
      </c>
      <c r="AD2" s="36" t="s">
        <v>989</v>
      </c>
      <c r="AE2" s="36" t="s">
        <v>930</v>
      </c>
      <c r="AF2" s="36" t="s">
        <v>931</v>
      </c>
      <c r="AG2" s="36" t="s">
        <v>932</v>
      </c>
      <c r="AH2" s="36" t="s">
        <v>933</v>
      </c>
      <c r="AI2" s="36" t="s">
        <v>934</v>
      </c>
      <c r="AJ2" s="36" t="s">
        <v>935</v>
      </c>
      <c r="AK2" s="36" t="s">
        <v>990</v>
      </c>
      <c r="AL2" s="36" t="s">
        <v>937</v>
      </c>
      <c r="AM2" s="36" t="s">
        <v>938</v>
      </c>
    </row>
    <row r="3" spans="1:39" s="1074" customFormat="1">
      <c r="A3" s="75" t="s">
        <v>624</v>
      </c>
    </row>
    <row r="4" spans="1:39">
      <c r="A4" s="29" t="s">
        <v>122</v>
      </c>
    </row>
    <row r="5" spans="1:39">
      <c r="A5" s="29" t="s">
        <v>176</v>
      </c>
    </row>
    <row r="6" spans="1:39">
      <c r="A6" s="29" t="s">
        <v>199</v>
      </c>
    </row>
    <row r="7" spans="1:39">
      <c r="A7" s="29" t="s">
        <v>124</v>
      </c>
    </row>
    <row r="8" spans="1:39">
      <c r="A8" s="29" t="s">
        <v>201</v>
      </c>
    </row>
    <row r="9" spans="1:39" s="1074" customFormat="1">
      <c r="A9" s="75" t="s">
        <v>1247</v>
      </c>
    </row>
    <row r="10" spans="1:39">
      <c r="A10" s="29" t="s">
        <v>122</v>
      </c>
    </row>
    <row r="11" spans="1:39">
      <c r="A11" s="29" t="s">
        <v>176</v>
      </c>
    </row>
    <row r="12" spans="1:39">
      <c r="A12" s="29" t="s">
        <v>199</v>
      </c>
    </row>
    <row r="13" spans="1:39">
      <c r="A13" s="29" t="s">
        <v>124</v>
      </c>
    </row>
    <row r="14" spans="1:39">
      <c r="A14" s="29" t="s">
        <v>201</v>
      </c>
    </row>
    <row r="15" spans="1:39" s="1074" customFormat="1">
      <c r="A15" s="75" t="s">
        <v>1248</v>
      </c>
    </row>
    <row r="16" spans="1:39">
      <c r="A16" s="29" t="s">
        <v>122</v>
      </c>
    </row>
    <row r="17" spans="1:79">
      <c r="A17" s="29" t="s">
        <v>176</v>
      </c>
    </row>
    <row r="18" spans="1:79">
      <c r="A18" s="29" t="s">
        <v>199</v>
      </c>
    </row>
    <row r="19" spans="1:79">
      <c r="A19" s="29" t="s">
        <v>124</v>
      </c>
    </row>
    <row r="20" spans="1:79">
      <c r="A20" s="29" t="s">
        <v>201</v>
      </c>
    </row>
    <row r="21" spans="1:79" s="1074" customFormat="1">
      <c r="A21" s="75" t="s">
        <v>875</v>
      </c>
      <c r="BZ21" s="9"/>
      <c r="CA21" s="75"/>
    </row>
    <row r="22" spans="1:79">
      <c r="A22" s="29" t="s">
        <v>122</v>
      </c>
      <c r="BZ22" s="13"/>
      <c r="CA22" s="29"/>
    </row>
    <row r="23" spans="1:79">
      <c r="A23" s="29" t="s">
        <v>217</v>
      </c>
      <c r="BZ23" s="13"/>
      <c r="CA23" s="29"/>
    </row>
    <row r="24" spans="1:79">
      <c r="A24" s="29" t="s">
        <v>233</v>
      </c>
      <c r="BZ24" s="13"/>
      <c r="CA24" s="29"/>
    </row>
    <row r="25" spans="1:79" s="1074" customFormat="1">
      <c r="A25" s="75" t="s">
        <v>998</v>
      </c>
    </row>
    <row r="26" spans="1:79">
      <c r="A26" s="29" t="s">
        <v>122</v>
      </c>
    </row>
    <row r="27" spans="1:79">
      <c r="A27" s="29" t="s">
        <v>176</v>
      </c>
    </row>
    <row r="28" spans="1:79">
      <c r="A28" s="29" t="s">
        <v>199</v>
      </c>
    </row>
    <row r="29" spans="1:79">
      <c r="A29" s="29" t="s">
        <v>124</v>
      </c>
    </row>
    <row r="30" spans="1:79">
      <c r="A30" s="29" t="s">
        <v>201</v>
      </c>
    </row>
    <row r="31" spans="1:79" s="1074" customFormat="1">
      <c r="A31" s="75" t="s">
        <v>1249</v>
      </c>
    </row>
    <row r="32" spans="1:79">
      <c r="A32" s="106" t="s">
        <v>188</v>
      </c>
    </row>
    <row r="33" spans="1:1">
      <c r="A33" s="106" t="s">
        <v>139</v>
      </c>
    </row>
    <row r="34" spans="1:1">
      <c r="A34" s="106" t="s">
        <v>134</v>
      </c>
    </row>
    <row r="35" spans="1:1" s="1074" customFormat="1">
      <c r="A35" s="75" t="s">
        <v>1250</v>
      </c>
    </row>
    <row r="36" spans="1:1">
      <c r="A36" s="29" t="s">
        <v>122</v>
      </c>
    </row>
    <row r="37" spans="1:1">
      <c r="A37" s="29" t="s">
        <v>176</v>
      </c>
    </row>
    <row r="38" spans="1:1">
      <c r="A38" s="29" t="s">
        <v>199</v>
      </c>
    </row>
    <row r="39" spans="1:1">
      <c r="A39" s="29" t="s">
        <v>124</v>
      </c>
    </row>
    <row r="40" spans="1:1">
      <c r="A40" s="29" t="s">
        <v>201</v>
      </c>
    </row>
    <row r="41" spans="1:1" s="1074" customFormat="1">
      <c r="A41" s="75" t="s">
        <v>1251</v>
      </c>
    </row>
    <row r="42" spans="1:1">
      <c r="A42" s="29" t="s">
        <v>122</v>
      </c>
    </row>
    <row r="43" spans="1:1">
      <c r="A43" s="29" t="s">
        <v>176</v>
      </c>
    </row>
    <row r="44" spans="1:1">
      <c r="A44" s="29" t="s">
        <v>199</v>
      </c>
    </row>
    <row r="45" spans="1:1">
      <c r="A45" s="29" t="s">
        <v>124</v>
      </c>
    </row>
    <row r="46" spans="1:1">
      <c r="A46" s="29" t="s">
        <v>201</v>
      </c>
    </row>
    <row r="47" spans="1:1" s="1074" customFormat="1">
      <c r="A47" s="75" t="s">
        <v>175</v>
      </c>
    </row>
    <row r="48" spans="1:1">
      <c r="A48" s="174" t="s">
        <v>122</v>
      </c>
    </row>
    <row r="49" spans="1:1">
      <c r="A49" s="603" t="s">
        <v>217</v>
      </c>
    </row>
    <row r="50" spans="1:1">
      <c r="A50" s="603" t="s">
        <v>233</v>
      </c>
    </row>
    <row r="51" spans="1:1" s="1074" customFormat="1">
      <c r="A51" s="75" t="s">
        <v>1252</v>
      </c>
    </row>
    <row r="52" spans="1:1">
      <c r="A52" s="29" t="s">
        <v>122</v>
      </c>
    </row>
    <row r="53" spans="1:1">
      <c r="A53" s="29" t="s">
        <v>176</v>
      </c>
    </row>
    <row r="54" spans="1:1">
      <c r="A54" s="29" t="s">
        <v>199</v>
      </c>
    </row>
    <row r="55" spans="1:1">
      <c r="A55" s="29" t="s">
        <v>124</v>
      </c>
    </row>
    <row r="56" spans="1:1">
      <c r="A56" s="29" t="s">
        <v>201</v>
      </c>
    </row>
    <row r="57" spans="1:1" s="1074" customFormat="1">
      <c r="A57" s="75" t="s">
        <v>1253</v>
      </c>
    </row>
    <row r="58" spans="1:1">
      <c r="A58" s="106" t="s">
        <v>149</v>
      </c>
    </row>
    <row r="59" spans="1:1">
      <c r="A59" s="106" t="s">
        <v>142</v>
      </c>
    </row>
    <row r="60" spans="1:1">
      <c r="A60" s="106" t="s">
        <v>184</v>
      </c>
    </row>
    <row r="61" spans="1:1">
      <c r="A61" s="106" t="s">
        <v>1254</v>
      </c>
    </row>
    <row r="62" spans="1:1" s="1074" customFormat="1">
      <c r="A62" s="75" t="s">
        <v>1255</v>
      </c>
    </row>
    <row r="63" spans="1:1">
      <c r="A63" s="29" t="s">
        <v>122</v>
      </c>
    </row>
    <row r="64" spans="1:1">
      <c r="A64" s="29" t="s">
        <v>176</v>
      </c>
    </row>
    <row r="65" spans="1:79">
      <c r="A65" s="29" t="s">
        <v>199</v>
      </c>
    </row>
    <row r="66" spans="1:79">
      <c r="A66" s="29" t="s">
        <v>124</v>
      </c>
    </row>
    <row r="67" spans="1:79">
      <c r="A67" s="29" t="s">
        <v>201</v>
      </c>
    </row>
    <row r="68" spans="1:79" s="1074" customFormat="1">
      <c r="A68" s="75" t="s">
        <v>1256</v>
      </c>
    </row>
    <row r="69" spans="1:79">
      <c r="A69" s="29" t="s">
        <v>122</v>
      </c>
    </row>
    <row r="70" spans="1:79">
      <c r="A70" s="29" t="s">
        <v>176</v>
      </c>
    </row>
    <row r="71" spans="1:79">
      <c r="A71" s="29" t="s">
        <v>199</v>
      </c>
    </row>
    <row r="72" spans="1:79">
      <c r="A72" s="29" t="s">
        <v>124</v>
      </c>
    </row>
    <row r="73" spans="1:79">
      <c r="A73" s="29" t="s">
        <v>201</v>
      </c>
    </row>
    <row r="74" spans="1:79" s="1074" customFormat="1" ht="25.5">
      <c r="A74" s="75" t="s">
        <v>1257</v>
      </c>
      <c r="BZ74" s="9" t="s">
        <v>165</v>
      </c>
      <c r="CA74" s="10" t="s">
        <v>122</v>
      </c>
    </row>
    <row r="75" spans="1:79" ht="25.5">
      <c r="A75" s="29" t="s">
        <v>122</v>
      </c>
      <c r="BZ75" s="13" t="s">
        <v>166</v>
      </c>
      <c r="CA75" s="14" t="s">
        <v>122</v>
      </c>
    </row>
    <row r="76" spans="1:79">
      <c r="A76" s="29" t="s">
        <v>176</v>
      </c>
      <c r="BZ76" s="13"/>
      <c r="CA76" s="14"/>
    </row>
    <row r="77" spans="1:79">
      <c r="A77" s="29" t="s">
        <v>199</v>
      </c>
      <c r="BZ77" s="13"/>
      <c r="CA77" s="14"/>
    </row>
    <row r="78" spans="1:79">
      <c r="A78" s="29" t="s">
        <v>124</v>
      </c>
      <c r="BZ78" s="13"/>
      <c r="CA78" s="14"/>
    </row>
    <row r="79" spans="1:79">
      <c r="A79" s="29" t="s">
        <v>201</v>
      </c>
      <c r="BZ79" s="13"/>
      <c r="CA79" s="14"/>
    </row>
    <row r="80" spans="1:79" s="1074" customFormat="1">
      <c r="A80" s="75" t="s">
        <v>1167</v>
      </c>
      <c r="BZ80" s="9" t="s">
        <v>40</v>
      </c>
      <c r="CA80" s="10" t="s">
        <v>122</v>
      </c>
    </row>
    <row r="81" spans="1:79">
      <c r="A81" s="29" t="s">
        <v>122</v>
      </c>
      <c r="BZ81" s="13"/>
      <c r="CA81" s="14"/>
    </row>
    <row r="82" spans="1:79">
      <c r="A82" s="29" t="s">
        <v>176</v>
      </c>
      <c r="BZ82" s="13"/>
      <c r="CA82" s="14"/>
    </row>
    <row r="83" spans="1:79">
      <c r="A83" s="29" t="s">
        <v>199</v>
      </c>
      <c r="BZ83" s="13"/>
      <c r="CA83" s="14"/>
    </row>
    <row r="84" spans="1:79">
      <c r="A84" s="29" t="s">
        <v>124</v>
      </c>
      <c r="BZ84" s="13"/>
      <c r="CA84" s="14"/>
    </row>
    <row r="85" spans="1:79">
      <c r="A85" s="29" t="s">
        <v>201</v>
      </c>
      <c r="BZ85" s="13"/>
      <c r="CA85" s="14"/>
    </row>
    <row r="86" spans="1:79" s="1074" customFormat="1" ht="25.5">
      <c r="A86" s="75" t="s">
        <v>1258</v>
      </c>
      <c r="BZ86" s="9" t="s">
        <v>168</v>
      </c>
      <c r="CA86" s="10" t="s">
        <v>122</v>
      </c>
    </row>
    <row r="87" spans="1:79">
      <c r="A87" s="29" t="s">
        <v>122</v>
      </c>
      <c r="BZ87" s="13"/>
      <c r="CA87" s="14"/>
    </row>
    <row r="88" spans="1:79">
      <c r="A88" s="29" t="s">
        <v>176</v>
      </c>
      <c r="BZ88" s="13"/>
      <c r="CA88" s="14"/>
    </row>
    <row r="89" spans="1:79">
      <c r="A89" s="29" t="s">
        <v>199</v>
      </c>
      <c r="BZ89" s="13"/>
      <c r="CA89" s="14"/>
    </row>
    <row r="90" spans="1:79">
      <c r="A90" s="29" t="s">
        <v>124</v>
      </c>
      <c r="BZ90" s="13"/>
      <c r="CA90" s="14"/>
    </row>
    <row r="91" spans="1:79">
      <c r="A91" s="29" t="s">
        <v>201</v>
      </c>
      <c r="BZ91" s="13"/>
      <c r="CA91" s="14"/>
    </row>
    <row r="92" spans="1:79" s="1074" customFormat="1" ht="25.5">
      <c r="A92" s="75" t="s">
        <v>1259</v>
      </c>
      <c r="BZ92" s="9" t="s">
        <v>169</v>
      </c>
      <c r="CA92" s="10" t="s">
        <v>122</v>
      </c>
    </row>
    <row r="93" spans="1:79">
      <c r="A93" s="29" t="s">
        <v>122</v>
      </c>
      <c r="BZ93" s="13"/>
      <c r="CA93" s="14"/>
    </row>
    <row r="94" spans="1:79">
      <c r="A94" s="29" t="s">
        <v>217</v>
      </c>
      <c r="BZ94" s="13"/>
      <c r="CA94" s="14"/>
    </row>
    <row r="95" spans="1:79">
      <c r="A95" s="29" t="s">
        <v>233</v>
      </c>
      <c r="BZ95" s="13"/>
      <c r="CA95" s="14"/>
    </row>
    <row r="96" spans="1:79" s="1074" customFormat="1">
      <c r="A96" s="75" t="s">
        <v>1260</v>
      </c>
      <c r="BZ96" s="9" t="s">
        <v>53</v>
      </c>
      <c r="CA96" s="10" t="s">
        <v>122</v>
      </c>
    </row>
    <row r="97" spans="1:79">
      <c r="A97" s="29" t="s">
        <v>122</v>
      </c>
      <c r="BZ97" s="13" t="s">
        <v>831</v>
      </c>
      <c r="CA97" s="29" t="s">
        <v>176</v>
      </c>
    </row>
    <row r="98" spans="1:79">
      <c r="A98" s="29" t="s">
        <v>217</v>
      </c>
      <c r="BZ98" s="13" t="s">
        <v>831</v>
      </c>
      <c r="CA98" s="29" t="s">
        <v>201</v>
      </c>
    </row>
    <row r="99" spans="1:79">
      <c r="A99" s="29" t="s">
        <v>233</v>
      </c>
      <c r="BZ99" s="13"/>
      <c r="CA99" s="29"/>
    </row>
    <row r="100" spans="1:79" s="1074" customFormat="1">
      <c r="A100" s="75" t="s">
        <v>679</v>
      </c>
      <c r="BZ100" s="9" t="s">
        <v>831</v>
      </c>
      <c r="CA100" s="75" t="s">
        <v>199</v>
      </c>
    </row>
    <row r="101" spans="1:79">
      <c r="A101" s="29" t="s">
        <v>122</v>
      </c>
      <c r="BZ101" s="13" t="s">
        <v>831</v>
      </c>
      <c r="CA101" s="29" t="s">
        <v>124</v>
      </c>
    </row>
    <row r="102" spans="1:79">
      <c r="A102" s="29" t="s">
        <v>217</v>
      </c>
      <c r="BZ102" s="13"/>
      <c r="CA102" s="29"/>
    </row>
    <row r="103" spans="1:79">
      <c r="A103" s="29" t="s">
        <v>233</v>
      </c>
      <c r="BZ103" s="13"/>
      <c r="CA103" s="29"/>
    </row>
    <row r="104" spans="1:79" s="1074" customFormat="1" ht="25.5">
      <c r="A104" s="75" t="s">
        <v>1261</v>
      </c>
      <c r="BZ104" s="9" t="s">
        <v>831</v>
      </c>
      <c r="CA104" s="10" t="s">
        <v>125</v>
      </c>
    </row>
    <row r="105" spans="1:79">
      <c r="A105" s="29" t="s">
        <v>122</v>
      </c>
      <c r="BZ105" s="9" t="s">
        <v>171</v>
      </c>
      <c r="CA105" s="10"/>
    </row>
    <row r="106" spans="1:79" ht="25.5">
      <c r="A106" s="29" t="s">
        <v>217</v>
      </c>
      <c r="BZ106" s="13" t="s">
        <v>172</v>
      </c>
      <c r="CA106" s="14" t="s">
        <v>122</v>
      </c>
    </row>
    <row r="107" spans="1:79" ht="25.5">
      <c r="A107" s="29" t="s">
        <v>233</v>
      </c>
      <c r="BZ107" s="13" t="s">
        <v>173</v>
      </c>
      <c r="CA107" s="14" t="s">
        <v>122</v>
      </c>
    </row>
    <row r="108" spans="1:79" s="1074" customFormat="1">
      <c r="A108" s="75" t="s">
        <v>1262</v>
      </c>
      <c r="BZ108" s="9" t="s">
        <v>1263</v>
      </c>
      <c r="CA108" s="75" t="s">
        <v>176</v>
      </c>
    </row>
    <row r="109" spans="1:79">
      <c r="A109" s="29" t="s">
        <v>122</v>
      </c>
      <c r="B109" s="603"/>
      <c r="BZ109" s="13" t="s">
        <v>1263</v>
      </c>
      <c r="CA109" s="29" t="s">
        <v>201</v>
      </c>
    </row>
    <row r="110" spans="1:79">
      <c r="A110" s="29" t="s">
        <v>217</v>
      </c>
      <c r="BZ110" s="13" t="s">
        <v>1263</v>
      </c>
      <c r="CA110" s="29" t="s">
        <v>199</v>
      </c>
    </row>
    <row r="111" spans="1:79">
      <c r="A111" s="29" t="s">
        <v>233</v>
      </c>
      <c r="BZ111" s="13"/>
      <c r="CA111" s="29"/>
    </row>
    <row r="112" spans="1:79" s="1074" customFormat="1">
      <c r="A112" s="75" t="s">
        <v>1264</v>
      </c>
      <c r="BZ112" s="9"/>
      <c r="CA112" s="75"/>
    </row>
    <row r="113" spans="1:79">
      <c r="A113" s="29" t="s">
        <v>122</v>
      </c>
      <c r="BZ113" s="13"/>
      <c r="CA113" s="29"/>
    </row>
    <row r="114" spans="1:79">
      <c r="A114" s="29" t="s">
        <v>217</v>
      </c>
      <c r="BZ114" s="13"/>
      <c r="CA114" s="29"/>
    </row>
    <row r="115" spans="1:79">
      <c r="A115" s="29" t="s">
        <v>233</v>
      </c>
      <c r="BZ115" s="13"/>
      <c r="CA115" s="29"/>
    </row>
    <row r="116" spans="1:79" s="1074" customFormat="1">
      <c r="A116" s="75" t="s">
        <v>1265</v>
      </c>
      <c r="BZ116" s="9"/>
      <c r="CA116" s="75"/>
    </row>
    <row r="117" spans="1:79">
      <c r="A117" s="29" t="s">
        <v>122</v>
      </c>
      <c r="BZ117" s="13"/>
      <c r="CA117" s="29"/>
    </row>
    <row r="118" spans="1:79">
      <c r="A118" s="29" t="s">
        <v>217</v>
      </c>
      <c r="BZ118" s="13"/>
      <c r="CA118" s="29"/>
    </row>
    <row r="119" spans="1:79">
      <c r="A119" s="29" t="s">
        <v>233</v>
      </c>
      <c r="BZ119" s="13"/>
      <c r="CA119" s="29"/>
    </row>
    <row r="124" spans="1:79">
      <c r="A124" s="29"/>
      <c r="BZ124" s="13"/>
      <c r="CA124" s="29"/>
    </row>
    <row r="125" spans="1:79">
      <c r="A125" s="29"/>
      <c r="BZ125" s="13" t="s">
        <v>1263</v>
      </c>
      <c r="CA125" s="29" t="s">
        <v>124</v>
      </c>
    </row>
    <row r="126" spans="1:79" ht="25.5">
      <c r="A126" s="29"/>
      <c r="BZ126" s="13" t="s">
        <v>1263</v>
      </c>
      <c r="CA126" s="14" t="s">
        <v>125</v>
      </c>
    </row>
    <row r="127" spans="1:79" ht="25.5">
      <c r="A127" s="194" t="s">
        <v>1255</v>
      </c>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BZ127" s="9" t="s">
        <v>180</v>
      </c>
      <c r="CA127" s="10"/>
    </row>
    <row r="128" spans="1:79" ht="25.5">
      <c r="B128"/>
      <c r="C128"/>
      <c r="D128"/>
      <c r="E128"/>
      <c r="F128"/>
      <c r="G128"/>
      <c r="BZ128" s="13" t="s">
        <v>180</v>
      </c>
      <c r="CA128" s="14" t="s">
        <v>122</v>
      </c>
    </row>
    <row r="129" spans="1:79" ht="26.25" thickBot="1">
      <c r="B129"/>
      <c r="C129"/>
      <c r="D129"/>
      <c r="E129"/>
      <c r="F129"/>
      <c r="G129"/>
      <c r="H129"/>
      <c r="I129"/>
      <c r="J129"/>
      <c r="K129"/>
      <c r="L129"/>
      <c r="M129"/>
      <c r="N129"/>
      <c r="O129"/>
      <c r="P129"/>
      <c r="Q129"/>
      <c r="R129"/>
      <c r="S129"/>
      <c r="T129"/>
      <c r="U129"/>
      <c r="V129" s="6" t="s">
        <v>1226</v>
      </c>
      <c r="AD129" s="36" t="s">
        <v>1266</v>
      </c>
      <c r="AF129" s="1384"/>
      <c r="AG129" s="1382" t="s">
        <v>1267</v>
      </c>
      <c r="AH129" s="1383"/>
      <c r="AI129" s="1386"/>
      <c r="AJ129" s="1382" t="s">
        <v>1268</v>
      </c>
      <c r="AK129" s="1383"/>
      <c r="AL129" s="1383"/>
      <c r="AM129" s="194" t="s">
        <v>1269</v>
      </c>
      <c r="BZ129" s="13" t="s">
        <v>180</v>
      </c>
      <c r="CA129" s="29" t="s">
        <v>176</v>
      </c>
    </row>
    <row r="130" spans="1:79" ht="26.25" thickBot="1">
      <c r="A130" s="45"/>
      <c r="B130" s="46">
        <v>2011</v>
      </c>
      <c r="C130" s="46">
        <v>2012</v>
      </c>
      <c r="D130" s="46">
        <v>2013</v>
      </c>
      <c r="E130" s="46">
        <v>2014</v>
      </c>
      <c r="F130" s="46"/>
      <c r="G130" s="46"/>
      <c r="H130" s="46">
        <v>2015</v>
      </c>
      <c r="I130" s="46"/>
      <c r="J130" s="46"/>
      <c r="K130" s="46"/>
      <c r="L130" s="46"/>
      <c r="M130" s="46"/>
      <c r="N130" s="46"/>
      <c r="O130" s="46"/>
      <c r="P130" s="46"/>
      <c r="Q130" s="46"/>
      <c r="R130" s="46"/>
      <c r="S130" s="6" t="s">
        <v>1270</v>
      </c>
      <c r="T130" s="36" t="s">
        <v>1271</v>
      </c>
      <c r="V130" s="46">
        <v>2011</v>
      </c>
      <c r="W130" s="46">
        <v>2012</v>
      </c>
      <c r="X130" s="46">
        <v>2013</v>
      </c>
      <c r="Y130" s="46">
        <v>2014</v>
      </c>
      <c r="Z130" s="46">
        <v>2015</v>
      </c>
      <c r="AA130" s="6" t="s">
        <v>1270</v>
      </c>
      <c r="AF130" s="1385"/>
      <c r="AG130" s="280" t="s">
        <v>1272</v>
      </c>
      <c r="AH130" s="280" t="s">
        <v>1273</v>
      </c>
      <c r="AI130" s="280" t="s">
        <v>1274</v>
      </c>
      <c r="AJ130" s="280" t="s">
        <v>1272</v>
      </c>
      <c r="AK130" s="280" t="s">
        <v>1273</v>
      </c>
      <c r="AL130" s="279" t="s">
        <v>1274</v>
      </c>
      <c r="BZ130" s="13" t="s">
        <v>180</v>
      </c>
      <c r="CA130" s="29" t="s">
        <v>201</v>
      </c>
    </row>
    <row r="131" spans="1:79" ht="33.75" thickBot="1">
      <c r="A131" s="47" t="s">
        <v>90</v>
      </c>
      <c r="B131" s="48">
        <v>42800</v>
      </c>
      <c r="C131" s="48">
        <v>35100</v>
      </c>
      <c r="D131" s="48">
        <v>40800</v>
      </c>
      <c r="E131" s="48">
        <v>46500</v>
      </c>
      <c r="F131" s="48"/>
      <c r="G131" s="48"/>
      <c r="H131" s="48">
        <v>83100</v>
      </c>
      <c r="I131" s="48"/>
      <c r="J131" s="48"/>
      <c r="K131" s="48"/>
      <c r="L131" s="48"/>
      <c r="M131" s="48"/>
      <c r="N131" s="48"/>
      <c r="O131" s="48"/>
      <c r="P131" s="48"/>
      <c r="Q131" s="48"/>
      <c r="R131" s="48"/>
      <c r="S131" s="3">
        <f>AVERAGE(B131:H131)</f>
        <v>49660</v>
      </c>
      <c r="T131" s="49">
        <f>S131/S133</f>
        <v>0.42736660929432013</v>
      </c>
      <c r="V131" s="47" t="s">
        <v>90</v>
      </c>
      <c r="W131" s="48">
        <v>2690</v>
      </c>
      <c r="X131" s="48">
        <v>2730</v>
      </c>
      <c r="Y131" s="48">
        <v>3340</v>
      </c>
      <c r="Z131" s="48">
        <v>3220</v>
      </c>
      <c r="AA131" s="48">
        <v>3710</v>
      </c>
      <c r="AB131" s="3">
        <f>AVERAGE(W131:AA131)</f>
        <v>3138</v>
      </c>
      <c r="AD131" s="50">
        <f>1/AB131*10^4</f>
        <v>3.1867431485022304</v>
      </c>
      <c r="AF131" s="230" t="s">
        <v>1275</v>
      </c>
      <c r="AG131" s="229"/>
      <c r="AH131" s="229"/>
      <c r="AI131" s="229"/>
      <c r="AJ131" s="229"/>
      <c r="AK131" s="229"/>
      <c r="AL131" s="181"/>
      <c r="BZ131" s="13" t="s">
        <v>180</v>
      </c>
      <c r="CA131" s="29" t="s">
        <v>199</v>
      </c>
    </row>
    <row r="132" spans="1:79" ht="26.25" thickBot="1">
      <c r="A132" s="47" t="s">
        <v>1276</v>
      </c>
      <c r="B132" s="48">
        <v>53000</v>
      </c>
      <c r="C132" s="48">
        <v>58200</v>
      </c>
      <c r="D132" s="48">
        <v>61300</v>
      </c>
      <c r="E132" s="48">
        <v>61100</v>
      </c>
      <c r="F132" s="48"/>
      <c r="G132" s="48"/>
      <c r="H132" s="48">
        <v>99100</v>
      </c>
      <c r="I132" s="48"/>
      <c r="J132" s="48"/>
      <c r="K132" s="48"/>
      <c r="L132" s="48"/>
      <c r="M132" s="48"/>
      <c r="N132" s="48"/>
      <c r="O132" s="48"/>
      <c r="P132" s="48"/>
      <c r="Q132" s="48"/>
      <c r="R132" s="48"/>
      <c r="S132" s="3">
        <f>AVERAGE(B132:H132)</f>
        <v>66540</v>
      </c>
      <c r="T132" s="49">
        <f>S132/S133</f>
        <v>0.57263339070567987</v>
      </c>
      <c r="V132" s="47" t="s">
        <v>1276</v>
      </c>
      <c r="W132" s="48">
        <v>3330</v>
      </c>
      <c r="X132" s="48">
        <v>3240</v>
      </c>
      <c r="Y132" s="48">
        <v>3510</v>
      </c>
      <c r="Z132" s="48">
        <v>3240</v>
      </c>
      <c r="AA132" s="48">
        <v>3960</v>
      </c>
      <c r="AB132" s="3">
        <f>AVERAGE(W132:AA132)</f>
        <v>3456</v>
      </c>
      <c r="AD132" s="50">
        <f>1/AB132*10^4</f>
        <v>2.8935185185185182</v>
      </c>
      <c r="AF132" s="230" t="s">
        <v>1277</v>
      </c>
      <c r="AG132" s="231" t="s">
        <v>1278</v>
      </c>
      <c r="AH132" s="231" t="s">
        <v>1278</v>
      </c>
      <c r="AI132" s="231" t="s">
        <v>1278</v>
      </c>
      <c r="AJ132" s="231">
        <v>66</v>
      </c>
      <c r="AK132" s="231">
        <v>61</v>
      </c>
      <c r="AL132" s="182">
        <v>57</v>
      </c>
      <c r="AM132" s="39">
        <f>AVERAGE(AJ132:AL132)</f>
        <v>61.333333333333336</v>
      </c>
      <c r="BZ132" s="13" t="s">
        <v>180</v>
      </c>
      <c r="CA132" s="29" t="s">
        <v>124</v>
      </c>
    </row>
    <row r="133" spans="1:79" ht="25.5">
      <c r="A133" s="6"/>
      <c r="B133"/>
      <c r="C133"/>
      <c r="D133"/>
      <c r="E133"/>
      <c r="F133"/>
      <c r="G133"/>
      <c r="H133"/>
      <c r="I133"/>
      <c r="J133"/>
      <c r="K133"/>
      <c r="L133"/>
      <c r="M133"/>
      <c r="N133"/>
      <c r="O133"/>
      <c r="P133"/>
      <c r="Q133"/>
      <c r="R133"/>
      <c r="S133" s="3">
        <f>SUM(S131:S132)</f>
        <v>116200</v>
      </c>
      <c r="T133"/>
      <c r="AD133" s="51">
        <f>SUMPRODUCT(T131:T132,AD131:AD132)</f>
        <v>3.0188329343962392</v>
      </c>
      <c r="BZ133" s="13" t="s">
        <v>180</v>
      </c>
      <c r="CA133" s="14" t="s">
        <v>125</v>
      </c>
    </row>
    <row r="134" spans="1:79">
      <c r="A134" s="27" t="s">
        <v>1279</v>
      </c>
      <c r="B134"/>
      <c r="C134"/>
      <c r="D134"/>
      <c r="H134"/>
      <c r="I134"/>
      <c r="J134"/>
      <c r="K134"/>
      <c r="L134"/>
      <c r="M134"/>
      <c r="N134"/>
      <c r="O134"/>
      <c r="P134"/>
      <c r="Q134"/>
      <c r="R134"/>
      <c r="S134"/>
      <c r="T134"/>
      <c r="U134"/>
      <c r="BZ134" s="9" t="s">
        <v>90</v>
      </c>
      <c r="CA134" s="10"/>
    </row>
    <row r="135" spans="1:79">
      <c r="A135" t="s">
        <v>90</v>
      </c>
      <c r="B135">
        <v>63</v>
      </c>
      <c r="C135" s="37" t="s">
        <v>1280</v>
      </c>
      <c r="D135"/>
      <c r="H135"/>
      <c r="I135"/>
      <c r="J135"/>
      <c r="K135"/>
      <c r="L135"/>
      <c r="M135"/>
      <c r="N135"/>
      <c r="O135"/>
      <c r="P135"/>
      <c r="Q135"/>
      <c r="R135"/>
      <c r="S135"/>
      <c r="T135"/>
      <c r="U135"/>
      <c r="AL135" s="37" t="e">
        <v>#REF!</v>
      </c>
      <c r="BZ135" s="1087" t="s">
        <v>90</v>
      </c>
      <c r="CA135" s="14" t="s">
        <v>122</v>
      </c>
    </row>
    <row r="136" spans="1:79" ht="39">
      <c r="A136" s="37" t="s">
        <v>94</v>
      </c>
      <c r="B136" s="37">
        <v>80</v>
      </c>
      <c r="C136" s="37" t="s">
        <v>1281</v>
      </c>
      <c r="D136"/>
      <c r="H136"/>
      <c r="I136"/>
      <c r="J136"/>
      <c r="K136"/>
      <c r="L136"/>
      <c r="M136"/>
      <c r="N136"/>
      <c r="O136"/>
      <c r="P136"/>
      <c r="Q136"/>
      <c r="R136"/>
      <c r="S136"/>
      <c r="T136"/>
      <c r="U136"/>
      <c r="BZ136" s="1087" t="s">
        <v>1282</v>
      </c>
      <c r="CA136" s="29" t="s">
        <v>176</v>
      </c>
    </row>
    <row r="137" spans="1:79" ht="39">
      <c r="D137"/>
      <c r="H137"/>
      <c r="I137"/>
      <c r="J137"/>
      <c r="K137"/>
      <c r="L137"/>
      <c r="M137"/>
      <c r="N137"/>
      <c r="O137"/>
      <c r="P137"/>
      <c r="Q137"/>
      <c r="R137"/>
      <c r="S137"/>
      <c r="T137"/>
      <c r="U137"/>
      <c r="BZ137" s="1087" t="s">
        <v>1282</v>
      </c>
      <c r="CA137" s="29" t="s">
        <v>199</v>
      </c>
    </row>
    <row r="138" spans="1:79" ht="39">
      <c r="H138"/>
      <c r="I138"/>
      <c r="J138"/>
      <c r="K138"/>
      <c r="L138"/>
      <c r="M138"/>
      <c r="N138"/>
      <c r="O138"/>
      <c r="P138"/>
      <c r="Q138"/>
      <c r="R138"/>
      <c r="S138"/>
      <c r="T138"/>
      <c r="U138"/>
      <c r="BZ138" s="1087" t="s">
        <v>1282</v>
      </c>
      <c r="CA138" s="29" t="s">
        <v>124</v>
      </c>
    </row>
    <row r="139" spans="1:79" ht="39">
      <c r="A139" s="36" t="s">
        <v>1283</v>
      </c>
      <c r="U139"/>
      <c r="BZ139" s="1087" t="s">
        <v>1284</v>
      </c>
      <c r="CA139" s="14" t="s">
        <v>125</v>
      </c>
    </row>
    <row r="140" spans="1:79" ht="25.5">
      <c r="A140" s="37" t="s">
        <v>1274</v>
      </c>
      <c r="B140" s="37">
        <v>21</v>
      </c>
      <c r="C140" s="37" t="s">
        <v>1285</v>
      </c>
      <c r="H140" s="37" t="s">
        <v>1286</v>
      </c>
      <c r="U140"/>
      <c r="BZ140" s="9" t="s">
        <v>1276</v>
      </c>
      <c r="CA140" s="10"/>
    </row>
    <row r="141" spans="1:79" ht="26.25">
      <c r="H141"/>
      <c r="I141"/>
      <c r="J141"/>
      <c r="K141"/>
      <c r="L141"/>
      <c r="M141"/>
      <c r="N141"/>
      <c r="O141"/>
      <c r="P141"/>
      <c r="Q141"/>
      <c r="R141"/>
      <c r="S141"/>
      <c r="T141"/>
      <c r="U141"/>
      <c r="BZ141" s="1087" t="s">
        <v>1276</v>
      </c>
      <c r="CA141" s="14" t="s">
        <v>122</v>
      </c>
    </row>
    <row r="142" spans="1:79" ht="39">
      <c r="A142" s="36" t="s">
        <v>934</v>
      </c>
      <c r="B142" s="37">
        <v>0</v>
      </c>
      <c r="H142"/>
      <c r="I142"/>
      <c r="J142"/>
      <c r="K142"/>
      <c r="L142"/>
      <c r="M142"/>
      <c r="N142"/>
      <c r="O142"/>
      <c r="P142"/>
      <c r="Q142"/>
      <c r="R142"/>
      <c r="S142"/>
      <c r="T142"/>
      <c r="U142"/>
      <c r="BZ142" s="1087" t="s">
        <v>1282</v>
      </c>
      <c r="CA142" s="29" t="s">
        <v>176</v>
      </c>
    </row>
    <row r="143" spans="1:79" ht="39">
      <c r="A143" s="36"/>
      <c r="H143"/>
      <c r="I143"/>
      <c r="J143"/>
      <c r="K143"/>
      <c r="L143"/>
      <c r="M143"/>
      <c r="N143"/>
      <c r="O143"/>
      <c r="P143"/>
      <c r="Q143"/>
      <c r="R143"/>
      <c r="S143"/>
      <c r="T143"/>
      <c r="U143"/>
      <c r="BZ143" s="1087" t="s">
        <v>1282</v>
      </c>
      <c r="CA143" s="29" t="s">
        <v>199</v>
      </c>
    </row>
    <row r="144" spans="1:79" ht="39">
      <c r="A144" s="27" t="s">
        <v>1287</v>
      </c>
      <c r="B144" s="27" t="s">
        <v>1288</v>
      </c>
      <c r="C144" s="27" t="s">
        <v>1289</v>
      </c>
      <c r="D144" s="52"/>
      <c r="BZ144" s="1087" t="s">
        <v>1282</v>
      </c>
      <c r="CA144" s="29" t="s">
        <v>124</v>
      </c>
    </row>
    <row r="145" spans="1:79" ht="39">
      <c r="A145" s="14">
        <v>19</v>
      </c>
      <c r="B145" s="16">
        <v>14</v>
      </c>
      <c r="C145" s="53">
        <f>1/((100-A145)/(100-B145))</f>
        <v>1.0617283950617284</v>
      </c>
      <c r="D145" s="52" t="s">
        <v>674</v>
      </c>
      <c r="BZ145" s="1087" t="s">
        <v>1284</v>
      </c>
      <c r="CA145" s="14" t="s">
        <v>125</v>
      </c>
    </row>
    <row r="146" spans="1:79">
      <c r="A146" s="14"/>
      <c r="B146" s="16"/>
      <c r="C146" s="53"/>
      <c r="D146" s="52"/>
      <c r="BZ146" s="9" t="s">
        <v>192</v>
      </c>
      <c r="CA146" s="10"/>
    </row>
    <row r="147" spans="1:79">
      <c r="A147" s="27" t="s">
        <v>1290</v>
      </c>
      <c r="B147" s="203" t="s">
        <v>1291</v>
      </c>
      <c r="C147" s="203" t="s">
        <v>1292</v>
      </c>
      <c r="D147" s="196" t="s">
        <v>120</v>
      </c>
      <c r="BZ147" s="28" t="s">
        <v>192</v>
      </c>
      <c r="CA147" s="14" t="s">
        <v>122</v>
      </c>
    </row>
    <row r="148" spans="1:79">
      <c r="A148" s="14" t="s">
        <v>1293</v>
      </c>
      <c r="B148" s="16">
        <v>0.99</v>
      </c>
      <c r="C148" s="53">
        <v>0.99</v>
      </c>
      <c r="D148" s="274">
        <f>AVERAGE(B148:C148)</f>
        <v>0.99</v>
      </c>
      <c r="BZ148" s="28" t="s">
        <v>192</v>
      </c>
      <c r="CA148" s="29" t="s">
        <v>176</v>
      </c>
    </row>
    <row r="149" spans="1:79">
      <c r="A149" s="14" t="s">
        <v>1294</v>
      </c>
      <c r="B149" s="16" t="s">
        <v>1295</v>
      </c>
      <c r="C149" s="53">
        <v>1.01</v>
      </c>
      <c r="D149" s="274">
        <f>C149</f>
        <v>1.01</v>
      </c>
      <c r="BZ149" s="28" t="s">
        <v>192</v>
      </c>
      <c r="CA149" s="29" t="s">
        <v>199</v>
      </c>
    </row>
    <row r="150" spans="1:79">
      <c r="A150" s="14"/>
      <c r="B150" s="16"/>
      <c r="C150" s="53"/>
      <c r="D150" s="52"/>
      <c r="BZ150" s="28" t="s">
        <v>192</v>
      </c>
      <c r="CA150" s="29" t="s">
        <v>124</v>
      </c>
    </row>
    <row r="151" spans="1:79" ht="25.5">
      <c r="A151" s="14"/>
      <c r="B151" s="16"/>
      <c r="C151" s="53"/>
      <c r="D151" s="52"/>
      <c r="BZ151" s="28" t="s">
        <v>192</v>
      </c>
      <c r="CA151" s="14" t="s">
        <v>125</v>
      </c>
    </row>
    <row r="152" spans="1:79">
      <c r="BZ152" s="147" t="s">
        <v>640</v>
      </c>
      <c r="CA152" s="10"/>
    </row>
    <row r="153" spans="1:79" ht="26.25" thickBot="1">
      <c r="A153" s="41" t="s">
        <v>1296</v>
      </c>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Z153" s="42"/>
      <c r="AA153" s="42"/>
      <c r="AB153" s="42"/>
      <c r="AC153" s="42"/>
      <c r="AD153" s="42"/>
      <c r="AE153" s="42"/>
      <c r="BZ153" s="28"/>
      <c r="CA153" s="14" t="s">
        <v>139</v>
      </c>
    </row>
    <row r="154" spans="1:79" ht="19.149999999999999" customHeight="1" thickBot="1">
      <c r="A154" s="37" t="s">
        <v>1226</v>
      </c>
      <c r="B154" s="246">
        <f>X158</f>
        <v>6692</v>
      </c>
      <c r="C154" s="69">
        <v>7580</v>
      </c>
      <c r="D154" s="37" t="s">
        <v>1297</v>
      </c>
      <c r="H154" s="242" t="s">
        <v>1298</v>
      </c>
      <c r="I154" s="243"/>
      <c r="J154" s="243"/>
      <c r="K154" s="243"/>
      <c r="L154" s="243"/>
      <c r="M154" s="243"/>
      <c r="N154" s="243"/>
      <c r="O154" s="243"/>
      <c r="P154" s="243"/>
      <c r="Q154" s="243"/>
      <c r="R154" s="243"/>
      <c r="S154" s="243"/>
      <c r="T154" s="243"/>
      <c r="U154" s="243"/>
      <c r="V154" s="243"/>
      <c r="W154" s="244"/>
      <c r="BZ154" s="28"/>
      <c r="CA154" s="14" t="s">
        <v>188</v>
      </c>
    </row>
    <row r="155" spans="1:79" ht="16.5" thickBot="1">
      <c r="A155" s="37" t="s">
        <v>1299</v>
      </c>
      <c r="B155" s="26">
        <v>1.0301583999999999</v>
      </c>
      <c r="D155" s="37" t="s">
        <v>1297</v>
      </c>
      <c r="H155" s="224"/>
      <c r="I155" s="224"/>
      <c r="J155" s="224"/>
      <c r="K155" s="224"/>
      <c r="L155" s="224"/>
      <c r="M155" s="224"/>
      <c r="N155" s="224"/>
      <c r="O155" s="224"/>
      <c r="P155" s="224"/>
      <c r="Q155" s="224"/>
      <c r="R155" s="224"/>
      <c r="S155" s="225">
        <v>2011</v>
      </c>
      <c r="T155" s="225">
        <v>2012</v>
      </c>
      <c r="U155" s="225">
        <v>2013</v>
      </c>
      <c r="V155" s="225">
        <v>2014</v>
      </c>
      <c r="W155" s="225">
        <v>2015</v>
      </c>
      <c r="BZ155" s="1091" t="s">
        <v>675</v>
      </c>
      <c r="CA155" s="75"/>
    </row>
    <row r="156" spans="1:79" ht="15.75" thickBot="1">
      <c r="A156" s="37" t="s">
        <v>1300</v>
      </c>
      <c r="B156" s="26">
        <v>100</v>
      </c>
      <c r="C156" s="50">
        <v>100</v>
      </c>
      <c r="D156" s="37" t="s">
        <v>1297</v>
      </c>
      <c r="H156" s="226" t="s">
        <v>1301</v>
      </c>
      <c r="I156" s="226"/>
      <c r="J156" s="226"/>
      <c r="K156" s="226"/>
      <c r="L156" s="226"/>
      <c r="M156" s="226"/>
      <c r="N156" s="226"/>
      <c r="O156" s="226"/>
      <c r="P156" s="226"/>
      <c r="Q156" s="226"/>
      <c r="R156" s="226"/>
      <c r="S156" s="184"/>
      <c r="T156" s="184"/>
      <c r="U156" s="184"/>
      <c r="V156" s="184"/>
      <c r="W156" s="184"/>
      <c r="BZ156" s="545"/>
      <c r="CA156" s="29" t="s">
        <v>134</v>
      </c>
    </row>
    <row r="157" spans="1:79" ht="15.75" thickBot="1">
      <c r="A157" s="37" t="s">
        <v>1302</v>
      </c>
      <c r="B157" s="129">
        <f>2.04444444444444*10^-3</f>
        <v>2.0444444444444399E-3</v>
      </c>
      <c r="C157" s="50">
        <v>2.0444444444444399E-3</v>
      </c>
      <c r="D157" s="37" t="s">
        <v>1297</v>
      </c>
      <c r="H157" s="226" t="s">
        <v>1303</v>
      </c>
      <c r="I157" s="226"/>
      <c r="J157" s="226"/>
      <c r="K157" s="226"/>
      <c r="L157" s="226"/>
      <c r="M157" s="226"/>
      <c r="N157" s="226"/>
      <c r="O157" s="226"/>
      <c r="P157" s="226"/>
      <c r="Q157" s="226"/>
      <c r="R157" s="226"/>
      <c r="S157" s="184"/>
      <c r="T157" s="184"/>
      <c r="U157" s="184"/>
      <c r="V157" s="184"/>
      <c r="W157" s="184"/>
      <c r="BZ157" s="147" t="s">
        <v>1258</v>
      </c>
      <c r="CA157" s="75"/>
    </row>
    <row r="158" spans="1:79" ht="15.75" thickBot="1">
      <c r="A158" s="37" t="s">
        <v>934</v>
      </c>
      <c r="B158" s="129">
        <v>0</v>
      </c>
      <c r="H158" s="227" t="s">
        <v>1304</v>
      </c>
      <c r="I158" s="227"/>
      <c r="J158" s="227"/>
      <c r="K158" s="227"/>
      <c r="L158" s="227"/>
      <c r="M158" s="227"/>
      <c r="N158" s="227"/>
      <c r="O158" s="227"/>
      <c r="P158" s="227"/>
      <c r="Q158" s="227"/>
      <c r="R158" s="227"/>
      <c r="S158" s="185">
        <v>8020</v>
      </c>
      <c r="T158" s="185">
        <v>6290</v>
      </c>
      <c r="U158" s="185">
        <v>5990</v>
      </c>
      <c r="V158" s="185">
        <v>7400</v>
      </c>
      <c r="W158" s="185">
        <v>5760</v>
      </c>
      <c r="X158" s="4">
        <f>AVERAGE(S158:W158)</f>
        <v>6692</v>
      </c>
      <c r="BZ158" s="28"/>
      <c r="CA158" s="29" t="s">
        <v>122</v>
      </c>
    </row>
    <row r="159" spans="1:79">
      <c r="A159" s="37" t="s">
        <v>1305</v>
      </c>
      <c r="B159" s="129">
        <f>(1/B154*10^4)/B155</f>
        <v>1.4505745698948691</v>
      </c>
      <c r="S159" s="128"/>
      <c r="BZ159" s="147" t="s">
        <v>1167</v>
      </c>
      <c r="CA159" s="75"/>
    </row>
    <row r="160" spans="1:79">
      <c r="A160" s="37" t="s">
        <v>936</v>
      </c>
      <c r="B160" s="129">
        <f>0.0835652093*10^-3</f>
        <v>8.3565209299999997E-5</v>
      </c>
      <c r="C160" s="129">
        <f>0.0835652093*10^-3</f>
        <v>8.3565209299999997E-5</v>
      </c>
      <c r="D160" s="37" t="s">
        <v>1297</v>
      </c>
      <c r="S160" s="128"/>
      <c r="BZ160" s="33"/>
      <c r="CA160" s="34" t="s">
        <v>122</v>
      </c>
    </row>
    <row r="161" spans="1:54">
      <c r="B161" s="129"/>
      <c r="S161" s="128"/>
    </row>
    <row r="162" spans="1:54">
      <c r="E162" s="4"/>
      <c r="F162" s="4"/>
      <c r="G162" s="4"/>
      <c r="H162" s="4"/>
      <c r="I162" s="4"/>
      <c r="J162" s="4"/>
      <c r="K162" s="4"/>
      <c r="L162" s="4"/>
      <c r="M162" s="4"/>
      <c r="N162" s="4"/>
      <c r="O162" s="4"/>
      <c r="P162" s="4"/>
      <c r="Q162" s="4"/>
      <c r="R162" s="4"/>
      <c r="S162" s="4"/>
      <c r="T162" s="4"/>
      <c r="U162" s="4"/>
    </row>
    <row r="163" spans="1:54">
      <c r="A163" s="41" t="s">
        <v>678</v>
      </c>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row>
    <row r="164" spans="1:54">
      <c r="A164" s="36"/>
    </row>
    <row r="165" spans="1:54">
      <c r="A165" s="36"/>
    </row>
    <row r="166" spans="1:54">
      <c r="A166" s="36"/>
    </row>
    <row r="167" spans="1:54">
      <c r="A167" s="36"/>
    </row>
    <row r="168" spans="1:54">
      <c r="A168" s="36"/>
    </row>
    <row r="169" spans="1:54">
      <c r="A169" s="36"/>
    </row>
    <row r="170" spans="1:54" ht="63.75">
      <c r="C170" s="36" t="s">
        <v>608</v>
      </c>
      <c r="D170" s="37" t="s">
        <v>1306</v>
      </c>
      <c r="Y170" s="187" t="s">
        <v>1307</v>
      </c>
      <c r="Z170"/>
      <c r="AA170"/>
      <c r="AB170"/>
      <c r="AC170"/>
      <c r="AF170" s="187" t="s">
        <v>1308</v>
      </c>
      <c r="AG170"/>
      <c r="AH170"/>
      <c r="AI170"/>
      <c r="AJ170"/>
      <c r="AK170"/>
      <c r="AS170" s="221" t="s">
        <v>1308</v>
      </c>
      <c r="AT170" s="220" t="s">
        <v>1309</v>
      </c>
      <c r="AU170" s="205"/>
      <c r="AV170" s="205"/>
      <c r="AW170" s="205"/>
      <c r="AX170" s="205"/>
      <c r="AY170" s="205"/>
    </row>
    <row r="171" spans="1:54" ht="60">
      <c r="A171" s="37" t="s">
        <v>1226</v>
      </c>
      <c r="B171" s="38">
        <f>AQ176</f>
        <v>1780.1418463557513</v>
      </c>
      <c r="C171" s="37">
        <v>1500</v>
      </c>
      <c r="D171" s="37" t="s">
        <v>1310</v>
      </c>
      <c r="V171" s="194" t="s">
        <v>1311</v>
      </c>
      <c r="Y171" s="27" t="s">
        <v>1312</v>
      </c>
      <c r="Z171" s="27" t="s">
        <v>1313</v>
      </c>
      <c r="AA171" s="27" t="s">
        <v>1314</v>
      </c>
      <c r="AB171" s="27" t="s">
        <v>1315</v>
      </c>
      <c r="AC171" s="27" t="s">
        <v>1316</v>
      </c>
      <c r="AD171" s="36" t="s">
        <v>1317</v>
      </c>
      <c r="AE171" s="36" t="s">
        <v>1318</v>
      </c>
      <c r="AF171" s="27" t="s">
        <v>1319</v>
      </c>
      <c r="AG171" s="27" t="s">
        <v>1320</v>
      </c>
      <c r="AH171" s="27" t="s">
        <v>1321</v>
      </c>
      <c r="AI171" s="27" t="s">
        <v>1322</v>
      </c>
      <c r="AJ171" s="27" t="s">
        <v>1323</v>
      </c>
      <c r="AK171" s="149" t="s">
        <v>1324</v>
      </c>
      <c r="AL171" s="27" t="s">
        <v>1325</v>
      </c>
      <c r="AN171" s="220" t="s">
        <v>1326</v>
      </c>
      <c r="AQ171" s="37" t="s">
        <v>1327</v>
      </c>
      <c r="AS171" s="222" t="s">
        <v>1319</v>
      </c>
      <c r="AT171" s="222" t="s">
        <v>1320</v>
      </c>
      <c r="AU171" s="222" t="s">
        <v>1321</v>
      </c>
      <c r="AV171" s="222" t="s">
        <v>1322</v>
      </c>
      <c r="AW171" s="222" t="s">
        <v>1323</v>
      </c>
      <c r="AX171" s="223" t="s">
        <v>1324</v>
      </c>
      <c r="AY171" s="222" t="s">
        <v>1325</v>
      </c>
    </row>
    <row r="172" spans="1:54">
      <c r="A172" s="37" t="s">
        <v>1300</v>
      </c>
      <c r="B172" s="38">
        <f>C172*B171/C171</f>
        <v>118.67612309038343</v>
      </c>
      <c r="C172" s="37">
        <f>55+45</f>
        <v>100</v>
      </c>
      <c r="D172" s="37" t="s">
        <v>1310</v>
      </c>
      <c r="V172" s="36" t="s">
        <v>1328</v>
      </c>
      <c r="W172" s="36" t="s">
        <v>1329</v>
      </c>
      <c r="X172" s="36" t="s">
        <v>1330</v>
      </c>
      <c r="Y172"/>
      <c r="Z172"/>
      <c r="AA172"/>
      <c r="AB172"/>
      <c r="AC172"/>
      <c r="AF172" s="183"/>
      <c r="AG172" s="183"/>
      <c r="AH172" s="183"/>
      <c r="AI172" s="183"/>
      <c r="AJ172" s="183"/>
      <c r="AK172" s="183"/>
      <c r="AL172" s="183" t="e">
        <f>SUMPRODUCT(AL173:AL182,X173:X182)</f>
        <v>#REF!</v>
      </c>
      <c r="AP172" s="207" t="e">
        <f>SUMPRODUCT(AO173:AO175,AP173:AP175)</f>
        <v>#REF!</v>
      </c>
      <c r="AQ172" s="205" t="s">
        <v>1331</v>
      </c>
    </row>
    <row r="173" spans="1:54">
      <c r="A173" s="37" t="s">
        <v>1283</v>
      </c>
      <c r="B173" s="38">
        <f>C173*B171/C171</f>
        <v>16.852009478834447</v>
      </c>
      <c r="C173" s="37">
        <v>14.2</v>
      </c>
      <c r="D173" s="37" t="s">
        <v>1310</v>
      </c>
      <c r="U173" s="37" t="s">
        <v>184</v>
      </c>
      <c r="V173" s="206">
        <f>21934/10</f>
        <v>2193.4</v>
      </c>
      <c r="W173" s="206">
        <v>3158290</v>
      </c>
      <c r="X173" s="40">
        <f t="shared" ref="X173:X181" si="0">W173/$W$182</f>
        <v>7.1271827136691376E-2</v>
      </c>
      <c r="Y173" s="186">
        <v>5.5122676400630499E-11</v>
      </c>
      <c r="Z173" s="186">
        <v>5.3604663576149402E-11</v>
      </c>
      <c r="AA173" s="186">
        <v>4.5381804318619403E-11</v>
      </c>
      <c r="AB173" s="186">
        <v>1.31127969128976E-11</v>
      </c>
      <c r="AC173" s="186">
        <v>4.9119598130720397E-10</v>
      </c>
      <c r="AD173" s="40">
        <f>1/V173*10^4/$B$176*$C$176/$B$180</f>
        <v>9.3462204796206798</v>
      </c>
      <c r="AE173" s="37" t="e">
        <f>(1/V173*10^4/$B$177*$C$177)/(1-#REF!)</f>
        <v>#REF!</v>
      </c>
      <c r="AF173" s="183">
        <f t="shared" ref="AF173:AJ181" si="1">Y173*$AD173</f>
        <v>5.1518868706707626E-10</v>
      </c>
      <c r="AG173" s="183">
        <f t="shared" si="1"/>
        <v>5.0100100451858425E-10</v>
      </c>
      <c r="AH173" s="183">
        <f t="shared" si="1"/>
        <v>4.2414834892481887E-10</v>
      </c>
      <c r="AI173" s="183">
        <f t="shared" si="1"/>
        <v>1.2255509105243038E-10</v>
      </c>
      <c r="AJ173" s="183">
        <f t="shared" si="1"/>
        <v>4.5908259400007665E-9</v>
      </c>
      <c r="AK173" s="183">
        <f>SUM(AF173:AJ173)</f>
        <v>6.1537190715636761E-9</v>
      </c>
      <c r="AL173" s="183" t="e">
        <f>AK173/('Feed products'!#REF!/10^6)</f>
        <v>#REF!</v>
      </c>
      <c r="AN173" s="37" t="s">
        <v>1332</v>
      </c>
      <c r="AO173" s="40">
        <f>X175</f>
        <v>0.20942461024457171</v>
      </c>
      <c r="AP173" s="209" t="e">
        <f>AL175</f>
        <v>#REF!</v>
      </c>
      <c r="AQ173" s="37">
        <f>V175</f>
        <v>1417.9</v>
      </c>
      <c r="AR173" s="37" t="s">
        <v>184</v>
      </c>
      <c r="AS173" s="209" t="e">
        <f>Y173*$AE173</f>
        <v>#REF!</v>
      </c>
      <c r="AT173" s="209" t="e">
        <f>Z173*$AE173</f>
        <v>#REF!</v>
      </c>
      <c r="AU173" s="209" t="e">
        <f>AA173*$AE173</f>
        <v>#REF!</v>
      </c>
      <c r="AV173" s="209" t="e">
        <f>AB173*$AE173</f>
        <v>#REF!</v>
      </c>
      <c r="AW173" s="209" t="e">
        <f>AC173*$AE173</f>
        <v>#REF!</v>
      </c>
      <c r="AX173" s="209" t="e">
        <f>SUM(AS173:AW173)</f>
        <v>#REF!</v>
      </c>
      <c r="AY173" s="37" t="e">
        <f>AX173/('Feed products'!#REF!/10^6)</f>
        <v>#REF!</v>
      </c>
      <c r="BA173" s="205" t="s">
        <v>1333</v>
      </c>
    </row>
    <row r="174" spans="1:54">
      <c r="A174" s="37" t="s">
        <v>1334</v>
      </c>
      <c r="B174" s="39">
        <f>C174*B171/C171</f>
        <v>1.2223640678309493</v>
      </c>
      <c r="C174" s="37">
        <v>1.03</v>
      </c>
      <c r="D174" s="37" t="s">
        <v>1310</v>
      </c>
      <c r="U174" s="37" t="s">
        <v>1335</v>
      </c>
      <c r="V174" s="206">
        <f>19182/10</f>
        <v>1918.2</v>
      </c>
      <c r="W174" s="206">
        <v>1186913</v>
      </c>
      <c r="X174" s="40">
        <f t="shared" si="0"/>
        <v>2.6784575881977832E-2</v>
      </c>
      <c r="Y174" s="186">
        <v>5.09081285710455E-11</v>
      </c>
      <c r="Z174" s="186">
        <v>3.11345818839793E-11</v>
      </c>
      <c r="AA174" s="186">
        <v>6.9772431446159505E-11</v>
      </c>
      <c r="AB174" s="186">
        <v>2.5116023940210599E-11</v>
      </c>
      <c r="AC174" s="186">
        <v>5.9944513267527204E-10</v>
      </c>
      <c r="AD174" s="40">
        <f t="shared" ref="AD174:AD181" si="2">1/V174*10^4/$B$176*$C$176/$B$180</f>
        <v>10.687102491919505</v>
      </c>
      <c r="AE174" s="37" t="e">
        <f>(1/V174*10^4/$B$177*$C$177)/(1-#REF!)</f>
        <v>#REF!</v>
      </c>
      <c r="AF174" s="183">
        <f t="shared" si="1"/>
        <v>5.4406038771057888E-10</v>
      </c>
      <c r="AG174" s="183">
        <f t="shared" si="1"/>
        <v>3.3273846763714709E-10</v>
      </c>
      <c r="AH174" s="183">
        <f t="shared" si="1"/>
        <v>7.4566512597553408E-10</v>
      </c>
      <c r="AI174" s="183">
        <f t="shared" si="1"/>
        <v>2.6841752203853467E-10</v>
      </c>
      <c r="AJ174" s="183">
        <f t="shared" si="1"/>
        <v>6.4063315711829186E-9</v>
      </c>
      <c r="AK174" s="183">
        <f t="shared" ref="AK174:AK181" si="3">SUM(AF174:AJ174)</f>
        <v>8.2972130745447126E-9</v>
      </c>
      <c r="AL174" s="183" t="e">
        <f>AK174/('Feed products'!#REF!/10^6)</f>
        <v>#REF!</v>
      </c>
      <c r="AN174" s="37" t="s">
        <v>1336</v>
      </c>
      <c r="AO174" s="40">
        <f>X177</f>
        <v>0.25231972106253786</v>
      </c>
      <c r="AP174" s="209" t="e">
        <f>AL177</f>
        <v>#REF!</v>
      </c>
      <c r="AQ174" s="37">
        <f>V177</f>
        <v>2164.3000000000002</v>
      </c>
      <c r="AR174" s="37" t="s">
        <v>1335</v>
      </c>
      <c r="AS174" s="209" t="e">
        <f t="shared" ref="AS174:AW181" si="4">Y174*$AE174</f>
        <v>#REF!</v>
      </c>
      <c r="AT174" s="209" t="e">
        <f t="shared" si="4"/>
        <v>#REF!</v>
      </c>
      <c r="AU174" s="209" t="e">
        <f t="shared" si="4"/>
        <v>#REF!</v>
      </c>
      <c r="AV174" s="209" t="e">
        <f t="shared" si="4"/>
        <v>#REF!</v>
      </c>
      <c r="AW174" s="209" t="e">
        <f>AC174*$AE174</f>
        <v>#REF!</v>
      </c>
      <c r="AX174" s="209" t="e">
        <f>SUM(AS174:AW174)</f>
        <v>#REF!</v>
      </c>
      <c r="AY174" s="37" t="e">
        <f>AX174/('Feed products'!#REF!/10^6)</f>
        <v>#REF!</v>
      </c>
      <c r="BA174" s="194" t="s">
        <v>1337</v>
      </c>
      <c r="BB174" s="194" t="e">
        <f>SUMPRODUCT(AO173:AO175,BB175:BB177)</f>
        <v>#REF!</v>
      </c>
    </row>
    <row r="175" spans="1:54">
      <c r="B175" s="36" t="s">
        <v>1338</v>
      </c>
      <c r="C175" s="36" t="s">
        <v>1339</v>
      </c>
      <c r="U175" s="216" t="s">
        <v>1332</v>
      </c>
      <c r="V175" s="217">
        <f>14179/10</f>
        <v>1417.9</v>
      </c>
      <c r="W175" s="217">
        <v>9280296</v>
      </c>
      <c r="X175" s="216">
        <f t="shared" si="0"/>
        <v>0.20942461024457171</v>
      </c>
      <c r="Y175" s="183">
        <v>8.2790945484344E-13</v>
      </c>
      <c r="Z175" s="204">
        <v>9.4014171093695807E-13</v>
      </c>
      <c r="AA175" s="204">
        <v>4.70659750456695E-14</v>
      </c>
      <c r="AB175" s="204">
        <v>8.9295351327882594E-14</v>
      </c>
      <c r="AC175" s="204">
        <v>3.3138051589153801E-12</v>
      </c>
      <c r="AD175" s="40">
        <f>1/V175*10^4/$B$176*$C$176/$B$180</f>
        <v>14.458001269483038</v>
      </c>
      <c r="AE175" s="37" t="e">
        <f>(1/V175*10^4/$B$177*$C$177)/(1-#REF!)</f>
        <v>#REF!</v>
      </c>
      <c r="AF175" s="183">
        <f t="shared" si="1"/>
        <v>1.1969915949143466E-11</v>
      </c>
      <c r="AG175" s="183">
        <f t="shared" si="1"/>
        <v>1.3592570050220496E-11</v>
      </c>
      <c r="AH175" s="183">
        <f>AA175*$AD175</f>
        <v>6.8047992695974657E-13</v>
      </c>
      <c r="AI175" s="183">
        <f t="shared" si="1"/>
        <v>1.2910323028574604E-12</v>
      </c>
      <c r="AJ175" s="183">
        <f t="shared" si="1"/>
        <v>4.7910999194418005E-11</v>
      </c>
      <c r="AK175" s="183">
        <f t="shared" si="3"/>
        <v>7.5444997423599175E-11</v>
      </c>
      <c r="AL175" s="183" t="e">
        <f>AK175/('Feed products'!#REF!/10^6)</f>
        <v>#REF!</v>
      </c>
      <c r="AN175" s="37" t="s">
        <v>1340</v>
      </c>
      <c r="AO175" s="40">
        <f>1-SUM(AO173:AO174)</f>
        <v>0.53825566869289043</v>
      </c>
      <c r="AP175" s="209" t="e">
        <f>AVERAGE(AP173:AP174)</f>
        <v>#REF!</v>
      </c>
      <c r="AQ175" s="37">
        <f>V182</f>
        <v>1741</v>
      </c>
      <c r="AR175" s="216" t="s">
        <v>1332</v>
      </c>
      <c r="AS175" s="209" t="e">
        <f>Y175*$AE175</f>
        <v>#REF!</v>
      </c>
      <c r="AT175" s="209" t="e">
        <f t="shared" si="4"/>
        <v>#REF!</v>
      </c>
      <c r="AU175" s="209" t="e">
        <f t="shared" si="4"/>
        <v>#REF!</v>
      </c>
      <c r="AV175" s="209" t="e">
        <f t="shared" si="4"/>
        <v>#REF!</v>
      </c>
      <c r="AW175" s="209" t="e">
        <f t="shared" si="4"/>
        <v>#REF!</v>
      </c>
      <c r="AX175" s="209" t="e">
        <f t="shared" ref="AX175:AX181" si="5">SUM(AS175:AW175)</f>
        <v>#REF!</v>
      </c>
      <c r="AY175" s="37" t="e">
        <f>AX175/('Feed products'!#REF!/10^6)</f>
        <v>#REF!</v>
      </c>
      <c r="BA175" s="37" t="s">
        <v>1332</v>
      </c>
      <c r="BB175" s="37" t="e">
        <f>AY175</f>
        <v>#REF!</v>
      </c>
    </row>
    <row r="176" spans="1:54">
      <c r="A176" s="37" t="s">
        <v>186</v>
      </c>
      <c r="B176" s="37">
        <f>1/2.5</f>
        <v>0.4</v>
      </c>
      <c r="C176" s="37">
        <v>0.82</v>
      </c>
      <c r="U176" s="37" t="s">
        <v>1341</v>
      </c>
      <c r="V176" s="206">
        <f>24530/10</f>
        <v>2453</v>
      </c>
      <c r="W176" s="206">
        <v>1680700</v>
      </c>
      <c r="X176" s="40">
        <f t="shared" si="0"/>
        <v>3.7927663345872983E-2</v>
      </c>
      <c r="Y176" s="186">
        <v>5.7029333461708603E-12</v>
      </c>
      <c r="Z176" s="186">
        <v>1.36226226106291E-12</v>
      </c>
      <c r="AA176" s="186">
        <v>4.1568267921035E-12</v>
      </c>
      <c r="AB176" s="186">
        <v>7.4603636279704896E-12</v>
      </c>
      <c r="AC176" s="186">
        <v>2.1332955195191E-10</v>
      </c>
      <c r="AD176" s="40">
        <f t="shared" si="2"/>
        <v>8.3571137382796561</v>
      </c>
      <c r="AE176" s="37" t="e">
        <f>(1/V176*10^4/$B$177*$C$177)/(1-#REF!)</f>
        <v>#REF!</v>
      </c>
      <c r="AF176" s="183">
        <f t="shared" si="1"/>
        <v>4.7660062615777666E-11</v>
      </c>
      <c r="AG176" s="183">
        <f t="shared" si="1"/>
        <v>1.1384580657068753E-11</v>
      </c>
      <c r="AH176" s="183">
        <f t="shared" si="1"/>
        <v>3.4739074291937108E-11</v>
      </c>
      <c r="AI176" s="183">
        <f t="shared" si="1"/>
        <v>6.2347107367874038E-11</v>
      </c>
      <c r="AJ176" s="183">
        <f t="shared" si="1"/>
        <v>1.7828193293983506E-9</v>
      </c>
      <c r="AK176" s="183">
        <f t="shared" si="3"/>
        <v>1.9389501543310079E-9</v>
      </c>
      <c r="AL176" s="183" t="e">
        <f>AK176/('Feed products'!#REF!/10^6)</f>
        <v>#REF!</v>
      </c>
      <c r="AQ176" s="37">
        <f>SUMPRODUCT(AO173:AO175,AQ173:AQ175)</f>
        <v>1780.1418463557513</v>
      </c>
      <c r="AR176" s="37" t="s">
        <v>1341</v>
      </c>
      <c r="AS176" s="209" t="e">
        <f t="shared" si="4"/>
        <v>#REF!</v>
      </c>
      <c r="AT176" s="209" t="e">
        <f t="shared" si="4"/>
        <v>#REF!</v>
      </c>
      <c r="AU176" s="209" t="e">
        <f t="shared" si="4"/>
        <v>#REF!</v>
      </c>
      <c r="AV176" s="209" t="e">
        <f t="shared" si="4"/>
        <v>#REF!</v>
      </c>
      <c r="AW176" s="209" t="e">
        <f t="shared" si="4"/>
        <v>#REF!</v>
      </c>
      <c r="AX176" s="209" t="e">
        <f t="shared" si="5"/>
        <v>#REF!</v>
      </c>
      <c r="AY176" s="37" t="e">
        <f>AX176/('Feed products'!#REF!/10^6)</f>
        <v>#REF!</v>
      </c>
      <c r="BA176" s="37" t="s">
        <v>1336</v>
      </c>
      <c r="BB176" s="37" t="e">
        <f>AY177</f>
        <v>#REF!</v>
      </c>
    </row>
    <row r="177" spans="1:54">
      <c r="A177" s="37" t="s">
        <v>679</v>
      </c>
      <c r="B177" s="37">
        <f>1.5/2.5</f>
        <v>0.6</v>
      </c>
      <c r="C177" s="37">
        <v>0.18</v>
      </c>
      <c r="U177" s="218" t="s">
        <v>1336</v>
      </c>
      <c r="V177" s="217">
        <f>21643/10</f>
        <v>2164.3000000000002</v>
      </c>
      <c r="W177" s="217">
        <v>11181120</v>
      </c>
      <c r="X177" s="216">
        <f t="shared" si="0"/>
        <v>0.25231972106253786</v>
      </c>
      <c r="Y177" s="186">
        <v>1.67531225575058E-12</v>
      </c>
      <c r="Z177" s="186">
        <v>9.0885661137071195E-13</v>
      </c>
      <c r="AA177" s="186">
        <v>2.4124376203557801E-13</v>
      </c>
      <c r="AB177" s="186">
        <v>2.8071938454921001E-13</v>
      </c>
      <c r="AC177" s="186">
        <v>1.9001880038332201E-11</v>
      </c>
      <c r="AD177" s="40">
        <f t="shared" si="2"/>
        <v>9.4718846740285514</v>
      </c>
      <c r="AE177" s="37" t="e">
        <f>(1/V177*10^4/$B$177*$C$177)/(1-#REF!)</f>
        <v>#REF!</v>
      </c>
      <c r="AF177" s="183">
        <f t="shared" si="1"/>
        <v>1.5868364479456118E-11</v>
      </c>
      <c r="AG177" s="183">
        <f t="shared" si="1"/>
        <v>8.6085850081317692E-12</v>
      </c>
      <c r="AH177" s="183">
        <f t="shared" si="1"/>
        <v>2.2850330923297822E-12</v>
      </c>
      <c r="AI177" s="183">
        <f t="shared" si="1"/>
        <v>2.6589416362143898E-12</v>
      </c>
      <c r="AJ177" s="183">
        <f t="shared" si="1"/>
        <v>1.7998361631280784E-10</v>
      </c>
      <c r="AK177" s="183">
        <f t="shared" si="3"/>
        <v>2.094045405289399E-10</v>
      </c>
      <c r="AL177" s="183" t="e">
        <f>AK177/('Feed products'!#REF!/10^6)</f>
        <v>#REF!</v>
      </c>
      <c r="AR177" s="218" t="s">
        <v>1336</v>
      </c>
      <c r="AS177" s="209" t="e">
        <f t="shared" si="4"/>
        <v>#REF!</v>
      </c>
      <c r="AT177" s="209" t="e">
        <f t="shared" si="4"/>
        <v>#REF!</v>
      </c>
      <c r="AU177" s="209" t="e">
        <f t="shared" si="4"/>
        <v>#REF!</v>
      </c>
      <c r="AV177" s="209" t="e">
        <f t="shared" si="4"/>
        <v>#REF!</v>
      </c>
      <c r="AW177" s="209" t="e">
        <f t="shared" si="4"/>
        <v>#REF!</v>
      </c>
      <c r="AX177" s="209" t="e">
        <f t="shared" si="5"/>
        <v>#REF!</v>
      </c>
      <c r="AY177" s="37" t="e">
        <f>AX177/('Feed products'!#REF!/10^6)</f>
        <v>#REF!</v>
      </c>
      <c r="BA177" s="37" t="s">
        <v>1340</v>
      </c>
      <c r="BB177" s="37" t="e">
        <f>AY182</f>
        <v>#REF!</v>
      </c>
    </row>
    <row r="178" spans="1:54">
      <c r="H178" s="213"/>
      <c r="I178" s="213"/>
      <c r="J178" s="213"/>
      <c r="K178" s="213"/>
      <c r="L178" s="213"/>
      <c r="M178" s="213"/>
      <c r="N178" s="213"/>
      <c r="O178" s="213"/>
      <c r="P178" s="213"/>
      <c r="Q178" s="213"/>
      <c r="R178" s="213"/>
      <c r="U178" s="37" t="s">
        <v>1342</v>
      </c>
      <c r="V178" s="206">
        <f>20956/10</f>
        <v>2095.6</v>
      </c>
      <c r="W178" s="206">
        <v>1699228</v>
      </c>
      <c r="X178" s="40">
        <f t="shared" si="0"/>
        <v>3.8345777076147475E-2</v>
      </c>
      <c r="Y178" s="186">
        <v>4.5893947187819299E-12</v>
      </c>
      <c r="Z178" s="186">
        <v>1.27114043831779E-12</v>
      </c>
      <c r="AA178" s="186">
        <v>7.1379990675909796E-13</v>
      </c>
      <c r="AB178" s="186">
        <v>9.0021375280847296E-13</v>
      </c>
      <c r="AC178" s="186">
        <v>1.5713912690928399E-10</v>
      </c>
      <c r="AD178" s="40">
        <f t="shared" si="2"/>
        <v>9.7824012216071772</v>
      </c>
      <c r="AE178" s="37" t="e">
        <f>(1/V178*10^4/$B$177*$C$177)/(1-#REF!)</f>
        <v>#REF!</v>
      </c>
      <c r="AF178" s="183">
        <f t="shared" si="1"/>
        <v>4.4895300503449879E-11</v>
      </c>
      <c r="AG178" s="183">
        <f t="shared" si="1"/>
        <v>1.2434805776634231E-11</v>
      </c>
      <c r="AH178" s="183">
        <f t="shared" si="1"/>
        <v>6.9826770798632887E-12</v>
      </c>
      <c r="AI178" s="183">
        <f t="shared" si="1"/>
        <v>8.8062521151811872E-12</v>
      </c>
      <c r="AJ178" s="183">
        <f t="shared" si="1"/>
        <v>1.5371979870396649E-9</v>
      </c>
      <c r="AK178" s="183">
        <f t="shared" si="3"/>
        <v>1.6103170225147935E-9</v>
      </c>
      <c r="AL178" s="183" t="e">
        <f>AK178/('Feed products'!#REF!/10^6)</f>
        <v>#REF!</v>
      </c>
      <c r="AR178" s="37" t="s">
        <v>1342</v>
      </c>
      <c r="AS178" s="209" t="e">
        <f t="shared" si="4"/>
        <v>#REF!</v>
      </c>
      <c r="AT178" s="209" t="e">
        <f t="shared" si="4"/>
        <v>#REF!</v>
      </c>
      <c r="AU178" s="209" t="e">
        <f t="shared" si="4"/>
        <v>#REF!</v>
      </c>
      <c r="AV178" s="209" t="e">
        <f t="shared" si="4"/>
        <v>#REF!</v>
      </c>
      <c r="AW178" s="209" t="e">
        <f t="shared" si="4"/>
        <v>#REF!</v>
      </c>
      <c r="AX178" s="209" t="e">
        <f t="shared" si="5"/>
        <v>#REF!</v>
      </c>
      <c r="AY178" s="37" t="e">
        <f>AX178/('Feed products'!#REF!/10^6)</f>
        <v>#REF!</v>
      </c>
    </row>
    <row r="179" spans="1:54">
      <c r="A179" s="36" t="s">
        <v>186</v>
      </c>
      <c r="D179" s="36" t="s">
        <v>679</v>
      </c>
      <c r="U179" s="37" t="s">
        <v>1343</v>
      </c>
      <c r="V179" s="206">
        <f>26036/10</f>
        <v>2603.6</v>
      </c>
      <c r="W179" s="206">
        <v>2698113</v>
      </c>
      <c r="X179" s="40">
        <f t="shared" si="0"/>
        <v>6.088720267336431E-2</v>
      </c>
      <c r="Y179" s="186">
        <v>5.2030903191013403E-12</v>
      </c>
      <c r="Z179" s="186">
        <v>4.9419949979659597E-12</v>
      </c>
      <c r="AA179" s="186">
        <v>8.6233946025098194E-12</v>
      </c>
      <c r="AB179" s="186">
        <v>1.2244562254471201E-12</v>
      </c>
      <c r="AC179" s="186">
        <v>4.7831062823681203E-11</v>
      </c>
      <c r="AD179" s="40">
        <f t="shared" si="2"/>
        <v>7.8737133200184353</v>
      </c>
      <c r="AE179" s="37" t="e">
        <f>(1/V179*10^4/$B$177*$C$177)/(1-#REF!)</f>
        <v>#REF!</v>
      </c>
      <c r="AF179" s="183">
        <f t="shared" si="1"/>
        <v>4.0967641550767196E-11</v>
      </c>
      <c r="AG179" s="183">
        <f t="shared" si="1"/>
        <v>3.891185184294906E-11</v>
      </c>
      <c r="AH179" s="183">
        <f t="shared" si="1"/>
        <v>6.7898136945556649E-11</v>
      </c>
      <c r="AI179" s="183">
        <f t="shared" si="1"/>
        <v>9.641017292082485E-12</v>
      </c>
      <c r="AJ179" s="183">
        <f t="shared" si="1"/>
        <v>3.7660807646545728E-10</v>
      </c>
      <c r="AK179" s="183">
        <f t="shared" si="3"/>
        <v>5.3402672409681271E-10</v>
      </c>
      <c r="AL179" s="183" t="e">
        <f>AK179/('Feed products'!#REF!/10^6)</f>
        <v>#REF!</v>
      </c>
      <c r="AR179" s="37" t="s">
        <v>1343</v>
      </c>
      <c r="AS179" s="209" t="e">
        <f t="shared" si="4"/>
        <v>#REF!</v>
      </c>
      <c r="AT179" s="209" t="e">
        <f t="shared" si="4"/>
        <v>#REF!</v>
      </c>
      <c r="AU179" s="209" t="e">
        <f t="shared" si="4"/>
        <v>#REF!</v>
      </c>
      <c r="AV179" s="209" t="e">
        <f t="shared" si="4"/>
        <v>#REF!</v>
      </c>
      <c r="AW179" s="209" t="e">
        <f t="shared" si="4"/>
        <v>#REF!</v>
      </c>
      <c r="AX179" s="209" t="e">
        <f t="shared" si="5"/>
        <v>#REF!</v>
      </c>
      <c r="AY179" s="37" t="e">
        <f>AX179/('Feed products'!#REF!/10^6)</f>
        <v>#REF!</v>
      </c>
    </row>
    <row r="180" spans="1:54">
      <c r="A180" s="37" t="s">
        <v>1344</v>
      </c>
      <c r="B180" s="40">
        <v>1</v>
      </c>
      <c r="C180" s="220" t="s">
        <v>1345</v>
      </c>
      <c r="D180" s="36"/>
      <c r="H180" s="163"/>
      <c r="I180" s="163"/>
      <c r="J180" s="163"/>
      <c r="K180" s="163"/>
      <c r="L180" s="163"/>
      <c r="M180" s="163"/>
      <c r="N180" s="163"/>
      <c r="O180" s="163"/>
      <c r="P180" s="163"/>
      <c r="Q180" s="163"/>
      <c r="R180" s="163"/>
      <c r="U180" s="37" t="s">
        <v>1346</v>
      </c>
      <c r="V180" s="206">
        <f>17696/10</f>
        <v>1769.6</v>
      </c>
      <c r="W180" s="206">
        <v>1785771</v>
      </c>
      <c r="X180" s="40">
        <f t="shared" si="0"/>
        <v>4.0298757244495116E-2</v>
      </c>
      <c r="Y180" s="186">
        <v>2.50863147533524E-12</v>
      </c>
      <c r="Z180" s="186">
        <v>9.4512786841597697E-13</v>
      </c>
      <c r="AA180" s="186">
        <v>6.1244863013590696E-13</v>
      </c>
      <c r="AB180" s="186">
        <v>2.5776702114345601E-13</v>
      </c>
      <c r="AC180" s="186">
        <v>3.5856856692825899E-11</v>
      </c>
      <c r="AD180" s="40">
        <f t="shared" si="2"/>
        <v>11.584538878842675</v>
      </c>
      <c r="AE180" s="37" t="e">
        <f>(1/V180*10^4/$B$177*$C$177)/(1-#REF!)</f>
        <v>#REF!</v>
      </c>
      <c r="AF180" s="183">
        <f t="shared" si="1"/>
        <v>2.9061338858709546E-11</v>
      </c>
      <c r="AG180" s="183">
        <f t="shared" si="1"/>
        <v>1.094887053714259E-11</v>
      </c>
      <c r="AH180" s="183">
        <f t="shared" si="1"/>
        <v>7.0949349671033522E-12</v>
      </c>
      <c r="AI180" s="183">
        <f t="shared" si="1"/>
        <v>2.9861120781198281E-12</v>
      </c>
      <c r="AJ180" s="183">
        <f t="shared" si="1"/>
        <v>4.1538515043113181E-10</v>
      </c>
      <c r="AK180" s="183">
        <f t="shared" si="3"/>
        <v>4.6547640687220714E-10</v>
      </c>
      <c r="AL180" s="183" t="e">
        <f>AK180/('Feed products'!#REF!/10^6)</f>
        <v>#REF!</v>
      </c>
      <c r="AR180" s="37" t="s">
        <v>1346</v>
      </c>
      <c r="AS180" s="209" t="e">
        <f t="shared" si="4"/>
        <v>#REF!</v>
      </c>
      <c r="AT180" s="209" t="e">
        <f t="shared" si="4"/>
        <v>#REF!</v>
      </c>
      <c r="AU180" s="209" t="e">
        <f t="shared" si="4"/>
        <v>#REF!</v>
      </c>
      <c r="AV180" s="209" t="e">
        <f t="shared" si="4"/>
        <v>#REF!</v>
      </c>
      <c r="AW180" s="209" t="e">
        <f t="shared" si="4"/>
        <v>#REF!</v>
      </c>
      <c r="AX180" s="209" t="e">
        <f t="shared" si="5"/>
        <v>#REF!</v>
      </c>
      <c r="AY180" s="37" t="e">
        <f>AX180/('Feed products'!#REF!/10^6)</f>
        <v>#REF!</v>
      </c>
    </row>
    <row r="181" spans="1:54">
      <c r="A181" s="37" t="s">
        <v>1347</v>
      </c>
      <c r="B181" s="39">
        <f>1/B171*10^4/B176*C176</f>
        <v>11.515936239556941</v>
      </c>
      <c r="C181" s="163"/>
      <c r="D181" s="37" t="s">
        <v>1347</v>
      </c>
      <c r="E181" s="66">
        <f>1/B171*10^4/B177*C177</f>
        <v>1.6852589618863818</v>
      </c>
      <c r="F181" s="66"/>
      <c r="G181" s="66"/>
      <c r="U181" s="37" t="s">
        <v>1348</v>
      </c>
      <c r="V181" s="206">
        <f>16100/10</f>
        <v>1610</v>
      </c>
      <c r="W181" s="206">
        <v>2878500</v>
      </c>
      <c r="X181" s="40">
        <f t="shared" si="0"/>
        <v>6.49579216642443E-2</v>
      </c>
      <c r="Y181" s="186">
        <v>1.43190856139758E-11</v>
      </c>
      <c r="Z181" s="186">
        <v>1.76071034921556E-11</v>
      </c>
      <c r="AA181" s="186">
        <v>2.9497468525210601E-11</v>
      </c>
      <c r="AB181" s="186">
        <v>2.7677756221576398E-12</v>
      </c>
      <c r="AC181" s="186">
        <v>8.5116983928136206E-11</v>
      </c>
      <c r="AD181" s="40">
        <f t="shared" si="2"/>
        <v>12.732919254658384</v>
      </c>
      <c r="AE181" s="37" t="e">
        <f>(1/V181*10^4/$B$177*$C$177)/(1-#REF!)</f>
        <v>#REF!</v>
      </c>
      <c r="AF181" s="183">
        <f t="shared" si="1"/>
        <v>1.8232376092329434E-10</v>
      </c>
      <c r="AG181" s="183">
        <f t="shared" si="1"/>
        <v>2.2418982707403092E-10</v>
      </c>
      <c r="AH181" s="183">
        <f t="shared" si="1"/>
        <v>3.7558888494833372E-10</v>
      </c>
      <c r="AI181" s="183">
        <f t="shared" si="1"/>
        <v>3.5241863511945101E-11</v>
      </c>
      <c r="AJ181" s="183">
        <f t="shared" si="1"/>
        <v>1.0837876835570138E-9</v>
      </c>
      <c r="AK181" s="183">
        <f t="shared" si="3"/>
        <v>1.9011320200146179E-9</v>
      </c>
      <c r="AL181" s="183" t="e">
        <f>AK181/('Feed products'!#REF!/10^6)</f>
        <v>#REF!</v>
      </c>
      <c r="AR181" s="37" t="s">
        <v>1348</v>
      </c>
      <c r="AS181" s="209" t="e">
        <f t="shared" si="4"/>
        <v>#REF!</v>
      </c>
      <c r="AT181" s="209" t="e">
        <f t="shared" si="4"/>
        <v>#REF!</v>
      </c>
      <c r="AU181" s="209" t="e">
        <f t="shared" si="4"/>
        <v>#REF!</v>
      </c>
      <c r="AV181" s="209" t="e">
        <f t="shared" si="4"/>
        <v>#REF!</v>
      </c>
      <c r="AW181" s="209" t="e">
        <f t="shared" si="4"/>
        <v>#REF!</v>
      </c>
      <c r="AX181" s="209" t="e">
        <f t="shared" si="5"/>
        <v>#REF!</v>
      </c>
      <c r="AY181" s="37" t="e">
        <f>AX181/('Feed products'!#REF!/10^6)</f>
        <v>#REF!</v>
      </c>
    </row>
    <row r="182" spans="1:54">
      <c r="A182" s="37" t="s">
        <v>1349</v>
      </c>
      <c r="B182" s="39">
        <f>B181/B180</f>
        <v>11.515936239556941</v>
      </c>
      <c r="H182" s="163"/>
      <c r="I182" s="163"/>
      <c r="J182" s="163"/>
      <c r="K182" s="163"/>
      <c r="L182" s="163"/>
      <c r="M182" s="163"/>
      <c r="N182" s="163"/>
      <c r="O182" s="163"/>
      <c r="P182" s="163"/>
      <c r="Q182" s="163"/>
      <c r="R182" s="163"/>
      <c r="U182" s="37" t="s">
        <v>1350</v>
      </c>
      <c r="V182" s="206">
        <f>17410/10</f>
        <v>1741</v>
      </c>
      <c r="W182" s="206">
        <v>44313302</v>
      </c>
      <c r="X182" s="40">
        <f>1-SUM(X173:X181)</f>
        <v>0.19778194367009694</v>
      </c>
      <c r="AE182" s="37">
        <f>1/V182*10^4/$B$177*$C$177</f>
        <v>1.7231476163124642</v>
      </c>
      <c r="AL182" s="209" t="e">
        <f>AVERAGE(AL173:AL181)</f>
        <v>#REF!</v>
      </c>
      <c r="AR182" s="37" t="s">
        <v>1350</v>
      </c>
      <c r="AS182" s="209"/>
      <c r="AT182" s="209"/>
      <c r="AU182" s="209"/>
      <c r="AV182" s="209"/>
      <c r="AW182" s="209"/>
      <c r="AY182" s="37" t="e">
        <f>AVERAGE(AY173:AY181)</f>
        <v>#REF!</v>
      </c>
    </row>
    <row r="183" spans="1:54">
      <c r="A183" s="37" t="s">
        <v>1351</v>
      </c>
      <c r="B183" s="40">
        <f>B172/B171/B176*C176</f>
        <v>0.13666666666666666</v>
      </c>
      <c r="D183" s="37" t="s">
        <v>1351</v>
      </c>
      <c r="E183" s="174">
        <f>B172/B171/B177*C177</f>
        <v>0.02</v>
      </c>
      <c r="F183" s="174"/>
      <c r="G183" s="174"/>
      <c r="U183" s="37" t="s">
        <v>1352</v>
      </c>
      <c r="AS183" s="209"/>
    </row>
    <row r="184" spans="1:54">
      <c r="A184" s="37" t="s">
        <v>1353</v>
      </c>
      <c r="B184" s="40">
        <f>B183/B180</f>
        <v>0.13666666666666666</v>
      </c>
      <c r="AS184" s="209"/>
    </row>
    <row r="185" spans="1:54">
      <c r="A185" s="37" t="s">
        <v>1354</v>
      </c>
      <c r="B185" s="40">
        <f>B173/B171/B176*C176</f>
        <v>1.9406666666666666E-2</v>
      </c>
      <c r="D185" s="37" t="s">
        <v>1354</v>
      </c>
      <c r="E185" s="50">
        <f>B173/B171/B177*C177</f>
        <v>2.8400000000000001E-3</v>
      </c>
      <c r="F185" s="50"/>
      <c r="G185" s="50"/>
    </row>
    <row r="186" spans="1:54">
      <c r="A186" s="37" t="s">
        <v>1355</v>
      </c>
      <c r="B186" s="40">
        <f>B185/B180</f>
        <v>1.9406666666666666E-2</v>
      </c>
      <c r="AE186" s="156"/>
      <c r="AF186" s="27"/>
      <c r="AG186" s="27"/>
      <c r="AH186" s="173"/>
      <c r="AI186" s="173"/>
      <c r="AJ186" s="27"/>
      <c r="AK186" s="27"/>
      <c r="AL186" s="27"/>
    </row>
    <row r="187" spans="1:54">
      <c r="A187" s="37" t="s">
        <v>934</v>
      </c>
      <c r="B187" s="40">
        <f>292.659010660905/1000</f>
        <v>0.29265901066090499</v>
      </c>
      <c r="D187" s="37" t="s">
        <v>934</v>
      </c>
      <c r="E187" s="66">
        <f>59.6027785053915/1000</f>
        <v>5.9602778505391502E-2</v>
      </c>
      <c r="F187" s="66"/>
      <c r="G187" s="66"/>
      <c r="U187" s="37">
        <f>1/B171*10^4</f>
        <v>5.6175298729546057</v>
      </c>
    </row>
    <row r="188" spans="1:54">
      <c r="A188" s="37" t="s">
        <v>1356</v>
      </c>
      <c r="B188" s="40">
        <f>B187/B180</f>
        <v>0.29265901066090499</v>
      </c>
      <c r="E188" s="66"/>
      <c r="F188" s="66"/>
      <c r="G188" s="66"/>
      <c r="U188" s="40">
        <v>12.244482976668731</v>
      </c>
    </row>
    <row r="189" spans="1:54">
      <c r="A189" s="37" t="s">
        <v>936</v>
      </c>
      <c r="B189" s="163">
        <f>B174/B171/B176*C176</f>
        <v>1.4076666666666667E-3</v>
      </c>
      <c r="D189" s="37" t="s">
        <v>936</v>
      </c>
      <c r="E189" s="273">
        <f>B174/B171/B177*C177</f>
        <v>2.0599999999999999E-4</v>
      </c>
      <c r="F189" s="273"/>
      <c r="G189" s="273"/>
      <c r="U189" s="37">
        <f>U188/(1/B171*10^4)</f>
        <v>2.1796916533758641</v>
      </c>
    </row>
    <row r="190" spans="1:54">
      <c r="A190" s="37" t="s">
        <v>1357</v>
      </c>
      <c r="B190" s="163">
        <f>B189/B180</f>
        <v>1.4076666666666667E-3</v>
      </c>
    </row>
    <row r="191" spans="1:54">
      <c r="B191" s="163"/>
    </row>
    <row r="192" spans="1:54">
      <c r="A192" s="37" t="s">
        <v>937</v>
      </c>
      <c r="B192" s="163" t="e">
        <f>B183*'Feed products'!#REF!/'Feed products'!#REF!</f>
        <v>#REF!</v>
      </c>
    </row>
    <row r="193" spans="1:31">
      <c r="A193" s="37" t="s">
        <v>1358</v>
      </c>
      <c r="B193" s="163" t="e">
        <f>B192/B180</f>
        <v>#REF!</v>
      </c>
    </row>
    <row r="194" spans="1:31">
      <c r="B194" s="163"/>
    </row>
    <row r="195" spans="1:31">
      <c r="A195" s="41" t="s">
        <v>1359</v>
      </c>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row>
    <row r="196" spans="1:31">
      <c r="A196" s="37" t="s">
        <v>1360</v>
      </c>
      <c r="B196" s="127">
        <f>U197</f>
        <v>17328.55679205673</v>
      </c>
      <c r="C196" s="69">
        <v>18870</v>
      </c>
      <c r="D196" s="37" t="s">
        <v>1361</v>
      </c>
      <c r="T196" s="36" t="s">
        <v>1362</v>
      </c>
      <c r="U196" s="36" t="s">
        <v>1363</v>
      </c>
    </row>
    <row r="197" spans="1:31">
      <c r="A197" s="37" t="s">
        <v>1300</v>
      </c>
      <c r="B197" s="245">
        <f>C197*B196/C196</f>
        <v>95.504499542866981</v>
      </c>
      <c r="C197" s="37">
        <v>104</v>
      </c>
      <c r="S197" s="37" t="s">
        <v>1337</v>
      </c>
      <c r="U197" s="37">
        <f>SUMPRODUCT(T198:T200,U198:U200)</f>
        <v>17328.55679205673</v>
      </c>
    </row>
    <row r="198" spans="1:31">
      <c r="A198" s="37" t="s">
        <v>1364</v>
      </c>
      <c r="B198" s="245">
        <f>C198*B196/C196</f>
        <v>28.284024864618303</v>
      </c>
      <c r="C198" s="69">
        <v>30.8</v>
      </c>
      <c r="S198" t="s">
        <v>1365</v>
      </c>
      <c r="T198" s="40">
        <v>0.46380732376752548</v>
      </c>
      <c r="U198" s="37">
        <v>17080.939999999999</v>
      </c>
    </row>
    <row r="199" spans="1:31">
      <c r="A199" s="37" t="s">
        <v>934</v>
      </c>
      <c r="B199" s="26">
        <f>0.233498164757753/1000</f>
        <v>2.3349816475775302E-4</v>
      </c>
      <c r="S199" t="s">
        <v>188</v>
      </c>
      <c r="T199" s="40">
        <v>0.35245121210372155</v>
      </c>
      <c r="U199" s="37">
        <v>19201.28</v>
      </c>
    </row>
    <row r="200" spans="1:31">
      <c r="A200" s="37" t="s">
        <v>1366</v>
      </c>
      <c r="B200" s="26">
        <f>C200*B196/C196</f>
        <v>2.5005649255310267</v>
      </c>
      <c r="C200" s="26">
        <f>2.4+0.31+0.013</f>
        <v>2.7229999999999999</v>
      </c>
      <c r="S200" t="s">
        <v>1340</v>
      </c>
      <c r="T200" s="40">
        <f>1-SUM(T198:T199)</f>
        <v>0.18374146412875292</v>
      </c>
      <c r="U200" s="37">
        <v>14361.36</v>
      </c>
    </row>
    <row r="201" spans="1:31">
      <c r="A201" s="36" t="s">
        <v>1367</v>
      </c>
    </row>
    <row r="202" spans="1:31">
      <c r="A202" s="26">
        <v>0.2</v>
      </c>
      <c r="B202" s="69" t="s">
        <v>1368</v>
      </c>
      <c r="S202"/>
      <c r="T202" s="40"/>
    </row>
    <row r="203" spans="1:31">
      <c r="A203" s="69">
        <v>0.05</v>
      </c>
      <c r="B203" s="69" t="s">
        <v>1369</v>
      </c>
      <c r="S203"/>
      <c r="T203" s="40"/>
    </row>
    <row r="204" spans="1:31">
      <c r="A204" s="267" t="s">
        <v>1370</v>
      </c>
      <c r="B204" s="24"/>
      <c r="C204" s="40"/>
      <c r="S204"/>
      <c r="T204" s="40"/>
    </row>
    <row r="205" spans="1:31">
      <c r="A205" s="37" t="s">
        <v>1371</v>
      </c>
      <c r="B205" s="37">
        <v>0.45</v>
      </c>
      <c r="C205" s="37" t="s">
        <v>1372</v>
      </c>
      <c r="S205"/>
      <c r="T205" s="40"/>
    </row>
    <row r="206" spans="1:31">
      <c r="A206" s="26"/>
      <c r="B206" s="40">
        <v>0.55431902490726015</v>
      </c>
      <c r="C206" s="37" t="s">
        <v>1373</v>
      </c>
      <c r="S206"/>
      <c r="T206" s="40"/>
    </row>
    <row r="207" spans="1:31">
      <c r="S207"/>
      <c r="T207" s="40"/>
    </row>
    <row r="208" spans="1:31">
      <c r="B208" s="26"/>
      <c r="S208"/>
      <c r="T208" s="40"/>
    </row>
    <row r="209" spans="1:20">
      <c r="B209" s="26"/>
      <c r="S209"/>
      <c r="T209" s="40"/>
    </row>
    <row r="210" spans="1:20">
      <c r="B210" s="37" t="s">
        <v>1374</v>
      </c>
      <c r="C210" s="37" t="s">
        <v>1338</v>
      </c>
      <c r="D210" s="37" t="s">
        <v>1339</v>
      </c>
      <c r="S210"/>
    </row>
    <row r="211" spans="1:20">
      <c r="A211" s="37" t="s">
        <v>640</v>
      </c>
      <c r="B211" s="38">
        <f>A202*B196</f>
        <v>3465.7113584113463</v>
      </c>
      <c r="C211" s="37">
        <v>0.79</v>
      </c>
      <c r="D211" s="37">
        <v>0.85</v>
      </c>
      <c r="H211" s="219"/>
      <c r="I211" s="219"/>
      <c r="J211" s="219"/>
      <c r="K211" s="219"/>
      <c r="L211" s="219"/>
      <c r="M211" s="219"/>
      <c r="N211" s="219"/>
      <c r="O211" s="219"/>
      <c r="P211" s="219"/>
      <c r="Q211" s="219"/>
      <c r="R211" s="219"/>
    </row>
    <row r="212" spans="1:20">
      <c r="A212" s="37" t="s">
        <v>682</v>
      </c>
      <c r="B212" s="38">
        <f>B196*A203*B205</f>
        <v>389.89252782127647</v>
      </c>
      <c r="C212" s="37">
        <v>0.1</v>
      </c>
      <c r="D212" s="37">
        <v>0.12</v>
      </c>
    </row>
    <row r="213" spans="1:20">
      <c r="A213" s="37" t="s">
        <v>1375</v>
      </c>
      <c r="B213" s="38">
        <f>B196*A203*B206</f>
        <v>480.27743520114836</v>
      </c>
      <c r="C213" s="37">
        <v>0.11</v>
      </c>
      <c r="D213" s="37">
        <v>0.03</v>
      </c>
    </row>
    <row r="215" spans="1:20">
      <c r="A215" s="36" t="s">
        <v>640</v>
      </c>
      <c r="D215" s="36" t="s">
        <v>1376</v>
      </c>
      <c r="E215" s="69"/>
      <c r="F215" s="69"/>
      <c r="G215" s="69"/>
    </row>
    <row r="216" spans="1:20">
      <c r="A216" s="37" t="s">
        <v>1266</v>
      </c>
      <c r="B216" s="40">
        <f>1/B211*10^4*D211</f>
        <v>2.4525989388499827</v>
      </c>
      <c r="D216" s="37" t="s">
        <v>1347</v>
      </c>
      <c r="E216" s="54">
        <f>1/B213*10^4*D213</f>
        <v>0.62463896492316973</v>
      </c>
      <c r="F216" s="54"/>
      <c r="G216" s="54"/>
    </row>
    <row r="217" spans="1:20">
      <c r="A217" s="37" t="s">
        <v>1377</v>
      </c>
      <c r="B217" s="40">
        <v>1</v>
      </c>
      <c r="C217" s="238" t="s">
        <v>1378</v>
      </c>
    </row>
    <row r="218" spans="1:20">
      <c r="A218" s="37" t="s">
        <v>1349</v>
      </c>
      <c r="B218" s="40">
        <f>B216/B217</f>
        <v>2.4525989388499827</v>
      </c>
    </row>
    <row r="220" spans="1:20">
      <c r="A220" s="36" t="s">
        <v>1379</v>
      </c>
      <c r="D220" s="36" t="s">
        <v>1379</v>
      </c>
    </row>
    <row r="221" spans="1:20">
      <c r="A221" s="37" t="s">
        <v>1380</v>
      </c>
      <c r="B221" s="40">
        <f>B197/B211*D211</f>
        <v>2.3423423423423424E-2</v>
      </c>
      <c r="D221" s="37" t="s">
        <v>1380</v>
      </c>
      <c r="E221" s="163">
        <f>B197/B213*D213</f>
        <v>5.965583173996176E-3</v>
      </c>
      <c r="F221" s="163"/>
      <c r="G221" s="163"/>
    </row>
    <row r="222" spans="1:20">
      <c r="A222" s="37" t="s">
        <v>1381</v>
      </c>
      <c r="B222" s="40">
        <f>B221/B217</f>
        <v>2.3423423423423424E-2</v>
      </c>
    </row>
    <row r="224" spans="1:20">
      <c r="A224" s="36" t="s">
        <v>328</v>
      </c>
      <c r="D224" s="36" t="s">
        <v>328</v>
      </c>
    </row>
    <row r="225" spans="1:28">
      <c r="A225" s="37" t="s">
        <v>933</v>
      </c>
      <c r="B225" s="40">
        <f>B198/B211*D211</f>
        <v>6.9369369369369372E-3</v>
      </c>
      <c r="D225" s="37" t="s">
        <v>933</v>
      </c>
      <c r="E225" s="163">
        <f>B198/B213*D213</f>
        <v>1.766730401529637E-3</v>
      </c>
      <c r="F225" s="163"/>
      <c r="G225" s="163"/>
    </row>
    <row r="226" spans="1:28">
      <c r="A226" s="37" t="s">
        <v>1382</v>
      </c>
      <c r="B226" s="40">
        <f>B225/B217</f>
        <v>6.9369369369369372E-3</v>
      </c>
    </row>
    <row r="227" spans="1:28">
      <c r="B227" s="40"/>
    </row>
    <row r="228" spans="1:28">
      <c r="A228" s="36" t="s">
        <v>329</v>
      </c>
      <c r="B228" s="40"/>
      <c r="D228" s="36" t="s">
        <v>329</v>
      </c>
    </row>
    <row r="229" spans="1:28">
      <c r="A229" s="37" t="s">
        <v>934</v>
      </c>
      <c r="B229" s="163">
        <f>B199/B211*D211</f>
        <v>5.7267735110828344E-8</v>
      </c>
      <c r="D229" s="37" t="s">
        <v>934</v>
      </c>
      <c r="E229" s="40">
        <f>B199/B213*D213</f>
        <v>1.4585205194574256E-8</v>
      </c>
      <c r="F229" s="40"/>
      <c r="G229" s="40"/>
    </row>
    <row r="230" spans="1:28">
      <c r="A230" s="37" t="s">
        <v>1356</v>
      </c>
      <c r="B230" s="40">
        <f>B229/B217</f>
        <v>5.7267735110828344E-8</v>
      </c>
    </row>
    <row r="231" spans="1:28">
      <c r="B231" s="40" t="e">
        <v>#REF!</v>
      </c>
    </row>
    <row r="232" spans="1:28">
      <c r="A232" s="36" t="s">
        <v>331</v>
      </c>
      <c r="B232" s="40"/>
      <c r="D232" s="36" t="s">
        <v>331</v>
      </c>
    </row>
    <row r="233" spans="1:28">
      <c r="A233" s="37" t="s">
        <v>936</v>
      </c>
      <c r="B233" s="163">
        <f>B200/B211*D211</f>
        <v>6.1328828828828823E-4</v>
      </c>
      <c r="D233" s="37" t="s">
        <v>936</v>
      </c>
      <c r="E233" s="136">
        <f>B200/B213*D213</f>
        <v>1.5619502868068831E-4</v>
      </c>
      <c r="F233" s="136"/>
      <c r="G233" s="136"/>
    </row>
    <row r="234" spans="1:28">
      <c r="A234" s="37" t="s">
        <v>1357</v>
      </c>
      <c r="B234" s="163">
        <f>B233/B217</f>
        <v>6.1328828828828823E-4</v>
      </c>
    </row>
    <row r="235" spans="1:28">
      <c r="A235" s="36"/>
      <c r="B235" s="40"/>
    </row>
    <row r="236" spans="1:28">
      <c r="A236" s="36" t="s">
        <v>332</v>
      </c>
      <c r="B236" s="40"/>
    </row>
    <row r="237" spans="1:28">
      <c r="A237" s="37" t="s">
        <v>937</v>
      </c>
      <c r="B237" s="40" t="e">
        <f>'Feed products'!B221*'Feed products'!#REF!/'Feed products'!#REF!</f>
        <v>#REF!</v>
      </c>
    </row>
    <row r="238" spans="1:28">
      <c r="A238" s="37" t="s">
        <v>1358</v>
      </c>
      <c r="B238" s="40" t="e">
        <f>B237/B217</f>
        <v>#REF!</v>
      </c>
    </row>
    <row r="239" spans="1:28" ht="25.5">
      <c r="A239" s="36" t="s">
        <v>1383</v>
      </c>
      <c r="B239" s="40"/>
      <c r="C239" s="187" t="s">
        <v>1307</v>
      </c>
      <c r="D239"/>
      <c r="E239"/>
      <c r="F239"/>
      <c r="G239"/>
      <c r="H239"/>
      <c r="I239"/>
      <c r="J239"/>
      <c r="K239"/>
      <c r="L239"/>
      <c r="M239"/>
      <c r="N239"/>
      <c r="O239"/>
      <c r="P239"/>
      <c r="Q239"/>
      <c r="R239"/>
      <c r="S239"/>
      <c r="U239" s="187" t="s">
        <v>1308</v>
      </c>
      <c r="V239"/>
      <c r="W239"/>
      <c r="X239"/>
      <c r="Y239"/>
      <c r="Z239"/>
      <c r="AA239"/>
    </row>
    <row r="240" spans="1:28" ht="38.25">
      <c r="A240" s="6"/>
      <c r="B240"/>
      <c r="C240" s="27" t="s">
        <v>1312</v>
      </c>
      <c r="D240" s="27" t="s">
        <v>1313</v>
      </c>
      <c r="E240" s="27" t="s">
        <v>1314</v>
      </c>
      <c r="F240" s="27"/>
      <c r="G240" s="27"/>
      <c r="H240" s="27" t="s">
        <v>1315</v>
      </c>
      <c r="I240" s="27"/>
      <c r="J240" s="27"/>
      <c r="K240" s="27"/>
      <c r="L240" s="27"/>
      <c r="M240" s="27"/>
      <c r="N240" s="27"/>
      <c r="O240" s="27"/>
      <c r="P240" s="27"/>
      <c r="Q240" s="27"/>
      <c r="R240" s="27"/>
      <c r="S240" s="27" t="s">
        <v>1316</v>
      </c>
      <c r="T240" s="36" t="s">
        <v>1266</v>
      </c>
      <c r="U240" s="27" t="s">
        <v>1319</v>
      </c>
      <c r="V240" s="27" t="s">
        <v>1320</v>
      </c>
      <c r="W240" s="27" t="s">
        <v>1321</v>
      </c>
      <c r="X240" s="27" t="s">
        <v>1322</v>
      </c>
      <c r="Y240" s="27" t="s">
        <v>1323</v>
      </c>
      <c r="Z240" s="149" t="s">
        <v>1324</v>
      </c>
      <c r="AA240" s="27" t="s">
        <v>1325</v>
      </c>
      <c r="AB240" s="183"/>
    </row>
    <row r="241" spans="1:43">
      <c r="A241" s="6" t="s">
        <v>1384</v>
      </c>
      <c r="B241" t="s">
        <v>120</v>
      </c>
      <c r="C241"/>
      <c r="D241"/>
      <c r="E241"/>
      <c r="F241"/>
      <c r="G241"/>
      <c r="H241"/>
      <c r="I241"/>
      <c r="J241"/>
      <c r="K241"/>
      <c r="L241"/>
      <c r="M241"/>
      <c r="N241"/>
      <c r="O241"/>
      <c r="P241"/>
      <c r="Q241"/>
      <c r="R241"/>
      <c r="S241"/>
      <c r="U241" s="183"/>
      <c r="V241" s="183"/>
      <c r="W241" s="183"/>
      <c r="X241" s="183"/>
      <c r="Y241" s="183"/>
      <c r="Z241" s="183"/>
      <c r="AA241" s="183" t="e">
        <f>SUMPRODUCT(AA242:AA244,A242:A244)</f>
        <v>#REF!</v>
      </c>
    </row>
    <row r="242" spans="1:43">
      <c r="A242" s="193">
        <v>0.46380732376752548</v>
      </c>
      <c r="B242" s="1" t="s">
        <v>1365</v>
      </c>
      <c r="C242" s="186">
        <v>5.5122676400630499E-11</v>
      </c>
      <c r="D242" s="186">
        <v>5.3604663576149402E-11</v>
      </c>
      <c r="E242" s="186">
        <v>4.5381804318619403E-11</v>
      </c>
      <c r="F242" s="186"/>
      <c r="G242" s="186"/>
      <c r="H242" s="186">
        <v>1.31127969128976E-11</v>
      </c>
      <c r="I242" s="186"/>
      <c r="J242" s="186"/>
      <c r="K242" s="186"/>
      <c r="L242" s="186"/>
      <c r="M242" s="186"/>
      <c r="N242" s="186"/>
      <c r="O242" s="186"/>
      <c r="P242" s="186"/>
      <c r="Q242" s="186"/>
      <c r="R242" s="186"/>
      <c r="S242" s="186">
        <v>4.9119598130720397E-10</v>
      </c>
      <c r="T242" s="40">
        <f>$B$218</f>
        <v>2.4525989388499827</v>
      </c>
      <c r="U242" s="183">
        <f t="shared" ref="U242:W244" si="6">C242*$T$242</f>
        <v>1.3519381764675735E-10</v>
      </c>
      <c r="V242" s="183">
        <f t="shared" si="6"/>
        <v>1.3147074100427435E-10</v>
      </c>
      <c r="W242" s="183">
        <f t="shared" si="6"/>
        <v>1.1130336511494351E-10</v>
      </c>
      <c r="X242" s="183">
        <f>H242*$T$242</f>
        <v>3.2160431793927983E-11</v>
      </c>
      <c r="Y242" s="183">
        <f>S242*$T$242</f>
        <v>1.2047067425214244E-9</v>
      </c>
      <c r="Z242" s="183">
        <f>SUM(U242:Y242)</f>
        <v>1.6148350980813275E-9</v>
      </c>
      <c r="AA242" s="183" t="e">
        <f>Z242/('Feed products'!#REF!/10^6)</f>
        <v>#REF!</v>
      </c>
    </row>
    <row r="243" spans="1:43">
      <c r="A243" s="193">
        <v>0.35245121210372155</v>
      </c>
      <c r="B243" s="1" t="s">
        <v>188</v>
      </c>
      <c r="C243" s="186">
        <v>5.09081285710455E-11</v>
      </c>
      <c r="D243" s="186">
        <v>3.11345818839793E-11</v>
      </c>
      <c r="E243" s="186">
        <v>6.9772431446159505E-11</v>
      </c>
      <c r="F243" s="186"/>
      <c r="G243" s="186"/>
      <c r="H243" s="186">
        <v>2.5116023940210599E-11</v>
      </c>
      <c r="I243" s="186"/>
      <c r="J243" s="186"/>
      <c r="K243" s="186"/>
      <c r="L243" s="186"/>
      <c r="M243" s="186"/>
      <c r="N243" s="186"/>
      <c r="O243" s="186"/>
      <c r="P243" s="186"/>
      <c r="Q243" s="186"/>
      <c r="R243" s="186"/>
      <c r="S243" s="186">
        <v>5.9944513267527204E-10</v>
      </c>
      <c r="T243" s="40">
        <f>$B$218</f>
        <v>2.4525989388499827</v>
      </c>
      <c r="U243" s="183">
        <f t="shared" si="6"/>
        <v>1.2485722211218467E-10</v>
      </c>
      <c r="V243" s="183">
        <f t="shared" si="6"/>
        <v>7.6360642490185529E-11</v>
      </c>
      <c r="W243" s="183">
        <f t="shared" si="6"/>
        <v>1.7112379132583396E-10</v>
      </c>
      <c r="X243" s="183">
        <f>H243*$T$242</f>
        <v>6.1599533663891277E-11</v>
      </c>
      <c r="Y243" s="183">
        <f>S243*$T$242</f>
        <v>1.4701984962981592E-9</v>
      </c>
      <c r="Z243" s="183">
        <f>SUM(U243:Y243)</f>
        <v>1.9041396858902545E-9</v>
      </c>
      <c r="AA243" s="183" t="e">
        <f>Z243/('Feed products'!#REF!/10^6)</f>
        <v>#REF!</v>
      </c>
    </row>
    <row r="244" spans="1:43">
      <c r="A244" s="193">
        <v>0.18374146412875292</v>
      </c>
      <c r="B244" t="s">
        <v>1340</v>
      </c>
      <c r="C244" s="183">
        <f>AVERAGE(C242:C243)</f>
        <v>5.3015402485838003E-11</v>
      </c>
      <c r="D244" s="183">
        <f>AVERAGE(D242:D243)</f>
        <v>4.2369622730064354E-11</v>
      </c>
      <c r="E244" s="183">
        <f>AVERAGE(E242:E243)</f>
        <v>5.7577117882389457E-11</v>
      </c>
      <c r="F244" s="183"/>
      <c r="G244" s="183"/>
      <c r="H244" s="183">
        <f>AVERAGE(H242:H243)</f>
        <v>1.9114410426554099E-11</v>
      </c>
      <c r="I244" s="183"/>
      <c r="J244" s="183"/>
      <c r="K244" s="183"/>
      <c r="L244" s="183"/>
      <c r="M244" s="183"/>
      <c r="N244" s="183"/>
      <c r="O244" s="183"/>
      <c r="P244" s="183"/>
      <c r="Q244" s="183"/>
      <c r="R244" s="183"/>
      <c r="S244" s="183">
        <f>AVERAGE(S242:S243)</f>
        <v>5.45320556991238E-10</v>
      </c>
      <c r="T244" s="40">
        <f>$B$218</f>
        <v>2.4525989388499827</v>
      </c>
      <c r="U244" s="183">
        <f t="shared" si="6"/>
        <v>1.3002551987947101E-10</v>
      </c>
      <c r="V244" s="183">
        <f t="shared" si="6"/>
        <v>1.0391569174722994E-10</v>
      </c>
      <c r="W244" s="183">
        <f t="shared" si="6"/>
        <v>1.4121357822038874E-10</v>
      </c>
      <c r="X244" s="183">
        <f>H244*$T$242</f>
        <v>4.687998272890963E-11</v>
      </c>
      <c r="Y244" s="183">
        <f>S244*$T$242</f>
        <v>1.3374526194097918E-9</v>
      </c>
      <c r="Z244" s="183">
        <f>SUM(U244:Y244)</f>
        <v>1.7594873919857912E-9</v>
      </c>
      <c r="AA244" s="183" t="e">
        <f>Z244/('Feed products'!#REF!/10^6)</f>
        <v>#REF!</v>
      </c>
    </row>
    <row r="245" spans="1:43">
      <c r="B245" s="40"/>
    </row>
    <row r="247" spans="1:43">
      <c r="A247" s="41" t="s">
        <v>1385</v>
      </c>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row>
    <row r="248" spans="1:43" ht="63.75">
      <c r="U248"/>
      <c r="Y248" s="187" t="s">
        <v>1307</v>
      </c>
      <c r="Z248"/>
      <c r="AA248"/>
      <c r="AD248"/>
      <c r="AE248" s="187" t="s">
        <v>1308</v>
      </c>
      <c r="AF248"/>
      <c r="AG248"/>
      <c r="AH248"/>
      <c r="AI248"/>
      <c r="AO248" s="36" t="s">
        <v>1386</v>
      </c>
      <c r="AP248" s="36" t="s">
        <v>1387</v>
      </c>
      <c r="AQ248" s="36" t="s">
        <v>1388</v>
      </c>
    </row>
    <row r="249" spans="1:43" ht="60">
      <c r="A249" s="37" t="s">
        <v>1226</v>
      </c>
      <c r="B249" s="127">
        <f>AP249</f>
        <v>2815.6469715606408</v>
      </c>
      <c r="C249" s="37" t="s">
        <v>1389</v>
      </c>
      <c r="D249" s="69">
        <v>2544</v>
      </c>
      <c r="Y249" s="27" t="s">
        <v>1312</v>
      </c>
      <c r="Z249" s="27" t="s">
        <v>1313</v>
      </c>
      <c r="AA249" s="27" t="s">
        <v>1314</v>
      </c>
      <c r="AB249" s="27" t="s">
        <v>1315</v>
      </c>
      <c r="AC249" s="27" t="s">
        <v>1316</v>
      </c>
      <c r="AD249" s="36" t="s">
        <v>1390</v>
      </c>
      <c r="AE249" s="27" t="s">
        <v>1319</v>
      </c>
      <c r="AF249" s="27" t="s">
        <v>1320</v>
      </c>
      <c r="AG249" s="27" t="s">
        <v>1321</v>
      </c>
      <c r="AH249" s="27" t="s">
        <v>1322</v>
      </c>
      <c r="AI249" s="27" t="s">
        <v>1323</v>
      </c>
      <c r="AJ249" s="149" t="s">
        <v>1324</v>
      </c>
      <c r="AK249" s="27" t="s">
        <v>1325</v>
      </c>
      <c r="AN249" s="6" t="s">
        <v>1337</v>
      </c>
      <c r="AP249" s="38">
        <f>SUMPRODUCT(AO250:AO253,AP250:AP253)</f>
        <v>2815.6469715606408</v>
      </c>
      <c r="AQ249" s="37" t="s">
        <v>1391</v>
      </c>
    </row>
    <row r="250" spans="1:43">
      <c r="A250" s="37" t="s">
        <v>1266</v>
      </c>
      <c r="B250" s="26">
        <f>1/B249*10^4</f>
        <v>3.5515816084206238</v>
      </c>
      <c r="D250" t="s">
        <v>120</v>
      </c>
      <c r="E250" s="6" t="s">
        <v>1384</v>
      </c>
      <c r="F250" s="6"/>
      <c r="G250" s="6"/>
      <c r="H250" s="36" t="s">
        <v>1392</v>
      </c>
      <c r="I250" s="36"/>
      <c r="J250" s="36"/>
      <c r="K250" s="36"/>
      <c r="L250" s="36"/>
      <c r="M250" s="36"/>
      <c r="N250" s="36"/>
      <c r="O250" s="36"/>
      <c r="P250" s="36"/>
      <c r="Q250" s="36"/>
      <c r="R250" s="36"/>
      <c r="S250" s="36" t="s">
        <v>1229</v>
      </c>
      <c r="T250" s="36" t="s">
        <v>1393</v>
      </c>
      <c r="U250" s="36" t="s">
        <v>1394</v>
      </c>
      <c r="AE250" s="183"/>
      <c r="AF250" s="183"/>
      <c r="AG250" s="183"/>
      <c r="AH250" s="183"/>
      <c r="AI250" s="183"/>
      <c r="AJ250" s="183"/>
      <c r="AK250" s="183" t="e">
        <f>SUMPRODUCT(AK251:AK254,E251:E254)</f>
        <v>#REF!</v>
      </c>
      <c r="AN250" t="s">
        <v>184</v>
      </c>
      <c r="AO250" s="163">
        <v>0.17953048259071902</v>
      </c>
      <c r="AP250" s="37">
        <v>2674.96</v>
      </c>
      <c r="AQ250" s="37" t="s">
        <v>1391</v>
      </c>
    </row>
    <row r="251" spans="1:43">
      <c r="A251" s="37" t="s">
        <v>1300</v>
      </c>
      <c r="B251" s="127">
        <f>C251*B249/D249</f>
        <v>9.9610152295777379</v>
      </c>
      <c r="C251" s="127">
        <f>9</f>
        <v>9</v>
      </c>
      <c r="D251" s="191" t="s">
        <v>184</v>
      </c>
      <c r="E251" s="54">
        <v>0.17953048259071902</v>
      </c>
      <c r="F251" s="54"/>
      <c r="G251" s="54"/>
      <c r="S251" s="37">
        <v>83</v>
      </c>
      <c r="Y251" s="186">
        <v>8.2305425252214494E-12</v>
      </c>
      <c r="Z251" s="186">
        <v>6.1426753360527396E-12</v>
      </c>
      <c r="AA251" s="186">
        <v>5.0398079104976297E-12</v>
      </c>
      <c r="AB251" s="186">
        <v>9.6831075647488203E-13</v>
      </c>
      <c r="AC251" s="186">
        <v>1.5708120753030601E-11</v>
      </c>
      <c r="AD251" s="40">
        <f>$B$267</f>
        <v>6.9058531274845461</v>
      </c>
      <c r="AE251" s="183">
        <f t="shared" ref="AE251:AI253" si="7">Y251*$AD$251</f>
        <v>5.6838917838695099E-11</v>
      </c>
      <c r="AF251" s="183">
        <f t="shared" si="7"/>
        <v>4.2420413680601998E-11</v>
      </c>
      <c r="AG251" s="183">
        <f t="shared" si="7"/>
        <v>3.4804173220631413E-11</v>
      </c>
      <c r="AH251" s="183">
        <f t="shared" si="7"/>
        <v>6.6870118659789909E-12</v>
      </c>
      <c r="AI251" s="183">
        <f t="shared" si="7"/>
        <v>1.0847797482922128E-10</v>
      </c>
      <c r="AJ251" s="183">
        <f>SUM(AE251:AI251)</f>
        <v>2.4922849143512881E-10</v>
      </c>
      <c r="AK251" s="183" t="e">
        <f>AJ251/('Feed products'!#REF!/10^6)</f>
        <v>#REF!</v>
      </c>
      <c r="AN251" t="s">
        <v>1395</v>
      </c>
      <c r="AO251" s="163">
        <v>0.28843251007017345</v>
      </c>
      <c r="AP251" s="37">
        <v>2916.2</v>
      </c>
    </row>
    <row r="252" spans="1:43">
      <c r="A252" s="37" t="s">
        <v>1229</v>
      </c>
      <c r="B252" s="127">
        <f>SUMPRODUCT(S251:S254,E251:E254)</f>
        <v>186.05943379321226</v>
      </c>
      <c r="D252" s="191" t="s">
        <v>1395</v>
      </c>
      <c r="E252" s="54">
        <v>0.28843251007017345</v>
      </c>
      <c r="F252" s="54"/>
      <c r="G252" s="54"/>
      <c r="S252" s="37">
        <v>243</v>
      </c>
      <c r="Y252" s="186">
        <v>1.0040933916203999E-11</v>
      </c>
      <c r="Z252" s="186">
        <v>1.5382109589240001E-11</v>
      </c>
      <c r="AA252" s="186">
        <v>2.1977455618085499E-11</v>
      </c>
      <c r="AB252" s="186">
        <v>1.14038353262019E-12</v>
      </c>
      <c r="AC252" s="186">
        <v>1.19148547693904E-10</v>
      </c>
      <c r="AD252" s="40">
        <f>$B$267</f>
        <v>6.9058531274845461</v>
      </c>
      <c r="AE252" s="183">
        <f t="shared" si="7"/>
        <v>6.9341214888083045E-11</v>
      </c>
      <c r="AF252" s="183">
        <f t="shared" si="7"/>
        <v>1.0622658961416309E-10</v>
      </c>
      <c r="AG252" s="183">
        <f t="shared" si="7"/>
        <v>1.5177308061430855E-10</v>
      </c>
      <c r="AH252" s="183">
        <f t="shared" si="7"/>
        <v>7.8753211852770138E-12</v>
      </c>
      <c r="AI252" s="183">
        <f t="shared" si="7"/>
        <v>8.2282237072718851E-10</v>
      </c>
      <c r="AJ252" s="183">
        <f>SUM(AE252:AI252)</f>
        <v>1.1580385770290201E-9</v>
      </c>
      <c r="AK252" s="183" t="e">
        <f>AJ252/('Feed products'!#REF!/10^6)</f>
        <v>#REF!</v>
      </c>
      <c r="AN252" t="s">
        <v>149</v>
      </c>
      <c r="AO252" s="163">
        <v>0.33502925238117631</v>
      </c>
      <c r="AP252" s="37">
        <v>2979.6</v>
      </c>
    </row>
    <row r="253" spans="1:43">
      <c r="A253" s="37" t="s">
        <v>1283</v>
      </c>
      <c r="B253" s="26">
        <f>C253*B249/D249</f>
        <v>32.096604628639383</v>
      </c>
      <c r="C253" s="69">
        <v>29</v>
      </c>
      <c r="D253" s="191" t="s">
        <v>149</v>
      </c>
      <c r="E253" s="54">
        <v>0.33502925238117631</v>
      </c>
      <c r="F253" s="54"/>
      <c r="G253" s="54"/>
      <c r="S253" s="37">
        <v>207</v>
      </c>
      <c r="Y253" s="186">
        <v>2.9439715025713399E-12</v>
      </c>
      <c r="Z253" s="186">
        <v>4.8477088851861698E-12</v>
      </c>
      <c r="AA253" s="186">
        <v>5.2903295905443303E-12</v>
      </c>
      <c r="AB253" s="186">
        <v>1.3897687987919499E-12</v>
      </c>
      <c r="AC253" s="186">
        <v>5.5159397779402299E-11</v>
      </c>
      <c r="AD253" s="40">
        <f>$B$267</f>
        <v>6.9058531274845461</v>
      </c>
      <c r="AE253" s="183">
        <f t="shared" si="7"/>
        <v>2.0330634808257667E-11</v>
      </c>
      <c r="AF253" s="183">
        <f t="shared" si="7"/>
        <v>3.3477565565897535E-11</v>
      </c>
      <c r="AG253" s="183">
        <f t="shared" si="7"/>
        <v>3.6534239148284603E-11</v>
      </c>
      <c r="AH253" s="183">
        <f t="shared" si="7"/>
        <v>9.5975392056178285E-12</v>
      </c>
      <c r="AI253" s="183">
        <f t="shared" si="7"/>
        <v>3.8092269966504949E-10</v>
      </c>
      <c r="AJ253" s="183">
        <f>SUM(AE253:AI253)</f>
        <v>4.8086267839310713E-10</v>
      </c>
      <c r="AK253" s="183" t="e">
        <f>AJ253/('Feed products'!#REF!/10^6)</f>
        <v>#REF!</v>
      </c>
      <c r="AN253" s="37" t="s">
        <v>1340</v>
      </c>
      <c r="AO253" s="163">
        <f>1-SUM(AO250:AO252)</f>
        <v>0.19700775495793121</v>
      </c>
      <c r="AP253" s="37">
        <v>2517.8200000000002</v>
      </c>
    </row>
    <row r="254" spans="1:43">
      <c r="A254" s="37" t="s">
        <v>934</v>
      </c>
      <c r="B254" s="26">
        <f>70.2940118996315/1000</f>
        <v>7.0294011899631498E-2</v>
      </c>
      <c r="D254" s="191" t="s">
        <v>1340</v>
      </c>
      <c r="E254" s="54">
        <v>0.19700775495793124</v>
      </c>
      <c r="F254" s="54"/>
      <c r="G254" s="54"/>
      <c r="S254" s="37">
        <v>161</v>
      </c>
      <c r="Y254" s="192">
        <f>AVERAGE(Y251:Y253)</f>
        <v>7.0718159813322624E-12</v>
      </c>
      <c r="Z254" s="192">
        <f>AVERAGE(Z251:Z253)</f>
        <v>8.7908312701596367E-12</v>
      </c>
      <c r="AA254" s="192">
        <f>AVERAGE(AA251:AA253)</f>
        <v>1.076919770637582E-11</v>
      </c>
      <c r="AB254" s="192">
        <f>AVERAGE(AB251:AB253)</f>
        <v>1.1661543626290074E-12</v>
      </c>
      <c r="AC254" s="192">
        <f>AVERAGE(AC251:AC253)</f>
        <v>6.3338688742112302E-11</v>
      </c>
      <c r="AD254" s="40">
        <f>$B$267</f>
        <v>6.9058531274845461</v>
      </c>
      <c r="AE254" s="183"/>
      <c r="AF254" s="183"/>
      <c r="AG254" s="183"/>
      <c r="AH254" s="183"/>
      <c r="AI254" s="183"/>
      <c r="AK254" s="209" t="e">
        <f>AVERAGE(AK251:AK253)</f>
        <v>#REF!</v>
      </c>
    </row>
    <row r="255" spans="1:43">
      <c r="A255" s="37" t="s">
        <v>1290</v>
      </c>
      <c r="B255" s="26">
        <f>C255*B249/D249</f>
        <v>1.8095844333732896</v>
      </c>
      <c r="C255" s="50">
        <f>1.35+0.05+0.235</f>
        <v>1.6350000000000002</v>
      </c>
      <c r="D255" s="191"/>
      <c r="E255" s="54"/>
      <c r="F255" s="54"/>
      <c r="G255" s="54"/>
      <c r="Y255" s="192"/>
      <c r="Z255" s="192"/>
      <c r="AA255" s="192"/>
      <c r="AB255" s="192"/>
      <c r="AC255" s="192"/>
      <c r="AD255" s="40"/>
      <c r="AE255" s="183"/>
      <c r="AF255" s="183"/>
      <c r="AG255" s="183"/>
      <c r="AH255" s="183"/>
      <c r="AI255" s="183"/>
      <c r="AK255" s="209"/>
    </row>
    <row r="256" spans="1:43">
      <c r="B256" s="26"/>
      <c r="D256" s="191"/>
      <c r="E256" s="54"/>
      <c r="F256" s="54"/>
      <c r="G256" s="54"/>
      <c r="Y256" s="192"/>
      <c r="Z256" s="192"/>
      <c r="AA256" s="192"/>
      <c r="AB256" s="192"/>
      <c r="AC256" s="192"/>
      <c r="AD256" s="40"/>
      <c r="AE256" s="183"/>
      <c r="AF256" s="183"/>
      <c r="AG256" s="183"/>
      <c r="AH256" s="183"/>
      <c r="AI256" s="183"/>
      <c r="AK256" s="209"/>
    </row>
    <row r="257" spans="1:42">
      <c r="AN257" t="s">
        <v>184</v>
      </c>
      <c r="AO257" s="37">
        <v>0.17953048259071902</v>
      </c>
      <c r="AP257" s="37">
        <v>2674.96</v>
      </c>
    </row>
    <row r="258" spans="1:42">
      <c r="B258" s="37" t="s">
        <v>1338</v>
      </c>
      <c r="D258" s="37" t="s">
        <v>1339</v>
      </c>
      <c r="Y258" s="179" t="s">
        <v>1396</v>
      </c>
      <c r="Z258" s="29"/>
      <c r="AN258" t="s">
        <v>1397</v>
      </c>
      <c r="AO258" s="37">
        <v>9.4130498525879878E-3</v>
      </c>
      <c r="AP258" s="37">
        <v>2098.6400000000003</v>
      </c>
    </row>
    <row r="259" spans="1:42">
      <c r="A259" s="37" t="s">
        <v>862</v>
      </c>
      <c r="B259" s="37">
        <v>0.18</v>
      </c>
      <c r="D259" s="37">
        <v>0.35</v>
      </c>
      <c r="Y259" s="44" t="s">
        <v>1398</v>
      </c>
      <c r="Z259" s="29">
        <v>4.79</v>
      </c>
      <c r="AN259" t="s">
        <v>1395</v>
      </c>
      <c r="AO259" s="37">
        <v>0.28843251007017345</v>
      </c>
      <c r="AP259" s="37">
        <v>2916.2</v>
      </c>
    </row>
    <row r="260" spans="1:42">
      <c r="A260" s="37" t="s">
        <v>1399</v>
      </c>
      <c r="B260" s="37">
        <v>0.82</v>
      </c>
      <c r="D260" s="37">
        <v>0.65</v>
      </c>
      <c r="Y260" s="44" t="s">
        <v>1400</v>
      </c>
      <c r="Z260" s="29">
        <v>4.13</v>
      </c>
      <c r="AN260" t="s">
        <v>1343</v>
      </c>
      <c r="AO260" s="37">
        <v>4.4966686097843864E-2</v>
      </c>
      <c r="AP260" s="37">
        <v>1801.86</v>
      </c>
    </row>
    <row r="261" spans="1:42">
      <c r="A261" s="36"/>
      <c r="Y261" s="44" t="s">
        <v>1401</v>
      </c>
      <c r="Z261" s="29">
        <v>5.49</v>
      </c>
      <c r="AN261" t="s">
        <v>1402</v>
      </c>
      <c r="AO261" s="37">
        <v>4.0918954206214761E-2</v>
      </c>
      <c r="AP261" s="37">
        <v>1047.06</v>
      </c>
    </row>
    <row r="262" spans="1:42">
      <c r="A262" s="36" t="s">
        <v>862</v>
      </c>
      <c r="C262" s="237">
        <v>43815</v>
      </c>
      <c r="E262" s="36"/>
      <c r="F262" s="36"/>
      <c r="G262" s="36"/>
      <c r="Y262" s="44" t="s">
        <v>1403</v>
      </c>
      <c r="Z262" s="29">
        <v>5.1100000000000003</v>
      </c>
      <c r="AN262" t="s">
        <v>1404</v>
      </c>
      <c r="AO262" s="37">
        <v>2.8779857165589437E-2</v>
      </c>
      <c r="AP262" s="37">
        <v>2550.3599999999997</v>
      </c>
    </row>
    <row r="263" spans="1:42">
      <c r="A263" s="37" t="s">
        <v>1377</v>
      </c>
      <c r="B263" s="40">
        <v>1</v>
      </c>
      <c r="C263" s="236" t="s">
        <v>1405</v>
      </c>
      <c r="Y263" s="44" t="s">
        <v>1406</v>
      </c>
      <c r="Z263" s="29">
        <v>4.51</v>
      </c>
      <c r="AN263" t="s">
        <v>1407</v>
      </c>
      <c r="AO263" s="37">
        <v>9.0016733791603593E-3</v>
      </c>
      <c r="AP263" s="37">
        <v>2307.02</v>
      </c>
    </row>
    <row r="264" spans="1:42">
      <c r="B264" s="40"/>
      <c r="E264" s="163"/>
      <c r="F264" s="163"/>
      <c r="G264" s="163"/>
      <c r="Y264" s="44"/>
      <c r="Z264" s="29">
        <f>AVERAGE(Z259:Z263)</f>
        <v>4.806</v>
      </c>
      <c r="AN264" t="s">
        <v>149</v>
      </c>
      <c r="AO264" s="37">
        <v>0.33502925238117631</v>
      </c>
      <c r="AP264" s="37">
        <v>2979.6</v>
      </c>
    </row>
    <row r="265" spans="1:42">
      <c r="A265" s="36" t="s">
        <v>1408</v>
      </c>
      <c r="D265" s="36"/>
      <c r="E265" s="40"/>
      <c r="F265" s="40"/>
      <c r="G265" s="40"/>
      <c r="AN265" t="s">
        <v>1340</v>
      </c>
      <c r="AO265" s="37">
        <v>6.392753425653476E-2</v>
      </c>
      <c r="AP265" s="37">
        <v>2517.8200000000002</v>
      </c>
    </row>
    <row r="266" spans="1:42">
      <c r="A266" s="37" t="s">
        <v>1266</v>
      </c>
      <c r="B266" s="40">
        <f>1/B249/B259*10^4*D259</f>
        <v>6.9058531274845461</v>
      </c>
      <c r="E266" s="39"/>
      <c r="F266" s="39"/>
      <c r="G266" s="39"/>
      <c r="AG266"/>
    </row>
    <row r="267" spans="1:42">
      <c r="A267" s="37" t="s">
        <v>1349</v>
      </c>
      <c r="B267" s="40">
        <f>B266/B263</f>
        <v>6.9058531274845461</v>
      </c>
      <c r="C267" s="169"/>
    </row>
    <row r="269" spans="1:42">
      <c r="A269" s="36" t="s">
        <v>1379</v>
      </c>
      <c r="D269" s="36"/>
    </row>
    <row r="270" spans="1:42">
      <c r="A270" s="37" t="s">
        <v>1351</v>
      </c>
      <c r="B270" s="40">
        <f>B251/B249/B259*D259</f>
        <v>6.8789308176100622E-3</v>
      </c>
      <c r="T270" s="44"/>
      <c r="U270" s="29"/>
    </row>
    <row r="271" spans="1:42">
      <c r="A271" s="37" t="s">
        <v>1409</v>
      </c>
      <c r="B271" s="40">
        <f>B252/B249/B259*D259</f>
        <v>0.12848991227588588</v>
      </c>
      <c r="E271" s="40"/>
      <c r="F271" s="40"/>
      <c r="G271" s="40"/>
      <c r="T271" s="44"/>
      <c r="U271" s="29"/>
    </row>
    <row r="272" spans="1:42">
      <c r="A272" s="37" t="s">
        <v>1380</v>
      </c>
      <c r="B272" s="40">
        <f>SUM(B270:B271)</f>
        <v>0.13536884309349595</v>
      </c>
      <c r="E272" s="40"/>
      <c r="F272" s="40"/>
      <c r="G272" s="40"/>
      <c r="T272" s="44"/>
      <c r="U272" s="29"/>
    </row>
    <row r="273" spans="1:21">
      <c r="A273" s="37" t="s">
        <v>1381</v>
      </c>
      <c r="B273" s="40">
        <f>B272/B263</f>
        <v>0.13536884309349595</v>
      </c>
      <c r="E273" s="40"/>
      <c r="F273" s="40"/>
      <c r="G273" s="40"/>
      <c r="T273" s="44"/>
      <c r="U273" s="29"/>
    </row>
    <row r="274" spans="1:21">
      <c r="B274" s="40"/>
      <c r="E274" s="40"/>
      <c r="F274" s="40"/>
      <c r="G274" s="40"/>
      <c r="T274" s="44"/>
      <c r="U274" s="29"/>
    </row>
    <row r="275" spans="1:21">
      <c r="A275" s="36" t="s">
        <v>328</v>
      </c>
      <c r="D275" s="36" t="s">
        <v>1410</v>
      </c>
      <c r="E275" s="40"/>
      <c r="F275" s="40"/>
      <c r="G275" s="40"/>
      <c r="T275" s="44"/>
      <c r="U275" s="29"/>
    </row>
    <row r="276" spans="1:21">
      <c r="A276" s="37" t="s">
        <v>1354</v>
      </c>
      <c r="B276" s="40">
        <f>B253/B249/B259*D259</f>
        <v>2.2165443745632424E-2</v>
      </c>
      <c r="D276" s="37" t="s">
        <v>1354</v>
      </c>
      <c r="E276" s="163">
        <f>B253/B249/B260*D260</f>
        <v>9.0360868231323839E-3</v>
      </c>
      <c r="F276" s="163"/>
      <c r="G276" s="163"/>
      <c r="T276" s="44"/>
      <c r="U276" s="29"/>
    </row>
    <row r="277" spans="1:21">
      <c r="A277" s="37" t="s">
        <v>1355</v>
      </c>
      <c r="B277" s="40">
        <f>B276/B263</f>
        <v>2.2165443745632424E-2</v>
      </c>
      <c r="T277" s="44"/>
      <c r="U277" s="29"/>
    </row>
    <row r="278" spans="1:21">
      <c r="B278" s="40"/>
      <c r="E278" s="40"/>
      <c r="F278" s="40"/>
      <c r="G278" s="40"/>
    </row>
    <row r="279" spans="1:21">
      <c r="A279" s="36" t="s">
        <v>329</v>
      </c>
      <c r="D279" s="36" t="s">
        <v>329</v>
      </c>
    </row>
    <row r="280" spans="1:21">
      <c r="A280" s="37" t="s">
        <v>934</v>
      </c>
      <c r="B280" s="40">
        <f>B254/B259*D259</f>
        <v>0.13668280091595011</v>
      </c>
      <c r="D280" s="37" t="s">
        <v>934</v>
      </c>
      <c r="E280" s="163">
        <f>B254/B260*D260</f>
        <v>5.5720863091171316E-2</v>
      </c>
      <c r="F280" s="163"/>
      <c r="G280" s="163"/>
    </row>
    <row r="281" spans="1:21">
      <c r="A281" s="37" t="s">
        <v>1356</v>
      </c>
      <c r="B281" s="40">
        <f>B280/B263</f>
        <v>0.13668280091595011</v>
      </c>
      <c r="E281" s="40"/>
      <c r="F281" s="40"/>
      <c r="G281" s="40"/>
    </row>
    <row r="282" spans="1:21">
      <c r="B282" s="40"/>
      <c r="T282" s="36"/>
    </row>
    <row r="283" spans="1:21">
      <c r="A283" s="36" t="s">
        <v>331</v>
      </c>
      <c r="B283" s="40"/>
      <c r="D283" s="36" t="s">
        <v>331</v>
      </c>
      <c r="E283" s="40"/>
      <c r="F283" s="40"/>
      <c r="G283" s="40"/>
    </row>
    <row r="284" spans="1:21">
      <c r="A284" s="37" t="s">
        <v>936</v>
      </c>
      <c r="B284" s="40">
        <f>B255/B249/B259*D259</f>
        <v>1.2496724318658283E-3</v>
      </c>
      <c r="D284" s="37" t="s">
        <v>936</v>
      </c>
      <c r="E284" s="40">
        <f>B255/B249/B260*D260</f>
        <v>5.0944834330418794E-4</v>
      </c>
      <c r="F284" s="40"/>
      <c r="G284" s="40"/>
    </row>
    <row r="285" spans="1:21">
      <c r="A285" s="37" t="s">
        <v>1357</v>
      </c>
      <c r="B285" s="40">
        <f>B284/B263</f>
        <v>1.2496724318658283E-3</v>
      </c>
    </row>
    <row r="286" spans="1:21">
      <c r="B286" s="40"/>
    </row>
    <row r="287" spans="1:21">
      <c r="A287" s="36" t="s">
        <v>332</v>
      </c>
      <c r="B287" s="40"/>
    </row>
    <row r="288" spans="1:21">
      <c r="A288" s="37" t="s">
        <v>937</v>
      </c>
      <c r="B288" s="40" t="e">
        <f>B270*'Feed products'!#REF!/'Feed products'!#REF!</f>
        <v>#REF!</v>
      </c>
    </row>
    <row r="289" spans="1:31">
      <c r="A289" s="37" t="s">
        <v>1358</v>
      </c>
      <c r="B289" s="40" t="e">
        <f>B288/B263</f>
        <v>#REF!</v>
      </c>
    </row>
    <row r="290" spans="1:31">
      <c r="A290" s="41" t="s">
        <v>1258</v>
      </c>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row>
    <row r="291" spans="1:31">
      <c r="A291"/>
      <c r="B291"/>
      <c r="C291" s="36">
        <v>2011</v>
      </c>
      <c r="D291" s="36">
        <v>2012</v>
      </c>
      <c r="E291" s="36">
        <v>2013</v>
      </c>
      <c r="F291" s="36"/>
      <c r="G291" s="36"/>
      <c r="H291" s="36">
        <v>2014</v>
      </c>
      <c r="I291" s="36"/>
      <c r="J291" s="36"/>
      <c r="K291" s="36"/>
      <c r="L291" s="36"/>
      <c r="M291" s="36"/>
      <c r="N291" s="36"/>
      <c r="O291" s="36"/>
      <c r="P291" s="36"/>
      <c r="Q291" s="36"/>
      <c r="R291" s="36"/>
      <c r="S291" s="36">
        <v>2015</v>
      </c>
      <c r="T291" s="6" t="s">
        <v>1411</v>
      </c>
    </row>
    <row r="292" spans="1:31">
      <c r="A292" s="6" t="s">
        <v>1412</v>
      </c>
      <c r="B292" s="47" t="s">
        <v>1413</v>
      </c>
      <c r="C292" s="48">
        <v>5040</v>
      </c>
      <c r="D292" s="48">
        <v>5320</v>
      </c>
      <c r="E292" s="48">
        <v>4960</v>
      </c>
      <c r="F292" s="48"/>
      <c r="G292" s="48"/>
      <c r="H292" s="48">
        <v>5950</v>
      </c>
      <c r="I292" s="48"/>
      <c r="J292" s="48"/>
      <c r="K292" s="48"/>
      <c r="L292" s="48"/>
      <c r="M292" s="48"/>
      <c r="N292" s="48"/>
      <c r="O292" s="48"/>
      <c r="P292" s="48"/>
      <c r="Q292" s="48"/>
      <c r="R292" s="48"/>
      <c r="S292" s="48">
        <v>6240</v>
      </c>
      <c r="T292" s="115">
        <f>AVERAGE(C292:S292)</f>
        <v>5502</v>
      </c>
      <c r="V292" s="36" t="s">
        <v>608</v>
      </c>
    </row>
    <row r="293" spans="1:31">
      <c r="A293"/>
      <c r="B293" s="47" t="s">
        <v>1414</v>
      </c>
      <c r="C293" s="48">
        <v>3060</v>
      </c>
      <c r="D293" s="48">
        <v>3500</v>
      </c>
      <c r="E293" s="48">
        <v>3120</v>
      </c>
      <c r="F293" s="48"/>
      <c r="G293" s="48"/>
      <c r="H293" s="48">
        <v>3500</v>
      </c>
      <c r="I293" s="48"/>
      <c r="J293" s="48"/>
      <c r="K293" s="48"/>
      <c r="L293" s="48"/>
      <c r="M293" s="48"/>
      <c r="N293" s="48"/>
      <c r="O293" s="48"/>
      <c r="P293" s="48"/>
      <c r="Q293" s="48"/>
      <c r="R293" s="48"/>
      <c r="S293" s="48">
        <v>3830</v>
      </c>
      <c r="T293" s="115">
        <f>AVERAGE(C293:S293)</f>
        <v>3402</v>
      </c>
      <c r="V293" s="37" t="s">
        <v>1415</v>
      </c>
    </row>
    <row r="294" spans="1:31">
      <c r="A294"/>
      <c r="B294" s="47" t="s">
        <v>1416</v>
      </c>
      <c r="C294" s="48">
        <v>1980</v>
      </c>
      <c r="D294" s="48">
        <v>1820</v>
      </c>
      <c r="E294" s="48">
        <v>1840</v>
      </c>
      <c r="F294" s="48"/>
      <c r="G294" s="48"/>
      <c r="H294" s="48">
        <v>2450</v>
      </c>
      <c r="I294" s="48"/>
      <c r="J294" s="48"/>
      <c r="K294" s="48"/>
      <c r="L294" s="48"/>
      <c r="M294" s="48"/>
      <c r="N294" s="48"/>
      <c r="O294" s="48"/>
      <c r="P294" s="48"/>
      <c r="Q294" s="48"/>
      <c r="R294" s="48"/>
      <c r="S294" s="48">
        <v>2410</v>
      </c>
      <c r="T294" s="115">
        <f>AVERAGE(C294:S294)</f>
        <v>2100</v>
      </c>
    </row>
    <row r="295" spans="1:31">
      <c r="A295" s="36"/>
    </row>
    <row r="296" spans="1:31">
      <c r="A296" s="37" t="s">
        <v>1299</v>
      </c>
      <c r="B296" s="26">
        <f>1/T292*10^4</f>
        <v>1.817520901490367</v>
      </c>
    </row>
    <row r="297" spans="1:31">
      <c r="A297" s="37" t="s">
        <v>1300</v>
      </c>
      <c r="B297" s="38">
        <f>AVERAGE(64,64,62)</f>
        <v>63.333333333333336</v>
      </c>
      <c r="D297" s="37" t="s">
        <v>1417</v>
      </c>
    </row>
    <row r="298" spans="1:31">
      <c r="A298" s="37" t="s">
        <v>1229</v>
      </c>
      <c r="B298" s="37">
        <f>AVERAGE(222,164)</f>
        <v>193</v>
      </c>
      <c r="D298" s="37" t="s">
        <v>1418</v>
      </c>
    </row>
    <row r="299" spans="1:31">
      <c r="A299" s="37" t="s">
        <v>1419</v>
      </c>
      <c r="B299" s="39">
        <f>AS313</f>
        <v>90</v>
      </c>
    </row>
    <row r="300" spans="1:31">
      <c r="A300" s="37" t="s">
        <v>1364</v>
      </c>
      <c r="B300" s="38">
        <f>AVERAGE(2,2,3)</f>
        <v>2.3333333333333335</v>
      </c>
      <c r="D300" s="37" t="s">
        <v>1417</v>
      </c>
      <c r="H300" s="67"/>
      <c r="I300" s="67"/>
      <c r="J300" s="67"/>
      <c r="K300" s="67"/>
      <c r="L300" s="67"/>
      <c r="M300" s="67"/>
      <c r="N300" s="67"/>
      <c r="O300" s="67"/>
      <c r="P300" s="67"/>
      <c r="Q300" s="67"/>
      <c r="R300" s="67"/>
    </row>
    <row r="301" spans="1:31">
      <c r="A301" s="37" t="s">
        <v>1394</v>
      </c>
      <c r="B301" s="38" t="s">
        <v>1420</v>
      </c>
      <c r="H301" s="67"/>
      <c r="I301" s="67"/>
      <c r="J301" s="67"/>
      <c r="K301" s="67"/>
      <c r="L301" s="67"/>
      <c r="M301" s="67"/>
      <c r="N301" s="67"/>
      <c r="O301" s="67"/>
      <c r="P301" s="67"/>
      <c r="Q301" s="67"/>
      <c r="R301" s="67"/>
    </row>
    <row r="302" spans="1:31">
      <c r="B302" s="38"/>
      <c r="H302" s="67"/>
      <c r="I302" s="67"/>
      <c r="J302" s="67"/>
      <c r="K302" s="67"/>
      <c r="L302" s="67"/>
      <c r="M302" s="67"/>
      <c r="N302" s="67"/>
      <c r="O302" s="67"/>
      <c r="P302" s="67"/>
      <c r="Q302" s="67"/>
      <c r="R302" s="67"/>
    </row>
    <row r="303" spans="1:31">
      <c r="B303" s="275" t="s">
        <v>1291</v>
      </c>
      <c r="C303" s="36" t="s">
        <v>1292</v>
      </c>
      <c r="D303" s="36" t="s">
        <v>120</v>
      </c>
      <c r="H303" s="67"/>
      <c r="I303" s="67"/>
      <c r="J303" s="67"/>
      <c r="K303" s="67"/>
      <c r="L303" s="67"/>
      <c r="M303" s="67"/>
      <c r="N303" s="67"/>
      <c r="O303" s="67"/>
      <c r="P303" s="67"/>
      <c r="Q303" s="67"/>
      <c r="R303" s="67"/>
    </row>
    <row r="304" spans="1:31">
      <c r="A304" s="36" t="s">
        <v>1290</v>
      </c>
      <c r="B304" s="39">
        <v>0.39</v>
      </c>
      <c r="C304" s="39">
        <v>0.11</v>
      </c>
      <c r="D304" s="39">
        <f>AVERAGE(B304:C304)</f>
        <v>0.25</v>
      </c>
      <c r="E304" s="36" t="s">
        <v>1421</v>
      </c>
      <c r="F304" s="36"/>
      <c r="G304" s="36"/>
      <c r="H304" s="67"/>
      <c r="I304" s="67"/>
      <c r="J304" s="67"/>
      <c r="K304" s="67"/>
      <c r="L304" s="67"/>
      <c r="M304" s="67"/>
      <c r="N304" s="67"/>
      <c r="O304" s="67"/>
      <c r="P304" s="67"/>
      <c r="Q304" s="67"/>
      <c r="R304" s="67"/>
    </row>
    <row r="305" spans="1:45">
      <c r="B305" s="38"/>
      <c r="H305" s="67"/>
      <c r="I305" s="67"/>
      <c r="J305" s="67"/>
      <c r="K305" s="67"/>
      <c r="L305" s="67"/>
      <c r="M305" s="67"/>
      <c r="N305" s="67"/>
      <c r="O305" s="67"/>
      <c r="P305" s="67"/>
      <c r="Q305" s="67"/>
      <c r="R305" s="67"/>
    </row>
    <row r="306" spans="1:45">
      <c r="B306" s="69"/>
      <c r="H306" s="67"/>
      <c r="I306" s="67"/>
      <c r="J306" s="67"/>
      <c r="K306" s="67"/>
      <c r="L306" s="67"/>
      <c r="M306" s="67"/>
      <c r="N306" s="67"/>
      <c r="O306" s="67"/>
      <c r="P306" s="67"/>
      <c r="Q306" s="67"/>
      <c r="R306" s="67"/>
    </row>
    <row r="307" spans="1:45">
      <c r="A307" s="41" t="s">
        <v>1422</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row>
    <row r="308" spans="1:45">
      <c r="AR308" s="36" t="s">
        <v>1423</v>
      </c>
      <c r="AS308" s="36" t="s">
        <v>1424</v>
      </c>
    </row>
    <row r="309" spans="1:45" ht="15.75" thickBot="1">
      <c r="B309" s="247" t="s">
        <v>1425</v>
      </c>
      <c r="C309" s="247" t="s">
        <v>1426</v>
      </c>
      <c r="D309" s="36" t="s">
        <v>1337</v>
      </c>
      <c r="E309" s="36" t="s">
        <v>608</v>
      </c>
      <c r="F309" s="36"/>
      <c r="G309" s="36"/>
      <c r="AK309" s="1384"/>
      <c r="AL309" s="1382" t="s">
        <v>1267</v>
      </c>
      <c r="AM309" s="1383"/>
      <c r="AN309" s="1386"/>
      <c r="AO309" s="1382" t="s">
        <v>1268</v>
      </c>
      <c r="AP309" s="1383"/>
      <c r="AQ309" s="1383"/>
    </row>
    <row r="310" spans="1:45" ht="15.75" thickBot="1">
      <c r="A310" s="37" t="s">
        <v>1300</v>
      </c>
      <c r="B310" s="174">
        <f>AVERAGE(44,43,42)</f>
        <v>43</v>
      </c>
      <c r="C310" s="174">
        <v>0</v>
      </c>
      <c r="D310" s="38">
        <f>B310*$D$319+C310*$D$320</f>
        <v>13.262793914246197</v>
      </c>
      <c r="E310" s="37" t="s">
        <v>1285</v>
      </c>
      <c r="AK310" s="1385"/>
      <c r="AL310" s="280" t="s">
        <v>1272</v>
      </c>
      <c r="AM310" s="280" t="s">
        <v>1273</v>
      </c>
      <c r="AN310" s="280" t="s">
        <v>1274</v>
      </c>
      <c r="AO310" s="280" t="s">
        <v>1272</v>
      </c>
      <c r="AP310" s="280" t="s">
        <v>1273</v>
      </c>
      <c r="AQ310" s="279" t="s">
        <v>1274</v>
      </c>
    </row>
    <row r="311" spans="1:45" ht="25.5" thickBot="1">
      <c r="A311" s="37" t="s">
        <v>1427</v>
      </c>
      <c r="B311" s="202">
        <f>23800/500</f>
        <v>47.6</v>
      </c>
      <c r="C311" s="174">
        <v>15</v>
      </c>
      <c r="D311" s="38">
        <f>B311*$D$319+C311*$D$320</f>
        <v>25.055048409405259</v>
      </c>
      <c r="E311" s="37" t="s">
        <v>1428</v>
      </c>
      <c r="AK311" s="230" t="s">
        <v>1429</v>
      </c>
      <c r="AL311" s="229"/>
      <c r="AM311" s="229"/>
      <c r="AN311" s="229"/>
      <c r="AO311" s="229"/>
      <c r="AP311" s="229"/>
      <c r="AQ311" s="181"/>
    </row>
    <row r="312" spans="1:45" ht="15.75" thickBot="1">
      <c r="A312" s="37" t="s">
        <v>1430</v>
      </c>
      <c r="B312" s="202">
        <f>AS315</f>
        <v>29.333333333333332</v>
      </c>
      <c r="C312" s="174">
        <v>0</v>
      </c>
      <c r="D312" s="38"/>
      <c r="E312" s="37" t="s">
        <v>1285</v>
      </c>
      <c r="AK312" s="230"/>
      <c r="AL312" s="229"/>
      <c r="AM312" s="229"/>
      <c r="AN312" s="229"/>
      <c r="AO312" s="229"/>
      <c r="AP312" s="229"/>
      <c r="AQ312" s="181"/>
    </row>
    <row r="313" spans="1:45" ht="25.5" thickBot="1">
      <c r="A313" s="37" t="s">
        <v>1283</v>
      </c>
      <c r="B313" s="202">
        <f>AVERAGE(9,8,9)</f>
        <v>8.6666666666666661</v>
      </c>
      <c r="C313" s="174">
        <v>0</v>
      </c>
      <c r="D313" s="38">
        <f>B313*$D$319+C313*$D$320</f>
        <v>2.6731212540341169</v>
      </c>
      <c r="E313" s="37" t="s">
        <v>1285</v>
      </c>
      <c r="AK313" s="230" t="s">
        <v>1277</v>
      </c>
      <c r="AL313" s="231">
        <v>64</v>
      </c>
      <c r="AM313" s="231">
        <v>64</v>
      </c>
      <c r="AN313" s="231">
        <v>62</v>
      </c>
      <c r="AO313" s="231">
        <v>103</v>
      </c>
      <c r="AP313" s="231">
        <v>99</v>
      </c>
      <c r="AQ313" s="182">
        <v>68</v>
      </c>
      <c r="AR313" s="39">
        <f>AVERAGE(AL313:AN313)</f>
        <v>63.333333333333336</v>
      </c>
      <c r="AS313" s="39">
        <f>AVERAGE(AO313:AQ313)</f>
        <v>90</v>
      </c>
    </row>
    <row r="314" spans="1:45" ht="25.5" thickBot="1">
      <c r="A314" s="37" t="s">
        <v>1226</v>
      </c>
      <c r="B314" s="202">
        <f>1/B315*10^4</f>
        <v>2944.9227845093847</v>
      </c>
      <c r="C314" s="202">
        <f>1/C315*10^4</f>
        <v>1090.909090909091</v>
      </c>
      <c r="D314" s="38">
        <f>B314*$D$319+C314*$D$320</f>
        <v>1662.755638174465</v>
      </c>
      <c r="E314" s="37" t="s">
        <v>1431</v>
      </c>
      <c r="Z314" s="169" t="s">
        <v>1432</v>
      </c>
      <c r="AK314" s="230" t="s">
        <v>1433</v>
      </c>
      <c r="AL314" s="229"/>
      <c r="AM314" s="229"/>
      <c r="AN314" s="229"/>
      <c r="AO314" s="229"/>
      <c r="AP314" s="229"/>
      <c r="AQ314" s="181"/>
      <c r="AR314" s="39"/>
      <c r="AS314" s="39"/>
    </row>
    <row r="315" spans="1:45" ht="25.5" thickBot="1">
      <c r="A315" s="37" t="s">
        <v>1266</v>
      </c>
      <c r="B315" s="176">
        <v>3.3956747703542831</v>
      </c>
      <c r="C315" s="176">
        <v>9.1666666666666661</v>
      </c>
      <c r="D315" s="39">
        <f>B315*$D$319+C315*$D$320</f>
        <v>7.3866788480253645</v>
      </c>
      <c r="E315" s="37" t="s">
        <v>1431</v>
      </c>
      <c r="Z315" s="169" t="s">
        <v>1434</v>
      </c>
      <c r="AK315" s="230" t="s">
        <v>1277</v>
      </c>
      <c r="AL315" s="231">
        <v>44</v>
      </c>
      <c r="AM315" s="231">
        <v>43</v>
      </c>
      <c r="AN315" s="231">
        <v>42</v>
      </c>
      <c r="AO315" s="231">
        <v>33</v>
      </c>
      <c r="AP315" s="231">
        <v>30</v>
      </c>
      <c r="AQ315" s="182">
        <v>25</v>
      </c>
      <c r="AR315" s="39">
        <f>AVERAGE(AL315:AN315)</f>
        <v>43</v>
      </c>
      <c r="AS315" s="39">
        <f>AVERAGE(AO315:AQ315)</f>
        <v>29.333333333333332</v>
      </c>
    </row>
    <row r="316" spans="1:45" ht="15.75" thickBot="1">
      <c r="A316" s="37" t="s">
        <v>1394</v>
      </c>
      <c r="B316" s="174" t="s">
        <v>1435</v>
      </c>
      <c r="C316" s="174" t="s">
        <v>1435</v>
      </c>
      <c r="D316" s="38">
        <v>0</v>
      </c>
      <c r="Z316" s="169" t="s">
        <v>1436</v>
      </c>
      <c r="AK316" s="230" t="s">
        <v>1437</v>
      </c>
      <c r="AL316" s="229"/>
      <c r="AM316" s="229"/>
      <c r="AN316" s="229"/>
      <c r="AO316" s="229"/>
      <c r="AP316" s="229"/>
      <c r="AQ316" s="181"/>
    </row>
    <row r="317" spans="1:45" ht="25.5" thickBot="1">
      <c r="D317" s="38"/>
      <c r="Z317" s="169" t="s">
        <v>1438</v>
      </c>
      <c r="AK317" s="230" t="s">
        <v>1277</v>
      </c>
      <c r="AL317" s="231" t="s">
        <v>1278</v>
      </c>
      <c r="AM317" s="231" t="s">
        <v>1278</v>
      </c>
      <c r="AN317" s="231" t="s">
        <v>1278</v>
      </c>
      <c r="AO317" s="231" t="s">
        <v>1278</v>
      </c>
      <c r="AP317" s="231" t="s">
        <v>1278</v>
      </c>
      <c r="AQ317" s="182" t="s">
        <v>1278</v>
      </c>
    </row>
    <row r="318" spans="1:45">
      <c r="A318" s="194" t="s">
        <v>1439</v>
      </c>
      <c r="B318" s="37" t="s">
        <v>1440</v>
      </c>
      <c r="D318" s="38" t="s">
        <v>1441</v>
      </c>
      <c r="Z318" s="169" t="s">
        <v>1442</v>
      </c>
    </row>
    <row r="319" spans="1:45">
      <c r="A319" s="37" t="s">
        <v>1443</v>
      </c>
      <c r="B319" s="37">
        <f>(134+89)*1000</f>
        <v>223000</v>
      </c>
      <c r="C319" s="38">
        <f>B319/B320*C320</f>
        <v>197657.38800000001</v>
      </c>
      <c r="D319" s="40">
        <f>C319/C321</f>
        <v>0.30843706777316737</v>
      </c>
      <c r="Z319" s="169" t="s">
        <v>1444</v>
      </c>
    </row>
    <row r="320" spans="1:45">
      <c r="A320" s="37" t="s">
        <v>1445</v>
      </c>
      <c r="B320" s="37">
        <v>500000</v>
      </c>
      <c r="C320" s="4">
        <f>S324</f>
        <v>443178</v>
      </c>
      <c r="D320" s="40">
        <f>C320/C321</f>
        <v>0.69156293222683263</v>
      </c>
    </row>
    <row r="321" spans="1:120" ht="15.75" thickBot="1">
      <c r="B321" s="37">
        <f>SUM(B319:B320)</f>
        <v>723000</v>
      </c>
      <c r="C321" s="37">
        <f>SUM(C319:C320)</f>
        <v>640835.38800000004</v>
      </c>
      <c r="D321" s="38"/>
    </row>
    <row r="322" spans="1:120" ht="16.5" thickBot="1">
      <c r="A322" s="224"/>
      <c r="B322" s="225">
        <v>2011</v>
      </c>
      <c r="C322" s="225">
        <v>2012</v>
      </c>
      <c r="D322" s="225">
        <v>2013</v>
      </c>
      <c r="E322" s="225">
        <v>2014</v>
      </c>
      <c r="F322" s="225"/>
      <c r="G322" s="225"/>
      <c r="H322" s="225">
        <v>2015</v>
      </c>
      <c r="I322" s="1151"/>
      <c r="J322" s="1151"/>
      <c r="K322" s="1151"/>
      <c r="L322" s="1151"/>
      <c r="M322" s="1151"/>
      <c r="N322" s="1151"/>
      <c r="O322" s="1151"/>
      <c r="P322" s="1151"/>
      <c r="Q322" s="1151"/>
      <c r="R322" s="1151"/>
    </row>
    <row r="323" spans="1:120" ht="15.75" thickBot="1">
      <c r="A323" s="226" t="s">
        <v>1301</v>
      </c>
      <c r="B323" s="184"/>
      <c r="C323" s="184"/>
      <c r="D323" s="184"/>
      <c r="E323" s="184"/>
      <c r="F323" s="184"/>
      <c r="G323" s="184"/>
      <c r="H323" s="184"/>
      <c r="I323" s="1152"/>
      <c r="J323" s="1152"/>
      <c r="K323" s="1152"/>
      <c r="L323" s="1152"/>
      <c r="M323" s="1152"/>
      <c r="N323" s="1152"/>
      <c r="O323" s="1152"/>
      <c r="P323" s="1152"/>
      <c r="Q323" s="1152"/>
      <c r="R323" s="1152"/>
    </row>
    <row r="324" spans="1:120" ht="15.75" thickBot="1">
      <c r="A324" s="226" t="s">
        <v>1446</v>
      </c>
      <c r="B324" s="185">
        <v>446901</v>
      </c>
      <c r="C324" s="185">
        <v>440574</v>
      </c>
      <c r="D324" s="185">
        <v>442896</v>
      </c>
      <c r="E324" s="185">
        <v>435676</v>
      </c>
      <c r="F324" s="185"/>
      <c r="G324" s="185"/>
      <c r="H324" s="185">
        <v>449843</v>
      </c>
      <c r="I324" s="277"/>
      <c r="J324" s="277"/>
      <c r="K324" s="277"/>
      <c r="L324" s="277"/>
      <c r="M324" s="277"/>
      <c r="N324" s="277"/>
      <c r="O324" s="277"/>
      <c r="P324" s="277"/>
      <c r="Q324" s="277"/>
      <c r="R324" s="277"/>
      <c r="S324" s="4">
        <f>AVERAGE(B324:H324)</f>
        <v>443178</v>
      </c>
    </row>
    <row r="325" spans="1:120">
      <c r="A325" s="276"/>
      <c r="B325" s="277"/>
      <c r="C325" s="277"/>
      <c r="D325" s="277"/>
      <c r="E325" s="277"/>
      <c r="F325" s="277"/>
      <c r="G325" s="277"/>
      <c r="H325" s="277"/>
      <c r="I325" s="277"/>
      <c r="J325" s="277"/>
      <c r="K325" s="277"/>
      <c r="L325" s="277"/>
      <c r="M325" s="277"/>
      <c r="N325" s="277"/>
      <c r="O325" s="277"/>
      <c r="P325" s="277"/>
      <c r="Q325" s="277"/>
      <c r="R325" s="277"/>
      <c r="S325" s="4"/>
    </row>
    <row r="326" spans="1:120">
      <c r="B326" s="275" t="s">
        <v>1291</v>
      </c>
      <c r="C326" s="36" t="s">
        <v>1292</v>
      </c>
      <c r="D326" s="36" t="s">
        <v>120</v>
      </c>
      <c r="H326" s="67"/>
      <c r="I326" s="67"/>
      <c r="J326" s="67"/>
      <c r="K326" s="67"/>
      <c r="L326" s="67"/>
      <c r="M326" s="67"/>
      <c r="N326" s="67"/>
      <c r="O326" s="67"/>
      <c r="P326" s="67"/>
      <c r="Q326" s="67"/>
      <c r="R326" s="67"/>
      <c r="S326" s="4"/>
    </row>
    <row r="327" spans="1:120">
      <c r="A327" s="36" t="s">
        <v>1290</v>
      </c>
      <c r="B327" s="39">
        <v>0.39</v>
      </c>
      <c r="C327" s="39">
        <v>0.11</v>
      </c>
      <c r="D327" s="39">
        <f>AVERAGE(B327:C327)</f>
        <v>0.25</v>
      </c>
      <c r="E327" s="36" t="s">
        <v>1447</v>
      </c>
      <c r="F327" s="36"/>
      <c r="G327" s="36"/>
      <c r="H327" s="67"/>
      <c r="I327" s="67"/>
      <c r="J327" s="67"/>
      <c r="K327" s="67"/>
      <c r="L327" s="67"/>
      <c r="M327" s="67"/>
      <c r="N327" s="67"/>
      <c r="O327" s="67"/>
      <c r="P327" s="67"/>
      <c r="Q327" s="67"/>
      <c r="R327" s="67"/>
      <c r="S327" s="4"/>
    </row>
    <row r="328" spans="1:120">
      <c r="A328" s="36" t="s">
        <v>1448</v>
      </c>
      <c r="B328" s="39">
        <v>0</v>
      </c>
      <c r="C328" s="39"/>
      <c r="D328" s="39"/>
      <c r="E328" s="36" t="s">
        <v>1447</v>
      </c>
      <c r="F328" s="36"/>
      <c r="G328" s="36"/>
      <c r="H328" s="67"/>
      <c r="I328" s="67"/>
      <c r="J328" s="67"/>
      <c r="K328" s="67"/>
      <c r="L328" s="67"/>
      <c r="M328" s="67"/>
      <c r="N328" s="67"/>
      <c r="O328" s="67"/>
      <c r="P328" s="67"/>
      <c r="Q328" s="67"/>
      <c r="R328" s="67"/>
      <c r="S328" s="4"/>
    </row>
    <row r="329" spans="1:120">
      <c r="B329" s="39"/>
      <c r="C329" s="39"/>
      <c r="D329" s="39"/>
      <c r="E329" s="36"/>
      <c r="F329" s="36"/>
      <c r="G329" s="36"/>
      <c r="H329" s="67"/>
      <c r="I329" s="67"/>
      <c r="J329" s="67"/>
      <c r="K329" s="67"/>
      <c r="L329" s="67"/>
      <c r="M329" s="67"/>
      <c r="N329" s="67"/>
      <c r="O329" s="67"/>
      <c r="P329" s="67"/>
      <c r="Q329" s="67"/>
      <c r="R329" s="67"/>
      <c r="S329" s="4"/>
    </row>
    <row r="330" spans="1:120">
      <c r="A330" s="36"/>
      <c r="B330" s="39"/>
      <c r="C330" s="39"/>
      <c r="D330" s="39"/>
      <c r="E330" s="36"/>
      <c r="F330" s="36"/>
      <c r="G330" s="36"/>
      <c r="H330" s="67"/>
      <c r="I330" s="67"/>
      <c r="J330" s="67"/>
      <c r="K330" s="67"/>
      <c r="L330" s="67"/>
      <c r="M330" s="67"/>
      <c r="N330" s="67"/>
      <c r="O330" s="67"/>
      <c r="P330" s="67"/>
      <c r="Q330" s="67"/>
      <c r="R330" s="67"/>
      <c r="S330" s="4"/>
    </row>
    <row r="331" spans="1:120">
      <c r="B331" s="38"/>
      <c r="H331" s="67"/>
      <c r="I331" s="67"/>
      <c r="J331" s="67"/>
      <c r="K331" s="67"/>
      <c r="L331" s="67"/>
      <c r="M331" s="67"/>
      <c r="N331" s="67"/>
      <c r="O331" s="67"/>
      <c r="P331" s="67"/>
      <c r="Q331" s="67"/>
      <c r="R331" s="67"/>
      <c r="S331" s="4"/>
    </row>
    <row r="332" spans="1:120" ht="47.25">
      <c r="A332" s="41" t="s">
        <v>1449</v>
      </c>
      <c r="B332" s="42"/>
      <c r="C332" s="42"/>
      <c r="D332" s="42"/>
      <c r="E332" s="42"/>
      <c r="F332" s="42"/>
      <c r="G332" s="42"/>
      <c r="H332" s="42"/>
      <c r="I332" s="42"/>
      <c r="J332" s="42"/>
      <c r="K332" s="42"/>
      <c r="L332" s="42"/>
      <c r="M332" s="42"/>
      <c r="N332" s="42"/>
      <c r="O332" s="42"/>
      <c r="P332" s="42"/>
      <c r="Q332" s="42"/>
      <c r="R332" s="42"/>
      <c r="S332" s="42"/>
      <c r="U332" s="42"/>
      <c r="V332" s="42"/>
      <c r="W332" s="42"/>
      <c r="X332" s="42"/>
      <c r="Y332" s="42"/>
      <c r="Z332" s="42"/>
      <c r="AA332" s="42"/>
      <c r="AB332" s="42"/>
      <c r="AC332" s="248" t="s">
        <v>1450</v>
      </c>
      <c r="AE332" s="249" t="s">
        <v>276</v>
      </c>
      <c r="AF332"/>
      <c r="AG332"/>
      <c r="AH332"/>
      <c r="AI332"/>
      <c r="AJ332"/>
      <c r="AK332" s="187" t="s">
        <v>1308</v>
      </c>
      <c r="AL332"/>
      <c r="AM332"/>
      <c r="AN332"/>
      <c r="AO332"/>
      <c r="AP332" s="194" t="s">
        <v>325</v>
      </c>
      <c r="AQ332" s="138" t="s">
        <v>1451</v>
      </c>
      <c r="AR332"/>
      <c r="AS332"/>
      <c r="AT332"/>
      <c r="AU332"/>
      <c r="AV332"/>
      <c r="AW332" s="187" t="s">
        <v>1308</v>
      </c>
      <c r="BB332" s="138" t="s">
        <v>1451</v>
      </c>
      <c r="BF332" s="36" t="s">
        <v>1408</v>
      </c>
      <c r="BP332" s="253" t="s">
        <v>1452</v>
      </c>
      <c r="BQ332" s="254"/>
      <c r="BR332" s="255" t="s">
        <v>1453</v>
      </c>
      <c r="BS332" s="256" t="s">
        <v>1454</v>
      </c>
      <c r="BT332" s="256" t="s">
        <v>1455</v>
      </c>
      <c r="BU332" s="256" t="s">
        <v>1456</v>
      </c>
      <c r="BV332" s="256" t="s">
        <v>1457</v>
      </c>
      <c r="CL332" s="37" t="s">
        <v>1458</v>
      </c>
      <c r="CP332" s="258"/>
      <c r="CR332" s="37" t="s">
        <v>1459</v>
      </c>
      <c r="CS332" s="37" t="s">
        <v>1460</v>
      </c>
      <c r="CT332" s="37" t="s">
        <v>1461</v>
      </c>
      <c r="CU332" s="37" t="s">
        <v>1462</v>
      </c>
      <c r="CW332" s="258"/>
      <c r="CY332" s="37" t="s">
        <v>1459</v>
      </c>
      <c r="CZ332" s="37" t="s">
        <v>1460</v>
      </c>
      <c r="DA332" s="37" t="s">
        <v>1461</v>
      </c>
      <c r="DB332" s="37" t="s">
        <v>1462</v>
      </c>
      <c r="DD332" s="258"/>
      <c r="DE332" s="190" t="s">
        <v>1463</v>
      </c>
      <c r="DF332" s="190" t="s">
        <v>1464</v>
      </c>
      <c r="DG332" s="190" t="s">
        <v>1465</v>
      </c>
      <c r="DH332" s="190" t="s">
        <v>1466</v>
      </c>
      <c r="DI332" s="258"/>
      <c r="DJ332" s="228" t="s">
        <v>317</v>
      </c>
      <c r="DK332" s="37" t="s">
        <v>367</v>
      </c>
      <c r="DL332" s="37" t="s">
        <v>320</v>
      </c>
      <c r="DN332" s="228" t="s">
        <v>317</v>
      </c>
      <c r="DO332" s="37" t="s">
        <v>367</v>
      </c>
      <c r="DP332" s="37" t="s">
        <v>320</v>
      </c>
    </row>
    <row r="333" spans="1:120" ht="51">
      <c r="A333" s="36" t="s">
        <v>871</v>
      </c>
      <c r="B333" s="36" t="s">
        <v>359</v>
      </c>
      <c r="C333" s="36" t="s">
        <v>608</v>
      </c>
      <c r="D333" s="36" t="s">
        <v>1467</v>
      </c>
      <c r="H333" s="36" t="s">
        <v>1468</v>
      </c>
      <c r="I333" s="36"/>
      <c r="J333" s="36"/>
      <c r="K333" s="36"/>
      <c r="L333" s="36"/>
      <c r="M333" s="36"/>
      <c r="N333" s="36"/>
      <c r="O333" s="36"/>
      <c r="P333" s="36"/>
      <c r="Q333" s="36"/>
      <c r="R333" s="36"/>
      <c r="S333" s="36" t="s">
        <v>1469</v>
      </c>
      <c r="T333" s="36" t="s">
        <v>1470</v>
      </c>
      <c r="AC333" s="36" t="s">
        <v>871</v>
      </c>
      <c r="AD333" s="36" t="s">
        <v>359</v>
      </c>
      <c r="AE333" s="27" t="s">
        <v>1312</v>
      </c>
      <c r="AF333" s="27" t="s">
        <v>1313</v>
      </c>
      <c r="AG333" s="27" t="s">
        <v>1314</v>
      </c>
      <c r="AH333" s="27" t="s">
        <v>1315</v>
      </c>
      <c r="AI333" s="27" t="s">
        <v>1316</v>
      </c>
      <c r="AJ333" s="187" t="s">
        <v>1471</v>
      </c>
      <c r="AK333" s="27" t="s">
        <v>1319</v>
      </c>
      <c r="AL333" s="27" t="s">
        <v>1320</v>
      </c>
      <c r="AM333" s="27" t="s">
        <v>1321</v>
      </c>
      <c r="AN333" s="27" t="s">
        <v>1322</v>
      </c>
      <c r="AO333" s="27" t="s">
        <v>1323</v>
      </c>
      <c r="AP333" s="149" t="s">
        <v>1324</v>
      </c>
      <c r="AQ333" s="27" t="s">
        <v>1312</v>
      </c>
      <c r="AR333" s="27" t="s">
        <v>1313</v>
      </c>
      <c r="AS333" s="27" t="s">
        <v>1314</v>
      </c>
      <c r="AT333" s="27" t="s">
        <v>1315</v>
      </c>
      <c r="AU333" s="27" t="s">
        <v>1316</v>
      </c>
      <c r="AV333" s="187" t="s">
        <v>931</v>
      </c>
      <c r="AW333" s="27" t="s">
        <v>1319</v>
      </c>
      <c r="AX333" s="27" t="s">
        <v>1320</v>
      </c>
      <c r="AY333" s="27" t="s">
        <v>1321</v>
      </c>
      <c r="AZ333" s="27" t="s">
        <v>1322</v>
      </c>
      <c r="BA333" s="27" t="s">
        <v>1323</v>
      </c>
      <c r="BB333" s="149" t="s">
        <v>1324</v>
      </c>
      <c r="BC333" s="27" t="s">
        <v>1325</v>
      </c>
      <c r="BD333" s="36" t="s">
        <v>1472</v>
      </c>
      <c r="BE333" s="36" t="s">
        <v>1473</v>
      </c>
      <c r="BF333" s="190" t="s">
        <v>1474</v>
      </c>
      <c r="BG333" s="190" t="s">
        <v>1475</v>
      </c>
      <c r="BH333" s="190" t="s">
        <v>1476</v>
      </c>
      <c r="BI333" s="55" t="s">
        <v>1477</v>
      </c>
      <c r="BJ333" s="190" t="s">
        <v>1478</v>
      </c>
      <c r="BK333" s="55" t="s">
        <v>1479</v>
      </c>
      <c r="BL333" s="190" t="s">
        <v>1480</v>
      </c>
      <c r="BM333" s="190" t="s">
        <v>201</v>
      </c>
      <c r="BN333" s="190" t="s">
        <v>1481</v>
      </c>
      <c r="BO333" s="190" t="s">
        <v>1482</v>
      </c>
      <c r="BP333" s="250">
        <v>63.667490748029209</v>
      </c>
      <c r="BQ333" s="251"/>
      <c r="BR333" s="252">
        <v>8.3823730618988179E-2</v>
      </c>
      <c r="BS333" s="250">
        <v>2.7834715615701398</v>
      </c>
      <c r="BT333" s="250">
        <v>0</v>
      </c>
      <c r="BU333" s="250">
        <v>1.0967404492623416</v>
      </c>
      <c r="BV333" s="250">
        <v>52.607612513675647</v>
      </c>
      <c r="BX333" s="257">
        <f>SUM(BR333:BU333)</f>
        <v>3.9640357414514695</v>
      </c>
      <c r="BY333" s="257">
        <f>BV333</f>
        <v>52.607612513675647</v>
      </c>
      <c r="BZ333" s="257">
        <f>SUM(BX333:BY333)</f>
        <v>56.571648255127116</v>
      </c>
      <c r="CB333" s="37">
        <v>0.85</v>
      </c>
      <c r="CC333" s="37" t="s">
        <v>1483</v>
      </c>
      <c r="CH333" s="37" t="s">
        <v>1484</v>
      </c>
      <c r="CI333" s="37" t="s">
        <v>1485</v>
      </c>
      <c r="CJ333" s="37">
        <v>10.4</v>
      </c>
      <c r="CK333" s="37" t="s">
        <v>1486</v>
      </c>
      <c r="CL333" s="37">
        <f>CJ333/0.43</f>
        <v>24.186046511627907</v>
      </c>
      <c r="CM333" s="37">
        <v>28</v>
      </c>
      <c r="CN333" s="37" t="s">
        <v>1487</v>
      </c>
      <c r="CO333" s="37" t="s">
        <v>1485</v>
      </c>
      <c r="CQ333" s="37" t="s">
        <v>1485</v>
      </c>
      <c r="CR333" s="37">
        <f>AVERAGE(0.61,0.68)*CL333</f>
        <v>15.600000000000001</v>
      </c>
      <c r="CS333" s="37">
        <f>0.24*CL333</f>
        <v>5.8046511627906971</v>
      </c>
      <c r="CT333" s="37">
        <f>0.1*CL333</f>
        <v>2.418604651162791</v>
      </c>
      <c r="CU333" s="37">
        <f>CL333-CV333</f>
        <v>0.36279069767441641</v>
      </c>
      <c r="CV333" s="37">
        <f>SUM(CR333:CT333)</f>
        <v>23.823255813953491</v>
      </c>
      <c r="CX333" s="37" t="s">
        <v>1485</v>
      </c>
      <c r="CY333" s="39">
        <f>CR333/CM333*34</f>
        <v>18.942857142857143</v>
      </c>
      <c r="CZ333" s="39">
        <f>CS333/CM334*298</f>
        <v>6.5274945151382182</v>
      </c>
      <c r="DA333" s="39">
        <f>CT333/CM334*298</f>
        <v>2.7197893813075913</v>
      </c>
      <c r="DB333" s="39">
        <f>CU333</f>
        <v>0.36279069767441641</v>
      </c>
      <c r="DC333" s="39">
        <f>SUM(CY333:DB333)</f>
        <v>28.552931736977371</v>
      </c>
      <c r="DE333" s="39">
        <f>SUM(DB333)</f>
        <v>0.36279069767441641</v>
      </c>
      <c r="DF333" s="39">
        <f>SUM(CY333)</f>
        <v>18.942857142857143</v>
      </c>
      <c r="DG333" s="39">
        <f>SUM(CZ333:DA333)</f>
        <v>9.2472838964458095</v>
      </c>
      <c r="DH333" s="39">
        <f>SUM(DE333:DG333)</f>
        <v>28.552931736977371</v>
      </c>
      <c r="DJ333" s="39">
        <f>DE333</f>
        <v>0.36279069767441641</v>
      </c>
      <c r="DK333" s="37">
        <f>DF333/34</f>
        <v>0.55714285714285716</v>
      </c>
      <c r="DL333" s="37">
        <f>DG333/298</f>
        <v>3.1031154014918825E-2</v>
      </c>
      <c r="DN333" s="37">
        <f>$CB$333*DJ333+$CB$334*DJ334</f>
        <v>0.38267441860464879</v>
      </c>
      <c r="DO333" s="37">
        <f>$CB$333*DK333+$CB$334*DK334</f>
        <v>0.58767857142857149</v>
      </c>
      <c r="DP333" s="37">
        <f>$CB$333*DL333+$CB$334*DL334</f>
        <v>3.2731899956121108E-2</v>
      </c>
    </row>
    <row r="334" spans="1:120">
      <c r="A334" s="44" t="s">
        <v>122</v>
      </c>
      <c r="B334" s="37">
        <v>0.33</v>
      </c>
      <c r="C334" s="37" t="s">
        <v>1488</v>
      </c>
      <c r="D334" s="37">
        <v>19.239999999999998</v>
      </c>
      <c r="H334" s="37">
        <v>162</v>
      </c>
      <c r="S334" s="40">
        <f>H334/$B$346/1000</f>
        <v>0.37674418604651161</v>
      </c>
      <c r="T334" s="40">
        <v>0.41309669522643822</v>
      </c>
      <c r="AC334" s="37" t="s">
        <v>122</v>
      </c>
      <c r="AD334" s="37">
        <f>B334</f>
        <v>0.33</v>
      </c>
      <c r="AE334" s="186">
        <v>4.9926191507892996E-13</v>
      </c>
      <c r="AF334" s="186">
        <v>7.6196994155457501E-13</v>
      </c>
      <c r="AG334" s="186">
        <v>6.9410319174027301E-14</v>
      </c>
      <c r="AH334" s="186">
        <v>7.1402612381482693E-15</v>
      </c>
      <c r="AI334" s="186">
        <v>1.53428969970343E-12</v>
      </c>
      <c r="AJ334" s="39">
        <f>BH342</f>
        <v>50</v>
      </c>
      <c r="AK334" s="209">
        <f>AE334*$AJ334</f>
        <v>2.4963095753946497E-11</v>
      </c>
      <c r="AL334" s="209">
        <f t="shared" ref="AL334:AO337" si="8">AF334*$AJ334</f>
        <v>3.8098497077728748E-11</v>
      </c>
      <c r="AM334" s="209">
        <f t="shared" si="8"/>
        <v>3.470515958701365E-12</v>
      </c>
      <c r="AN334" s="209">
        <f t="shared" si="8"/>
        <v>3.5701306190741345E-13</v>
      </c>
      <c r="AO334" s="209">
        <f t="shared" si="8"/>
        <v>7.6714484985171505E-11</v>
      </c>
      <c r="AP334" s="209">
        <f>SUM(AK334:AO334)</f>
        <v>1.4360360683745552E-10</v>
      </c>
      <c r="AQ334" s="186">
        <v>4.9822567712167699E-13</v>
      </c>
      <c r="AR334" s="186">
        <v>9.599024704636361E-13</v>
      </c>
      <c r="AS334" s="186">
        <v>7.3488792078585504E-14</v>
      </c>
      <c r="AT334" s="186">
        <v>6.9990158077134203E-15</v>
      </c>
      <c r="AU334" s="186">
        <v>1.5039390722097801E-12</v>
      </c>
      <c r="AV334" s="39">
        <f>BJ342</f>
        <v>172.72727272727272</v>
      </c>
      <c r="AW334" s="209">
        <f>AQ334*$AV334</f>
        <v>8.605716241192602E-11</v>
      </c>
      <c r="AX334" s="209">
        <f t="shared" ref="AX334:BA336" si="9">AR334*$AV334</f>
        <v>1.6580133580735533E-10</v>
      </c>
      <c r="AY334" s="209">
        <f t="shared" si="9"/>
        <v>1.2693518631755678E-11</v>
      </c>
      <c r="AZ334" s="209">
        <f t="shared" si="9"/>
        <v>1.2089209122414089E-12</v>
      </c>
      <c r="BA334" s="209">
        <f t="shared" si="9"/>
        <v>2.5977129429078021E-10</v>
      </c>
      <c r="BB334" s="209">
        <f>SUM(AW334:BA334)</f>
        <v>5.2553223205405857E-10</v>
      </c>
      <c r="BC334" s="37" t="e">
        <f>SUM(AP334,BB334)/('Feed products'!#REF!/10^6)</f>
        <v>#REF!</v>
      </c>
      <c r="BD334" s="39">
        <f>SUM(AJ334,AV334)</f>
        <v>222.72727272727272</v>
      </c>
      <c r="BE334" s="39">
        <v>244.21850079744817</v>
      </c>
      <c r="BF334" s="190" t="s">
        <v>1474</v>
      </c>
      <c r="BG334" s="190" t="s">
        <v>1475</v>
      </c>
      <c r="BH334" s="190" t="s">
        <v>1489</v>
      </c>
      <c r="BI334" s="55" t="s">
        <v>1477</v>
      </c>
      <c r="BJ334" s="190" t="s">
        <v>1490</v>
      </c>
      <c r="BK334" s="55" t="s">
        <v>1479</v>
      </c>
      <c r="BL334" s="190" t="s">
        <v>1480</v>
      </c>
      <c r="BM334" s="190" t="s">
        <v>201</v>
      </c>
      <c r="BN334" s="190" t="s">
        <v>1481</v>
      </c>
      <c r="BO334" s="190" t="s">
        <v>1482</v>
      </c>
      <c r="BP334" s="250">
        <v>402.69099473086379</v>
      </c>
      <c r="BQ334" s="251"/>
      <c r="BR334" s="252">
        <v>0.16764746123800478</v>
      </c>
      <c r="BS334" s="250">
        <v>5.566943123140276</v>
      </c>
      <c r="BT334" s="250">
        <v>0</v>
      </c>
      <c r="BU334" s="250">
        <v>2.1934808985246832</v>
      </c>
      <c r="BV334" s="250">
        <v>349.88237528936662</v>
      </c>
      <c r="BX334" s="257">
        <f>SUM(BR334:BU334)</f>
        <v>7.9280714829029639</v>
      </c>
      <c r="BY334" s="257">
        <f>BV334</f>
        <v>349.88237528936662</v>
      </c>
      <c r="BZ334" s="257">
        <f t="shared" ref="BZ334:BZ339" si="10">SUM(BX334:BY334)</f>
        <v>357.81044677226959</v>
      </c>
      <c r="CB334" s="37">
        <v>0.15</v>
      </c>
      <c r="CC334" s="37" t="s">
        <v>1491</v>
      </c>
      <c r="CH334" s="37" t="s">
        <v>1484</v>
      </c>
      <c r="CI334" s="37" t="s">
        <v>1492</v>
      </c>
      <c r="CJ334" s="37">
        <v>14.2</v>
      </c>
      <c r="CK334" s="37" t="s">
        <v>1486</v>
      </c>
      <c r="CL334" s="37">
        <f>CJ334/0.43</f>
        <v>33.02325581395349</v>
      </c>
      <c r="CM334" s="37">
        <v>265</v>
      </c>
      <c r="CN334" s="37" t="s">
        <v>1493</v>
      </c>
      <c r="CO334" s="37" t="s">
        <v>1494</v>
      </c>
      <c r="CQ334" s="37" t="s">
        <v>1492</v>
      </c>
      <c r="CR334" s="37">
        <f>AVERAGE(0.61,0.68)*CL334</f>
        <v>21.3</v>
      </c>
      <c r="CS334" s="37">
        <f>0.24*CL334</f>
        <v>7.9255813953488374</v>
      </c>
      <c r="CT334" s="37">
        <f>0.1*CL334</f>
        <v>3.3023255813953494</v>
      </c>
      <c r="CU334" s="37">
        <f>CL334-CV334</f>
        <v>0.49534883720929912</v>
      </c>
      <c r="CV334" s="37">
        <f>SUM(CR334:CT334)</f>
        <v>32.527906976744191</v>
      </c>
      <c r="CX334" s="37" t="s">
        <v>1492</v>
      </c>
      <c r="CY334" s="39">
        <f>CR334/CM333*34</f>
        <v>25.864285714285717</v>
      </c>
      <c r="CZ334" s="39">
        <f>CS334/CM334*298</f>
        <v>8.9125405879771833</v>
      </c>
      <c r="DA334" s="39">
        <f>CT334/CM334*298</f>
        <v>3.7135585783238265</v>
      </c>
      <c r="DB334" s="39">
        <f>CU334</f>
        <v>0.49534883720929912</v>
      </c>
      <c r="DC334" s="39">
        <f>SUM(CY334:DB334)</f>
        <v>38.98573371779603</v>
      </c>
      <c r="DE334" s="39">
        <f>SUM(DB334)</f>
        <v>0.49534883720929912</v>
      </c>
      <c r="DF334" s="39">
        <f>SUM(CY334)</f>
        <v>25.864285714285717</v>
      </c>
      <c r="DG334" s="39">
        <f>SUM(CZ334:DA334)</f>
        <v>12.62609916630101</v>
      </c>
      <c r="DH334" s="39">
        <f>SUM(DE334:DG334)</f>
        <v>38.985733717796023</v>
      </c>
      <c r="DJ334" s="39">
        <f>DE334</f>
        <v>0.49534883720929912</v>
      </c>
      <c r="DK334" s="37">
        <f>DF334/34</f>
        <v>0.76071428571428579</v>
      </c>
      <c r="DL334" s="37">
        <f>DG334/298</f>
        <v>4.2369460289600702E-2</v>
      </c>
    </row>
    <row r="335" spans="1:120">
      <c r="A335" s="37" t="s">
        <v>201</v>
      </c>
      <c r="B335" s="37">
        <v>0.18</v>
      </c>
      <c r="H335" s="37">
        <v>169</v>
      </c>
      <c r="S335" s="40">
        <f>H335/$B$346/1000</f>
        <v>0.39302325581395348</v>
      </c>
      <c r="T335" s="40">
        <v>0.43094655242758062</v>
      </c>
      <c r="AC335" s="37" t="s">
        <v>201</v>
      </c>
      <c r="AD335" s="37">
        <f>B335</f>
        <v>0.18</v>
      </c>
      <c r="AE335" s="186">
        <v>3.1832514885408398E-13</v>
      </c>
      <c r="AF335" s="186">
        <v>1.4001616324494699E-12</v>
      </c>
      <c r="AG335" s="186">
        <v>8.5977085874706495E-14</v>
      </c>
      <c r="AH335" s="186">
        <v>5.1095172674085501E-15</v>
      </c>
      <c r="AI335" s="186">
        <v>1.06861661337877E-11</v>
      </c>
      <c r="AJ335" s="39">
        <f>BH343</f>
        <v>6.9070319737412023</v>
      </c>
      <c r="AK335" s="209">
        <f>AE335*$AJ335</f>
        <v>2.1986819811810857E-12</v>
      </c>
      <c r="AL335" s="209">
        <f t="shared" si="8"/>
        <v>9.6709611637341657E-12</v>
      </c>
      <c r="AM335" s="209">
        <f t="shared" si="8"/>
        <v>5.9384648114569086E-13</v>
      </c>
      <c r="AN335" s="209">
        <f t="shared" si="8"/>
        <v>3.5291599136373631E-14</v>
      </c>
      <c r="AO335" s="209">
        <f t="shared" si="8"/>
        <v>7.3809691162782047E-11</v>
      </c>
      <c r="AP335" s="209">
        <f>SUM(AK335:AO335)</f>
        <v>8.6308472387979367E-11</v>
      </c>
      <c r="AQ335" s="186">
        <v>3.6352125173077998E-13</v>
      </c>
      <c r="AR335" s="186">
        <v>1.65482964900075E-12</v>
      </c>
      <c r="AS335" s="186">
        <v>9.0025690347571006E-14</v>
      </c>
      <c r="AT335" s="186">
        <v>5.0135323061340203E-15</v>
      </c>
      <c r="AU335" s="186">
        <v>1.0485420899190401E-11</v>
      </c>
      <c r="AV335" s="39">
        <f>BJ343</f>
        <v>147.27094989398378</v>
      </c>
      <c r="AW335" s="209">
        <f>AQ335*$AV335</f>
        <v>5.3536120049041961E-11</v>
      </c>
      <c r="AX335" s="209">
        <f t="shared" si="9"/>
        <v>2.437083343210682E-10</v>
      </c>
      <c r="AY335" s="209">
        <f t="shared" si="9"/>
        <v>1.3258168932348429E-11</v>
      </c>
      <c r="AZ335" s="209">
        <f t="shared" si="9"/>
        <v>7.383476650485323E-13</v>
      </c>
      <c r="BA335" s="209">
        <f t="shared" si="9"/>
        <v>1.5441978958619999E-9</v>
      </c>
      <c r="BB335" s="209">
        <f>SUM(AW335:BA335)</f>
        <v>1.855438866829507E-9</v>
      </c>
      <c r="BC335" s="37" t="e">
        <f>SUM(AP335,BB335)/('Feed products'!#REF!/10^6)</f>
        <v>#REF!</v>
      </c>
      <c r="BD335" s="39">
        <f>SUM(AJ335,AV335)</f>
        <v>154.17798186772498</v>
      </c>
      <c r="BE335" s="39">
        <v>169.05480467952302</v>
      </c>
      <c r="BF335" s="190" t="s">
        <v>1474</v>
      </c>
      <c r="BG335" s="190" t="s">
        <v>1475</v>
      </c>
      <c r="BH335" s="190" t="s">
        <v>1495</v>
      </c>
      <c r="BI335" s="55" t="s">
        <v>1477</v>
      </c>
      <c r="BJ335" s="190" t="s">
        <v>1496</v>
      </c>
      <c r="BK335" s="55" t="s">
        <v>1497</v>
      </c>
      <c r="BL335" s="190" t="s">
        <v>1498</v>
      </c>
      <c r="BM335" s="190" t="s">
        <v>201</v>
      </c>
      <c r="BN335" s="190" t="s">
        <v>1481</v>
      </c>
      <c r="BO335" s="190" t="s">
        <v>1482</v>
      </c>
      <c r="BP335" s="250">
        <v>48.545652361028885</v>
      </c>
      <c r="BQ335" s="251"/>
      <c r="BR335" s="252">
        <v>5.8676611433291725E-2</v>
      </c>
      <c r="BS335" s="250">
        <v>1.948430093099097</v>
      </c>
      <c r="BT335" s="250">
        <v>0</v>
      </c>
      <c r="BU335" s="250">
        <v>0.7677183144836377</v>
      </c>
      <c r="BV335" s="250">
        <v>40.360337642767028</v>
      </c>
      <c r="BX335" s="257">
        <f>SUM(BR335:BU335)</f>
        <v>2.7748250190160264</v>
      </c>
      <c r="BY335" s="257">
        <f>BV335</f>
        <v>40.360337642767028</v>
      </c>
      <c r="BZ335" s="257">
        <f t="shared" si="10"/>
        <v>43.135162661783056</v>
      </c>
    </row>
    <row r="336" spans="1:120">
      <c r="A336" s="37" t="s">
        <v>414</v>
      </c>
      <c r="B336" s="37">
        <v>0.2</v>
      </c>
      <c r="D336" s="40">
        <v>18.963429999999999</v>
      </c>
      <c r="H336" s="37">
        <v>197</v>
      </c>
      <c r="S336" s="40">
        <f>H336/$B$346/1000</f>
        <v>0.45813953488372094</v>
      </c>
      <c r="T336" s="40">
        <v>0.50234598123215024</v>
      </c>
      <c r="AC336" s="37" t="s">
        <v>414</v>
      </c>
      <c r="AD336" s="37">
        <f>B336</f>
        <v>0.2</v>
      </c>
      <c r="AE336" s="186">
        <v>2.0610401374377902E-12</v>
      </c>
      <c r="AF336" s="186">
        <v>4.2244973423447103E-11</v>
      </c>
      <c r="AG336" s="186">
        <v>3.9848799724717999E-12</v>
      </c>
      <c r="AH336" s="186">
        <v>4.2003552010967298E-12</v>
      </c>
      <c r="AI336" s="186">
        <v>6.62145489014679E-10</v>
      </c>
      <c r="AJ336" s="39">
        <f>BH344</f>
        <v>28.453515986870602</v>
      </c>
      <c r="AK336" s="209">
        <f>AE336*$AJ336</f>
        <v>5.8643838500168144E-11</v>
      </c>
      <c r="AL336" s="209">
        <f t="shared" si="8"/>
        <v>1.2020180266689758E-9</v>
      </c>
      <c r="AM336" s="209">
        <f t="shared" si="8"/>
        <v>1.1338384600248684E-10</v>
      </c>
      <c r="AN336" s="209">
        <f t="shared" si="8"/>
        <v>1.1951487386494089E-10</v>
      </c>
      <c r="AO336" s="209">
        <f t="shared" si="8"/>
        <v>1.8840367257313422E-8</v>
      </c>
      <c r="AP336" s="209">
        <f>SUM(AK336:AO336)</f>
        <v>2.0333927842349995E-8</v>
      </c>
      <c r="AQ336" s="186">
        <v>1.4983103192514301E-12</v>
      </c>
      <c r="AR336" s="186">
        <v>4.64321324230654E-11</v>
      </c>
      <c r="AS336" s="186">
        <v>3.9848799724717999E-12</v>
      </c>
      <c r="AT336" s="186">
        <v>4.1214493259980701E-12</v>
      </c>
      <c r="AU336" s="186">
        <v>6.6228030193687701E-10</v>
      </c>
      <c r="AV336" s="39">
        <f>BJ344</f>
        <v>159.99911131062825</v>
      </c>
      <c r="AW336" s="209">
        <f>AQ336*$AV336</f>
        <v>2.3972831954777252E-10</v>
      </c>
      <c r="AX336" s="209">
        <f t="shared" si="9"/>
        <v>7.4290999239478716E-9</v>
      </c>
      <c r="AY336" s="209">
        <f>AS336*$AV336</f>
        <v>6.3757725427500872E-10</v>
      </c>
      <c r="AZ336" s="209">
        <f t="shared" si="9"/>
        <v>6.5942822947147899E-10</v>
      </c>
      <c r="BA336" s="209">
        <f>AU336*$AV336</f>
        <v>1.0596425974843487E-7</v>
      </c>
      <c r="BB336" s="209">
        <f>SUM(AW336:BA336)</f>
        <v>1.14930093475677E-7</v>
      </c>
      <c r="BC336" s="37" t="e">
        <f>SUM(AP336,BB336)/('Feed products'!#REF!/10^6)</f>
        <v>#REF!</v>
      </c>
      <c r="BD336" s="39">
        <f>SUM(AJ336,AV336)</f>
        <v>188.45262729749885</v>
      </c>
      <c r="BE336" s="39">
        <v>206.63665273848559</v>
      </c>
      <c r="BF336" s="190" t="s">
        <v>1474</v>
      </c>
      <c r="BG336" s="190" t="s">
        <v>1475</v>
      </c>
      <c r="BH336" s="190" t="s">
        <v>1495</v>
      </c>
      <c r="BI336" s="55" t="s">
        <v>1477</v>
      </c>
      <c r="BJ336" s="190" t="s">
        <v>1499</v>
      </c>
      <c r="BK336" s="55" t="s">
        <v>1497</v>
      </c>
      <c r="BL336" s="190" t="s">
        <v>1498</v>
      </c>
      <c r="BM336" s="190" t="s">
        <v>201</v>
      </c>
      <c r="BN336" s="190" t="s">
        <v>1481</v>
      </c>
      <c r="BO336" s="190" t="s">
        <v>1482</v>
      </c>
      <c r="BP336" s="250">
        <v>49.817033067814421</v>
      </c>
      <c r="BQ336" s="251"/>
      <c r="BR336" s="252">
        <v>0.21794169960936216</v>
      </c>
      <c r="BS336" s="250">
        <v>7.2370260600823686</v>
      </c>
      <c r="BT336" s="250">
        <v>0</v>
      </c>
      <c r="BU336" s="250">
        <v>2.851525168082091</v>
      </c>
      <c r="BV336" s="250">
        <v>33.958353051155704</v>
      </c>
      <c r="BX336" s="257">
        <f>SUM(BR336:BU336)</f>
        <v>10.306492927773821</v>
      </c>
      <c r="BY336" s="257">
        <f>BV336</f>
        <v>33.958353051155704</v>
      </c>
      <c r="BZ336" s="257">
        <f t="shared" si="10"/>
        <v>44.264845978929529</v>
      </c>
      <c r="DE336" s="37">
        <f>$CB$333*DB333+$CB$334*DB334</f>
        <v>0.38267441860464879</v>
      </c>
    </row>
    <row r="337" spans="1:78">
      <c r="A337" s="37" t="s">
        <v>134</v>
      </c>
      <c r="B337" s="37">
        <v>0.28999999999999998</v>
      </c>
      <c r="H337" s="37">
        <v>207</v>
      </c>
      <c r="S337" s="40">
        <f>H337/$B$346/1000</f>
        <v>0.4813953488372093</v>
      </c>
      <c r="T337" s="40">
        <v>0.52784577723378212</v>
      </c>
      <c r="W337" s="27"/>
      <c r="X337" s="14"/>
      <c r="Y337" s="29"/>
      <c r="AC337" s="37" t="s">
        <v>134</v>
      </c>
      <c r="AD337" s="37">
        <f>B337</f>
        <v>0.28999999999999998</v>
      </c>
      <c r="AE337" s="209">
        <f t="shared" ref="AE337:AJ337" si="11">AVERAGE(AE334:AE336)</f>
        <v>9.5954240045693463E-13</v>
      </c>
      <c r="AF337" s="209">
        <f t="shared" si="11"/>
        <v>1.4802368332483716E-11</v>
      </c>
      <c r="AG337" s="209">
        <f t="shared" si="11"/>
        <v>1.3800891258401779E-12</v>
      </c>
      <c r="AH337" s="209">
        <f t="shared" si="11"/>
        <v>1.4042016598674288E-12</v>
      </c>
      <c r="AI337" s="209">
        <f t="shared" si="11"/>
        <v>2.2478864828272338E-10</v>
      </c>
      <c r="AJ337" s="39">
        <f t="shared" si="11"/>
        <v>28.453515986870602</v>
      </c>
      <c r="AK337" s="209">
        <f>AE337*$AJ337</f>
        <v>2.7302355031481584E-11</v>
      </c>
      <c r="AL337" s="209">
        <f t="shared" si="8"/>
        <v>4.2117942399187255E-10</v>
      </c>
      <c r="AM337" s="209">
        <f>AG337*$AJ337</f>
        <v>3.9268388005399781E-11</v>
      </c>
      <c r="AN337" s="209">
        <f>AH337*$AJ337</f>
        <v>3.9954474377828121E-11</v>
      </c>
      <c r="AO337" s="209">
        <f>AI337*$AJ337</f>
        <v>6.3960273975795027E-9</v>
      </c>
      <c r="AP337" s="209">
        <f>SUM(AK337:AO337)</f>
        <v>6.9237320389860846E-9</v>
      </c>
      <c r="AQ337" s="209">
        <f t="shared" ref="AQ337:AV337" si="12">AVERAGE(AQ334:AQ336)</f>
        <v>7.8668574936796234E-13</v>
      </c>
      <c r="AR337" s="209">
        <f t="shared" si="12"/>
        <v>1.6348954847509928E-11</v>
      </c>
      <c r="AS337" s="209">
        <f t="shared" si="12"/>
        <v>1.3827981516326522E-12</v>
      </c>
      <c r="AT337" s="209">
        <f t="shared" si="12"/>
        <v>1.3778206247039726E-12</v>
      </c>
      <c r="AU337" s="209">
        <f>AVERAGE(AU334:AU336)</f>
        <v>2.2475655396942572E-10</v>
      </c>
      <c r="AV337" s="39">
        <f t="shared" si="12"/>
        <v>159.99911131062825</v>
      </c>
      <c r="AW337" s="209">
        <f>AQ337*$AV337</f>
        <v>1.2586902077960961E-10</v>
      </c>
      <c r="AX337" s="209">
        <f>AR337*$AV337</f>
        <v>2.6158182464591761E-9</v>
      </c>
      <c r="AY337" s="209">
        <f>AS337*$AV337</f>
        <v>2.2124647538320372E-10</v>
      </c>
      <c r="AZ337" s="209">
        <f>AT337*$AV337</f>
        <v>2.2045007549809027E-10</v>
      </c>
      <c r="BA337" s="209">
        <f>AU337*$AV337</f>
        <v>3.5960848896347369E-8</v>
      </c>
      <c r="BB337" s="209">
        <f>SUM(AW337:BA337)</f>
        <v>3.9144232714467451E-8</v>
      </c>
      <c r="BC337" s="37" t="e">
        <f>SUM(AP337,BB337)/('Feed products'!#REF!/10^6)</f>
        <v>#REF!</v>
      </c>
      <c r="BD337" s="39">
        <f>SUM(AJ337,AV337)</f>
        <v>188.45262729749885</v>
      </c>
      <c r="BE337" s="39">
        <v>206.63665273848559</v>
      </c>
      <c r="BF337" s="37" t="s">
        <v>1500</v>
      </c>
      <c r="BP337" s="250">
        <v>177.01270079550571</v>
      </c>
      <c r="BQ337" s="251"/>
      <c r="BR337" s="252">
        <v>0.27184111620564977</v>
      </c>
      <c r="BS337" s="250">
        <v>7.3976845308368198</v>
      </c>
      <c r="BT337" s="250">
        <v>0</v>
      </c>
      <c r="BU337" s="250">
        <v>2.1568712997108435</v>
      </c>
      <c r="BV337" s="250">
        <v>147.45795851378261</v>
      </c>
      <c r="BX337" s="257">
        <v>33</v>
      </c>
      <c r="BY337" s="257">
        <f>147-BX337</f>
        <v>114</v>
      </c>
      <c r="BZ337" s="257">
        <f t="shared" si="10"/>
        <v>147</v>
      </c>
    </row>
    <row r="338" spans="1:78">
      <c r="A338" s="36" t="s">
        <v>326</v>
      </c>
      <c r="B338" s="37">
        <f>147-B339</f>
        <v>114</v>
      </c>
      <c r="C338" s="37" t="s">
        <v>1501</v>
      </c>
      <c r="H338" s="38">
        <f>SUMPRODUCT($B334:$B337,H334:H337)</f>
        <v>183.31</v>
      </c>
      <c r="I338" s="38"/>
      <c r="J338" s="38"/>
      <c r="K338" s="38"/>
      <c r="L338" s="38"/>
      <c r="M338" s="38"/>
      <c r="N338" s="38"/>
      <c r="O338" s="38"/>
      <c r="P338" s="38"/>
      <c r="Q338" s="38"/>
      <c r="R338" s="38"/>
      <c r="S338" s="40">
        <f>SUMPRODUCT($B334:$B337,S334:S337)</f>
        <v>0.42630232558139536</v>
      </c>
      <c r="T338" s="40">
        <f>SUMPRODUCT($B334:$B337,T334:T337)</f>
        <v>0.46743676050591598</v>
      </c>
      <c r="W338" s="14"/>
      <c r="X338" s="15"/>
      <c r="Y338" s="23"/>
      <c r="BC338" s="194" t="e">
        <f>SUMPRODUCT(AD334:AD337,BC334:BC337)</f>
        <v>#REF!</v>
      </c>
      <c r="BD338" s="194">
        <f>SUMPRODUCT($AD334:$AD337,BD334:BD337)</f>
        <v>193.59382411196492</v>
      </c>
      <c r="BE338" s="194">
        <f>SUMPRODUCT($AD334:$AD337,BE334:BE337)</f>
        <v>212.27392994732998</v>
      </c>
      <c r="BF338" s="190" t="s">
        <v>1502</v>
      </c>
      <c r="BG338" s="190" t="s">
        <v>1475</v>
      </c>
      <c r="BH338" s="190" t="s">
        <v>1503</v>
      </c>
      <c r="BI338" s="55" t="s">
        <v>1477</v>
      </c>
      <c r="BJ338" s="190" t="s">
        <v>1504</v>
      </c>
      <c r="BK338" s="55" t="s">
        <v>1479</v>
      </c>
      <c r="BL338" s="190" t="s">
        <v>1505</v>
      </c>
      <c r="BM338" s="190" t="s">
        <v>236</v>
      </c>
      <c r="BN338" s="190" t="s">
        <v>1506</v>
      </c>
      <c r="BP338" s="250">
        <v>129.2134830604133</v>
      </c>
      <c r="BQ338" s="251"/>
      <c r="BR338" s="252">
        <v>4.6031771556528156E-2</v>
      </c>
      <c r="BS338" s="250">
        <v>1.5285424080996517</v>
      </c>
      <c r="BT338" s="250">
        <v>12.1297236255651</v>
      </c>
      <c r="BU338" s="250">
        <v>0.60227462371848617</v>
      </c>
      <c r="BV338" s="250">
        <v>95.164091859108296</v>
      </c>
      <c r="BX338" s="257">
        <f>SUM(BR338:BU338)</f>
        <v>14.306572428939766</v>
      </c>
      <c r="BY338" s="257">
        <f>BV338</f>
        <v>95.164091859108296</v>
      </c>
      <c r="BZ338" s="257">
        <f t="shared" si="10"/>
        <v>109.47066428804806</v>
      </c>
    </row>
    <row r="339" spans="1:78">
      <c r="A339" s="36" t="s">
        <v>1408</v>
      </c>
      <c r="B339" s="37">
        <v>33</v>
      </c>
      <c r="C339" s="37" t="s">
        <v>1501</v>
      </c>
      <c r="E339" s="36" t="s">
        <v>608</v>
      </c>
      <c r="F339" s="36"/>
      <c r="G339" s="36"/>
      <c r="W339" s="14"/>
      <c r="X339" s="15"/>
      <c r="Y339" s="29"/>
      <c r="AV339" s="209"/>
      <c r="BF339" s="190" t="s">
        <v>1507</v>
      </c>
      <c r="BG339" s="190" t="s">
        <v>1508</v>
      </c>
      <c r="BH339" s="190" t="s">
        <v>1495</v>
      </c>
      <c r="BI339" s="55" t="s">
        <v>1477</v>
      </c>
      <c r="BJ339" s="190" t="s">
        <v>1498</v>
      </c>
      <c r="BK339" s="55" t="s">
        <v>1497</v>
      </c>
      <c r="BL339" s="190" t="s">
        <v>1498</v>
      </c>
      <c r="BM339" s="190" t="s">
        <v>236</v>
      </c>
      <c r="BN339" s="190" t="s">
        <v>1498</v>
      </c>
      <c r="BP339" s="250">
        <v>64.701232189315974</v>
      </c>
      <c r="BQ339" s="251"/>
      <c r="BS339" s="250"/>
      <c r="BT339" s="250"/>
      <c r="BU339" s="250"/>
      <c r="BV339" s="39">
        <v>54.815385362749488</v>
      </c>
      <c r="BY339" s="257">
        <f>BV339</f>
        <v>54.815385362749488</v>
      </c>
      <c r="BZ339" s="257">
        <f t="shared" si="10"/>
        <v>54.815385362749488</v>
      </c>
    </row>
    <row r="340" spans="1:78">
      <c r="A340" s="36" t="s">
        <v>1509</v>
      </c>
      <c r="B340" s="37">
        <f>0.15+0.09</f>
        <v>0.24</v>
      </c>
      <c r="C340" s="37" t="s">
        <v>1510</v>
      </c>
      <c r="D340" s="37" t="s">
        <v>1511</v>
      </c>
      <c r="E340" s="37" t="s">
        <v>1512</v>
      </c>
      <c r="W340" s="14"/>
      <c r="X340" s="15"/>
      <c r="Y340" s="29"/>
      <c r="AG340" s="186"/>
      <c r="AH340" s="186"/>
      <c r="AI340" s="186"/>
      <c r="AJ340" s="186"/>
      <c r="AK340" s="186"/>
      <c r="AL340" s="186"/>
    </row>
    <row r="341" spans="1:78" ht="60">
      <c r="A341" s="36" t="s">
        <v>1427</v>
      </c>
      <c r="B341" s="37">
        <v>0.21</v>
      </c>
      <c r="C341" s="37" t="s">
        <v>1513</v>
      </c>
      <c r="D341" s="37" t="s">
        <v>1511</v>
      </c>
      <c r="AG341" s="186"/>
      <c r="AH341" s="186"/>
      <c r="AI341" s="186"/>
      <c r="AJ341" s="186"/>
      <c r="AK341" s="186"/>
      <c r="AL341" s="186"/>
      <c r="BG341" s="165" t="s">
        <v>1514</v>
      </c>
      <c r="BH341" s="165" t="s">
        <v>1515</v>
      </c>
      <c r="BI341" s="165" t="s">
        <v>1516</v>
      </c>
      <c r="BJ341" s="165" t="s">
        <v>1517</v>
      </c>
    </row>
    <row r="342" spans="1:78">
      <c r="A342" s="36" t="s">
        <v>1518</v>
      </c>
      <c r="B342" s="37">
        <f>SUM(B340:B341)</f>
        <v>0.44999999999999996</v>
      </c>
      <c r="C342" s="37" t="s">
        <v>1513</v>
      </c>
      <c r="BF342" s="36" t="s">
        <v>122</v>
      </c>
      <c r="BG342" s="257">
        <f>BX337</f>
        <v>33</v>
      </c>
      <c r="BH342" s="39">
        <f>BG342/$B$345</f>
        <v>50</v>
      </c>
      <c r="BI342" s="39">
        <f>BY337</f>
        <v>114</v>
      </c>
      <c r="BJ342" s="39">
        <f>BI342/$B$345</f>
        <v>172.72727272727272</v>
      </c>
    </row>
    <row r="343" spans="1:78">
      <c r="A343" s="36" t="s">
        <v>1410</v>
      </c>
      <c r="B343" s="40">
        <v>3.6999999999999998E-2</v>
      </c>
      <c r="C343" s="37" t="s">
        <v>1519</v>
      </c>
      <c r="D343" s="37" t="s">
        <v>1520</v>
      </c>
      <c r="BF343" s="36" t="s">
        <v>201</v>
      </c>
      <c r="BG343" s="257">
        <f>$CB$333*BX333+$CB$334*BX334</f>
        <v>4.5586411026691938</v>
      </c>
      <c r="BH343" s="39">
        <f>BG343/$B$345</f>
        <v>6.9070319737412023</v>
      </c>
      <c r="BI343" s="257">
        <f>$CB$333*BY333+$CB$334*BY334</f>
        <v>97.198826930029298</v>
      </c>
      <c r="BJ343" s="39">
        <f>BI343/$B$345</f>
        <v>147.27094989398378</v>
      </c>
    </row>
    <row r="344" spans="1:78">
      <c r="A344" s="36" t="s">
        <v>331</v>
      </c>
      <c r="B344" s="163">
        <f>0.52*0.001</f>
        <v>5.2000000000000006E-4</v>
      </c>
      <c r="C344" s="37" t="s">
        <v>1521</v>
      </c>
      <c r="D344" s="37" t="s">
        <v>1522</v>
      </c>
      <c r="BF344" s="36" t="s">
        <v>414</v>
      </c>
      <c r="BG344" s="257">
        <f>AVERAGE(BG342:BG343)</f>
        <v>18.779320551334596</v>
      </c>
      <c r="BH344" s="257">
        <f>AVERAGE(BH342:BH343)</f>
        <v>28.453515986870602</v>
      </c>
      <c r="BI344" s="257">
        <f>AVERAGE(BI342:BI343)</f>
        <v>105.59941346501465</v>
      </c>
      <c r="BJ344" s="257">
        <f>AVERAGE(BJ342:BJ343)</f>
        <v>159.99911131062825</v>
      </c>
    </row>
    <row r="345" spans="1:78" ht="25.5">
      <c r="A345" s="27" t="s">
        <v>1523</v>
      </c>
      <c r="B345" s="40">
        <v>0.66</v>
      </c>
      <c r="C345" s="23" t="s">
        <v>608</v>
      </c>
      <c r="BF345" s="36" t="s">
        <v>1340</v>
      </c>
      <c r="BG345" s="39">
        <f>AVERAGE(BG342:BG343)</f>
        <v>18.779320551334596</v>
      </c>
      <c r="BH345" s="39">
        <f>AVERAGE(BH342:BH343)</f>
        <v>28.453515986870602</v>
      </c>
      <c r="BI345" s="39">
        <f>AVERAGE(BI342:BI343)</f>
        <v>105.59941346501465</v>
      </c>
      <c r="BJ345" s="39">
        <f>AVERAGE(BJ342:BJ343)</f>
        <v>159.99911131062825</v>
      </c>
    </row>
    <row r="346" spans="1:78" ht="25.5">
      <c r="A346" s="27" t="s">
        <v>1524</v>
      </c>
      <c r="B346" s="40">
        <v>0.43</v>
      </c>
      <c r="C346" s="29" t="s">
        <v>984</v>
      </c>
      <c r="BF346" s="37" t="s">
        <v>1525</v>
      </c>
      <c r="BG346" s="37">
        <f>SUMPRODUCT(BG342:BG345,$B$334:$B$337)</f>
        <v>20.912422468634407</v>
      </c>
      <c r="BH346" s="37">
        <f>SUMPRODUCT(BH342:BH345,$B$334:$B$337)</f>
        <v>31.685488588840009</v>
      </c>
      <c r="BI346" s="37">
        <f>SUMPRODUCT(BI342:BI345,$B$334:$B$337)</f>
        <v>106.85950144526245</v>
      </c>
      <c r="BJ346" s="37">
        <f>SUMPRODUCT(BJ342:BJ345,$B$334:$B$337)</f>
        <v>161.90833552312492</v>
      </c>
    </row>
    <row r="347" spans="1:78">
      <c r="A347" s="27"/>
      <c r="B347" s="40"/>
      <c r="C347" s="29"/>
    </row>
    <row r="348" spans="1:78">
      <c r="A348" s="37" t="s">
        <v>1526</v>
      </c>
      <c r="B348" s="136"/>
    </row>
    <row r="349" spans="1:78">
      <c r="B349" s="136"/>
    </row>
    <row r="350" spans="1:78">
      <c r="A350" s="36" t="s">
        <v>1527</v>
      </c>
      <c r="B350" s="40">
        <f>SUM(B351:B352)</f>
        <v>6.368E-2</v>
      </c>
    </row>
    <row r="351" spans="1:78">
      <c r="A351" s="36" t="s">
        <v>1528</v>
      </c>
      <c r="B351" s="37">
        <v>0.05</v>
      </c>
      <c r="C351" s="36" t="s">
        <v>1529</v>
      </c>
      <c r="D351" s="37">
        <v>0.03</v>
      </c>
      <c r="E351" s="36" t="s">
        <v>1530</v>
      </c>
      <c r="F351" s="36"/>
      <c r="G351" s="36"/>
      <c r="H351" s="37">
        <v>7.0000000000000007E-2</v>
      </c>
    </row>
    <row r="352" spans="1:78">
      <c r="A352" s="36" t="s">
        <v>1531</v>
      </c>
      <c r="B352" s="40">
        <f>B353*BI342*10^-4</f>
        <v>1.3679999999999999E-2</v>
      </c>
      <c r="C352" s="36"/>
      <c r="E352" s="36"/>
      <c r="F352" s="36"/>
      <c r="G352" s="36"/>
    </row>
    <row r="353" spans="1:68">
      <c r="A353" s="36" t="s">
        <v>1532</v>
      </c>
      <c r="B353" s="37">
        <v>1.2</v>
      </c>
      <c r="C353" s="36" t="s">
        <v>1529</v>
      </c>
      <c r="D353" s="37">
        <v>0.5</v>
      </c>
      <c r="E353" s="36" t="s">
        <v>1530</v>
      </c>
      <c r="F353" s="36"/>
      <c r="G353" s="36"/>
      <c r="H353" s="37">
        <v>2.8</v>
      </c>
    </row>
    <row r="354" spans="1:68">
      <c r="A354" s="36" t="s">
        <v>1533</v>
      </c>
      <c r="B354" s="136">
        <v>0.11</v>
      </c>
    </row>
    <row r="355" spans="1:68">
      <c r="A355" s="36" t="s">
        <v>1534</v>
      </c>
      <c r="B355" s="40">
        <f>B354/1.6</f>
        <v>6.8749999999999992E-2</v>
      </c>
      <c r="C355" s="37" t="s">
        <v>1535</v>
      </c>
    </row>
    <row r="356" spans="1:68">
      <c r="B356" s="136"/>
    </row>
    <row r="357" spans="1:68">
      <c r="V357" s="194" t="e">
        <f>SUMPRODUCT(#REF!,#REF!)</f>
        <v>#REF!</v>
      </c>
      <c r="X357" s="194" t="e">
        <f>SUMPRODUCT(#REF!,#REF!)</f>
        <v>#REF!</v>
      </c>
      <c r="Y357" s="194" t="e">
        <f>SUMPRODUCT(#REF!,#REF!)</f>
        <v>#REF!</v>
      </c>
      <c r="Z357" s="194" t="e">
        <f>SUMPRODUCT(#REF!,#REF!)</f>
        <v>#REF!</v>
      </c>
      <c r="AB357" s="194" t="e">
        <f>SUMPRODUCT(#REF!,#REF!)</f>
        <v>#REF!</v>
      </c>
    </row>
    <row r="358" spans="1:68" ht="15.75" thickBot="1">
      <c r="V358" s="194"/>
      <c r="X358" s="194"/>
      <c r="Y358" s="194"/>
      <c r="Z358" s="194"/>
    </row>
    <row r="359" spans="1:68" ht="17.25" thickBot="1">
      <c r="B359" s="1072"/>
      <c r="C359" s="241"/>
      <c r="H359" s="263" t="s">
        <v>1536</v>
      </c>
      <c r="I359" s="263"/>
      <c r="J359" s="263"/>
      <c r="K359" s="263"/>
      <c r="L359" s="263"/>
      <c r="M359" s="263"/>
      <c r="N359" s="263"/>
      <c r="O359" s="263"/>
      <c r="P359" s="263"/>
      <c r="Q359" s="263"/>
      <c r="R359" s="263"/>
      <c r="V359" s="194"/>
      <c r="X359" s="194"/>
      <c r="Y359" s="194"/>
      <c r="Z359" s="194"/>
      <c r="BC359" s="233" t="s">
        <v>1537</v>
      </c>
      <c r="BD359" s="234" t="s">
        <v>1538</v>
      </c>
      <c r="BE359" s="234">
        <v>203</v>
      </c>
      <c r="BF359" s="234" t="s">
        <v>130</v>
      </c>
      <c r="BG359" s="234">
        <v>5419</v>
      </c>
      <c r="BH359" s="234" t="s">
        <v>1539</v>
      </c>
      <c r="BI359" s="234">
        <v>560</v>
      </c>
      <c r="BJ359" s="234" t="s">
        <v>147</v>
      </c>
      <c r="BK359" s="234">
        <v>2014</v>
      </c>
      <c r="BL359" s="234">
        <v>2014</v>
      </c>
      <c r="BM359" s="234" t="s">
        <v>1540</v>
      </c>
      <c r="BN359" s="235">
        <v>66833</v>
      </c>
      <c r="BO359" s="234" t="s">
        <v>1541</v>
      </c>
      <c r="BP359" s="234" t="s">
        <v>1542</v>
      </c>
    </row>
    <row r="360" spans="1:68" ht="16.5">
      <c r="B360" s="240"/>
      <c r="C360" s="241"/>
      <c r="D360" s="36" t="s">
        <v>1543</v>
      </c>
      <c r="E360" s="36" t="s">
        <v>1544</v>
      </c>
      <c r="F360" s="36"/>
      <c r="G360" s="36"/>
      <c r="H360" s="36" t="s">
        <v>1545</v>
      </c>
      <c r="I360" s="36"/>
      <c r="J360" s="36"/>
      <c r="K360" s="36"/>
      <c r="L360" s="36"/>
      <c r="M360" s="36"/>
      <c r="N360" s="36"/>
      <c r="O360" s="36"/>
      <c r="P360" s="36"/>
      <c r="Q360" s="36"/>
      <c r="R360" s="36"/>
      <c r="S360" s="36" t="s">
        <v>1546</v>
      </c>
      <c r="T360" s="36" t="s">
        <v>1547</v>
      </c>
      <c r="U360" s="36" t="s">
        <v>1466</v>
      </c>
      <c r="V360" s="36" t="s">
        <v>1548</v>
      </c>
      <c r="W360" s="36" t="s">
        <v>1549</v>
      </c>
      <c r="X360" s="36" t="s">
        <v>1550</v>
      </c>
      <c r="Y360" s="36" t="s">
        <v>1551</v>
      </c>
      <c r="Z360" s="36" t="s">
        <v>1552</v>
      </c>
      <c r="AA360" s="36" t="s">
        <v>1553</v>
      </c>
      <c r="AB360" s="36" t="s">
        <v>1554</v>
      </c>
      <c r="AF360" s="36" t="s">
        <v>333</v>
      </c>
      <c r="AG360" s="36" t="s">
        <v>1555</v>
      </c>
      <c r="BC360" s="233" t="s">
        <v>1537</v>
      </c>
      <c r="BD360" s="234" t="s">
        <v>1538</v>
      </c>
      <c r="BE360" s="234">
        <v>203</v>
      </c>
      <c r="BF360" s="234" t="s">
        <v>130</v>
      </c>
      <c r="BG360" s="234">
        <v>5419</v>
      </c>
      <c r="BH360" s="234" t="s">
        <v>1539</v>
      </c>
      <c r="BI360" s="234">
        <v>560</v>
      </c>
      <c r="BJ360" s="234" t="s">
        <v>147</v>
      </c>
      <c r="BK360" s="234">
        <v>2015</v>
      </c>
      <c r="BL360" s="234">
        <v>2015</v>
      </c>
      <c r="BM360" s="234" t="s">
        <v>1540</v>
      </c>
      <c r="BN360" s="235">
        <v>61624</v>
      </c>
      <c r="BO360" s="234" t="s">
        <v>1541</v>
      </c>
      <c r="BP360" s="234" t="s">
        <v>1542</v>
      </c>
    </row>
    <row r="361" spans="1:68">
      <c r="A361" s="1073" t="s">
        <v>1556</v>
      </c>
      <c r="B361" s="1074"/>
      <c r="C361" s="1074"/>
      <c r="D361" s="1074"/>
      <c r="E361" s="1074"/>
      <c r="F361" s="1074"/>
      <c r="G361" s="1074"/>
      <c r="H361" s="1074"/>
      <c r="I361" s="1074"/>
      <c r="J361" s="1074"/>
      <c r="K361" s="1074"/>
      <c r="L361" s="1074"/>
      <c r="M361" s="1074"/>
      <c r="N361" s="1074"/>
      <c r="O361" s="1074"/>
      <c r="P361" s="1074"/>
      <c r="Q361" s="1074"/>
      <c r="R361" s="1074"/>
      <c r="S361" s="1074"/>
      <c r="T361" s="1074"/>
      <c r="U361" s="1074"/>
      <c r="V361" s="1074"/>
      <c r="W361" s="1074"/>
      <c r="X361" s="1074"/>
    </row>
    <row r="362" spans="1:68">
      <c r="A362" s="1075" t="s">
        <v>1557</v>
      </c>
      <c r="B362"/>
      <c r="C362"/>
      <c r="D362"/>
      <c r="E362"/>
      <c r="F362"/>
      <c r="G362"/>
      <c r="H362"/>
      <c r="I362"/>
      <c r="J362"/>
      <c r="K362"/>
      <c r="L362"/>
      <c r="M362"/>
      <c r="N362"/>
      <c r="O362"/>
      <c r="P362"/>
      <c r="Q362"/>
      <c r="R362"/>
      <c r="S362" s="6">
        <v>2011</v>
      </c>
      <c r="T362" s="6">
        <v>2012</v>
      </c>
      <c r="U362" s="6">
        <v>2013</v>
      </c>
      <c r="V362" s="6">
        <v>2014</v>
      </c>
      <c r="W362" s="135">
        <v>2015</v>
      </c>
      <c r="X362" s="6" t="s">
        <v>1270</v>
      </c>
      <c r="Y362"/>
    </row>
    <row r="363" spans="1:68">
      <c r="A363" s="19" t="s">
        <v>624</v>
      </c>
      <c r="B363" s="5">
        <v>1.4004980424716469E-4</v>
      </c>
      <c r="C363" s="877" t="e">
        <v>#REF!</v>
      </c>
      <c r="D363"/>
      <c r="E363"/>
      <c r="F363"/>
      <c r="G363"/>
      <c r="H363"/>
      <c r="I363"/>
      <c r="J363"/>
      <c r="K363"/>
      <c r="L363"/>
      <c r="M363"/>
      <c r="N363"/>
      <c r="O363"/>
      <c r="P363"/>
      <c r="Q363"/>
      <c r="R363"/>
      <c r="S363" s="289"/>
      <c r="T363" s="289"/>
      <c r="U363" s="289"/>
      <c r="V363" s="289"/>
      <c r="W363" s="289"/>
      <c r="X363">
        <f>'Feed products'!B451</f>
        <v>6569.0916523978321</v>
      </c>
      <c r="Y363"/>
    </row>
    <row r="364" spans="1:68">
      <c r="A364" s="19" t="s">
        <v>192</v>
      </c>
      <c r="B364" s="5">
        <v>1.3829163730713257E-4</v>
      </c>
      <c r="C364" s="877" t="e">
        <f>B364/(1-'Feed products'!#REF!)</f>
        <v>#REF!</v>
      </c>
      <c r="D364"/>
      <c r="E364"/>
      <c r="F364"/>
      <c r="G364"/>
      <c r="H364"/>
      <c r="I364"/>
      <c r="J364"/>
      <c r="K364"/>
      <c r="L364"/>
      <c r="M364"/>
      <c r="N364"/>
      <c r="O364"/>
      <c r="P364"/>
      <c r="Q364"/>
      <c r="R364"/>
      <c r="S364" s="289">
        <v>52170</v>
      </c>
      <c r="T364" s="289">
        <v>58217</v>
      </c>
      <c r="U364" s="289">
        <v>59141</v>
      </c>
      <c r="V364" s="289">
        <v>72178</v>
      </c>
      <c r="W364" s="289">
        <v>62000</v>
      </c>
      <c r="X364">
        <f>AVERAGE(S364:W364)/10</f>
        <v>6074.12</v>
      </c>
      <c r="Y364"/>
    </row>
    <row r="365" spans="1:68">
      <c r="A365" s="70" t="s">
        <v>1034</v>
      </c>
      <c r="B365"/>
      <c r="C365" s="877"/>
      <c r="D365"/>
      <c r="E365"/>
      <c r="F365"/>
      <c r="G365"/>
      <c r="H365"/>
      <c r="I365"/>
      <c r="J365"/>
      <c r="K365"/>
      <c r="L365"/>
      <c r="M365"/>
      <c r="N365"/>
      <c r="O365"/>
      <c r="P365"/>
      <c r="Q365"/>
      <c r="R365"/>
      <c r="S365"/>
      <c r="T365"/>
      <c r="U365"/>
      <c r="V365"/>
      <c r="W365" s="55"/>
      <c r="X365"/>
      <c r="Y365"/>
    </row>
    <row r="366" spans="1:68">
      <c r="A366" s="19" t="s">
        <v>1248</v>
      </c>
      <c r="B366" s="5">
        <v>1.4004980424716469E-4</v>
      </c>
      <c r="C366" s="877" t="e">
        <v>#REF!</v>
      </c>
      <c r="D366"/>
      <c r="E366"/>
      <c r="F366"/>
      <c r="G366"/>
      <c r="H366"/>
      <c r="I366"/>
      <c r="J366"/>
      <c r="K366"/>
      <c r="L366"/>
      <c r="M366"/>
      <c r="N366"/>
      <c r="O366"/>
      <c r="P366"/>
      <c r="Q366"/>
      <c r="R366"/>
      <c r="S366"/>
      <c r="T366"/>
      <c r="U366"/>
      <c r="V366"/>
      <c r="W366" s="55"/>
      <c r="X366">
        <f>X363</f>
        <v>6569.0916523978321</v>
      </c>
      <c r="Y366"/>
    </row>
    <row r="367" spans="1:68">
      <c r="A367" s="19" t="s">
        <v>998</v>
      </c>
      <c r="B367"/>
      <c r="C367" s="877">
        <v>0</v>
      </c>
      <c r="D367"/>
      <c r="E367"/>
      <c r="F367"/>
      <c r="G367"/>
      <c r="H367"/>
      <c r="I367"/>
      <c r="J367"/>
      <c r="K367"/>
      <c r="L367"/>
      <c r="M367"/>
      <c r="N367"/>
      <c r="O367"/>
      <c r="P367"/>
      <c r="Q367"/>
      <c r="R367"/>
      <c r="S367"/>
      <c r="T367"/>
      <c r="U367"/>
      <c r="V367"/>
      <c r="W367" s="55"/>
      <c r="X367"/>
      <c r="Y367"/>
    </row>
    <row r="368" spans="1:68">
      <c r="A368" s="19" t="s">
        <v>1558</v>
      </c>
      <c r="B368"/>
      <c r="C368" s="877">
        <v>1.7483213418478656E-4</v>
      </c>
      <c r="D368"/>
      <c r="E368"/>
      <c r="F368"/>
      <c r="G368"/>
      <c r="H368"/>
      <c r="I368"/>
      <c r="J368"/>
      <c r="K368"/>
      <c r="L368"/>
      <c r="M368"/>
      <c r="N368"/>
      <c r="O368"/>
      <c r="P368"/>
      <c r="Q368"/>
      <c r="R368"/>
      <c r="S368"/>
      <c r="T368"/>
      <c r="U368"/>
      <c r="V368"/>
      <c r="W368" s="55"/>
      <c r="X368"/>
      <c r="Y368"/>
    </row>
    <row r="369" spans="1:25">
      <c r="A369" s="19" t="s">
        <v>1559</v>
      </c>
      <c r="B369" s="5">
        <v>6.6478821381634457E-5</v>
      </c>
      <c r="C369" s="877" t="e">
        <v>#REF!</v>
      </c>
      <c r="D369"/>
      <c r="E369"/>
      <c r="F369"/>
      <c r="G369"/>
      <c r="H369"/>
      <c r="I369"/>
      <c r="J369"/>
      <c r="K369"/>
      <c r="L369"/>
      <c r="M369"/>
      <c r="N369"/>
      <c r="O369"/>
      <c r="P369"/>
      <c r="Q369"/>
      <c r="R369"/>
      <c r="S369" s="289">
        <v>33774</v>
      </c>
      <c r="T369" s="289">
        <v>37537</v>
      </c>
      <c r="U369" s="289">
        <v>38807</v>
      </c>
      <c r="V369" s="289">
        <v>42679</v>
      </c>
      <c r="W369" s="289">
        <v>42754</v>
      </c>
      <c r="X369">
        <f>AVERAGE(S369:W369)/10</f>
        <v>3911.0199999999995</v>
      </c>
      <c r="Y369"/>
    </row>
    <row r="370" spans="1:25">
      <c r="A370" s="19" t="s">
        <v>1560</v>
      </c>
      <c r="B370" s="5">
        <v>6.6478821381634457E-5</v>
      </c>
      <c r="C370" s="877" t="e">
        <v>#REF!</v>
      </c>
      <c r="D370"/>
      <c r="E370"/>
      <c r="F370"/>
      <c r="G370"/>
      <c r="H370"/>
      <c r="I370"/>
      <c r="J370"/>
      <c r="K370"/>
      <c r="L370"/>
      <c r="M370"/>
      <c r="N370"/>
      <c r="O370"/>
      <c r="P370"/>
      <c r="Q370"/>
      <c r="R370"/>
      <c r="S370" s="289">
        <v>33774</v>
      </c>
      <c r="T370" s="289">
        <v>37537</v>
      </c>
      <c r="U370" s="289">
        <v>38807</v>
      </c>
      <c r="V370" s="289">
        <v>42679</v>
      </c>
      <c r="W370" s="289">
        <v>42754</v>
      </c>
      <c r="X370">
        <f>AVERAGE(S370:W370)/10</f>
        <v>3911.0199999999995</v>
      </c>
      <c r="Y370"/>
    </row>
    <row r="371" spans="1:25">
      <c r="A371" s="19" t="s">
        <v>1561</v>
      </c>
      <c r="B371"/>
      <c r="C371" s="877">
        <v>0</v>
      </c>
      <c r="D371"/>
      <c r="E371"/>
      <c r="F371"/>
      <c r="G371"/>
      <c r="H371"/>
      <c r="I371"/>
      <c r="J371"/>
      <c r="K371"/>
      <c r="L371"/>
      <c r="M371"/>
      <c r="N371"/>
      <c r="O371"/>
      <c r="P371"/>
      <c r="Q371"/>
      <c r="R371"/>
      <c r="S371"/>
      <c r="T371"/>
      <c r="U371"/>
      <c r="V371"/>
      <c r="W371" s="55"/>
      <c r="X371"/>
      <c r="Y371"/>
    </row>
    <row r="372" spans="1:25">
      <c r="A372" s="19" t="s">
        <v>1253</v>
      </c>
      <c r="B372"/>
      <c r="C372" s="877">
        <v>5.7023544135234832E-4</v>
      </c>
      <c r="D372"/>
      <c r="E372"/>
      <c r="F372"/>
      <c r="G372"/>
      <c r="H372"/>
      <c r="I372"/>
      <c r="J372"/>
      <c r="K372"/>
      <c r="L372"/>
      <c r="M372"/>
      <c r="N372"/>
      <c r="O372"/>
      <c r="P372"/>
      <c r="Q372"/>
      <c r="R372"/>
      <c r="S372"/>
      <c r="T372"/>
      <c r="U372"/>
      <c r="V372"/>
      <c r="W372" s="55"/>
      <c r="X372"/>
      <c r="Y372"/>
    </row>
    <row r="373" spans="1:25">
      <c r="A373" s="19" t="s">
        <v>1255</v>
      </c>
      <c r="B373" s="5">
        <v>1.9903402154875009E-5</v>
      </c>
      <c r="C373" s="877" t="e">
        <f>(B373*'Feed products'!$C$145)/(1-'Feed products'!#REF!)</f>
        <v>#REF!</v>
      </c>
      <c r="D373"/>
      <c r="E373"/>
      <c r="F373"/>
      <c r="G373"/>
      <c r="H373"/>
      <c r="I373"/>
      <c r="J373"/>
      <c r="K373"/>
      <c r="L373"/>
      <c r="M373"/>
      <c r="N373"/>
      <c r="O373"/>
      <c r="P373"/>
      <c r="Q373"/>
      <c r="R373"/>
      <c r="S373" s="289">
        <v>36316</v>
      </c>
      <c r="T373" s="289">
        <v>37083</v>
      </c>
      <c r="U373" s="289">
        <v>34357</v>
      </c>
      <c r="V373" s="289">
        <v>38571</v>
      </c>
      <c r="W373" s="289">
        <v>42083</v>
      </c>
      <c r="X373">
        <f>AVERAGE(S373:W373)/10</f>
        <v>3768.2</v>
      </c>
      <c r="Y373"/>
    </row>
    <row r="374" spans="1:25">
      <c r="A374" s="19" t="s">
        <v>1256</v>
      </c>
      <c r="B374" s="5">
        <v>4.0237521488788297E-5</v>
      </c>
      <c r="C374" s="877" t="e">
        <v>#REF!</v>
      </c>
      <c r="D374"/>
      <c r="E374"/>
      <c r="F374"/>
      <c r="G374"/>
      <c r="H374"/>
      <c r="I374"/>
      <c r="J374"/>
      <c r="K374"/>
      <c r="L374"/>
      <c r="M374"/>
      <c r="N374"/>
      <c r="O374"/>
      <c r="P374"/>
      <c r="Q374"/>
      <c r="R374"/>
      <c r="S374" s="289">
        <v>675100</v>
      </c>
      <c r="T374" s="289">
        <v>676098</v>
      </c>
      <c r="U374" s="289">
        <v>605263</v>
      </c>
      <c r="V374" s="289">
        <v>703211</v>
      </c>
      <c r="W374" s="289">
        <v>670553</v>
      </c>
      <c r="X374">
        <f>AVERAGE(S374:W374)/10</f>
        <v>66604.5</v>
      </c>
      <c r="Y374"/>
    </row>
    <row r="375" spans="1:25">
      <c r="A375" s="19" t="s">
        <v>1257</v>
      </c>
      <c r="B375"/>
      <c r="C375" s="877" t="e">
        <f>AVERAGE(C366:C374)</f>
        <v>#REF!</v>
      </c>
      <c r="D375"/>
      <c r="E375"/>
      <c r="F375"/>
      <c r="G375"/>
      <c r="H375"/>
      <c r="I375"/>
      <c r="J375"/>
      <c r="K375"/>
      <c r="L375"/>
      <c r="M375"/>
      <c r="N375"/>
      <c r="O375"/>
      <c r="P375"/>
      <c r="Q375"/>
      <c r="R375"/>
      <c r="S375"/>
      <c r="T375"/>
      <c r="U375"/>
      <c r="V375"/>
      <c r="W375" s="55"/>
      <c r="X375"/>
      <c r="Y375"/>
    </row>
    <row r="376" spans="1:25">
      <c r="A376" s="68" t="s">
        <v>1258</v>
      </c>
      <c r="B376"/>
      <c r="C376" s="877">
        <v>5.2854576746299989E-5</v>
      </c>
      <c r="D376"/>
      <c r="E376"/>
      <c r="F376"/>
      <c r="G376"/>
      <c r="H376"/>
      <c r="I376"/>
      <c r="J376"/>
      <c r="K376"/>
      <c r="L376"/>
      <c r="M376"/>
      <c r="N376"/>
      <c r="O376"/>
      <c r="P376"/>
      <c r="Q376"/>
      <c r="R376"/>
      <c r="S376"/>
      <c r="T376"/>
      <c r="U376"/>
      <c r="V376"/>
      <c r="W376" s="55"/>
      <c r="X376"/>
      <c r="Y376"/>
    </row>
    <row r="377" spans="1:25">
      <c r="A377" s="71" t="s">
        <v>1167</v>
      </c>
      <c r="B377"/>
      <c r="C377" s="877">
        <v>2.6183799231984962E-5</v>
      </c>
      <c r="D377"/>
      <c r="E377"/>
      <c r="F377"/>
      <c r="G377"/>
      <c r="H377"/>
      <c r="I377"/>
      <c r="J377"/>
      <c r="K377"/>
      <c r="L377"/>
      <c r="M377"/>
      <c r="N377"/>
      <c r="O377"/>
      <c r="P377"/>
      <c r="Q377"/>
      <c r="R377"/>
      <c r="S377"/>
      <c r="T377"/>
      <c r="U377"/>
      <c r="V377"/>
      <c r="W377" s="55"/>
      <c r="X377"/>
      <c r="Y377"/>
    </row>
    <row r="378" spans="1:25">
      <c r="A378"/>
      <c r="B378"/>
      <c r="C378" s="877"/>
      <c r="D378"/>
      <c r="E378"/>
      <c r="F378"/>
      <c r="G378"/>
      <c r="H378"/>
      <c r="I378"/>
      <c r="J378"/>
      <c r="K378"/>
      <c r="L378"/>
      <c r="M378"/>
      <c r="N378"/>
      <c r="O378"/>
      <c r="P378"/>
      <c r="Q378"/>
      <c r="R378"/>
      <c r="S378"/>
      <c r="T378"/>
      <c r="U378"/>
      <c r="V378"/>
      <c r="W378" s="55"/>
      <c r="X378"/>
      <c r="Y378"/>
    </row>
    <row r="379" spans="1:25" ht="15.75" thickBot="1">
      <c r="A379" s="1075" t="s">
        <v>1562</v>
      </c>
      <c r="B379"/>
      <c r="C379" s="877"/>
      <c r="D379"/>
      <c r="E379"/>
      <c r="F379"/>
      <c r="G379"/>
      <c r="H379"/>
      <c r="I379"/>
      <c r="J379"/>
      <c r="K379"/>
      <c r="L379"/>
      <c r="M379"/>
      <c r="N379"/>
      <c r="O379"/>
      <c r="P379"/>
      <c r="Q379"/>
      <c r="R379"/>
      <c r="S379"/>
      <c r="T379"/>
      <c r="U379"/>
      <c r="V379"/>
      <c r="W379" s="55"/>
      <c r="X379"/>
      <c r="Y379"/>
    </row>
    <row r="380" spans="1:25" ht="15.75" thickBot="1">
      <c r="A380" s="19" t="s">
        <v>624</v>
      </c>
      <c r="B380" s="5">
        <v>3.6169802026408585E-4</v>
      </c>
      <c r="C380" s="877" t="e">
        <v>#REF!</v>
      </c>
      <c r="D380"/>
      <c r="E380"/>
      <c r="F380"/>
      <c r="G380"/>
      <c r="H380"/>
      <c r="I380"/>
      <c r="J380"/>
      <c r="K380"/>
      <c r="L380"/>
      <c r="M380"/>
      <c r="N380"/>
      <c r="O380"/>
      <c r="P380"/>
      <c r="Q380"/>
      <c r="R380"/>
      <c r="S380" s="289"/>
      <c r="T380" s="289"/>
      <c r="U380" s="285"/>
      <c r="V380" s="289"/>
      <c r="W380" s="289"/>
      <c r="X380">
        <f>'Feed products'!B452</f>
        <v>8183.6223428561234</v>
      </c>
      <c r="Y380"/>
    </row>
    <row r="381" spans="1:25">
      <c r="A381" s="19" t="s">
        <v>192</v>
      </c>
      <c r="B381" s="5">
        <v>2.2845263320216347E-4</v>
      </c>
      <c r="C381" s="877" t="e">
        <f>B381/(1-'Feed products'!#REF!)</f>
        <v>#REF!</v>
      </c>
      <c r="D381"/>
      <c r="E381"/>
      <c r="F381"/>
      <c r="G381"/>
      <c r="H381"/>
      <c r="I381"/>
      <c r="J381"/>
      <c r="K381"/>
      <c r="L381"/>
      <c r="M381"/>
      <c r="N381"/>
      <c r="O381"/>
      <c r="P381"/>
      <c r="Q381"/>
      <c r="R381"/>
      <c r="S381" s="289">
        <v>75964</v>
      </c>
      <c r="T381" s="289">
        <v>60553</v>
      </c>
      <c r="U381" s="289">
        <v>68471</v>
      </c>
      <c r="V381" s="289">
        <v>80976</v>
      </c>
      <c r="W381" s="289">
        <v>64218</v>
      </c>
      <c r="X381">
        <f>AVERAGE(S381:W381)/10</f>
        <v>7003.6399999999994</v>
      </c>
      <c r="Y381"/>
    </row>
    <row r="382" spans="1:25">
      <c r="A382" s="70" t="s">
        <v>1034</v>
      </c>
      <c r="B382"/>
      <c r="C382" s="877"/>
      <c r="D382"/>
      <c r="E382"/>
      <c r="F382"/>
      <c r="G382"/>
      <c r="H382"/>
      <c r="I382"/>
      <c r="J382"/>
      <c r="K382"/>
      <c r="L382"/>
      <c r="M382"/>
      <c r="N382"/>
      <c r="O382"/>
      <c r="P382"/>
      <c r="Q382"/>
      <c r="R382"/>
      <c r="S382"/>
      <c r="T382"/>
      <c r="U382"/>
      <c r="V382"/>
      <c r="W382" s="55"/>
      <c r="X382"/>
      <c r="Y382"/>
    </row>
    <row r="383" spans="1:25">
      <c r="A383" s="19" t="s">
        <v>1248</v>
      </c>
      <c r="B383" s="5">
        <v>3.6169802026408585E-4</v>
      </c>
      <c r="C383" s="877" t="e">
        <v>#REF!</v>
      </c>
      <c r="D383"/>
      <c r="E383"/>
      <c r="F383"/>
      <c r="G383"/>
      <c r="H383"/>
      <c r="I383"/>
      <c r="J383"/>
      <c r="K383"/>
      <c r="L383"/>
      <c r="M383"/>
      <c r="N383"/>
      <c r="O383"/>
      <c r="P383"/>
      <c r="Q383"/>
      <c r="R383"/>
      <c r="S383"/>
      <c r="T383"/>
      <c r="U383"/>
      <c r="V383"/>
      <c r="W383" s="55"/>
      <c r="X383">
        <f>X380</f>
        <v>8183.6223428561234</v>
      </c>
      <c r="Y383"/>
    </row>
    <row r="384" spans="1:25">
      <c r="A384" s="19" t="s">
        <v>998</v>
      </c>
      <c r="B384"/>
      <c r="C384" s="877">
        <v>0</v>
      </c>
      <c r="D384"/>
      <c r="E384"/>
      <c r="F384"/>
      <c r="G384"/>
      <c r="H384"/>
      <c r="I384"/>
      <c r="J384"/>
      <c r="K384"/>
      <c r="L384"/>
      <c r="M384"/>
      <c r="N384"/>
      <c r="O384"/>
      <c r="P384"/>
      <c r="Q384"/>
      <c r="R384"/>
      <c r="S384"/>
      <c r="T384"/>
      <c r="U384"/>
      <c r="V384"/>
      <c r="W384" s="55"/>
      <c r="X384"/>
      <c r="Y384"/>
    </row>
    <row r="385" spans="1:25">
      <c r="A385" s="19" t="s">
        <v>1558</v>
      </c>
      <c r="B385"/>
      <c r="C385" s="877">
        <v>1.7483213418478656E-4</v>
      </c>
      <c r="D385"/>
      <c r="E385"/>
      <c r="F385"/>
      <c r="G385"/>
      <c r="H385"/>
      <c r="I385"/>
      <c r="J385"/>
      <c r="K385"/>
      <c r="L385"/>
      <c r="M385"/>
      <c r="N385"/>
      <c r="O385"/>
      <c r="P385"/>
      <c r="Q385"/>
      <c r="R385"/>
      <c r="S385"/>
      <c r="T385"/>
      <c r="U385"/>
      <c r="V385"/>
      <c r="W385" s="55"/>
      <c r="X385"/>
      <c r="Y385"/>
    </row>
    <row r="386" spans="1:25">
      <c r="A386" s="19" t="s">
        <v>1559</v>
      </c>
      <c r="B386" s="5">
        <v>5.1085568326947642E-6</v>
      </c>
      <c r="C386" s="877" t="e">
        <v>#REF!</v>
      </c>
      <c r="D386"/>
      <c r="E386"/>
      <c r="F386"/>
      <c r="G386"/>
      <c r="H386"/>
      <c r="I386"/>
      <c r="J386"/>
      <c r="K386"/>
      <c r="L386"/>
      <c r="M386"/>
      <c r="N386"/>
      <c r="O386"/>
      <c r="P386"/>
      <c r="Q386"/>
      <c r="R386"/>
      <c r="S386" s="289">
        <v>45081</v>
      </c>
      <c r="T386" s="289">
        <v>33543</v>
      </c>
      <c r="U386" s="289">
        <v>35912</v>
      </c>
      <c r="V386" s="289">
        <v>36383</v>
      </c>
      <c r="W386" s="289">
        <v>44831</v>
      </c>
      <c r="X386">
        <f>AVERAGE(S386:W386)/10</f>
        <v>3915</v>
      </c>
      <c r="Y386"/>
    </row>
    <row r="387" spans="1:25">
      <c r="A387" s="19" t="s">
        <v>1560</v>
      </c>
      <c r="B387" s="5">
        <v>5.1085568326947642E-6</v>
      </c>
      <c r="C387" s="877" t="e">
        <v>#REF!</v>
      </c>
      <c r="D387"/>
      <c r="E387"/>
      <c r="F387"/>
      <c r="G387"/>
      <c r="H387"/>
      <c r="I387"/>
      <c r="J387"/>
      <c r="K387"/>
      <c r="L387"/>
      <c r="M387"/>
      <c r="N387"/>
      <c r="O387"/>
      <c r="P387"/>
      <c r="Q387"/>
      <c r="R387"/>
      <c r="S387" s="289">
        <v>45081</v>
      </c>
      <c r="T387" s="289">
        <v>33543</v>
      </c>
      <c r="U387" s="289">
        <v>35912</v>
      </c>
      <c r="V387" s="289">
        <v>36383</v>
      </c>
      <c r="W387" s="289">
        <v>44831</v>
      </c>
      <c r="X387">
        <f>AVERAGE(S387:W387)/10</f>
        <v>3915</v>
      </c>
      <c r="Y387"/>
    </row>
    <row r="388" spans="1:25">
      <c r="A388" s="19" t="s">
        <v>1561</v>
      </c>
      <c r="B388"/>
      <c r="C388" s="877">
        <v>0</v>
      </c>
      <c r="D388"/>
      <c r="E388"/>
      <c r="F388"/>
      <c r="G388"/>
      <c r="H388"/>
      <c r="I388"/>
      <c r="J388"/>
      <c r="K388"/>
      <c r="L388"/>
      <c r="M388"/>
      <c r="N388"/>
      <c r="O388"/>
      <c r="P388"/>
      <c r="Q388"/>
      <c r="R388"/>
      <c r="S388"/>
      <c r="T388"/>
      <c r="U388"/>
      <c r="V388"/>
      <c r="W388" s="55"/>
      <c r="X388"/>
      <c r="Y388"/>
    </row>
    <row r="389" spans="1:25">
      <c r="A389" s="19" t="s">
        <v>1253</v>
      </c>
      <c r="B389"/>
      <c r="C389" s="877">
        <v>5.7023544135234832E-4</v>
      </c>
      <c r="D389"/>
      <c r="E389"/>
      <c r="F389"/>
      <c r="G389"/>
      <c r="H389"/>
      <c r="I389"/>
      <c r="J389"/>
      <c r="K389"/>
      <c r="L389"/>
      <c r="M389"/>
      <c r="N389"/>
      <c r="O389"/>
      <c r="P389"/>
      <c r="Q389"/>
      <c r="R389"/>
      <c r="S389"/>
      <c r="T389"/>
      <c r="U389"/>
      <c r="V389"/>
      <c r="W389" s="55"/>
      <c r="X389"/>
      <c r="Y389"/>
    </row>
    <row r="390" spans="1:25">
      <c r="A390" s="19" t="s">
        <v>1255</v>
      </c>
      <c r="B390" s="5">
        <v>1.9994759993932629E-4</v>
      </c>
      <c r="C390" s="877" t="e">
        <f>(B390*'Feed products'!$C$145)/(1-'Feed products'!#REF!)</f>
        <v>#REF!</v>
      </c>
      <c r="D390"/>
      <c r="E390"/>
      <c r="F390"/>
      <c r="G390"/>
      <c r="H390"/>
      <c r="I390"/>
      <c r="J390"/>
      <c r="K390"/>
      <c r="L390"/>
      <c r="M390"/>
      <c r="N390"/>
      <c r="O390"/>
      <c r="P390"/>
      <c r="Q390"/>
      <c r="R390"/>
      <c r="S390" s="289">
        <v>60952</v>
      </c>
      <c r="T390" s="289">
        <v>49118</v>
      </c>
      <c r="U390" s="289">
        <v>52750</v>
      </c>
      <c r="V390" s="289">
        <v>60690</v>
      </c>
      <c r="W390" s="289">
        <v>66566</v>
      </c>
      <c r="X390">
        <f>AVERAGE(S390:W390)/10</f>
        <v>5801.5199999999995</v>
      </c>
      <c r="Y390"/>
    </row>
    <row r="391" spans="1:25">
      <c r="A391" s="19" t="s">
        <v>1256</v>
      </c>
      <c r="B391" s="5">
        <v>3.0952143883464806E-5</v>
      </c>
      <c r="C391" s="877" t="e">
        <v>#REF!</v>
      </c>
      <c r="D391"/>
      <c r="E391"/>
      <c r="F391"/>
      <c r="G391"/>
      <c r="H391"/>
      <c r="I391"/>
      <c r="J391"/>
      <c r="K391"/>
      <c r="L391"/>
      <c r="M391"/>
      <c r="N391"/>
      <c r="O391"/>
      <c r="P391"/>
      <c r="Q391"/>
      <c r="R391"/>
      <c r="S391" s="289">
        <v>526151</v>
      </c>
      <c r="T391" s="289">
        <v>531759</v>
      </c>
      <c r="U391" s="289">
        <v>537019</v>
      </c>
      <c r="V391" s="289">
        <v>540860</v>
      </c>
      <c r="W391" s="289">
        <v>545770</v>
      </c>
      <c r="X391">
        <f>AVERAGE(S391:W391)/10</f>
        <v>53631.180000000008</v>
      </c>
      <c r="Y391"/>
    </row>
    <row r="392" spans="1:25">
      <c r="A392" s="19" t="s">
        <v>1257</v>
      </c>
      <c r="B392"/>
      <c r="C392" s="877" t="e">
        <f>AVERAGE(C383:C391)</f>
        <v>#REF!</v>
      </c>
      <c r="D392"/>
      <c r="E392"/>
      <c r="F392"/>
      <c r="G392"/>
      <c r="H392"/>
      <c r="I392"/>
      <c r="J392"/>
      <c r="K392"/>
      <c r="L392"/>
      <c r="M392"/>
      <c r="N392"/>
      <c r="O392"/>
      <c r="P392"/>
      <c r="Q392"/>
      <c r="R392"/>
      <c r="S392"/>
      <c r="T392"/>
      <c r="U392"/>
      <c r="V392"/>
      <c r="W392" s="55"/>
      <c r="X392"/>
      <c r="Y392"/>
    </row>
    <row r="393" spans="1:25">
      <c r="A393" s="68" t="s">
        <v>1258</v>
      </c>
      <c r="B393"/>
      <c r="C393" s="877">
        <v>5.2854576746299989E-5</v>
      </c>
      <c r="D393"/>
      <c r="E393"/>
      <c r="F393"/>
      <c r="G393"/>
      <c r="H393"/>
      <c r="I393"/>
      <c r="J393"/>
      <c r="K393"/>
      <c r="L393"/>
      <c r="M393"/>
      <c r="N393"/>
      <c r="O393"/>
      <c r="P393"/>
      <c r="Q393"/>
      <c r="R393"/>
      <c r="S393"/>
      <c r="T393"/>
      <c r="U393"/>
      <c r="V393"/>
      <c r="W393" s="55"/>
      <c r="X393"/>
      <c r="Y393"/>
    </row>
    <row r="394" spans="1:25">
      <c r="A394" s="71" t="s">
        <v>1167</v>
      </c>
      <c r="B394"/>
      <c r="C394" s="877">
        <v>2.6183799231984962E-5</v>
      </c>
      <c r="D394"/>
      <c r="E394"/>
      <c r="F394"/>
      <c r="G394"/>
      <c r="H394"/>
      <c r="I394"/>
      <c r="J394"/>
      <c r="K394"/>
      <c r="L394"/>
      <c r="M394"/>
      <c r="N394"/>
      <c r="O394"/>
      <c r="P394"/>
      <c r="Q394"/>
      <c r="R394"/>
      <c r="S394"/>
      <c r="T394"/>
      <c r="U394"/>
      <c r="V394"/>
      <c r="W394" s="55"/>
      <c r="X394"/>
      <c r="Y394"/>
    </row>
    <row r="395" spans="1:25">
      <c r="A395"/>
      <c r="B395"/>
      <c r="C395" s="877"/>
      <c r="D395"/>
      <c r="E395"/>
      <c r="F395"/>
      <c r="G395"/>
      <c r="H395"/>
      <c r="I395"/>
      <c r="J395"/>
      <c r="K395"/>
      <c r="L395"/>
      <c r="M395"/>
      <c r="N395"/>
      <c r="O395"/>
      <c r="P395"/>
      <c r="Q395"/>
      <c r="R395"/>
      <c r="S395"/>
      <c r="T395"/>
      <c r="U395"/>
      <c r="V395"/>
      <c r="W395" s="55"/>
      <c r="X395"/>
      <c r="Y395"/>
    </row>
    <row r="396" spans="1:25">
      <c r="A396" s="1075" t="s">
        <v>1563</v>
      </c>
      <c r="B396"/>
      <c r="C396" s="877"/>
      <c r="D396"/>
      <c r="E396"/>
      <c r="F396"/>
      <c r="G396"/>
      <c r="H396"/>
      <c r="I396"/>
      <c r="J396"/>
      <c r="K396"/>
      <c r="L396"/>
      <c r="M396"/>
      <c r="N396"/>
      <c r="O396"/>
      <c r="P396"/>
      <c r="Q396"/>
      <c r="R396"/>
      <c r="S396"/>
      <c r="T396"/>
      <c r="U396"/>
      <c r="V396"/>
      <c r="W396" s="55"/>
      <c r="X396"/>
      <c r="Y396"/>
    </row>
    <row r="397" spans="1:25">
      <c r="A397" s="19" t="s">
        <v>624</v>
      </c>
      <c r="B397" s="5">
        <v>2.9948201487808331E-4</v>
      </c>
      <c r="C397" s="877" t="e">
        <v>#REF!</v>
      </c>
      <c r="D397"/>
      <c r="E397"/>
      <c r="F397"/>
      <c r="G397"/>
      <c r="H397"/>
      <c r="I397"/>
      <c r="J397"/>
      <c r="K397"/>
      <c r="L397"/>
      <c r="M397"/>
      <c r="N397"/>
      <c r="O397"/>
      <c r="P397"/>
      <c r="Q397"/>
      <c r="R397"/>
      <c r="S397" s="289"/>
      <c r="T397" s="289"/>
      <c r="U397" s="289"/>
      <c r="V397" s="289"/>
      <c r="W397" s="289"/>
      <c r="X397">
        <f>'Feed products'!B453</f>
        <v>7212.4531447383179</v>
      </c>
      <c r="Y397"/>
    </row>
    <row r="398" spans="1:25">
      <c r="A398" s="19" t="s">
        <v>192</v>
      </c>
      <c r="B398" s="5">
        <v>1.033681812469851E-4</v>
      </c>
      <c r="C398" s="877" t="e">
        <f>B398/(1-'Feed products'!#REF!)</f>
        <v>#REF!</v>
      </c>
      <c r="D398"/>
      <c r="E398"/>
      <c r="F398"/>
      <c r="G398"/>
      <c r="H398"/>
      <c r="I398"/>
      <c r="J398"/>
      <c r="K398"/>
      <c r="L398"/>
      <c r="M398"/>
      <c r="N398"/>
      <c r="O398"/>
      <c r="P398"/>
      <c r="Q398"/>
      <c r="R398"/>
      <c r="S398" s="289">
        <v>106243</v>
      </c>
      <c r="T398" s="289">
        <v>104802</v>
      </c>
      <c r="U398" s="289">
        <v>88276</v>
      </c>
      <c r="V398" s="289">
        <v>106838</v>
      </c>
      <c r="W398" s="289">
        <v>87223</v>
      </c>
      <c r="X398">
        <f>AVERAGE(S398:W398)/10</f>
        <v>9867.64</v>
      </c>
      <c r="Y398"/>
    </row>
    <row r="399" spans="1:25">
      <c r="A399" s="70" t="s">
        <v>1034</v>
      </c>
      <c r="B399"/>
      <c r="C399" s="877"/>
      <c r="D399"/>
      <c r="E399"/>
      <c r="F399"/>
      <c r="G399"/>
      <c r="H399"/>
      <c r="I399"/>
      <c r="J399"/>
      <c r="K399"/>
      <c r="L399"/>
      <c r="M399"/>
      <c r="N399"/>
      <c r="O399"/>
      <c r="P399"/>
      <c r="Q399"/>
      <c r="R399"/>
      <c r="S399"/>
      <c r="T399"/>
      <c r="U399"/>
      <c r="V399"/>
      <c r="W399" s="55"/>
      <c r="X399"/>
      <c r="Y399"/>
    </row>
    <row r="400" spans="1:25">
      <c r="A400" s="19" t="s">
        <v>1248</v>
      </c>
      <c r="B400" s="5">
        <v>2.9948201487808331E-4</v>
      </c>
      <c r="C400" s="877" t="e">
        <v>#REF!</v>
      </c>
      <c r="D400"/>
      <c r="E400"/>
      <c r="F400"/>
      <c r="G400"/>
      <c r="H400"/>
      <c r="I400"/>
      <c r="J400"/>
      <c r="K400"/>
      <c r="L400"/>
      <c r="M400"/>
      <c r="N400"/>
      <c r="O400"/>
      <c r="P400"/>
      <c r="Q400"/>
      <c r="R400"/>
      <c r="S400" s="289">
        <v>70139</v>
      </c>
      <c r="T400" s="289">
        <v>73312</v>
      </c>
      <c r="U400" s="289">
        <v>79979</v>
      </c>
      <c r="V400" s="289">
        <v>86296</v>
      </c>
      <c r="W400" s="289">
        <v>80877</v>
      </c>
      <c r="X400">
        <f>X397</f>
        <v>7212.4531447383179</v>
      </c>
      <c r="Y400"/>
    </row>
    <row r="401" spans="1:25">
      <c r="A401" s="19" t="s">
        <v>998</v>
      </c>
      <c r="B401"/>
      <c r="C401" s="877">
        <v>0</v>
      </c>
      <c r="D401"/>
      <c r="E401"/>
      <c r="F401"/>
      <c r="G401"/>
      <c r="H401"/>
      <c r="I401"/>
      <c r="J401"/>
      <c r="K401"/>
      <c r="L401"/>
      <c r="M401"/>
      <c r="N401"/>
      <c r="O401"/>
      <c r="P401"/>
      <c r="Q401"/>
      <c r="R401"/>
      <c r="S401"/>
      <c r="T401"/>
      <c r="U401"/>
      <c r="V401"/>
      <c r="W401" s="55"/>
      <c r="X401"/>
      <c r="Y401"/>
    </row>
    <row r="402" spans="1:25">
      <c r="A402" s="19" t="s">
        <v>1558</v>
      </c>
      <c r="B402"/>
      <c r="C402" s="877">
        <v>1.7483213418478656E-4</v>
      </c>
      <c r="D402"/>
      <c r="E402"/>
      <c r="F402"/>
      <c r="G402"/>
      <c r="H402"/>
      <c r="I402"/>
      <c r="J402"/>
      <c r="K402"/>
      <c r="L402"/>
      <c r="M402"/>
      <c r="N402"/>
      <c r="O402"/>
      <c r="P402"/>
      <c r="Q402"/>
      <c r="R402"/>
      <c r="S402"/>
      <c r="T402"/>
      <c r="U402"/>
      <c r="V402"/>
      <c r="W402" s="55"/>
      <c r="X402"/>
      <c r="Y402"/>
    </row>
    <row r="403" spans="1:25">
      <c r="A403" s="19" t="s">
        <v>1559</v>
      </c>
      <c r="B403" s="5">
        <v>3.7499273781669716E-4</v>
      </c>
      <c r="C403" s="877" t="e">
        <v>#REF!</v>
      </c>
      <c r="D403"/>
      <c r="E403"/>
      <c r="F403"/>
      <c r="G403"/>
      <c r="H403"/>
      <c r="I403"/>
      <c r="J403"/>
      <c r="K403"/>
      <c r="L403"/>
      <c r="M403"/>
      <c r="N403"/>
      <c r="O403"/>
      <c r="P403"/>
      <c r="Q403"/>
      <c r="R403"/>
      <c r="S403" s="289">
        <v>29125</v>
      </c>
      <c r="T403" s="289">
        <v>36909</v>
      </c>
      <c r="U403" s="289">
        <v>39467</v>
      </c>
      <c r="V403" s="289">
        <v>44810</v>
      </c>
      <c r="W403" s="289">
        <v>39026</v>
      </c>
      <c r="X403">
        <f>AVERAGE(S403:W403)/10</f>
        <v>3786.7400000000002</v>
      </c>
      <c r="Y403"/>
    </row>
    <row r="404" spans="1:25">
      <c r="A404" s="19" t="s">
        <v>1560</v>
      </c>
      <c r="B404" s="5">
        <v>3.7499273781669716E-4</v>
      </c>
      <c r="C404" s="877" t="e">
        <v>#REF!</v>
      </c>
      <c r="D404"/>
      <c r="E404"/>
      <c r="F404"/>
      <c r="G404"/>
      <c r="H404"/>
      <c r="I404"/>
      <c r="J404"/>
      <c r="K404"/>
      <c r="L404"/>
      <c r="M404"/>
      <c r="N404"/>
      <c r="O404"/>
      <c r="P404"/>
      <c r="Q404"/>
      <c r="R404"/>
      <c r="S404" s="289">
        <v>29125</v>
      </c>
      <c r="T404" s="289">
        <v>36909</v>
      </c>
      <c r="U404" s="289">
        <v>39467</v>
      </c>
      <c r="V404" s="289">
        <v>44810</v>
      </c>
      <c r="W404" s="289">
        <v>39026</v>
      </c>
      <c r="X404">
        <f>AVERAGE(S404:W404)/10</f>
        <v>3786.7400000000002</v>
      </c>
      <c r="Y404"/>
    </row>
    <row r="405" spans="1:25">
      <c r="A405" s="19" t="s">
        <v>1561</v>
      </c>
      <c r="B405"/>
      <c r="C405" s="877">
        <v>0</v>
      </c>
      <c r="D405"/>
      <c r="E405"/>
      <c r="F405"/>
      <c r="G405"/>
      <c r="H405"/>
      <c r="I405"/>
      <c r="J405"/>
      <c r="K405"/>
      <c r="L405"/>
      <c r="M405"/>
      <c r="N405"/>
      <c r="O405"/>
      <c r="P405"/>
      <c r="Q405"/>
      <c r="R405"/>
      <c r="S405"/>
      <c r="T405"/>
      <c r="U405"/>
      <c r="V405"/>
      <c r="W405" s="55"/>
      <c r="X405"/>
      <c r="Y405"/>
    </row>
    <row r="406" spans="1:25">
      <c r="A406" s="19" t="s">
        <v>1253</v>
      </c>
      <c r="B406"/>
      <c r="C406" s="877">
        <v>5.7023544135234832E-4</v>
      </c>
      <c r="D406"/>
      <c r="E406"/>
      <c r="F406"/>
      <c r="G406"/>
      <c r="H406"/>
      <c r="I406"/>
      <c r="J406"/>
      <c r="K406"/>
      <c r="L406"/>
      <c r="M406"/>
      <c r="N406"/>
      <c r="O406"/>
      <c r="P406"/>
      <c r="Q406"/>
      <c r="R406"/>
      <c r="S406"/>
      <c r="T406"/>
      <c r="U406"/>
      <c r="V406"/>
      <c r="W406" s="55"/>
      <c r="X406"/>
      <c r="Y406"/>
    </row>
    <row r="407" spans="1:25">
      <c r="A407" s="19" t="s">
        <v>1255</v>
      </c>
      <c r="B407" s="5">
        <v>3.5342932473793216E-5</v>
      </c>
      <c r="C407" s="877" t="e">
        <f>(B407*'Feed products'!$C$145)/(1-'Feed products'!#REF!)</f>
        <v>#REF!</v>
      </c>
      <c r="D407"/>
      <c r="E407"/>
      <c r="F407"/>
      <c r="G407"/>
      <c r="H407"/>
      <c r="I407"/>
      <c r="J407"/>
      <c r="K407"/>
      <c r="L407"/>
      <c r="M407"/>
      <c r="N407"/>
      <c r="O407"/>
      <c r="P407"/>
      <c r="Q407"/>
      <c r="R407"/>
      <c r="S407" s="289">
        <v>35491</v>
      </c>
      <c r="T407" s="289">
        <v>38797</v>
      </c>
      <c r="U407" s="289">
        <v>36182</v>
      </c>
      <c r="V407" s="289">
        <v>42732</v>
      </c>
      <c r="W407" s="289">
        <v>35426</v>
      </c>
      <c r="X407">
        <f>AVERAGE(S407:W407)/10</f>
        <v>3772.56</v>
      </c>
      <c r="Y407"/>
    </row>
    <row r="408" spans="1:25">
      <c r="A408" s="19" t="s">
        <v>1256</v>
      </c>
      <c r="B408" s="5">
        <v>4.3448181359393318E-5</v>
      </c>
      <c r="C408" s="877" t="e">
        <v>#REF!</v>
      </c>
      <c r="D408"/>
      <c r="E408"/>
      <c r="F408"/>
      <c r="G408"/>
      <c r="H408"/>
      <c r="I408"/>
      <c r="J408"/>
      <c r="K408"/>
      <c r="L408"/>
      <c r="M408"/>
      <c r="N408"/>
      <c r="O408"/>
      <c r="P408"/>
      <c r="Q408"/>
      <c r="R408"/>
      <c r="S408" s="289">
        <v>742967</v>
      </c>
      <c r="T408" s="289">
        <v>688555</v>
      </c>
      <c r="U408" s="289">
        <v>638744</v>
      </c>
      <c r="V408" s="289">
        <v>798607</v>
      </c>
      <c r="W408" s="289">
        <v>721611</v>
      </c>
      <c r="X408">
        <f>AVERAGE(S408:W408)/10</f>
        <v>71809.680000000008</v>
      </c>
      <c r="Y408"/>
    </row>
    <row r="409" spans="1:25">
      <c r="A409" s="19" t="s">
        <v>1257</v>
      </c>
      <c r="B409"/>
      <c r="C409" s="877" t="e">
        <f>AVERAGE(C400:C408)</f>
        <v>#REF!</v>
      </c>
      <c r="D409"/>
      <c r="E409"/>
      <c r="F409"/>
      <c r="G409"/>
      <c r="H409"/>
      <c r="I409"/>
      <c r="J409"/>
      <c r="K409"/>
      <c r="L409"/>
      <c r="M409"/>
      <c r="N409"/>
      <c r="O409"/>
      <c r="P409"/>
      <c r="Q409"/>
      <c r="R409"/>
      <c r="S409"/>
      <c r="T409"/>
      <c r="U409"/>
      <c r="V409"/>
      <c r="W409" s="55"/>
      <c r="X409"/>
      <c r="Y409"/>
    </row>
    <row r="410" spans="1:25">
      <c r="A410" s="68" t="s">
        <v>1258</v>
      </c>
      <c r="B410"/>
      <c r="C410" s="877">
        <v>5.2854576746299989E-5</v>
      </c>
      <c r="D410"/>
      <c r="E410"/>
      <c r="F410"/>
      <c r="G410"/>
      <c r="H410"/>
      <c r="I410"/>
      <c r="J410"/>
      <c r="K410"/>
      <c r="L410"/>
      <c r="M410"/>
      <c r="N410"/>
      <c r="O410"/>
      <c r="P410"/>
      <c r="Q410"/>
      <c r="R410"/>
      <c r="S410"/>
      <c r="T410"/>
      <c r="U410"/>
      <c r="V410"/>
      <c r="W410" s="55"/>
      <c r="X410"/>
      <c r="Y410"/>
    </row>
    <row r="411" spans="1:25">
      <c r="A411" s="71" t="s">
        <v>1167</v>
      </c>
      <c r="B411"/>
      <c r="C411" s="877">
        <v>2.6183799231984962E-5</v>
      </c>
      <c r="D411"/>
      <c r="E411"/>
      <c r="F411"/>
      <c r="G411"/>
      <c r="H411"/>
      <c r="I411"/>
      <c r="J411"/>
      <c r="K411"/>
      <c r="L411"/>
      <c r="M411"/>
      <c r="N411"/>
      <c r="O411"/>
      <c r="P411"/>
      <c r="Q411"/>
      <c r="R411"/>
      <c r="S411"/>
      <c r="T411"/>
      <c r="U411"/>
      <c r="V411"/>
      <c r="W411" s="55"/>
      <c r="X411"/>
      <c r="Y411"/>
    </row>
    <row r="412" spans="1:25">
      <c r="A412"/>
      <c r="B412"/>
      <c r="C412" s="877"/>
      <c r="D412"/>
      <c r="E412"/>
      <c r="F412"/>
      <c r="G412"/>
      <c r="H412"/>
      <c r="I412"/>
      <c r="J412"/>
      <c r="K412"/>
      <c r="L412"/>
      <c r="M412"/>
      <c r="N412"/>
      <c r="O412"/>
      <c r="P412"/>
      <c r="Q412"/>
      <c r="R412"/>
      <c r="S412"/>
      <c r="T412"/>
      <c r="U412"/>
      <c r="V412"/>
      <c r="W412" s="55"/>
      <c r="X412"/>
      <c r="Y412"/>
    </row>
    <row r="413" spans="1:25">
      <c r="A413" s="1075" t="s">
        <v>1564</v>
      </c>
      <c r="B413"/>
      <c r="C413" s="877"/>
      <c r="D413"/>
      <c r="E413"/>
      <c r="F413"/>
      <c r="G413"/>
      <c r="H413"/>
      <c r="I413"/>
      <c r="J413"/>
      <c r="K413"/>
      <c r="L413"/>
      <c r="M413"/>
      <c r="N413"/>
      <c r="O413"/>
      <c r="P413"/>
      <c r="Q413"/>
      <c r="R413"/>
      <c r="S413" s="138"/>
      <c r="T413"/>
      <c r="U413"/>
      <c r="V413"/>
      <c r="W413" s="55"/>
      <c r="X413"/>
      <c r="Y413" s="138"/>
    </row>
    <row r="414" spans="1:25">
      <c r="A414" s="19" t="s">
        <v>624</v>
      </c>
      <c r="B414" s="5">
        <v>1.7956069770196201E-4</v>
      </c>
      <c r="C414" s="877" t="e">
        <v>#REF!</v>
      </c>
      <c r="D414"/>
      <c r="E414"/>
      <c r="F414"/>
      <c r="G414"/>
      <c r="H414"/>
      <c r="I414"/>
      <c r="J414"/>
      <c r="K414"/>
      <c r="L414"/>
      <c r="M414"/>
      <c r="N414"/>
      <c r="O414"/>
      <c r="P414"/>
      <c r="Q414"/>
      <c r="R414"/>
      <c r="S414" s="289"/>
      <c r="T414" s="289"/>
      <c r="U414" s="289"/>
      <c r="V414" s="289"/>
      <c r="W414" s="289"/>
      <c r="X414">
        <f>'Feed products'!B454</f>
        <v>3898.4032082670574</v>
      </c>
      <c r="Y414" s="289"/>
    </row>
    <row r="415" spans="1:25">
      <c r="A415" s="19" t="s">
        <v>192</v>
      </c>
      <c r="B415" s="5">
        <v>1.6976356565220075E-4</v>
      </c>
      <c r="C415" s="877" t="e">
        <f>B415/(1-'Feed products'!#REF!)</f>
        <v>#REF!</v>
      </c>
      <c r="D415"/>
      <c r="E415"/>
      <c r="F415"/>
      <c r="G415"/>
      <c r="H415"/>
      <c r="I415"/>
      <c r="J415"/>
      <c r="K415"/>
      <c r="L415"/>
      <c r="M415"/>
      <c r="N415"/>
      <c r="O415"/>
      <c r="P415"/>
      <c r="Q415"/>
      <c r="R415"/>
      <c r="S415" s="289">
        <v>71770</v>
      </c>
      <c r="T415" s="289">
        <v>73481</v>
      </c>
      <c r="U415" s="289">
        <v>65761</v>
      </c>
      <c r="V415" s="289">
        <v>65881</v>
      </c>
      <c r="W415" s="289">
        <v>47087</v>
      </c>
      <c r="X415">
        <f>AVERAGE(S415:W415)/10</f>
        <v>6479.6</v>
      </c>
      <c r="Y415"/>
    </row>
    <row r="416" spans="1:25">
      <c r="A416" s="70" t="s">
        <v>1034</v>
      </c>
      <c r="B416"/>
      <c r="C416" s="877"/>
      <c r="D416"/>
      <c r="E416"/>
      <c r="F416"/>
      <c r="G416"/>
      <c r="H416"/>
      <c r="I416"/>
      <c r="J416"/>
      <c r="K416"/>
      <c r="L416"/>
      <c r="M416"/>
      <c r="N416"/>
      <c r="O416"/>
      <c r="P416"/>
      <c r="Q416"/>
      <c r="R416"/>
      <c r="S416"/>
      <c r="T416"/>
      <c r="U416"/>
      <c r="V416"/>
      <c r="W416" s="55"/>
      <c r="X416"/>
      <c r="Y416"/>
    </row>
    <row r="417" spans="1:25">
      <c r="A417" s="19" t="s">
        <v>1248</v>
      </c>
      <c r="B417" s="5">
        <v>1.7956069770196201E-4</v>
      </c>
      <c r="C417" s="877" t="e">
        <v>#REF!</v>
      </c>
      <c r="D417"/>
      <c r="E417"/>
      <c r="F417"/>
      <c r="G417"/>
      <c r="H417"/>
      <c r="I417"/>
      <c r="J417"/>
      <c r="K417"/>
      <c r="L417"/>
      <c r="M417"/>
      <c r="N417"/>
      <c r="O417"/>
      <c r="P417"/>
      <c r="Q417"/>
      <c r="R417"/>
      <c r="S417"/>
      <c r="T417"/>
      <c r="U417"/>
      <c r="V417"/>
      <c r="W417" s="55"/>
      <c r="X417">
        <f>X414</f>
        <v>3898.4032082670574</v>
      </c>
      <c r="Y417"/>
    </row>
    <row r="418" spans="1:25">
      <c r="A418" s="19" t="s">
        <v>998</v>
      </c>
      <c r="B418"/>
      <c r="C418" s="877">
        <v>0</v>
      </c>
      <c r="D418"/>
      <c r="E418"/>
      <c r="F418"/>
      <c r="G418"/>
      <c r="H418"/>
      <c r="I418"/>
      <c r="J418"/>
      <c r="K418"/>
      <c r="L418"/>
      <c r="M418"/>
      <c r="N418"/>
      <c r="O418"/>
      <c r="P418"/>
      <c r="Q418"/>
      <c r="R418"/>
      <c r="S418"/>
      <c r="T418"/>
      <c r="U418"/>
      <c r="V418"/>
      <c r="W418" s="55"/>
      <c r="X418"/>
      <c r="Y418"/>
    </row>
    <row r="419" spans="1:25">
      <c r="A419" s="19" t="s">
        <v>1558</v>
      </c>
      <c r="B419"/>
      <c r="C419" s="877">
        <v>1.7483213418478656E-4</v>
      </c>
      <c r="D419"/>
      <c r="E419"/>
      <c r="F419"/>
      <c r="G419"/>
      <c r="H419"/>
      <c r="I419"/>
      <c r="J419"/>
      <c r="K419"/>
      <c r="L419"/>
      <c r="M419"/>
      <c r="N419"/>
      <c r="O419"/>
      <c r="P419"/>
      <c r="Q419"/>
      <c r="R419"/>
      <c r="S419"/>
      <c r="T419"/>
      <c r="U419"/>
      <c r="V419"/>
      <c r="W419" s="55"/>
      <c r="X419"/>
      <c r="Y419"/>
    </row>
    <row r="420" spans="1:25">
      <c r="A420" s="19" t="s">
        <v>1559</v>
      </c>
      <c r="B420" s="5">
        <v>2.9386830425521306E-4</v>
      </c>
      <c r="C420" s="877" t="e">
        <v>#REF!</v>
      </c>
      <c r="D420"/>
      <c r="E420"/>
      <c r="F420"/>
      <c r="G420"/>
      <c r="H420"/>
      <c r="I420"/>
      <c r="J420"/>
      <c r="K420"/>
      <c r="L420"/>
      <c r="M420"/>
      <c r="N420"/>
      <c r="O420"/>
      <c r="P420"/>
      <c r="Q420"/>
      <c r="R420"/>
      <c r="S420" s="289">
        <v>22427</v>
      </c>
      <c r="T420" s="289">
        <v>25900</v>
      </c>
      <c r="U420" s="289">
        <v>29083</v>
      </c>
      <c r="V420" s="289">
        <v>34442</v>
      </c>
      <c r="W420" s="289">
        <v>28517</v>
      </c>
      <c r="X420">
        <f>AVERAGE(S420:W420)/10</f>
        <v>2807.38</v>
      </c>
      <c r="Y420"/>
    </row>
    <row r="421" spans="1:25">
      <c r="A421" s="19" t="s">
        <v>1560</v>
      </c>
      <c r="B421" s="5">
        <v>2.9386830425521306E-4</v>
      </c>
      <c r="C421" s="877" t="e">
        <v>#REF!</v>
      </c>
      <c r="D421"/>
      <c r="E421"/>
      <c r="F421"/>
      <c r="G421"/>
      <c r="H421"/>
      <c r="I421"/>
      <c r="J421"/>
      <c r="K421"/>
      <c r="L421"/>
      <c r="M421"/>
      <c r="N421"/>
      <c r="O421"/>
      <c r="P421"/>
      <c r="Q421"/>
      <c r="R421"/>
      <c r="S421" s="289">
        <v>22427</v>
      </c>
      <c r="T421" s="289">
        <v>25900</v>
      </c>
      <c r="U421" s="289">
        <v>29083</v>
      </c>
      <c r="V421" s="289">
        <v>34442</v>
      </c>
      <c r="W421" s="289">
        <v>28517</v>
      </c>
      <c r="X421">
        <f>AVERAGE(S421:W421)/10</f>
        <v>2807.38</v>
      </c>
      <c r="Y421"/>
    </row>
    <row r="422" spans="1:25">
      <c r="A422" s="19" t="s">
        <v>1561</v>
      </c>
      <c r="B422"/>
      <c r="C422" s="877">
        <v>0</v>
      </c>
      <c r="D422"/>
      <c r="E422"/>
      <c r="F422"/>
      <c r="G422"/>
      <c r="H422"/>
      <c r="I422"/>
      <c r="J422"/>
      <c r="K422"/>
      <c r="L422"/>
      <c r="M422"/>
      <c r="N422"/>
      <c r="O422"/>
      <c r="P422"/>
      <c r="Q422"/>
      <c r="R422"/>
      <c r="S422"/>
      <c r="T422"/>
      <c r="U422"/>
      <c r="V422"/>
      <c r="W422" s="55"/>
      <c r="X422"/>
      <c r="Y422"/>
    </row>
    <row r="423" spans="1:25">
      <c r="A423" s="19" t="s">
        <v>1253</v>
      </c>
      <c r="B423"/>
      <c r="C423" s="877">
        <v>5.7023544135234832E-4</v>
      </c>
      <c r="D423"/>
      <c r="E423"/>
      <c r="F423"/>
      <c r="G423"/>
      <c r="H423"/>
      <c r="I423"/>
      <c r="J423"/>
      <c r="K423"/>
      <c r="L423"/>
      <c r="M423"/>
      <c r="N423"/>
      <c r="O423"/>
      <c r="P423"/>
      <c r="Q423"/>
      <c r="R423"/>
      <c r="S423"/>
      <c r="T423"/>
      <c r="U423"/>
      <c r="V423"/>
      <c r="W423" s="55"/>
      <c r="X423"/>
      <c r="Y423"/>
    </row>
    <row r="424" spans="1:25">
      <c r="A424" s="19" t="s">
        <v>1255</v>
      </c>
      <c r="B424" s="5">
        <v>2.3838849378203349E-4</v>
      </c>
      <c r="C424" s="877" t="e">
        <f>(B424*'Feed products'!$C$145)/(1-'Feed products'!#REF!)</f>
        <v>#REF!</v>
      </c>
      <c r="D424"/>
      <c r="E424"/>
      <c r="F424"/>
      <c r="G424"/>
      <c r="H424"/>
      <c r="I424"/>
      <c r="J424"/>
      <c r="K424"/>
      <c r="L424"/>
      <c r="M424"/>
      <c r="N424"/>
      <c r="O424"/>
      <c r="P424"/>
      <c r="Q424"/>
      <c r="R424"/>
      <c r="S424" s="289">
        <v>24592</v>
      </c>
      <c r="T424" s="289">
        <v>25072</v>
      </c>
      <c r="U424" s="289">
        <v>25253</v>
      </c>
      <c r="V424" s="289">
        <v>27353</v>
      </c>
      <c r="W424" s="289">
        <v>23575</v>
      </c>
      <c r="X424">
        <f>AVERAGE(S424:W424)/10</f>
        <v>2516.9</v>
      </c>
      <c r="Y424"/>
    </row>
    <row r="425" spans="1:25">
      <c r="A425" s="19" t="s">
        <v>1256</v>
      </c>
      <c r="B425" s="5">
        <v>4.1261355380225515E-5</v>
      </c>
      <c r="C425" s="877" t="e">
        <v>#REF!</v>
      </c>
      <c r="D425"/>
      <c r="E425"/>
      <c r="F425"/>
      <c r="G425"/>
      <c r="H425"/>
      <c r="I425"/>
      <c r="J425"/>
      <c r="K425"/>
      <c r="L425"/>
      <c r="M425"/>
      <c r="N425"/>
      <c r="O425"/>
      <c r="P425"/>
      <c r="Q425"/>
      <c r="R425"/>
      <c r="S425" s="289">
        <v>573635</v>
      </c>
      <c r="T425" s="289">
        <v>582476</v>
      </c>
      <c r="U425" s="289">
        <v>580066</v>
      </c>
      <c r="V425" s="289">
        <v>682504</v>
      </c>
      <c r="W425" s="289">
        <v>519904</v>
      </c>
      <c r="X425">
        <f>AVERAGE(S425:W425)/10</f>
        <v>58771.7</v>
      </c>
      <c r="Y425"/>
    </row>
    <row r="426" spans="1:25">
      <c r="A426" s="19" t="s">
        <v>1257</v>
      </c>
      <c r="B426"/>
      <c r="C426" s="877" t="e">
        <f>AVERAGE(C417:C425)</f>
        <v>#REF!</v>
      </c>
      <c r="D426"/>
      <c r="E426"/>
      <c r="F426"/>
      <c r="G426"/>
      <c r="H426"/>
      <c r="I426"/>
      <c r="J426"/>
      <c r="K426"/>
      <c r="L426"/>
      <c r="M426"/>
      <c r="N426"/>
      <c r="O426"/>
      <c r="P426"/>
      <c r="Q426"/>
      <c r="R426"/>
      <c r="S426"/>
      <c r="T426"/>
      <c r="U426"/>
      <c r="V426"/>
      <c r="W426" s="55"/>
      <c r="X426"/>
      <c r="Y426"/>
    </row>
    <row r="427" spans="1:25">
      <c r="A427" s="68" t="s">
        <v>1258</v>
      </c>
      <c r="B427"/>
      <c r="C427" s="877">
        <v>5.2854576746299989E-5</v>
      </c>
      <c r="D427"/>
      <c r="E427"/>
      <c r="F427"/>
      <c r="G427"/>
      <c r="H427"/>
      <c r="I427"/>
      <c r="J427"/>
      <c r="K427"/>
      <c r="L427"/>
      <c r="M427"/>
      <c r="N427"/>
      <c r="O427"/>
      <c r="P427"/>
      <c r="Q427"/>
      <c r="R427"/>
      <c r="S427"/>
      <c r="T427"/>
      <c r="U427"/>
      <c r="V427"/>
      <c r="W427" s="55"/>
      <c r="X427"/>
      <c r="Y427"/>
    </row>
    <row r="428" spans="1:25">
      <c r="A428" s="71" t="s">
        <v>1167</v>
      </c>
      <c r="B428"/>
      <c r="C428" s="877">
        <v>2.6183799231984962E-5</v>
      </c>
      <c r="D428"/>
      <c r="E428"/>
      <c r="F428"/>
      <c r="G428"/>
      <c r="H428"/>
      <c r="I428"/>
      <c r="J428"/>
      <c r="K428"/>
      <c r="L428"/>
      <c r="M428"/>
      <c r="N428"/>
      <c r="O428"/>
      <c r="P428"/>
      <c r="Q428"/>
      <c r="R428"/>
      <c r="S428"/>
      <c r="T428"/>
      <c r="U428"/>
      <c r="V428"/>
      <c r="W428" s="55"/>
      <c r="X428"/>
      <c r="Y428"/>
    </row>
    <row r="429" spans="1:25">
      <c r="A429"/>
      <c r="B429"/>
      <c r="C429"/>
      <c r="D429"/>
      <c r="E429"/>
      <c r="F429"/>
      <c r="G429"/>
      <c r="H429"/>
      <c r="I429"/>
      <c r="J429"/>
      <c r="K429"/>
      <c r="L429"/>
      <c r="M429"/>
      <c r="N429"/>
      <c r="O429"/>
      <c r="P429"/>
      <c r="Q429"/>
      <c r="R429"/>
      <c r="S429"/>
      <c r="T429"/>
      <c r="U429"/>
      <c r="V429"/>
      <c r="W429" s="55"/>
      <c r="X429"/>
      <c r="Y429"/>
    </row>
    <row r="430" spans="1:25">
      <c r="A430" s="1075" t="s">
        <v>1565</v>
      </c>
      <c r="B430"/>
      <c r="C430"/>
      <c r="D430"/>
      <c r="E430"/>
      <c r="F430"/>
      <c r="G430"/>
      <c r="H430"/>
      <c r="I430"/>
      <c r="J430"/>
      <c r="K430"/>
      <c r="L430"/>
      <c r="M430"/>
      <c r="N430"/>
      <c r="O430"/>
      <c r="P430"/>
      <c r="Q430"/>
      <c r="R430"/>
      <c r="S430"/>
      <c r="T430"/>
      <c r="U430"/>
      <c r="V430"/>
      <c r="W430" s="55"/>
      <c r="X430"/>
      <c r="Y430"/>
    </row>
    <row r="431" spans="1:25">
      <c r="A431" s="19" t="s">
        <v>624</v>
      </c>
      <c r="B431" s="183">
        <v>2.6887599873624059E-4</v>
      </c>
      <c r="C431" s="877" t="e">
        <v>#REF!</v>
      </c>
      <c r="D431"/>
      <c r="E431"/>
      <c r="F431"/>
      <c r="G431"/>
      <c r="H431"/>
      <c r="I431"/>
      <c r="J431"/>
      <c r="K431"/>
      <c r="L431"/>
      <c r="M431"/>
      <c r="N431"/>
      <c r="O431"/>
      <c r="P431"/>
      <c r="Q431"/>
      <c r="R431"/>
      <c r="S431"/>
      <c r="T431"/>
      <c r="U431"/>
      <c r="V431"/>
      <c r="W431" s="55"/>
      <c r="X431"/>
      <c r="Y431"/>
    </row>
    <row r="432" spans="1:25">
      <c r="A432" s="19" t="s">
        <v>192</v>
      </c>
      <c r="B432" s="183">
        <v>2.2845263320216347E-4</v>
      </c>
      <c r="C432" s="877" t="e">
        <f>B432/(1-'Feed products'!#REF!)</f>
        <v>#REF!</v>
      </c>
      <c r="D432"/>
      <c r="E432"/>
      <c r="F432"/>
      <c r="G432"/>
      <c r="H432"/>
      <c r="I432"/>
      <c r="J432"/>
      <c r="K432"/>
      <c r="L432"/>
      <c r="M432"/>
      <c r="N432"/>
      <c r="O432"/>
      <c r="P432"/>
      <c r="Q432"/>
      <c r="R432"/>
      <c r="S432" s="289">
        <v>75964</v>
      </c>
      <c r="T432" s="289">
        <v>60553</v>
      </c>
      <c r="U432" s="289">
        <v>68471</v>
      </c>
      <c r="V432" s="289">
        <v>80976</v>
      </c>
      <c r="W432" s="289">
        <v>64218</v>
      </c>
      <c r="X432">
        <f>AVERAGE(S432:W432)/10</f>
        <v>7003.6399999999994</v>
      </c>
      <c r="Y432"/>
    </row>
    <row r="433" spans="1:25">
      <c r="A433" s="70" t="s">
        <v>1034</v>
      </c>
      <c r="B433" s="183"/>
      <c r="C433" s="877"/>
      <c r="D433"/>
      <c r="E433"/>
      <c r="F433"/>
      <c r="G433"/>
      <c r="H433"/>
      <c r="I433"/>
      <c r="J433"/>
      <c r="K433"/>
      <c r="L433"/>
      <c r="M433"/>
      <c r="N433"/>
      <c r="O433"/>
      <c r="P433"/>
      <c r="Q433"/>
      <c r="R433"/>
      <c r="S433"/>
      <c r="T433"/>
      <c r="U433"/>
      <c r="V433"/>
      <c r="W433" s="55"/>
      <c r="X433"/>
      <c r="Y433"/>
    </row>
    <row r="434" spans="1:25">
      <c r="A434" s="19" t="s">
        <v>1248</v>
      </c>
      <c r="B434" s="183">
        <f>B431</f>
        <v>2.6887599873624059E-4</v>
      </c>
      <c r="C434" s="877" t="e">
        <v>#REF!</v>
      </c>
      <c r="D434"/>
      <c r="E434"/>
      <c r="F434"/>
      <c r="G434"/>
      <c r="H434"/>
      <c r="I434"/>
      <c r="J434"/>
      <c r="K434"/>
      <c r="L434"/>
      <c r="M434"/>
      <c r="N434"/>
      <c r="O434"/>
      <c r="P434"/>
      <c r="Q434"/>
      <c r="R434"/>
      <c r="S434"/>
      <c r="T434"/>
      <c r="U434"/>
      <c r="V434"/>
      <c r="W434" s="55"/>
      <c r="X434"/>
      <c r="Y434"/>
    </row>
    <row r="435" spans="1:25">
      <c r="A435" s="19" t="s">
        <v>998</v>
      </c>
      <c r="B435" s="183"/>
      <c r="C435" s="877">
        <v>0</v>
      </c>
      <c r="D435"/>
      <c r="E435"/>
      <c r="F435"/>
      <c r="G435"/>
      <c r="H435"/>
      <c r="I435"/>
      <c r="J435"/>
      <c r="K435"/>
      <c r="L435"/>
      <c r="M435"/>
      <c r="N435"/>
      <c r="O435"/>
      <c r="P435"/>
      <c r="Q435"/>
      <c r="R435"/>
      <c r="S435"/>
      <c r="T435"/>
      <c r="U435"/>
      <c r="V435"/>
      <c r="W435" s="55"/>
      <c r="X435"/>
      <c r="Y435"/>
    </row>
    <row r="436" spans="1:25">
      <c r="A436" s="19" t="s">
        <v>1558</v>
      </c>
      <c r="B436" s="183"/>
      <c r="C436" s="877">
        <v>1.7483213418478656E-4</v>
      </c>
      <c r="D436"/>
      <c r="E436"/>
      <c r="F436"/>
      <c r="G436"/>
      <c r="H436"/>
      <c r="I436"/>
      <c r="J436"/>
      <c r="K436"/>
      <c r="L436"/>
      <c r="M436"/>
      <c r="N436"/>
      <c r="O436"/>
      <c r="P436"/>
      <c r="Q436"/>
      <c r="R436"/>
      <c r="S436"/>
      <c r="T436"/>
      <c r="U436"/>
      <c r="V436"/>
      <c r="W436" s="55"/>
      <c r="X436"/>
      <c r="Y436"/>
    </row>
    <row r="437" spans="1:25">
      <c r="A437" s="19" t="s">
        <v>1559</v>
      </c>
      <c r="B437" s="183">
        <v>3.6711404802349532E-4</v>
      </c>
      <c r="C437" s="877" t="e">
        <v>#REF!</v>
      </c>
      <c r="D437"/>
      <c r="E437"/>
      <c r="F437"/>
      <c r="G437"/>
      <c r="H437"/>
      <c r="I437"/>
      <c r="J437"/>
      <c r="K437"/>
      <c r="L437"/>
      <c r="M437"/>
      <c r="N437"/>
      <c r="O437"/>
      <c r="P437"/>
      <c r="Q437"/>
      <c r="R437"/>
      <c r="S437" s="289">
        <v>28501</v>
      </c>
      <c r="T437" s="289">
        <v>31032</v>
      </c>
      <c r="U437" s="289">
        <v>31267</v>
      </c>
      <c r="V437" s="289">
        <v>36179</v>
      </c>
      <c r="W437" s="289">
        <v>33734</v>
      </c>
      <c r="X437">
        <f>AVERAGE(S437:W437)/10</f>
        <v>3214.2599999999998</v>
      </c>
      <c r="Y437"/>
    </row>
    <row r="438" spans="1:25">
      <c r="A438" s="19" t="s">
        <v>1560</v>
      </c>
      <c r="B438" s="183">
        <f>B437</f>
        <v>3.6711404802349532E-4</v>
      </c>
      <c r="C438" s="877" t="e">
        <v>#REF!</v>
      </c>
      <c r="D438"/>
      <c r="E438"/>
      <c r="F438"/>
      <c r="G438"/>
      <c r="H438"/>
      <c r="I438"/>
      <c r="J438"/>
      <c r="K438"/>
      <c r="L438"/>
      <c r="M438"/>
      <c r="N438"/>
      <c r="O438"/>
      <c r="P438"/>
      <c r="Q438"/>
      <c r="R438"/>
      <c r="S438"/>
      <c r="T438"/>
      <c r="U438"/>
      <c r="V438"/>
      <c r="W438" s="55"/>
      <c r="X438"/>
      <c r="Y438"/>
    </row>
    <row r="439" spans="1:25">
      <c r="A439" s="19" t="s">
        <v>1561</v>
      </c>
      <c r="B439" s="183"/>
      <c r="C439" s="877">
        <v>0</v>
      </c>
      <c r="D439"/>
      <c r="E439"/>
      <c r="F439"/>
      <c r="G439"/>
      <c r="H439"/>
      <c r="I439"/>
      <c r="J439"/>
      <c r="K439"/>
      <c r="L439"/>
      <c r="M439"/>
      <c r="N439"/>
      <c r="O439"/>
      <c r="P439"/>
      <c r="Q439"/>
      <c r="R439"/>
      <c r="S439"/>
      <c r="T439"/>
      <c r="U439"/>
      <c r="V439"/>
      <c r="W439" s="55"/>
      <c r="X439"/>
      <c r="Y439"/>
    </row>
    <row r="440" spans="1:25" ht="15.75" thickBot="1">
      <c r="A440" s="19" t="s">
        <v>1253</v>
      </c>
      <c r="B440" s="183"/>
      <c r="C440" s="877">
        <v>5.7023544135234832E-4</v>
      </c>
      <c r="D440"/>
      <c r="E440"/>
      <c r="F440"/>
      <c r="G440"/>
      <c r="H440"/>
      <c r="I440"/>
      <c r="J440"/>
      <c r="K440"/>
      <c r="L440"/>
      <c r="M440"/>
      <c r="N440"/>
      <c r="O440"/>
      <c r="P440"/>
      <c r="Q440"/>
      <c r="R440"/>
      <c r="S440"/>
      <c r="T440"/>
      <c r="U440"/>
      <c r="V440"/>
      <c r="W440" s="55"/>
      <c r="X440"/>
      <c r="Y440"/>
    </row>
    <row r="441" spans="1:25" ht="15.75" thickBot="1">
      <c r="A441" s="19" t="s">
        <v>1255</v>
      </c>
      <c r="B441" s="183">
        <v>3.712095029632759E-4</v>
      </c>
      <c r="C441" s="877" t="e">
        <f>(B441*'Feed products'!$C$145)/(1-'Feed products'!#REF!)</f>
        <v>#REF!</v>
      </c>
      <c r="D441"/>
      <c r="E441"/>
      <c r="F441"/>
      <c r="G441"/>
      <c r="H441"/>
      <c r="I441"/>
      <c r="J441"/>
      <c r="K441"/>
      <c r="L441"/>
      <c r="M441"/>
      <c r="N441"/>
      <c r="O441"/>
      <c r="P441"/>
      <c r="Q441"/>
      <c r="R441"/>
      <c r="S441" s="289">
        <v>31654</v>
      </c>
      <c r="T441" s="289">
        <v>32448</v>
      </c>
      <c r="U441" s="289">
        <v>30812</v>
      </c>
      <c r="V441" s="289">
        <v>32299</v>
      </c>
      <c r="W441" s="285">
        <v>29033</v>
      </c>
      <c r="X441">
        <f>AVERAGE(S441:W441)/10</f>
        <v>3124.92</v>
      </c>
      <c r="Y441"/>
    </row>
    <row r="442" spans="1:25">
      <c r="A442" s="19" t="s">
        <v>1256</v>
      </c>
      <c r="B442" s="183">
        <v>4.7831811325096973E-5</v>
      </c>
      <c r="C442" s="877" t="e">
        <v>#REF!</v>
      </c>
      <c r="D442"/>
      <c r="E442"/>
      <c r="F442"/>
      <c r="G442"/>
      <c r="H442"/>
      <c r="I442"/>
      <c r="J442"/>
      <c r="K442"/>
      <c r="L442"/>
      <c r="M442"/>
      <c r="N442"/>
      <c r="O442"/>
      <c r="P442"/>
      <c r="Q442"/>
      <c r="R442"/>
      <c r="S442" s="289">
        <v>759599</v>
      </c>
      <c r="T442" s="289">
        <v>690321</v>
      </c>
      <c r="U442" s="289">
        <v>691668</v>
      </c>
      <c r="V442" s="289">
        <v>798627</v>
      </c>
      <c r="W442" s="289">
        <v>718438</v>
      </c>
      <c r="X442">
        <f>AVERAGE(S442:W442)/10</f>
        <v>73173.06</v>
      </c>
      <c r="Y442"/>
    </row>
    <row r="443" spans="1:25">
      <c r="A443" s="19" t="s">
        <v>1257</v>
      </c>
      <c r="B443"/>
      <c r="C443" s="877" t="e">
        <f>AVERAGE(C434:C442)</f>
        <v>#REF!</v>
      </c>
      <c r="D443"/>
      <c r="E443"/>
      <c r="F443"/>
      <c r="G443"/>
      <c r="H443"/>
      <c r="I443"/>
      <c r="J443"/>
      <c r="K443"/>
      <c r="L443"/>
      <c r="M443"/>
      <c r="N443"/>
      <c r="O443"/>
      <c r="P443"/>
      <c r="Q443"/>
      <c r="R443"/>
      <c r="S443"/>
      <c r="T443"/>
      <c r="U443"/>
      <c r="V443"/>
      <c r="W443" s="55"/>
      <c r="X443"/>
      <c r="Y443"/>
    </row>
    <row r="444" spans="1:25">
      <c r="A444" s="68" t="s">
        <v>1258</v>
      </c>
      <c r="B444"/>
      <c r="C444" s="877">
        <v>5.2854576746299989E-5</v>
      </c>
      <c r="D444"/>
      <c r="E444"/>
      <c r="F444"/>
      <c r="G444"/>
      <c r="H444"/>
      <c r="I444"/>
      <c r="J444"/>
      <c r="K444"/>
      <c r="L444"/>
      <c r="M444"/>
      <c r="N444"/>
      <c r="O444"/>
      <c r="P444"/>
      <c r="Q444"/>
      <c r="R444"/>
      <c r="S444"/>
      <c r="T444"/>
      <c r="U444"/>
      <c r="V444"/>
      <c r="W444" s="55"/>
      <c r="X444"/>
      <c r="Y444"/>
    </row>
    <row r="445" spans="1:25">
      <c r="A445" s="71" t="s">
        <v>1167</v>
      </c>
      <c r="B445"/>
      <c r="C445" s="877">
        <v>2.6183799231984962E-5</v>
      </c>
      <c r="D445"/>
      <c r="E445"/>
      <c r="F445"/>
      <c r="G445"/>
      <c r="H445"/>
      <c r="I445"/>
      <c r="J445"/>
      <c r="K445"/>
      <c r="L445"/>
      <c r="M445"/>
      <c r="N445"/>
      <c r="O445"/>
      <c r="P445"/>
      <c r="Q445"/>
      <c r="R445"/>
      <c r="S445"/>
      <c r="T445"/>
      <c r="U445"/>
      <c r="V445"/>
      <c r="W445" s="55"/>
      <c r="X445"/>
      <c r="Y445"/>
    </row>
    <row r="446" spans="1:25">
      <c r="A446"/>
      <c r="B446"/>
      <c r="C446"/>
      <c r="D446"/>
      <c r="E446"/>
      <c r="F446"/>
      <c r="G446"/>
      <c r="H446"/>
      <c r="I446"/>
      <c r="J446"/>
      <c r="K446"/>
      <c r="L446"/>
      <c r="M446"/>
      <c r="N446"/>
      <c r="O446"/>
      <c r="P446"/>
      <c r="Q446"/>
      <c r="R446"/>
      <c r="S446"/>
      <c r="T446"/>
      <c r="U446"/>
      <c r="V446"/>
      <c r="W446" s="55"/>
      <c r="X446"/>
      <c r="Y446"/>
    </row>
    <row r="449" spans="1:32">
      <c r="A449" s="138" t="s">
        <v>1566</v>
      </c>
      <c r="B449"/>
      <c r="C449"/>
      <c r="D449"/>
      <c r="E449"/>
      <c r="F449"/>
      <c r="G449"/>
      <c r="H449"/>
      <c r="I449"/>
      <c r="J449"/>
      <c r="K449"/>
      <c r="L449"/>
      <c r="M449"/>
      <c r="N449"/>
      <c r="O449"/>
      <c r="P449"/>
      <c r="Q449"/>
      <c r="R449"/>
      <c r="S449"/>
      <c r="T449"/>
      <c r="U449"/>
      <c r="V449" s="138" t="s">
        <v>1567</v>
      </c>
      <c r="W449" t="s">
        <v>33</v>
      </c>
      <c r="X449" t="s">
        <v>47</v>
      </c>
      <c r="Y449" t="s">
        <v>53</v>
      </c>
      <c r="Z449" t="s">
        <v>40</v>
      </c>
      <c r="AA449"/>
      <c r="AB449"/>
      <c r="AC449"/>
      <c r="AD449"/>
      <c r="AE449"/>
      <c r="AF449"/>
    </row>
    <row r="450" spans="1:32">
      <c r="A450" s="6" t="s">
        <v>1568</v>
      </c>
      <c r="B450" t="s">
        <v>1270</v>
      </c>
      <c r="C450"/>
      <c r="D450"/>
      <c r="E450"/>
      <c r="F450"/>
      <c r="G450"/>
      <c r="H450"/>
      <c r="I450"/>
      <c r="J450"/>
      <c r="K450"/>
      <c r="L450"/>
      <c r="M450"/>
      <c r="N450"/>
      <c r="O450"/>
      <c r="P450"/>
      <c r="Q450"/>
      <c r="R450"/>
      <c r="S450"/>
      <c r="T450"/>
      <c r="U450"/>
      <c r="V450"/>
      <c r="W450"/>
      <c r="X450"/>
      <c r="Y450"/>
      <c r="Z450"/>
      <c r="AA450" s="281"/>
      <c r="AB450"/>
      <c r="AC450"/>
      <c r="AD450"/>
      <c r="AE450"/>
      <c r="AF450"/>
    </row>
    <row r="451" spans="1:32" ht="15.75" thickBot="1">
      <c r="A451" t="s">
        <v>1557</v>
      </c>
      <c r="B451">
        <f>W451*S458+X451*S465+Y451*S472+Z451*S479</f>
        <v>6569.0916523978321</v>
      </c>
      <c r="C451" s="289"/>
      <c r="D451" s="289"/>
      <c r="E451" s="289"/>
      <c r="F451" s="289"/>
      <c r="G451" s="289"/>
      <c r="H451" s="289"/>
      <c r="I451" s="289"/>
      <c r="J451" s="289"/>
      <c r="K451" s="289"/>
      <c r="L451" s="289"/>
      <c r="M451" s="289"/>
      <c r="N451" s="289"/>
      <c r="O451" s="289"/>
      <c r="P451" s="289"/>
      <c r="Q451" s="289"/>
      <c r="R451" s="289"/>
      <c r="S451"/>
      <c r="T451"/>
      <c r="U451"/>
      <c r="V451" t="s">
        <v>1557</v>
      </c>
      <c r="W451" s="5">
        <f>AB458/SUM($AB$458,$AB$465,$AB$472,$AB$479)</f>
        <v>0.51164513919943311</v>
      </c>
      <c r="X451" s="5">
        <f>AB465/SUM($AB$458,$AB$465,$AB$472,$AB$479)</f>
        <v>0.40315664175831772</v>
      </c>
      <c r="Y451" s="5">
        <f>AB472/SUM($AB$458,$AB$465,$AB$472,$AB$479)</f>
        <v>2.7842046934847278E-2</v>
      </c>
      <c r="Z451" s="5">
        <f>AB479/SUM($AB$458,$AB$465,$AB$472,$AB$479)</f>
        <v>5.7356172107401862E-2</v>
      </c>
      <c r="AA451" s="5">
        <f>SUM(W451:Z451)</f>
        <v>1</v>
      </c>
      <c r="AB451"/>
      <c r="AC451"/>
      <c r="AD451"/>
      <c r="AE451"/>
      <c r="AF451"/>
    </row>
    <row r="452" spans="1:32" ht="15.75" thickBot="1">
      <c r="A452" t="s">
        <v>1569</v>
      </c>
      <c r="B452">
        <f>W452*S459+X452*S466+Y452*S473+Z452*S480</f>
        <v>8183.6223428561234</v>
      </c>
      <c r="C452" s="289"/>
      <c r="D452" s="285"/>
      <c r="E452" s="289"/>
      <c r="F452" s="289"/>
      <c r="G452" s="289"/>
      <c r="H452" s="289"/>
      <c r="I452" s="289"/>
      <c r="J452" s="289"/>
      <c r="K452" s="289"/>
      <c r="L452" s="289"/>
      <c r="M452" s="289"/>
      <c r="N452" s="289"/>
      <c r="O452" s="289"/>
      <c r="P452" s="289"/>
      <c r="Q452" s="289"/>
      <c r="R452" s="289"/>
      <c r="S452"/>
      <c r="T452"/>
      <c r="U452"/>
      <c r="V452" t="s">
        <v>1569</v>
      </c>
      <c r="W452" s="5">
        <f>$AB459/SUM($AB$459,$AB$466,$AB$473,$AB$480)</f>
        <v>0.29308665152494306</v>
      </c>
      <c r="X452" s="5">
        <f>$AB466/SUM($AB$459,$AB$466,$AB$473,$AB$480)</f>
        <v>0.63620831288613822</v>
      </c>
      <c r="Y452" s="5">
        <f>$AB473/SUM($AB$459,$AB$466,$AB$473,$AB$480)</f>
        <v>7.0459791502589908E-2</v>
      </c>
      <c r="Z452" s="5">
        <f>$AB480/SUM($AB$459,$AB$466,$AB$473,$AB$480)</f>
        <v>2.4524408632885253E-4</v>
      </c>
      <c r="AA452" s="5">
        <f>SUM(W452:Z452)</f>
        <v>1</v>
      </c>
      <c r="AB452"/>
      <c r="AC452"/>
      <c r="AD452"/>
      <c r="AE452"/>
      <c r="AF452"/>
    </row>
    <row r="453" spans="1:32">
      <c r="A453" t="s">
        <v>1563</v>
      </c>
      <c r="B453">
        <f>W453*S460+X453*S467+Y453*S474+Z453*S481</f>
        <v>7212.4531447383179</v>
      </c>
      <c r="C453" s="289"/>
      <c r="D453" s="289"/>
      <c r="E453" s="289"/>
      <c r="F453" s="289"/>
      <c r="G453" s="289"/>
      <c r="H453" s="289"/>
      <c r="I453" s="289"/>
      <c r="J453" s="289"/>
      <c r="K453" s="289"/>
      <c r="L453" s="289"/>
      <c r="M453" s="289"/>
      <c r="N453" s="289"/>
      <c r="O453" s="289"/>
      <c r="P453" s="289"/>
      <c r="Q453" s="289"/>
      <c r="R453" s="289"/>
      <c r="S453"/>
      <c r="T453"/>
      <c r="U453"/>
      <c r="V453" t="s">
        <v>1563</v>
      </c>
      <c r="W453" s="5">
        <f>$AB460/SUM($AB$460,$AB$467,$AB$474,$AB$481)</f>
        <v>0.62635213935867773</v>
      </c>
      <c r="X453" s="5">
        <f>$AB467/SUM($AB$460,$AB$467,$AB$474,$AB$481)</f>
        <v>0.26484002649335681</v>
      </c>
      <c r="Y453" s="5">
        <f>$AB474/SUM($AB$460,$AB$467,$AB$474,$AB$481)</f>
        <v>1.6118300784088699E-2</v>
      </c>
      <c r="Z453" s="5">
        <f>$AB481/SUM($AB$460,$AB$467,$AB$474,$AB$481)</f>
        <v>9.2689533363876794E-2</v>
      </c>
      <c r="AA453" s="5">
        <f>SUM(W453:Z453)</f>
        <v>1</v>
      </c>
      <c r="AB453"/>
      <c r="AC453"/>
      <c r="AD453"/>
      <c r="AE453"/>
      <c r="AF453"/>
    </row>
    <row r="454" spans="1:32">
      <c r="A454" t="s">
        <v>1564</v>
      </c>
      <c r="B454">
        <f>W454*S461+X454*S468+Y454*S475+Z454*S482</f>
        <v>3898.4032082670574</v>
      </c>
      <c r="C454" s="289"/>
      <c r="D454" s="289"/>
      <c r="E454" s="289"/>
      <c r="F454" s="289"/>
      <c r="G454" s="289"/>
      <c r="H454" s="289"/>
      <c r="I454" s="289"/>
      <c r="J454" s="289"/>
      <c r="K454" s="289"/>
      <c r="L454" s="289"/>
      <c r="M454" s="289"/>
      <c r="N454" s="289"/>
      <c r="O454" s="289"/>
      <c r="P454" s="289"/>
      <c r="Q454" s="289"/>
      <c r="R454" s="289"/>
      <c r="S454"/>
      <c r="T454"/>
      <c r="U454"/>
      <c r="V454" t="s">
        <v>1564</v>
      </c>
      <c r="W454" s="5">
        <f>$AB461/SUM($AB$461,$AB$468,$AB$475,$AB$482)</f>
        <v>0.57242842813552641</v>
      </c>
      <c r="X454" s="5">
        <f>$AB468/SUM($AB$461,$AB$468,$AB$475,$AB$482)</f>
        <v>0.19443181433495668</v>
      </c>
      <c r="Y454" s="5">
        <f>$AB475/SUM($AB$461,$AB$468,$AB$475,$AB$482)</f>
        <v>7.6880634238435511E-2</v>
      </c>
      <c r="Z454" s="5">
        <f>$AB482/SUM($AB$461,$AB$468,$AB$475,$AB$482)</f>
        <v>0.15625912329108133</v>
      </c>
      <c r="AA454" s="5">
        <f>SUM(W454:Z454)</f>
        <v>1</v>
      </c>
      <c r="AB454"/>
      <c r="AC454"/>
      <c r="AD454"/>
      <c r="AE454"/>
      <c r="AF454"/>
    </row>
    <row r="455" spans="1:32">
      <c r="A455" t="s">
        <v>1565</v>
      </c>
      <c r="B455">
        <f>W455*S462+X455*S469+Y455*S476+Z455*S483</f>
        <v>5206.8611798011716</v>
      </c>
      <c r="C455" s="289"/>
      <c r="D455" s="289"/>
      <c r="E455" s="289"/>
      <c r="F455" s="289"/>
      <c r="G455" s="289"/>
      <c r="H455" s="289"/>
      <c r="I455" s="289"/>
      <c r="J455" s="289"/>
      <c r="K455" s="289"/>
      <c r="L455" s="289"/>
      <c r="M455" s="289"/>
      <c r="N455" s="289"/>
      <c r="O455" s="289"/>
      <c r="P455" s="289"/>
      <c r="Q455" s="289"/>
      <c r="R455" s="289"/>
      <c r="S455"/>
      <c r="T455"/>
      <c r="U455"/>
      <c r="V455" t="s">
        <v>1565</v>
      </c>
      <c r="W455" s="5">
        <f>$AB462/SUM($AB$462,$AB$469,$AB$476,$AB$483)</f>
        <v>0.66436095735799261</v>
      </c>
      <c r="X455" s="5">
        <f>$AB469/SUM($AB$462,$AB$469,$AB$476,$AB$483)</f>
        <v>0.26116752398606247</v>
      </c>
      <c r="Y455" s="5">
        <f>$AB476/SUM($AB$462,$AB$469,$AB$476,$AB$483)</f>
        <v>3.5910325573895889E-2</v>
      </c>
      <c r="Z455" s="5">
        <f>$AB483/SUM($AB$462,$AB$469,$AB$476,$AB$483)</f>
        <v>3.8561193082049035E-2</v>
      </c>
      <c r="AA455" s="5">
        <f>SUM(W455:Z455)</f>
        <v>1</v>
      </c>
      <c r="AB455"/>
      <c r="AC455"/>
      <c r="AD455"/>
      <c r="AE455"/>
      <c r="AF455"/>
    </row>
    <row r="456" spans="1:32">
      <c r="A456" s="138" t="s">
        <v>33</v>
      </c>
      <c r="B456"/>
      <c r="C456"/>
      <c r="D456"/>
      <c r="E456"/>
      <c r="F456"/>
      <c r="G456"/>
      <c r="H456"/>
      <c r="I456"/>
      <c r="J456"/>
      <c r="K456"/>
      <c r="L456"/>
      <c r="M456"/>
      <c r="N456"/>
      <c r="O456"/>
      <c r="P456"/>
      <c r="Q456"/>
      <c r="R456"/>
      <c r="S456"/>
      <c r="T456"/>
      <c r="U456"/>
      <c r="V456"/>
      <c r="W456"/>
      <c r="X456"/>
      <c r="Y456"/>
      <c r="Z456"/>
      <c r="AA456"/>
      <c r="AB456"/>
      <c r="AC456"/>
      <c r="AD456"/>
      <c r="AE456"/>
      <c r="AF456"/>
    </row>
    <row r="457" spans="1:32">
      <c r="A457" s="6" t="s">
        <v>1226</v>
      </c>
      <c r="B457">
        <v>2011</v>
      </c>
      <c r="C457">
        <v>2012</v>
      </c>
      <c r="D457">
        <v>2013</v>
      </c>
      <c r="E457">
        <v>2014</v>
      </c>
      <c r="F457"/>
      <c r="G457"/>
      <c r="H457">
        <v>2015</v>
      </c>
      <c r="I457"/>
      <c r="J457"/>
      <c r="K457"/>
      <c r="L457"/>
      <c r="M457"/>
      <c r="N457"/>
      <c r="O457"/>
      <c r="P457"/>
      <c r="Q457"/>
      <c r="R457"/>
      <c r="S457" t="s">
        <v>1270</v>
      </c>
      <c r="T457"/>
      <c r="U457"/>
      <c r="V457" s="6" t="s">
        <v>1570</v>
      </c>
      <c r="W457">
        <v>2011</v>
      </c>
      <c r="X457">
        <v>2012</v>
      </c>
      <c r="Y457">
        <v>2013</v>
      </c>
      <c r="Z457">
        <v>2014</v>
      </c>
      <c r="AA457">
        <v>2015</v>
      </c>
      <c r="AB457" t="s">
        <v>1270</v>
      </c>
      <c r="AC457"/>
      <c r="AD457"/>
      <c r="AE457"/>
      <c r="AF457"/>
    </row>
    <row r="458" spans="1:32" ht="15.75" thickBot="1">
      <c r="A458" t="s">
        <v>1557</v>
      </c>
      <c r="B458" s="289">
        <v>64672</v>
      </c>
      <c r="C458" s="289">
        <v>73687</v>
      </c>
      <c r="D458" s="289">
        <v>72992</v>
      </c>
      <c r="E458" s="289">
        <v>77833</v>
      </c>
      <c r="F458" s="289"/>
      <c r="G458" s="289"/>
      <c r="H458" s="289">
        <v>79527</v>
      </c>
      <c r="I458" s="289"/>
      <c r="J458" s="289"/>
      <c r="K458" s="289"/>
      <c r="L458" s="289"/>
      <c r="M458" s="289"/>
      <c r="N458" s="289"/>
      <c r="O458" s="289"/>
      <c r="P458" s="289"/>
      <c r="Q458" s="289"/>
      <c r="R458" s="289"/>
      <c r="S458">
        <f>AVERAGE(B458:H458)/10</f>
        <v>7374.2199999999993</v>
      </c>
      <c r="T458"/>
      <c r="U458"/>
      <c r="V458"/>
      <c r="W458" s="289">
        <v>4831000</v>
      </c>
      <c r="X458" s="289">
        <v>4525100</v>
      </c>
      <c r="Y458" s="289">
        <v>4145200</v>
      </c>
      <c r="Z458" s="289">
        <v>5153300</v>
      </c>
      <c r="AA458" s="289">
        <v>5029300</v>
      </c>
      <c r="AB458">
        <f>AVERAGE(W458:AA458)</f>
        <v>4736780</v>
      </c>
      <c r="AC458"/>
      <c r="AD458"/>
      <c r="AE458"/>
      <c r="AF458"/>
    </row>
    <row r="459" spans="1:32" ht="15.75" thickBot="1">
      <c r="A459" t="s">
        <v>1569</v>
      </c>
      <c r="B459" s="289">
        <v>98641</v>
      </c>
      <c r="C459" s="289">
        <v>72235</v>
      </c>
      <c r="D459" s="285">
        <v>89983</v>
      </c>
      <c r="E459" s="289">
        <v>100140</v>
      </c>
      <c r="F459" s="289"/>
      <c r="G459" s="289"/>
      <c r="H459" s="289">
        <v>106677</v>
      </c>
      <c r="I459" s="289"/>
      <c r="J459" s="289"/>
      <c r="K459" s="289"/>
      <c r="L459" s="289"/>
      <c r="M459" s="289"/>
      <c r="N459" s="289"/>
      <c r="O459" s="289"/>
      <c r="P459" s="289"/>
      <c r="Q459" s="289"/>
      <c r="R459" s="289"/>
      <c r="S459">
        <f>AVERAGE(B459:H459)/10</f>
        <v>9353.52</v>
      </c>
      <c r="T459"/>
      <c r="U459"/>
      <c r="V459"/>
      <c r="W459" s="289">
        <v>929200</v>
      </c>
      <c r="X459" s="289">
        <v>707900</v>
      </c>
      <c r="Y459" s="289">
        <v>545300</v>
      </c>
      <c r="Z459" s="289">
        <v>717000</v>
      </c>
      <c r="AA459" s="289">
        <v>696600</v>
      </c>
      <c r="AB459">
        <f>AVERAGE(W459:AA459)</f>
        <v>719200</v>
      </c>
      <c r="AC459"/>
      <c r="AD459"/>
      <c r="AE459"/>
      <c r="AF459"/>
    </row>
    <row r="460" spans="1:32">
      <c r="A460" t="s">
        <v>1563</v>
      </c>
      <c r="B460" s="289">
        <v>70139</v>
      </c>
      <c r="C460" s="289">
        <v>73312</v>
      </c>
      <c r="D460" s="289">
        <v>79979</v>
      </c>
      <c r="E460" s="289">
        <v>86296</v>
      </c>
      <c r="F460" s="289"/>
      <c r="G460" s="289"/>
      <c r="H460" s="289">
        <v>80877</v>
      </c>
      <c r="I460" s="289"/>
      <c r="J460" s="289"/>
      <c r="K460" s="289"/>
      <c r="L460" s="289"/>
      <c r="M460" s="289"/>
      <c r="N460" s="289"/>
      <c r="O460" s="289"/>
      <c r="P460" s="289"/>
      <c r="Q460" s="289"/>
      <c r="R460" s="289"/>
      <c r="S460">
        <f>AVERAGE(B460:H460)/10</f>
        <v>7812.06</v>
      </c>
      <c r="T460"/>
      <c r="U460"/>
      <c r="V460"/>
      <c r="W460" s="289">
        <v>22782700</v>
      </c>
      <c r="X460" s="289">
        <v>22409300</v>
      </c>
      <c r="Y460" s="289">
        <v>25019100</v>
      </c>
      <c r="Z460" s="289">
        <v>27784700</v>
      </c>
      <c r="AA460" s="289">
        <v>26549500</v>
      </c>
      <c r="AB460">
        <f>AVERAGE(W460:AA460)</f>
        <v>24909060</v>
      </c>
      <c r="AC460"/>
      <c r="AD460"/>
      <c r="AE460"/>
      <c r="AF460"/>
    </row>
    <row r="461" spans="1:32">
      <c r="A461" t="s">
        <v>1564</v>
      </c>
      <c r="B461" s="289">
        <v>41348</v>
      </c>
      <c r="C461" s="289">
        <v>41438</v>
      </c>
      <c r="D461" s="289">
        <v>44367</v>
      </c>
      <c r="E461" s="289">
        <v>49721</v>
      </c>
      <c r="F461" s="289"/>
      <c r="G461" s="289"/>
      <c r="H461" s="289">
        <v>45744</v>
      </c>
      <c r="I461" s="289"/>
      <c r="J461" s="289"/>
      <c r="K461" s="289"/>
      <c r="L461" s="289"/>
      <c r="M461" s="289"/>
      <c r="N461" s="289"/>
      <c r="O461" s="289"/>
      <c r="P461" s="289"/>
      <c r="Q461" s="289"/>
      <c r="R461" s="289"/>
      <c r="S461">
        <f>AVERAGE(B461:H461)/10</f>
        <v>4452.3599999999997</v>
      </c>
      <c r="T461"/>
      <c r="U461"/>
      <c r="V461"/>
      <c r="W461" s="289">
        <v>9339200</v>
      </c>
      <c r="X461" s="289">
        <v>8607600</v>
      </c>
      <c r="Y461" s="289">
        <v>9485183</v>
      </c>
      <c r="Z461" s="289">
        <v>11628670</v>
      </c>
      <c r="AA461" s="289">
        <v>10957787</v>
      </c>
      <c r="AB461">
        <f>AVERAGE(W461:AA461)</f>
        <v>10003688</v>
      </c>
      <c r="AC461"/>
      <c r="AD461"/>
      <c r="AE461"/>
      <c r="AF461"/>
    </row>
    <row r="462" spans="1:32">
      <c r="A462" t="s">
        <v>1565</v>
      </c>
      <c r="B462" s="289">
        <v>53438</v>
      </c>
      <c r="C462" s="289">
        <v>51786</v>
      </c>
      <c r="D462" s="289">
        <v>55787</v>
      </c>
      <c r="E462" s="289">
        <v>58845</v>
      </c>
      <c r="F462" s="289"/>
      <c r="G462" s="289"/>
      <c r="H462" s="289">
        <v>60305</v>
      </c>
      <c r="I462" s="289"/>
      <c r="J462" s="289"/>
      <c r="K462" s="289"/>
      <c r="L462" s="289"/>
      <c r="M462" s="289"/>
      <c r="N462" s="289"/>
      <c r="O462" s="289"/>
      <c r="P462" s="289"/>
      <c r="Q462" s="289"/>
      <c r="R462" s="289"/>
      <c r="S462">
        <f>AVERAGE(B462:H462)/10</f>
        <v>5603.2199999999993</v>
      </c>
      <c r="T462"/>
      <c r="U462"/>
      <c r="V462"/>
      <c r="W462" s="289">
        <v>138891197</v>
      </c>
      <c r="X462" s="289">
        <v>134607613</v>
      </c>
      <c r="Y462" s="289">
        <v>144435690</v>
      </c>
      <c r="Z462" s="289">
        <v>157337918</v>
      </c>
      <c r="AA462" s="289">
        <v>161218160</v>
      </c>
      <c r="AB462">
        <f>AVERAGE(W462:AA462)</f>
        <v>147298115.59999999</v>
      </c>
      <c r="AC462"/>
      <c r="AD462"/>
      <c r="AE462"/>
      <c r="AF462"/>
    </row>
    <row r="463" spans="1:32">
      <c r="A463" s="138" t="s">
        <v>47</v>
      </c>
      <c r="B463"/>
      <c r="C463"/>
      <c r="D463"/>
      <c r="E463"/>
      <c r="F463"/>
      <c r="G463"/>
      <c r="H463"/>
      <c r="I463"/>
      <c r="J463"/>
      <c r="K463"/>
      <c r="L463"/>
      <c r="M463"/>
      <c r="N463"/>
      <c r="O463"/>
      <c r="P463"/>
      <c r="Q463"/>
      <c r="R463"/>
      <c r="S463"/>
      <c r="T463"/>
      <c r="U463"/>
      <c r="V463"/>
      <c r="W463"/>
      <c r="X463"/>
      <c r="Y463"/>
      <c r="Z463"/>
      <c r="AA463"/>
      <c r="AB463"/>
      <c r="AC463"/>
      <c r="AD463"/>
      <c r="AE463"/>
      <c r="AF463"/>
    </row>
    <row r="464" spans="1:32">
      <c r="A464" s="6" t="s">
        <v>1226</v>
      </c>
      <c r="B464">
        <v>2011</v>
      </c>
      <c r="C464">
        <v>2012</v>
      </c>
      <c r="D464">
        <v>2013</v>
      </c>
      <c r="E464">
        <v>2014</v>
      </c>
      <c r="F464"/>
      <c r="G464"/>
      <c r="H464">
        <v>2015</v>
      </c>
      <c r="I464"/>
      <c r="J464"/>
      <c r="K464"/>
      <c r="L464"/>
      <c r="M464"/>
      <c r="N464"/>
      <c r="O464"/>
      <c r="P464"/>
      <c r="Q464"/>
      <c r="R464"/>
      <c r="S464" t="s">
        <v>1270</v>
      </c>
      <c r="T464"/>
      <c r="U464"/>
      <c r="V464" s="6" t="s">
        <v>1570</v>
      </c>
      <c r="W464">
        <v>2011</v>
      </c>
      <c r="X464">
        <v>2012</v>
      </c>
      <c r="Y464">
        <v>2013</v>
      </c>
      <c r="Z464">
        <v>2014</v>
      </c>
      <c r="AA464">
        <v>2015</v>
      </c>
      <c r="AB464" t="s">
        <v>1270</v>
      </c>
      <c r="AC464"/>
      <c r="AD464"/>
      <c r="AE464"/>
      <c r="AF464"/>
    </row>
    <row r="465" spans="1:32">
      <c r="A465" t="s">
        <v>1557</v>
      </c>
      <c r="B465" s="289">
        <v>53912</v>
      </c>
      <c r="C465" s="289">
        <v>56106</v>
      </c>
      <c r="D465" s="289">
        <v>57303</v>
      </c>
      <c r="E465" s="289">
        <v>58696</v>
      </c>
      <c r="F465" s="289"/>
      <c r="G465" s="289"/>
      <c r="H465" s="289">
        <v>61080</v>
      </c>
      <c r="I465" s="289"/>
      <c r="J465" s="289"/>
      <c r="K465" s="289"/>
      <c r="L465" s="289"/>
      <c r="M465" s="289"/>
      <c r="N465" s="289"/>
      <c r="O465" s="289"/>
      <c r="P465" s="289"/>
      <c r="Q465" s="289"/>
      <c r="R465" s="289"/>
      <c r="S465">
        <f>AVERAGE(B465:H465)/10</f>
        <v>5741.9400000000005</v>
      </c>
      <c r="T465"/>
      <c r="U465"/>
      <c r="V465"/>
      <c r="W465" s="289">
        <v>3249800</v>
      </c>
      <c r="X465" s="289">
        <v>4058700</v>
      </c>
      <c r="Y465" s="289">
        <v>3949900</v>
      </c>
      <c r="Z465" s="289">
        <v>3547600</v>
      </c>
      <c r="AA465" s="289">
        <v>3856000</v>
      </c>
      <c r="AB465">
        <f>AVERAGE(W465:AA465)</f>
        <v>3732400</v>
      </c>
      <c r="AC465"/>
      <c r="AD465"/>
      <c r="AE465"/>
      <c r="AF465"/>
    </row>
    <row r="466" spans="1:32">
      <c r="A466" t="s">
        <v>1569</v>
      </c>
      <c r="B466" s="289">
        <v>78184</v>
      </c>
      <c r="C466" s="289">
        <v>65389</v>
      </c>
      <c r="D466" s="289">
        <v>75789</v>
      </c>
      <c r="E466" s="289">
        <v>80260</v>
      </c>
      <c r="F466" s="289"/>
      <c r="G466" s="289"/>
      <c r="H466" s="289">
        <v>85759</v>
      </c>
      <c r="I466" s="289"/>
      <c r="J466" s="289"/>
      <c r="K466" s="289"/>
      <c r="L466" s="289"/>
      <c r="M466" s="289"/>
      <c r="N466" s="289"/>
      <c r="O466" s="289"/>
      <c r="P466" s="289"/>
      <c r="Q466" s="289"/>
      <c r="R466" s="289"/>
      <c r="S466">
        <f>AVERAGE(B466:H466)/10</f>
        <v>7707.62</v>
      </c>
      <c r="T466"/>
      <c r="U466"/>
      <c r="V466"/>
      <c r="W466" s="289">
        <v>1412000</v>
      </c>
      <c r="X466" s="289">
        <v>1260700</v>
      </c>
      <c r="Y466" s="289">
        <v>1662800</v>
      </c>
      <c r="Z466" s="289">
        <v>1731200</v>
      </c>
      <c r="AA466" s="289">
        <v>1739200</v>
      </c>
      <c r="AB466">
        <f>AVERAGE(W466:AA466)</f>
        <v>1561180</v>
      </c>
      <c r="AC466"/>
      <c r="AD466"/>
      <c r="AE466"/>
      <c r="AF466"/>
    </row>
    <row r="467" spans="1:32">
      <c r="A467" t="s">
        <v>1563</v>
      </c>
      <c r="B467" s="289">
        <v>54651</v>
      </c>
      <c r="C467" s="289">
        <v>61934</v>
      </c>
      <c r="D467" s="289">
        <v>65866</v>
      </c>
      <c r="E467" s="289">
        <v>73475</v>
      </c>
      <c r="F467" s="289"/>
      <c r="G467" s="289"/>
      <c r="H467" s="289">
        <v>71710</v>
      </c>
      <c r="I467" s="289"/>
      <c r="J467" s="289"/>
      <c r="K467" s="289"/>
      <c r="L467" s="289"/>
      <c r="M467" s="289"/>
      <c r="N467" s="289"/>
      <c r="O467" s="289"/>
      <c r="P467" s="289"/>
      <c r="Q467" s="289"/>
      <c r="R467" s="289"/>
      <c r="S467">
        <f>AVERAGE(B467:H467)/10</f>
        <v>6552.7199999999993</v>
      </c>
      <c r="T467"/>
      <c r="U467"/>
      <c r="V467"/>
      <c r="W467" s="289">
        <v>8733800</v>
      </c>
      <c r="X467" s="289">
        <v>10391300</v>
      </c>
      <c r="Y467" s="289">
        <v>10343600</v>
      </c>
      <c r="Z467" s="289">
        <v>11562800</v>
      </c>
      <c r="AA467" s="289">
        <v>11629900</v>
      </c>
      <c r="AB467">
        <f>AVERAGE(W467:AA467)</f>
        <v>10532280</v>
      </c>
      <c r="AC467"/>
      <c r="AD467"/>
      <c r="AE467"/>
      <c r="AF467"/>
    </row>
    <row r="468" spans="1:32" ht="15.75" thickBot="1">
      <c r="A468" t="s">
        <v>1564</v>
      </c>
      <c r="B468" s="289">
        <v>32671</v>
      </c>
      <c r="C468" s="289">
        <v>36018</v>
      </c>
      <c r="D468" s="289">
        <v>35776</v>
      </c>
      <c r="E468" s="289">
        <v>40516</v>
      </c>
      <c r="F468" s="289"/>
      <c r="G468" s="289"/>
      <c r="H468" s="289">
        <v>35277</v>
      </c>
      <c r="I468" s="289"/>
      <c r="J468" s="289"/>
      <c r="K468" s="289"/>
      <c r="L468" s="289"/>
      <c r="M468" s="289"/>
      <c r="N468" s="289"/>
      <c r="O468" s="289"/>
      <c r="P468" s="289"/>
      <c r="Q468" s="289"/>
      <c r="R468" s="289"/>
      <c r="S468">
        <f>AVERAGE(B468:H468)/10</f>
        <v>3605.16</v>
      </c>
      <c r="T468"/>
      <c r="U468"/>
      <c r="V468"/>
      <c r="W468" s="289">
        <v>3325900</v>
      </c>
      <c r="X468" s="289">
        <v>4180200</v>
      </c>
      <c r="Y468" s="289">
        <v>2933579</v>
      </c>
      <c r="Z468" s="289">
        <v>3274826</v>
      </c>
      <c r="AA468" s="289">
        <v>3274826</v>
      </c>
      <c r="AB468">
        <f>AVERAGE(W468:AA468)</f>
        <v>3397866.2</v>
      </c>
      <c r="AC468"/>
      <c r="AD468"/>
      <c r="AE468"/>
      <c r="AF468"/>
    </row>
    <row r="469" spans="1:32" ht="15.75" thickBot="1">
      <c r="A469" t="s">
        <v>1565</v>
      </c>
      <c r="B469" s="289">
        <v>43466</v>
      </c>
      <c r="C469" s="289">
        <v>43958</v>
      </c>
      <c r="D469" s="289">
        <v>48346</v>
      </c>
      <c r="E469" s="289">
        <v>48913</v>
      </c>
      <c r="F469" s="289"/>
      <c r="G469" s="289"/>
      <c r="H469" s="289">
        <v>50701</v>
      </c>
      <c r="I469" s="289"/>
      <c r="J469" s="289"/>
      <c r="K469" s="289"/>
      <c r="L469" s="289"/>
      <c r="M469" s="289"/>
      <c r="N469" s="289"/>
      <c r="O469" s="289"/>
      <c r="P469" s="289"/>
      <c r="Q469" s="289"/>
      <c r="R469" s="289"/>
      <c r="S469">
        <f>AVERAGE(B469:H469)/10</f>
        <v>4707.68</v>
      </c>
      <c r="T469"/>
      <c r="U469"/>
      <c r="V469"/>
      <c r="W469" s="289">
        <v>51908884</v>
      </c>
      <c r="X469" s="289">
        <v>55009097</v>
      </c>
      <c r="Y469" s="289">
        <v>59847219</v>
      </c>
      <c r="Z469" s="285">
        <v>60609517</v>
      </c>
      <c r="AA469" s="289">
        <v>62147746</v>
      </c>
      <c r="AB469">
        <f>AVERAGE(W469:AA469)</f>
        <v>57904492.600000001</v>
      </c>
      <c r="AC469"/>
      <c r="AD469"/>
      <c r="AE469"/>
      <c r="AF469"/>
    </row>
    <row r="470" spans="1:32">
      <c r="A470" s="138" t="s">
        <v>53</v>
      </c>
      <c r="B470"/>
      <c r="C470"/>
      <c r="D470"/>
      <c r="E470"/>
      <c r="F470"/>
      <c r="G470"/>
      <c r="H470"/>
      <c r="I470"/>
      <c r="J470"/>
      <c r="K470"/>
      <c r="L470"/>
      <c r="M470"/>
      <c r="N470"/>
      <c r="O470"/>
      <c r="P470"/>
      <c r="Q470"/>
      <c r="R470"/>
      <c r="S470"/>
      <c r="T470"/>
      <c r="U470"/>
      <c r="V470"/>
      <c r="W470"/>
      <c r="X470"/>
      <c r="Y470"/>
      <c r="Z470"/>
      <c r="AA470"/>
      <c r="AB470"/>
      <c r="AC470"/>
      <c r="AD470"/>
      <c r="AE470"/>
      <c r="AF470"/>
    </row>
    <row r="471" spans="1:32">
      <c r="A471" s="6" t="s">
        <v>1226</v>
      </c>
      <c r="B471">
        <v>2011</v>
      </c>
      <c r="C471">
        <v>2012</v>
      </c>
      <c r="D471">
        <v>2013</v>
      </c>
      <c r="E471">
        <v>2014</v>
      </c>
      <c r="F471"/>
      <c r="G471"/>
      <c r="H471">
        <v>2015</v>
      </c>
      <c r="I471"/>
      <c r="J471"/>
      <c r="K471"/>
      <c r="L471"/>
      <c r="M471"/>
      <c r="N471"/>
      <c r="O471"/>
      <c r="P471"/>
      <c r="Q471"/>
      <c r="R471"/>
      <c r="S471" t="s">
        <v>1270</v>
      </c>
      <c r="T471"/>
      <c r="U471"/>
      <c r="V471" s="6" t="s">
        <v>1570</v>
      </c>
      <c r="W471">
        <v>2011</v>
      </c>
      <c r="X471">
        <v>2012</v>
      </c>
      <c r="Y471">
        <v>2013</v>
      </c>
      <c r="Z471">
        <v>2014</v>
      </c>
      <c r="AA471">
        <v>2015</v>
      </c>
      <c r="AB471" t="s">
        <v>1270</v>
      </c>
      <c r="AC471"/>
      <c r="AD471"/>
      <c r="AE471"/>
      <c r="AF471"/>
    </row>
    <row r="472" spans="1:32">
      <c r="A472" t="s">
        <v>1557</v>
      </c>
      <c r="B472" s="289">
        <v>48034</v>
      </c>
      <c r="C472" s="289">
        <v>51798</v>
      </c>
      <c r="D472" s="289">
        <v>48634</v>
      </c>
      <c r="E472" s="289">
        <v>49072</v>
      </c>
      <c r="F472" s="289"/>
      <c r="G472" s="289"/>
      <c r="H472" s="289">
        <v>52711</v>
      </c>
      <c r="I472" s="289"/>
      <c r="J472" s="289"/>
      <c r="K472" s="289"/>
      <c r="L472" s="289"/>
      <c r="M472" s="289"/>
      <c r="N472" s="289"/>
      <c r="O472" s="289"/>
      <c r="P472" s="289"/>
      <c r="Q472" s="289"/>
      <c r="R472" s="289"/>
      <c r="S472">
        <f>AVERAGE(B472:H472)/10</f>
        <v>5004.9800000000005</v>
      </c>
      <c r="T472"/>
      <c r="U472"/>
      <c r="V472"/>
      <c r="W472" s="289">
        <v>224800</v>
      </c>
      <c r="X472" s="289">
        <v>302500</v>
      </c>
      <c r="Y472" s="289">
        <v>313200</v>
      </c>
      <c r="Z472" s="289">
        <v>216900</v>
      </c>
      <c r="AA472" s="289">
        <v>231400</v>
      </c>
      <c r="AB472">
        <f>AVERAGE(W472:AA472)</f>
        <v>257760</v>
      </c>
      <c r="AC472"/>
      <c r="AD472"/>
      <c r="AE472"/>
      <c r="AF472"/>
    </row>
    <row r="473" spans="1:32" ht="15.75" thickBot="1">
      <c r="A473" t="s">
        <v>1569</v>
      </c>
      <c r="B473" s="289">
        <v>78551</v>
      </c>
      <c r="C473" s="289">
        <v>66034</v>
      </c>
      <c r="D473" s="289">
        <v>72097</v>
      </c>
      <c r="E473" s="289">
        <v>80484</v>
      </c>
      <c r="F473" s="289"/>
      <c r="G473" s="289"/>
      <c r="H473" s="289">
        <v>84487</v>
      </c>
      <c r="I473" s="289"/>
      <c r="J473" s="289"/>
      <c r="K473" s="289"/>
      <c r="L473" s="289"/>
      <c r="M473" s="289"/>
      <c r="N473" s="289"/>
      <c r="O473" s="289"/>
      <c r="P473" s="289"/>
      <c r="Q473" s="289"/>
      <c r="R473" s="289"/>
      <c r="S473">
        <f>AVERAGE(B473:H473)/10</f>
        <v>7633.06</v>
      </c>
      <c r="T473"/>
      <c r="U473"/>
      <c r="V473"/>
      <c r="W473" s="289">
        <v>168100</v>
      </c>
      <c r="X473" s="289">
        <v>156500</v>
      </c>
      <c r="Y473" s="289">
        <v>192500</v>
      </c>
      <c r="Z473" s="289">
        <v>149700</v>
      </c>
      <c r="AA473" s="289">
        <v>197700</v>
      </c>
      <c r="AB473">
        <f>AVERAGE(W473:AA473)</f>
        <v>172900</v>
      </c>
      <c r="AC473"/>
      <c r="AD473"/>
      <c r="AE473"/>
      <c r="AF473"/>
    </row>
    <row r="474" spans="1:32" ht="15.75" thickBot="1">
      <c r="A474" t="s">
        <v>1563</v>
      </c>
      <c r="B474" s="289">
        <v>43752</v>
      </c>
      <c r="C474" s="289">
        <v>52029</v>
      </c>
      <c r="D474" s="289">
        <v>47734</v>
      </c>
      <c r="E474" s="289">
        <v>50654</v>
      </c>
      <c r="F474" s="289"/>
      <c r="G474" s="289"/>
      <c r="H474" s="289">
        <v>45052</v>
      </c>
      <c r="I474" s="289"/>
      <c r="J474" s="289"/>
      <c r="K474" s="289"/>
      <c r="L474" s="289"/>
      <c r="M474" s="289"/>
      <c r="N474" s="289"/>
      <c r="O474" s="289"/>
      <c r="P474" s="289"/>
      <c r="Q474" s="289"/>
      <c r="R474" s="289"/>
      <c r="S474">
        <f>AVERAGE(B474:H474)/10</f>
        <v>4784.42</v>
      </c>
      <c r="T474"/>
      <c r="U474"/>
      <c r="V474"/>
      <c r="W474" s="239">
        <v>627400</v>
      </c>
      <c r="X474" s="289">
        <v>756500</v>
      </c>
      <c r="Y474" s="289">
        <v>627700</v>
      </c>
      <c r="Z474" s="289">
        <v>627100</v>
      </c>
      <c r="AA474" s="289">
        <v>566300</v>
      </c>
      <c r="AB474">
        <f>AVERAGE(W474:AA474)</f>
        <v>641000</v>
      </c>
      <c r="AC474"/>
      <c r="AD474"/>
      <c r="AE474"/>
      <c r="AF474"/>
    </row>
    <row r="475" spans="1:32">
      <c r="A475" t="s">
        <v>1564</v>
      </c>
      <c r="B475" s="289">
        <v>25295</v>
      </c>
      <c r="C475" s="289">
        <v>28569</v>
      </c>
      <c r="D475" s="289">
        <v>27432</v>
      </c>
      <c r="E475" s="289">
        <v>30479</v>
      </c>
      <c r="F475" s="289"/>
      <c r="G475" s="289"/>
      <c r="H475" s="289">
        <v>26473</v>
      </c>
      <c r="I475" s="289"/>
      <c r="J475" s="289"/>
      <c r="K475" s="289"/>
      <c r="L475" s="289"/>
      <c r="M475" s="289"/>
      <c r="N475" s="289"/>
      <c r="O475" s="289"/>
      <c r="P475" s="289"/>
      <c r="Q475" s="289"/>
      <c r="R475" s="289"/>
      <c r="S475">
        <f>AVERAGE(B475:H475)/10</f>
        <v>2764.96</v>
      </c>
      <c r="T475"/>
      <c r="U475"/>
      <c r="V475"/>
      <c r="W475" s="289">
        <v>1381600</v>
      </c>
      <c r="X475" s="289">
        <v>1467900</v>
      </c>
      <c r="Y475" s="289">
        <v>1190039</v>
      </c>
      <c r="Z475" s="289">
        <v>1458623</v>
      </c>
      <c r="AA475" s="289">
        <v>1219620</v>
      </c>
      <c r="AB475">
        <f>AVERAGE(W475:AA475)</f>
        <v>1343556.4</v>
      </c>
      <c r="AC475"/>
      <c r="AD475"/>
      <c r="AE475"/>
      <c r="AF475"/>
    </row>
    <row r="476" spans="1:32">
      <c r="A476" t="s">
        <v>1565</v>
      </c>
      <c r="B476" s="289">
        <v>29447</v>
      </c>
      <c r="C476" s="289">
        <v>29929</v>
      </c>
      <c r="D476" s="289">
        <v>31827</v>
      </c>
      <c r="E476" s="289">
        <v>31057</v>
      </c>
      <c r="F476" s="289"/>
      <c r="G476" s="289"/>
      <c r="H476" s="289">
        <v>30456</v>
      </c>
      <c r="I476" s="289"/>
      <c r="J476" s="289"/>
      <c r="K476" s="289"/>
      <c r="L476" s="289"/>
      <c r="M476" s="289"/>
      <c r="N476" s="289"/>
      <c r="O476" s="289"/>
      <c r="P476" s="289"/>
      <c r="Q476" s="289"/>
      <c r="R476" s="289"/>
      <c r="S476">
        <f>AVERAGE(B476:H476)/10</f>
        <v>3054.32</v>
      </c>
      <c r="T476"/>
      <c r="U476"/>
      <c r="V476"/>
      <c r="W476" s="289">
        <v>7896384</v>
      </c>
      <c r="X476" s="289">
        <v>7931239</v>
      </c>
      <c r="Y476" s="289">
        <v>8406588</v>
      </c>
      <c r="Z476" s="289">
        <v>7814810</v>
      </c>
      <c r="AA476" s="289">
        <v>7760086</v>
      </c>
      <c r="AB476">
        <f>AVERAGE(W476:AA476)</f>
        <v>7961821.4000000004</v>
      </c>
      <c r="AC476"/>
      <c r="AD476"/>
      <c r="AE476"/>
      <c r="AF476"/>
    </row>
    <row r="477" spans="1:32">
      <c r="A477" s="138" t="s">
        <v>40</v>
      </c>
      <c r="B477"/>
      <c r="C477"/>
      <c r="D477"/>
      <c r="E477"/>
      <c r="F477"/>
      <c r="G477"/>
      <c r="H477"/>
      <c r="I477"/>
      <c r="J477"/>
      <c r="K477"/>
      <c r="L477"/>
      <c r="M477"/>
      <c r="N477"/>
      <c r="O477"/>
      <c r="P477"/>
      <c r="Q477"/>
      <c r="R477"/>
      <c r="S477"/>
      <c r="T477"/>
      <c r="U477"/>
      <c r="V477"/>
      <c r="W477"/>
      <c r="X477"/>
      <c r="Y477"/>
      <c r="Z477"/>
      <c r="AA477"/>
      <c r="AB477"/>
      <c r="AC477"/>
      <c r="AD477"/>
      <c r="AE477"/>
      <c r="AF477"/>
    </row>
    <row r="478" spans="1:32">
      <c r="A478" s="6" t="s">
        <v>1226</v>
      </c>
      <c r="B478">
        <v>2011</v>
      </c>
      <c r="C478">
        <v>2012</v>
      </c>
      <c r="D478">
        <v>2013</v>
      </c>
      <c r="E478">
        <v>2014</v>
      </c>
      <c r="F478"/>
      <c r="G478"/>
      <c r="H478">
        <v>2015</v>
      </c>
      <c r="I478"/>
      <c r="J478"/>
      <c r="K478"/>
      <c r="L478"/>
      <c r="M478"/>
      <c r="N478"/>
      <c r="O478"/>
      <c r="P478"/>
      <c r="Q478"/>
      <c r="R478"/>
      <c r="S478" t="s">
        <v>1270</v>
      </c>
      <c r="T478"/>
      <c r="U478"/>
      <c r="V478" s="6" t="s">
        <v>1570</v>
      </c>
      <c r="W478">
        <v>2011</v>
      </c>
      <c r="X478">
        <v>2012</v>
      </c>
      <c r="Y478">
        <v>2013</v>
      </c>
      <c r="Z478">
        <v>2014</v>
      </c>
      <c r="AA478">
        <v>2015</v>
      </c>
      <c r="AB478" t="s">
        <v>1270</v>
      </c>
      <c r="AC478"/>
      <c r="AD478"/>
      <c r="AE478"/>
      <c r="AF478"/>
    </row>
    <row r="479" spans="1:32" ht="15.75" thickBot="1">
      <c r="A479" t="s">
        <v>1557</v>
      </c>
      <c r="B479" s="289">
        <v>51094</v>
      </c>
      <c r="C479" s="289">
        <v>59505</v>
      </c>
      <c r="D479" s="289">
        <v>60413</v>
      </c>
      <c r="E479" s="289">
        <v>63643</v>
      </c>
      <c r="F479" s="289"/>
      <c r="G479" s="289"/>
      <c r="H479" s="289">
        <v>63358</v>
      </c>
      <c r="I479" s="289"/>
      <c r="J479" s="289"/>
      <c r="K479" s="289"/>
      <c r="L479" s="289"/>
      <c r="M479" s="289"/>
      <c r="N479" s="289"/>
      <c r="O479" s="289"/>
      <c r="P479" s="289"/>
      <c r="Q479" s="289"/>
      <c r="R479" s="289"/>
      <c r="S479">
        <f>AVERAGE(B479:H479)/10</f>
        <v>5960.26</v>
      </c>
      <c r="T479"/>
      <c r="U479"/>
      <c r="V479"/>
      <c r="W479" s="289">
        <v>294300</v>
      </c>
      <c r="X479" s="289">
        <v>384400</v>
      </c>
      <c r="Y479" s="289">
        <v>526800</v>
      </c>
      <c r="Z479" s="289">
        <v>677800</v>
      </c>
      <c r="AA479" s="289">
        <v>771700</v>
      </c>
      <c r="AB479">
        <f>AVERAGE(W479:AA479)</f>
        <v>531000</v>
      </c>
      <c r="AC479"/>
      <c r="AD479"/>
      <c r="AE479"/>
      <c r="AF479"/>
    </row>
    <row r="480" spans="1:32" ht="15.75" thickBot="1">
      <c r="A480" t="s">
        <v>1569</v>
      </c>
      <c r="B480" s="289">
        <v>29350</v>
      </c>
      <c r="C480" s="289">
        <v>30769</v>
      </c>
      <c r="D480" s="285">
        <v>30769</v>
      </c>
      <c r="E480" s="289">
        <v>31134</v>
      </c>
      <c r="F480" s="289"/>
      <c r="G480" s="289"/>
      <c r="H480" s="289">
        <v>31856</v>
      </c>
      <c r="I480" s="289"/>
      <c r="J480" s="289"/>
      <c r="K480" s="289"/>
      <c r="L480" s="289"/>
      <c r="M480" s="289"/>
      <c r="N480" s="289"/>
      <c r="O480" s="289"/>
      <c r="P480" s="289"/>
      <c r="Q480" s="289"/>
      <c r="R480" s="289"/>
      <c r="S480">
        <f>AVERAGE(B480:H480)/10</f>
        <v>3077.56</v>
      </c>
      <c r="T480"/>
      <c r="U480"/>
      <c r="V480"/>
      <c r="W480" s="289">
        <v>587</v>
      </c>
      <c r="X480" s="289">
        <v>600</v>
      </c>
      <c r="Y480" s="289">
        <v>600</v>
      </c>
      <c r="Z480" s="289">
        <v>604</v>
      </c>
      <c r="AA480" s="289">
        <v>618</v>
      </c>
      <c r="AB480">
        <f>AVERAGE(W480:AA480)</f>
        <v>601.79999999999995</v>
      </c>
      <c r="AC480"/>
      <c r="AD480"/>
      <c r="AE480"/>
      <c r="AF480"/>
    </row>
    <row r="481" spans="1:43">
      <c r="A481" t="s">
        <v>1563</v>
      </c>
      <c r="B481" s="289">
        <v>41077</v>
      </c>
      <c r="C481" s="289">
        <v>54741</v>
      </c>
      <c r="D481" s="289">
        <v>59764</v>
      </c>
      <c r="E481" s="289">
        <v>61191</v>
      </c>
      <c r="F481" s="289"/>
      <c r="G481" s="289"/>
      <c r="H481" s="289">
        <v>56620</v>
      </c>
      <c r="I481" s="289"/>
      <c r="J481" s="289"/>
      <c r="K481" s="289"/>
      <c r="L481" s="289"/>
      <c r="M481" s="289"/>
      <c r="N481" s="289"/>
      <c r="O481" s="289"/>
      <c r="P481" s="289"/>
      <c r="Q481" s="289"/>
      <c r="R481" s="289"/>
      <c r="S481">
        <f>AVERAGE(B481:H481)/10</f>
        <v>5467.86</v>
      </c>
      <c r="T481"/>
      <c r="U481"/>
      <c r="V481"/>
      <c r="W481" s="289">
        <v>2520900</v>
      </c>
      <c r="X481" s="289">
        <v>3878400</v>
      </c>
      <c r="Y481" s="289">
        <v>4689100</v>
      </c>
      <c r="Z481" s="289">
        <v>3854400</v>
      </c>
      <c r="AA481" s="289">
        <v>3487800</v>
      </c>
      <c r="AB481">
        <f>AVERAGE(W481:AA481)</f>
        <v>3686120</v>
      </c>
      <c r="AC481"/>
      <c r="AD481"/>
      <c r="AE481"/>
      <c r="AF481"/>
    </row>
    <row r="482" spans="1:43">
      <c r="A482" t="s">
        <v>1564</v>
      </c>
      <c r="B482" s="289">
        <v>23959</v>
      </c>
      <c r="C482" s="289">
        <v>27716</v>
      </c>
      <c r="D482" s="289">
        <v>28645</v>
      </c>
      <c r="E482" s="289">
        <v>31503</v>
      </c>
      <c r="F482" s="289"/>
      <c r="G482" s="289"/>
      <c r="H482" s="289">
        <v>27758</v>
      </c>
      <c r="I482" s="289"/>
      <c r="J482" s="289"/>
      <c r="K482" s="289"/>
      <c r="L482" s="289"/>
      <c r="M482" s="289"/>
      <c r="N482" s="289"/>
      <c r="O482" s="289"/>
      <c r="P482" s="289"/>
      <c r="Q482" s="289"/>
      <c r="R482" s="289"/>
      <c r="S482">
        <f>AVERAGE(B482:H482)/10</f>
        <v>2791.62</v>
      </c>
      <c r="T482"/>
      <c r="U482"/>
      <c r="V482"/>
      <c r="W482" s="289">
        <v>2600676</v>
      </c>
      <c r="X482" s="289">
        <v>2888137</v>
      </c>
      <c r="Y482" s="289">
        <v>3359271</v>
      </c>
      <c r="Z482" s="289">
        <v>2792593</v>
      </c>
      <c r="AA482" s="289">
        <v>2013148</v>
      </c>
      <c r="AB482">
        <f>AVERAGE(W482:AA482)</f>
        <v>2730765</v>
      </c>
      <c r="AC482"/>
      <c r="AD482"/>
      <c r="AE482"/>
      <c r="AF482"/>
    </row>
    <row r="483" spans="1:43">
      <c r="A483" t="s">
        <v>1565</v>
      </c>
      <c r="B483" s="289">
        <v>30581</v>
      </c>
      <c r="C483" s="289">
        <v>37031</v>
      </c>
      <c r="D483" s="289">
        <v>39618</v>
      </c>
      <c r="E483" s="289">
        <v>41489</v>
      </c>
      <c r="F483" s="289"/>
      <c r="G483" s="289"/>
      <c r="H483" s="289">
        <v>39457</v>
      </c>
      <c r="I483" s="289"/>
      <c r="J483" s="289"/>
      <c r="K483" s="289"/>
      <c r="L483" s="289"/>
      <c r="M483" s="289"/>
      <c r="N483" s="289"/>
      <c r="O483" s="289"/>
      <c r="P483" s="289"/>
      <c r="Q483" s="289"/>
      <c r="R483" s="289"/>
      <c r="S483">
        <f>AVERAGE(B483:H483)/10</f>
        <v>3763.5199999999995</v>
      </c>
      <c r="T483"/>
      <c r="U483"/>
      <c r="V483"/>
      <c r="W483" s="289">
        <v>6901234</v>
      </c>
      <c r="X483" s="289">
        <v>8746414</v>
      </c>
      <c r="Y483" s="289">
        <v>10245326</v>
      </c>
      <c r="Z483" s="289">
        <v>8946626</v>
      </c>
      <c r="AA483" s="289">
        <v>7908179</v>
      </c>
      <c r="AB483">
        <f>AVERAGE(W483:AA483)</f>
        <v>8549555.8000000007</v>
      </c>
      <c r="AC483"/>
      <c r="AD483"/>
      <c r="AE483"/>
      <c r="AF483"/>
    </row>
    <row r="484" spans="1:43">
      <c r="A484"/>
      <c r="B484"/>
      <c r="C484"/>
      <c r="D484"/>
      <c r="E484"/>
      <c r="F484"/>
      <c r="G484"/>
      <c r="H484"/>
      <c r="I484"/>
      <c r="J484"/>
      <c r="K484"/>
      <c r="L484"/>
      <c r="M484"/>
      <c r="N484"/>
      <c r="O484"/>
      <c r="P484"/>
      <c r="Q484"/>
      <c r="R484"/>
      <c r="S484"/>
      <c r="T484"/>
      <c r="U484"/>
      <c r="V484"/>
      <c r="W484"/>
      <c r="X484"/>
      <c r="Y484"/>
      <c r="Z484"/>
      <c r="AA484"/>
      <c r="AB484"/>
      <c r="AC484"/>
      <c r="AD484"/>
      <c r="AE484"/>
      <c r="AF484"/>
    </row>
    <row r="485" spans="1:43">
      <c r="A485"/>
      <c r="B485"/>
      <c r="C485"/>
      <c r="D485"/>
      <c r="E485"/>
      <c r="F485"/>
      <c r="G485"/>
      <c r="H485"/>
      <c r="I485"/>
      <c r="J485"/>
      <c r="K485"/>
      <c r="L485"/>
      <c r="M485"/>
      <c r="N485"/>
      <c r="O485"/>
      <c r="P485"/>
      <c r="Q485"/>
      <c r="R485"/>
      <c r="S485"/>
      <c r="T485"/>
      <c r="U485"/>
      <c r="V485"/>
      <c r="W485"/>
      <c r="X485"/>
      <c r="Y485"/>
      <c r="Z485"/>
      <c r="AA485"/>
      <c r="AB485"/>
      <c r="AC485"/>
      <c r="AD485"/>
      <c r="AE485"/>
      <c r="AF485"/>
    </row>
    <row r="486" spans="1:43" ht="18.75">
      <c r="A486" s="1080" t="s">
        <v>1571</v>
      </c>
      <c r="B486" s="29"/>
      <c r="C486" s="29"/>
      <c r="D486" s="29"/>
      <c r="E486" s="29"/>
      <c r="F486" s="29"/>
      <c r="G486" s="29"/>
      <c r="H486" s="29"/>
      <c r="I486" s="29"/>
      <c r="J486" s="29"/>
      <c r="K486" s="29"/>
      <c r="L486" s="29"/>
      <c r="M486" s="29"/>
      <c r="N486" s="29"/>
      <c r="O486" s="29"/>
      <c r="P486" s="29"/>
      <c r="Q486" s="29"/>
      <c r="R486" s="29"/>
      <c r="S486" s="29"/>
      <c r="T486"/>
      <c r="U486"/>
      <c r="V486"/>
      <c r="W486"/>
      <c r="X486"/>
      <c r="Y486"/>
      <c r="Z486"/>
      <c r="AA486"/>
      <c r="AB486"/>
      <c r="AC486"/>
      <c r="AD486"/>
      <c r="AE486"/>
      <c r="AF486"/>
      <c r="AG486"/>
      <c r="AH486"/>
      <c r="AI486"/>
      <c r="AJ486"/>
      <c r="AK486"/>
      <c r="AL486"/>
      <c r="AM486"/>
      <c r="AN486"/>
      <c r="AO486"/>
      <c r="AP486"/>
      <c r="AQ486"/>
    </row>
    <row r="487" spans="1:43" ht="18.75">
      <c r="A487" s="1080"/>
      <c r="B487" s="29"/>
      <c r="C487" s="29"/>
      <c r="D487" s="29"/>
      <c r="E487" s="29"/>
      <c r="F487" s="29"/>
      <c r="G487" s="29"/>
      <c r="H487" s="29"/>
      <c r="I487" s="29"/>
      <c r="J487" s="29"/>
      <c r="K487" s="29"/>
      <c r="L487" s="29"/>
      <c r="M487" s="29"/>
      <c r="N487" s="29"/>
      <c r="O487" s="29"/>
      <c r="P487" s="29"/>
      <c r="Q487" s="29"/>
      <c r="R487" s="29"/>
      <c r="S487" s="29"/>
      <c r="T487"/>
      <c r="U487"/>
      <c r="V487"/>
      <c r="W487"/>
      <c r="X487"/>
      <c r="Y487"/>
      <c r="Z487"/>
      <c r="AA487"/>
      <c r="AB487"/>
      <c r="AC487"/>
      <c r="AD487"/>
      <c r="AE487"/>
      <c r="AF487"/>
      <c r="AG487"/>
      <c r="AH487"/>
      <c r="AI487"/>
      <c r="AJ487"/>
      <c r="AK487"/>
      <c r="AL487"/>
      <c r="AM487"/>
      <c r="AN487"/>
      <c r="AO487"/>
      <c r="AP487"/>
      <c r="AQ487"/>
    </row>
    <row r="488" spans="1:43">
      <c r="A488" s="7" t="s">
        <v>870</v>
      </c>
      <c r="B488" s="8" t="s">
        <v>871</v>
      </c>
      <c r="C488" s="1081" t="s">
        <v>1290</v>
      </c>
      <c r="D488" s="1082" t="s">
        <v>608</v>
      </c>
      <c r="E488" s="92"/>
      <c r="F488" s="92"/>
      <c r="G488" s="92"/>
      <c r="H488" s="29"/>
      <c r="I488" s="29"/>
      <c r="J488" s="29"/>
      <c r="K488" s="29"/>
      <c r="L488" s="29"/>
      <c r="M488" s="29"/>
      <c r="N488" s="29"/>
      <c r="O488" s="29"/>
      <c r="P488" s="29"/>
      <c r="Q488" s="29"/>
      <c r="R488" s="29"/>
      <c r="S488" s="29"/>
      <c r="T488"/>
      <c r="U488"/>
      <c r="V488"/>
      <c r="W488"/>
      <c r="X488"/>
      <c r="Y488"/>
      <c r="Z488"/>
      <c r="AA488"/>
      <c r="AB488"/>
      <c r="AC488"/>
      <c r="AD488"/>
      <c r="AE488"/>
      <c r="AF488"/>
      <c r="AG488"/>
      <c r="AH488"/>
      <c r="AI488"/>
      <c r="AJ488"/>
      <c r="AK488"/>
      <c r="AL488"/>
      <c r="AM488"/>
      <c r="AN488"/>
      <c r="AO488"/>
      <c r="AP488"/>
      <c r="AQ488"/>
    </row>
    <row r="489" spans="1:43">
      <c r="A489" s="9" t="s">
        <v>624</v>
      </c>
      <c r="B489" s="10"/>
      <c r="C489" s="113"/>
      <c r="D489" s="1083"/>
      <c r="E489" s="92"/>
      <c r="F489" s="92"/>
      <c r="G489" s="92"/>
      <c r="H489" s="29"/>
      <c r="I489" s="29"/>
      <c r="J489" s="29"/>
      <c r="K489" s="29"/>
      <c r="L489" s="29"/>
      <c r="M489" s="29"/>
      <c r="N489" s="29"/>
      <c r="O489" s="29"/>
      <c r="P489" s="29"/>
      <c r="Q489" s="29"/>
      <c r="R489" s="29"/>
      <c r="S489" s="29"/>
      <c r="T489"/>
      <c r="U489"/>
      <c r="V489"/>
      <c r="W489"/>
      <c r="X489"/>
      <c r="Y489"/>
      <c r="Z489"/>
      <c r="AA489"/>
      <c r="AB489"/>
      <c r="AC489"/>
      <c r="AD489"/>
      <c r="AE489"/>
      <c r="AF489"/>
      <c r="AG489"/>
      <c r="AH489"/>
      <c r="AI489"/>
      <c r="AJ489"/>
      <c r="AK489"/>
      <c r="AL489"/>
      <c r="AM489"/>
      <c r="AN489"/>
      <c r="AO489"/>
      <c r="AP489"/>
      <c r="AQ489"/>
    </row>
    <row r="490" spans="1:43">
      <c r="A490" s="13" t="s">
        <v>165</v>
      </c>
      <c r="B490" s="14" t="s">
        <v>122</v>
      </c>
      <c r="C490" s="15">
        <v>0.625</v>
      </c>
      <c r="D490" s="1084" t="s">
        <v>1572</v>
      </c>
      <c r="E490" s="92"/>
      <c r="F490" s="92"/>
      <c r="G490" s="92"/>
      <c r="H490" s="29"/>
      <c r="I490" s="29"/>
      <c r="J490" s="29"/>
      <c r="K490" s="29"/>
      <c r="L490" s="29"/>
      <c r="M490" s="29"/>
      <c r="N490" s="29"/>
      <c r="O490" s="29"/>
      <c r="P490" s="29"/>
      <c r="Q490" s="29"/>
      <c r="R490" s="29"/>
      <c r="S490" s="29"/>
      <c r="T490"/>
      <c r="U490"/>
      <c r="V490"/>
      <c r="W490"/>
      <c r="X490"/>
      <c r="Y490"/>
      <c r="Z490"/>
      <c r="AA490"/>
      <c r="AB490"/>
      <c r="AC490"/>
      <c r="AD490"/>
      <c r="AE490"/>
      <c r="AF490"/>
      <c r="AG490"/>
      <c r="AH490"/>
      <c r="AI490"/>
      <c r="AJ490"/>
      <c r="AK490"/>
      <c r="AL490"/>
      <c r="AM490"/>
      <c r="AN490"/>
      <c r="AO490"/>
      <c r="AP490"/>
      <c r="AQ490"/>
    </row>
    <row r="491" spans="1:43">
      <c r="A491" s="13" t="s">
        <v>166</v>
      </c>
      <c r="B491" s="14" t="s">
        <v>122</v>
      </c>
      <c r="C491" s="15">
        <v>0.38</v>
      </c>
      <c r="D491" s="1084" t="s">
        <v>1572</v>
      </c>
      <c r="E491" s="92"/>
      <c r="F491" s="92"/>
      <c r="G491" s="92"/>
      <c r="H491" s="29"/>
      <c r="I491" s="29"/>
      <c r="J491" s="29"/>
      <c r="K491" s="29"/>
      <c r="L491" s="29"/>
      <c r="M491" s="29"/>
      <c r="N491" s="29"/>
      <c r="O491" s="29"/>
      <c r="P491" s="29"/>
      <c r="Q491" s="29"/>
      <c r="R491" s="29"/>
      <c r="S491" s="29"/>
      <c r="T491"/>
      <c r="U491"/>
      <c r="V491"/>
      <c r="W491"/>
      <c r="X491"/>
      <c r="Y491"/>
      <c r="Z491"/>
      <c r="AA491"/>
      <c r="AB491"/>
      <c r="AC491"/>
      <c r="AD491"/>
      <c r="AE491"/>
      <c r="AF491"/>
      <c r="AG491"/>
      <c r="AH491"/>
      <c r="AI491"/>
      <c r="AJ491"/>
      <c r="AK491"/>
      <c r="AL491"/>
      <c r="AM491"/>
      <c r="AN491"/>
      <c r="AO491"/>
      <c r="AP491"/>
      <c r="AQ491"/>
    </row>
    <row r="492" spans="1:43">
      <c r="A492" s="13" t="s">
        <v>40</v>
      </c>
      <c r="B492" s="14" t="s">
        <v>122</v>
      </c>
      <c r="C492" s="15">
        <v>1.2050000000000001</v>
      </c>
      <c r="D492" s="1084" t="s">
        <v>1572</v>
      </c>
      <c r="E492" s="92"/>
      <c r="F492" s="92"/>
      <c r="G492" s="92"/>
      <c r="H492" s="29"/>
      <c r="I492" s="29"/>
      <c r="J492" s="29"/>
      <c r="K492" s="29"/>
      <c r="L492" s="29"/>
      <c r="M492" s="29"/>
      <c r="N492" s="29"/>
      <c r="O492" s="29"/>
      <c r="P492" s="29"/>
      <c r="Q492" s="29"/>
      <c r="R492" s="29"/>
      <c r="S492" s="29"/>
      <c r="T492"/>
      <c r="U492"/>
      <c r="V492"/>
      <c r="W492"/>
      <c r="X492"/>
      <c r="Y492"/>
      <c r="Z492"/>
      <c r="AA492"/>
      <c r="AB492"/>
      <c r="AC492"/>
      <c r="AD492"/>
      <c r="AE492"/>
      <c r="AF492"/>
      <c r="AG492"/>
      <c r="AH492"/>
      <c r="AI492"/>
      <c r="AJ492"/>
      <c r="AK492"/>
      <c r="AL492"/>
      <c r="AM492"/>
      <c r="AN492"/>
      <c r="AO492"/>
      <c r="AP492"/>
      <c r="AQ492"/>
    </row>
    <row r="493" spans="1:43">
      <c r="A493" s="13" t="s">
        <v>168</v>
      </c>
      <c r="B493" s="14" t="s">
        <v>122</v>
      </c>
      <c r="C493" s="15">
        <v>0.85000000000000009</v>
      </c>
      <c r="D493" s="1084" t="s">
        <v>1572</v>
      </c>
      <c r="E493" s="92"/>
      <c r="F493" s="92"/>
      <c r="G493" s="92"/>
      <c r="H493" s="29"/>
      <c r="I493" s="29"/>
      <c r="J493" s="29"/>
      <c r="K493" s="29"/>
      <c r="L493" s="29"/>
      <c r="M493" s="29"/>
      <c r="N493" s="29"/>
      <c r="O493" s="29"/>
      <c r="P493" s="29"/>
      <c r="Q493" s="29"/>
      <c r="R493" s="29"/>
      <c r="S493" s="29"/>
      <c r="T493"/>
      <c r="U493"/>
      <c r="V493"/>
      <c r="W493"/>
      <c r="X493"/>
      <c r="Y493"/>
      <c r="Z493"/>
      <c r="AA493"/>
      <c r="AB493"/>
      <c r="AC493"/>
      <c r="AD493"/>
      <c r="AE493"/>
      <c r="AF493"/>
      <c r="AG493"/>
      <c r="AH493"/>
      <c r="AI493"/>
      <c r="AJ493"/>
      <c r="AK493"/>
      <c r="AL493"/>
      <c r="AM493"/>
      <c r="AN493"/>
      <c r="AO493"/>
      <c r="AP493"/>
      <c r="AQ493"/>
    </row>
    <row r="494" spans="1:43">
      <c r="A494" s="13" t="s">
        <v>169</v>
      </c>
      <c r="B494" s="14" t="s">
        <v>122</v>
      </c>
      <c r="C494" s="15">
        <v>0.45</v>
      </c>
      <c r="D494" s="1084" t="s">
        <v>1572</v>
      </c>
      <c r="E494" s="92"/>
      <c r="F494" s="92"/>
      <c r="G494" s="92"/>
      <c r="H494" s="29"/>
      <c r="I494" s="29"/>
      <c r="J494" s="29"/>
      <c r="K494" s="29"/>
      <c r="L494" s="29"/>
      <c r="M494" s="29"/>
      <c r="N494" s="29"/>
      <c r="O494" s="29"/>
      <c r="P494" s="29"/>
      <c r="Q494" s="29"/>
      <c r="R494" s="29"/>
      <c r="S494" s="29"/>
      <c r="T494"/>
      <c r="U494"/>
      <c r="V494"/>
      <c r="W494"/>
      <c r="X494"/>
      <c r="Y494"/>
      <c r="Z494"/>
      <c r="AA494"/>
      <c r="AB494"/>
      <c r="AC494"/>
      <c r="AD494"/>
      <c r="AE494"/>
      <c r="AF494"/>
      <c r="AG494"/>
      <c r="AH494"/>
      <c r="AI494"/>
      <c r="AJ494"/>
      <c r="AK494"/>
      <c r="AL494"/>
      <c r="AM494"/>
      <c r="AN494"/>
      <c r="AO494"/>
      <c r="AP494"/>
      <c r="AQ494"/>
    </row>
    <row r="495" spans="1:43">
      <c r="A495" s="13" t="s">
        <v>53</v>
      </c>
      <c r="B495" s="14" t="s">
        <v>122</v>
      </c>
      <c r="C495" s="15">
        <v>0.35</v>
      </c>
      <c r="D495" s="1084" t="s">
        <v>1572</v>
      </c>
      <c r="E495" s="92"/>
      <c r="F495" s="92"/>
      <c r="G495" s="92"/>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row>
    <row r="496" spans="1:43" ht="38.25">
      <c r="A496" s="13" t="s">
        <v>831</v>
      </c>
      <c r="B496" s="29" t="s">
        <v>176</v>
      </c>
      <c r="C496" s="15">
        <v>0.91999999999999993</v>
      </c>
      <c r="D496" s="1085" t="s">
        <v>1573</v>
      </c>
      <c r="E496" s="92"/>
      <c r="F496" s="92"/>
      <c r="G496" s="92"/>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row>
    <row r="497" spans="1:43" ht="38.25">
      <c r="A497" s="13" t="s">
        <v>831</v>
      </c>
      <c r="B497" s="29" t="s">
        <v>201</v>
      </c>
      <c r="C497" s="15">
        <v>2.96</v>
      </c>
      <c r="D497" s="1085" t="s">
        <v>1573</v>
      </c>
      <c r="E497" s="92"/>
      <c r="F497" s="92"/>
      <c r="G497" s="92"/>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row>
    <row r="498" spans="1:43" ht="38.25">
      <c r="A498" s="13" t="s">
        <v>831</v>
      </c>
      <c r="B498" s="29" t="s">
        <v>199</v>
      </c>
      <c r="C498" s="15">
        <v>2.1599999999999997</v>
      </c>
      <c r="D498" s="1085" t="s">
        <v>1573</v>
      </c>
      <c r="E498" s="92"/>
      <c r="F498" s="92"/>
      <c r="G498" s="92"/>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row>
    <row r="499" spans="1:43" ht="38.25">
      <c r="A499" s="13" t="s">
        <v>831</v>
      </c>
      <c r="B499" s="29" t="s">
        <v>124</v>
      </c>
      <c r="C499" s="15">
        <v>0.7</v>
      </c>
      <c r="D499" s="1085" t="s">
        <v>1573</v>
      </c>
      <c r="E499" s="92"/>
      <c r="F499" s="92"/>
      <c r="G499" s="92"/>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row>
    <row r="500" spans="1:43" ht="38.25">
      <c r="A500" s="13" t="s">
        <v>831</v>
      </c>
      <c r="B500" s="14" t="s">
        <v>125</v>
      </c>
      <c r="C500" s="15">
        <v>1.4</v>
      </c>
      <c r="D500" s="1085" t="s">
        <v>1573</v>
      </c>
      <c r="E500" s="92"/>
      <c r="F500" s="92"/>
      <c r="G500" s="92"/>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row>
    <row r="501" spans="1:43">
      <c r="A501" s="9" t="s">
        <v>171</v>
      </c>
      <c r="B501" s="10"/>
      <c r="C501" s="11"/>
      <c r="D501" s="1086"/>
      <c r="E501" s="92"/>
      <c r="F501" s="92"/>
      <c r="G501" s="92"/>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row>
    <row r="502" spans="1:43">
      <c r="A502" s="13" t="s">
        <v>172</v>
      </c>
      <c r="B502" s="14" t="s">
        <v>122</v>
      </c>
      <c r="C502" s="15">
        <v>0.92500000000000004</v>
      </c>
      <c r="D502" s="1084" t="s">
        <v>1572</v>
      </c>
      <c r="E502" s="92"/>
      <c r="F502" s="92"/>
      <c r="G502" s="9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row>
    <row r="503" spans="1:43">
      <c r="A503" s="13" t="s">
        <v>173</v>
      </c>
      <c r="B503" s="14" t="s">
        <v>122</v>
      </c>
      <c r="C503" s="15">
        <v>0.33499999999999996</v>
      </c>
      <c r="D503" s="1084" t="s">
        <v>1572</v>
      </c>
      <c r="E503" s="92"/>
      <c r="F503" s="92"/>
      <c r="G503" s="92"/>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row>
    <row r="504" spans="1:43" ht="38.25">
      <c r="A504" s="13" t="s">
        <v>1263</v>
      </c>
      <c r="B504" s="29" t="s">
        <v>176</v>
      </c>
      <c r="C504" s="15">
        <v>0.25999999999999995</v>
      </c>
      <c r="D504" s="1085" t="s">
        <v>1573</v>
      </c>
      <c r="E504" s="92"/>
      <c r="F504" s="92"/>
      <c r="G504" s="92"/>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row>
    <row r="505" spans="1:43" ht="38.25">
      <c r="A505" s="13" t="s">
        <v>1263</v>
      </c>
      <c r="B505" s="29" t="s">
        <v>201</v>
      </c>
      <c r="C505" s="15">
        <v>0.02</v>
      </c>
      <c r="D505" s="1085" t="s">
        <v>1573</v>
      </c>
      <c r="E505" s="92"/>
      <c r="F505" s="92"/>
      <c r="G505" s="92"/>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row>
    <row r="506" spans="1:43" ht="38.25">
      <c r="A506" s="13" t="s">
        <v>1263</v>
      </c>
      <c r="B506" s="29" t="s">
        <v>199</v>
      </c>
      <c r="C506" s="15">
        <v>1.42</v>
      </c>
      <c r="D506" s="1085" t="s">
        <v>1573</v>
      </c>
      <c r="E506" s="92"/>
      <c r="F506" s="92"/>
      <c r="G506" s="92"/>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row>
    <row r="507" spans="1:43" ht="38.25">
      <c r="A507" s="13" t="s">
        <v>1263</v>
      </c>
      <c r="B507" s="29" t="s">
        <v>124</v>
      </c>
      <c r="C507" s="15">
        <v>0.82500000000000007</v>
      </c>
      <c r="D507" s="1085" t="s">
        <v>1573</v>
      </c>
      <c r="E507" s="92"/>
      <c r="F507" s="92"/>
      <c r="G507" s="92"/>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row>
    <row r="508" spans="1:43" ht="38.25">
      <c r="A508" s="13" t="s">
        <v>1263</v>
      </c>
      <c r="B508" s="14" t="s">
        <v>125</v>
      </c>
      <c r="C508" s="15">
        <v>1.18</v>
      </c>
      <c r="D508" s="1085" t="s">
        <v>1573</v>
      </c>
      <c r="E508" s="92"/>
      <c r="F508" s="92"/>
      <c r="G508" s="92"/>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row>
    <row r="509" spans="1:43">
      <c r="A509" s="9" t="s">
        <v>180</v>
      </c>
      <c r="B509" s="10"/>
      <c r="C509" s="11"/>
      <c r="D509" s="1086"/>
      <c r="E509" s="92"/>
      <c r="F509" s="92"/>
      <c r="G509" s="92"/>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row>
    <row r="510" spans="1:43">
      <c r="A510" s="13" t="s">
        <v>180</v>
      </c>
      <c r="B510" s="14" t="s">
        <v>122</v>
      </c>
      <c r="C510" s="15">
        <v>3.4299999999999997</v>
      </c>
      <c r="D510" s="1084" t="s">
        <v>1572</v>
      </c>
      <c r="E510" s="92"/>
      <c r="F510" s="92"/>
      <c r="G510" s="92"/>
      <c r="H510" s="29"/>
      <c r="I510" s="29"/>
      <c r="J510" s="29"/>
      <c r="K510" s="29"/>
      <c r="L510" s="29"/>
      <c r="M510" s="29"/>
      <c r="N510" s="29"/>
      <c r="O510" s="29"/>
      <c r="P510" s="29"/>
      <c r="Q510" s="29"/>
      <c r="R510" s="29"/>
      <c r="S510" s="29"/>
      <c r="T510"/>
      <c r="U510"/>
      <c r="V510"/>
      <c r="W510"/>
      <c r="X510"/>
      <c r="Y510"/>
      <c r="Z510"/>
      <c r="AA510"/>
      <c r="AB510"/>
      <c r="AC510"/>
      <c r="AD510"/>
      <c r="AE510"/>
      <c r="AF510"/>
      <c r="AG510"/>
      <c r="AH510"/>
      <c r="AI510"/>
      <c r="AJ510"/>
      <c r="AK510"/>
      <c r="AL510"/>
      <c r="AM510"/>
      <c r="AN510"/>
      <c r="AO510"/>
      <c r="AP510"/>
      <c r="AQ510"/>
    </row>
    <row r="511" spans="1:43" ht="38.25">
      <c r="A511" s="13" t="s">
        <v>180</v>
      </c>
      <c r="B511" s="29" t="s">
        <v>176</v>
      </c>
      <c r="C511" s="15">
        <v>2.68</v>
      </c>
      <c r="D511" s="1085" t="s">
        <v>1573</v>
      </c>
      <c r="E511" s="92"/>
      <c r="F511" s="92"/>
      <c r="G511" s="92"/>
      <c r="H511" s="29"/>
      <c r="I511" s="29"/>
      <c r="J511" s="29"/>
      <c r="K511" s="29"/>
      <c r="L511" s="29"/>
      <c r="M511" s="29"/>
      <c r="N511" s="29"/>
      <c r="O511" s="29"/>
      <c r="P511" s="29"/>
      <c r="Q511" s="29"/>
      <c r="R511" s="29"/>
      <c r="S511" s="29"/>
      <c r="T511"/>
      <c r="U511"/>
      <c r="V511"/>
      <c r="W511"/>
      <c r="X511"/>
      <c r="Y511"/>
      <c r="Z511"/>
      <c r="AA511"/>
      <c r="AB511"/>
      <c r="AC511"/>
      <c r="AD511"/>
      <c r="AE511"/>
      <c r="AF511"/>
      <c r="AG511"/>
      <c r="AH511"/>
      <c r="AI511"/>
      <c r="AJ511"/>
      <c r="AK511"/>
      <c r="AL511"/>
      <c r="AM511"/>
      <c r="AN511"/>
      <c r="AO511"/>
      <c r="AP511"/>
      <c r="AQ511"/>
    </row>
    <row r="512" spans="1:43" ht="38.25">
      <c r="A512" s="13" t="s">
        <v>180</v>
      </c>
      <c r="B512" s="29" t="s">
        <v>201</v>
      </c>
      <c r="C512" s="15">
        <v>1.6600000000000001</v>
      </c>
      <c r="D512" s="1085" t="s">
        <v>1573</v>
      </c>
      <c r="E512" s="92"/>
      <c r="F512" s="92"/>
      <c r="G512" s="92"/>
      <c r="H512" s="29"/>
      <c r="I512" s="29"/>
      <c r="J512" s="29"/>
      <c r="K512" s="29"/>
      <c r="L512" s="29"/>
      <c r="M512" s="29"/>
      <c r="N512" s="29"/>
      <c r="O512" s="29"/>
      <c r="P512" s="29"/>
      <c r="Q512" s="29"/>
      <c r="R512" s="29"/>
      <c r="S512" s="29"/>
      <c r="T512"/>
      <c r="U512"/>
      <c r="V512"/>
      <c r="W512"/>
      <c r="X512"/>
      <c r="Y512"/>
      <c r="Z512"/>
      <c r="AA512"/>
      <c r="AB512"/>
      <c r="AC512"/>
      <c r="AD512"/>
      <c r="AE512"/>
      <c r="AF512"/>
      <c r="AG512"/>
      <c r="AH512"/>
      <c r="AI512"/>
      <c r="AJ512"/>
      <c r="AK512"/>
      <c r="AL512"/>
      <c r="AM512"/>
      <c r="AN512"/>
      <c r="AO512"/>
      <c r="AP512"/>
      <c r="AQ512"/>
    </row>
    <row r="513" spans="1:43" ht="38.25">
      <c r="A513" s="13" t="s">
        <v>180</v>
      </c>
      <c r="B513" s="29" t="s">
        <v>199</v>
      </c>
      <c r="C513" s="15">
        <v>3.1199999999999997</v>
      </c>
      <c r="D513" s="1085" t="s">
        <v>1573</v>
      </c>
      <c r="E513" s="92"/>
      <c r="F513" s="92"/>
      <c r="G513" s="92"/>
      <c r="H513" s="29"/>
      <c r="I513" s="29"/>
      <c r="J513" s="29"/>
      <c r="K513" s="29"/>
      <c r="L513" s="29"/>
      <c r="M513" s="29"/>
      <c r="N513" s="29"/>
      <c r="O513" s="29"/>
      <c r="P513" s="29"/>
      <c r="Q513" s="29"/>
      <c r="R513" s="29"/>
      <c r="S513" s="29"/>
      <c r="T513"/>
      <c r="U513"/>
      <c r="V513"/>
      <c r="W513"/>
      <c r="X513"/>
      <c r="Y513"/>
      <c r="Z513"/>
      <c r="AA513"/>
      <c r="AB513"/>
      <c r="AC513"/>
      <c r="AD513"/>
      <c r="AE513"/>
      <c r="AF513"/>
      <c r="AG513"/>
      <c r="AH513"/>
      <c r="AI513"/>
      <c r="AJ513"/>
      <c r="AK513"/>
      <c r="AL513"/>
      <c r="AM513"/>
      <c r="AN513"/>
      <c r="AO513"/>
      <c r="AP513"/>
      <c r="AQ513"/>
    </row>
    <row r="514" spans="1:43" ht="38.25">
      <c r="A514" s="13" t="s">
        <v>180</v>
      </c>
      <c r="B514" s="29" t="s">
        <v>124</v>
      </c>
      <c r="C514" s="15">
        <v>2.4249999999999998</v>
      </c>
      <c r="D514" s="1085" t="s">
        <v>1573</v>
      </c>
      <c r="E514" s="92"/>
      <c r="F514" s="92"/>
      <c r="G514" s="92"/>
      <c r="H514" s="29"/>
      <c r="I514" s="29"/>
      <c r="J514" s="29"/>
      <c r="K514" s="29"/>
      <c r="L514" s="29"/>
      <c r="M514" s="29"/>
      <c r="N514" s="29"/>
      <c r="O514" s="29"/>
      <c r="P514" s="29"/>
      <c r="Q514" s="29"/>
      <c r="R514" s="29"/>
      <c r="S514" s="29"/>
      <c r="T514"/>
      <c r="U514"/>
      <c r="V514"/>
      <c r="W514"/>
      <c r="X514"/>
      <c r="Y514"/>
      <c r="Z514"/>
      <c r="AA514"/>
      <c r="AB514"/>
      <c r="AC514"/>
      <c r="AD514"/>
      <c r="AE514"/>
      <c r="AF514"/>
      <c r="AG514"/>
      <c r="AH514"/>
      <c r="AI514"/>
      <c r="AJ514"/>
      <c r="AK514"/>
      <c r="AL514"/>
      <c r="AM514"/>
      <c r="AN514"/>
      <c r="AO514"/>
      <c r="AP514"/>
      <c r="AQ514"/>
    </row>
    <row r="515" spans="1:43" ht="38.25">
      <c r="A515" s="13" t="s">
        <v>180</v>
      </c>
      <c r="B515" s="14" t="s">
        <v>125</v>
      </c>
      <c r="C515" s="15">
        <v>3.5</v>
      </c>
      <c r="D515" s="1085" t="s">
        <v>1573</v>
      </c>
      <c r="E515" s="92"/>
      <c r="F515" s="92"/>
      <c r="G515" s="92"/>
      <c r="H515" s="29"/>
      <c r="I515" s="29"/>
      <c r="J515" s="29"/>
      <c r="K515" s="29"/>
      <c r="L515" s="29"/>
      <c r="M515" s="29"/>
      <c r="N515" s="29"/>
      <c r="O515" s="29"/>
      <c r="P515" s="29"/>
      <c r="Q515" s="29"/>
      <c r="R515" s="29"/>
      <c r="S515" s="29"/>
      <c r="T515"/>
      <c r="U515"/>
      <c r="V515"/>
      <c r="W515"/>
      <c r="X515"/>
      <c r="Y515"/>
      <c r="Z515"/>
      <c r="AA515"/>
      <c r="AB515"/>
      <c r="AC515"/>
      <c r="AD515"/>
      <c r="AE515"/>
      <c r="AF515"/>
      <c r="AG515"/>
      <c r="AH515"/>
      <c r="AI515"/>
      <c r="AJ515"/>
      <c r="AK515"/>
      <c r="AL515"/>
      <c r="AM515"/>
      <c r="AN515"/>
      <c r="AO515"/>
      <c r="AP515"/>
      <c r="AQ515"/>
    </row>
    <row r="516" spans="1:43">
      <c r="A516" s="9" t="s">
        <v>90</v>
      </c>
      <c r="B516" s="10"/>
      <c r="C516" s="11"/>
      <c r="D516" s="1086"/>
      <c r="E516" s="92"/>
      <c r="F516" s="92"/>
      <c r="G516" s="92"/>
      <c r="H516" s="29"/>
      <c r="I516" s="29"/>
      <c r="J516" s="29"/>
      <c r="K516" s="29"/>
      <c r="L516" s="29"/>
      <c r="M516" s="29"/>
      <c r="N516" s="29"/>
      <c r="O516" s="29"/>
      <c r="P516" s="29"/>
      <c r="Q516" s="29"/>
      <c r="R516" s="29"/>
      <c r="S516" s="29"/>
      <c r="T516"/>
      <c r="U516"/>
      <c r="V516"/>
      <c r="W516"/>
      <c r="X516"/>
      <c r="Y516"/>
      <c r="Z516"/>
      <c r="AA516"/>
      <c r="AB516"/>
      <c r="AC516"/>
      <c r="AD516"/>
      <c r="AE516"/>
      <c r="AF516"/>
      <c r="AG516"/>
      <c r="AH516"/>
      <c r="AI516"/>
      <c r="AJ516"/>
      <c r="AK516"/>
      <c r="AL516"/>
      <c r="AM516"/>
      <c r="AN516"/>
      <c r="AO516"/>
      <c r="AP516"/>
      <c r="AQ516"/>
    </row>
    <row r="517" spans="1:43">
      <c r="A517" s="1087" t="s">
        <v>90</v>
      </c>
      <c r="B517" s="14" t="s">
        <v>122</v>
      </c>
      <c r="C517" s="15">
        <v>0.99</v>
      </c>
      <c r="D517" s="1084" t="s">
        <v>1572</v>
      </c>
      <c r="E517" s="92"/>
      <c r="F517" s="92"/>
      <c r="G517" s="92"/>
      <c r="H517" s="29"/>
      <c r="I517" s="29"/>
      <c r="J517" s="29"/>
      <c r="K517" s="29"/>
      <c r="L517" s="29"/>
      <c r="M517" s="29"/>
      <c r="N517" s="29"/>
      <c r="O517" s="29"/>
      <c r="P517" s="29"/>
      <c r="Q517" s="29"/>
      <c r="R517" s="29"/>
      <c r="S517" s="29"/>
      <c r="T517"/>
      <c r="U517"/>
      <c r="V517"/>
      <c r="W517"/>
      <c r="X517"/>
      <c r="Y517"/>
      <c r="Z517"/>
      <c r="AA517"/>
      <c r="AB517"/>
      <c r="AC517"/>
      <c r="AD517"/>
      <c r="AE517"/>
      <c r="AF517"/>
      <c r="AG517"/>
      <c r="AH517"/>
      <c r="AI517"/>
      <c r="AJ517"/>
      <c r="AK517"/>
      <c r="AL517"/>
      <c r="AM517"/>
      <c r="AN517"/>
      <c r="AO517"/>
      <c r="AP517"/>
      <c r="AQ517"/>
    </row>
    <row r="518" spans="1:43" ht="38.25">
      <c r="A518" s="1087" t="s">
        <v>1282</v>
      </c>
      <c r="B518" s="29" t="s">
        <v>176</v>
      </c>
      <c r="C518" s="15">
        <v>7.5000000000000011E-2</v>
      </c>
      <c r="D518" s="1085" t="s">
        <v>1573</v>
      </c>
      <c r="E518" s="92"/>
      <c r="F518" s="92"/>
      <c r="G518" s="92"/>
      <c r="H518" s="29"/>
      <c r="I518" s="29"/>
      <c r="J518" s="29"/>
      <c r="K518" s="29"/>
      <c r="L518" s="29"/>
      <c r="M518" s="29"/>
      <c r="N518" s="29"/>
      <c r="O518" s="29"/>
      <c r="P518" s="29"/>
      <c r="Q518" s="29"/>
      <c r="R518" s="29"/>
      <c r="S518" s="29"/>
      <c r="T518"/>
      <c r="U518"/>
      <c r="V518"/>
      <c r="W518"/>
      <c r="X518"/>
      <c r="Y518"/>
      <c r="Z518"/>
      <c r="AA518"/>
      <c r="AB518"/>
      <c r="AC518"/>
      <c r="AD518"/>
      <c r="AE518"/>
      <c r="AF518"/>
      <c r="AG518"/>
      <c r="AH518"/>
      <c r="AI518"/>
      <c r="AJ518"/>
      <c r="AK518"/>
      <c r="AL518"/>
      <c r="AM518"/>
      <c r="AN518"/>
      <c r="AO518"/>
      <c r="AP518"/>
      <c r="AQ518"/>
    </row>
    <row r="519" spans="1:43" ht="38.25">
      <c r="A519" s="1087" t="s">
        <v>1282</v>
      </c>
      <c r="B519" s="29" t="s">
        <v>199</v>
      </c>
      <c r="C519" s="15">
        <v>0.13333333333333333</v>
      </c>
      <c r="D519" s="1085" t="s">
        <v>1573</v>
      </c>
      <c r="E519" s="92"/>
      <c r="F519" s="92"/>
      <c r="G519" s="92"/>
      <c r="H519" s="29"/>
      <c r="I519" s="29"/>
      <c r="J519" s="29"/>
      <c r="K519" s="29"/>
      <c r="L519" s="29"/>
      <c r="M519" s="29"/>
      <c r="N519" s="29"/>
      <c r="O519" s="29"/>
      <c r="P519" s="29"/>
      <c r="Q519" s="29"/>
      <c r="R519" s="29"/>
      <c r="S519" s="29"/>
      <c r="T519"/>
      <c r="U519"/>
      <c r="V519"/>
      <c r="W519"/>
      <c r="X519"/>
      <c r="Y519"/>
      <c r="Z519"/>
      <c r="AA519"/>
      <c r="AB519"/>
      <c r="AC519"/>
      <c r="AD519"/>
      <c r="AE519"/>
      <c r="AF519"/>
      <c r="AG519"/>
      <c r="AH519"/>
      <c r="AI519"/>
      <c r="AJ519"/>
      <c r="AK519"/>
      <c r="AL519"/>
      <c r="AM519"/>
      <c r="AN519"/>
      <c r="AO519"/>
      <c r="AP519"/>
      <c r="AQ519"/>
    </row>
    <row r="520" spans="1:43" ht="38.25">
      <c r="A520" s="1087" t="s">
        <v>1282</v>
      </c>
      <c r="B520" s="29" t="s">
        <v>124</v>
      </c>
      <c r="C520" s="15">
        <v>0.60000000000000009</v>
      </c>
      <c r="D520" s="1085" t="s">
        <v>1573</v>
      </c>
      <c r="E520" s="92"/>
      <c r="F520" s="92"/>
      <c r="G520" s="92"/>
      <c r="H520" s="29"/>
      <c r="I520" s="29"/>
      <c r="J520" s="29"/>
      <c r="K520" s="29"/>
      <c r="L520" s="29"/>
      <c r="M520" s="29"/>
      <c r="N520" s="29"/>
      <c r="O520" s="29"/>
      <c r="P520" s="29"/>
      <c r="Q520" s="29"/>
      <c r="R520" s="29"/>
      <c r="S520" s="29"/>
      <c r="T520"/>
      <c r="U520"/>
      <c r="V520"/>
      <c r="W520"/>
      <c r="X520"/>
      <c r="Y520"/>
      <c r="Z520"/>
      <c r="AA520"/>
      <c r="AB520"/>
      <c r="AC520"/>
      <c r="AD520"/>
      <c r="AE520"/>
      <c r="AF520"/>
      <c r="AG520"/>
      <c r="AH520"/>
      <c r="AI520"/>
      <c r="AJ520"/>
      <c r="AK520"/>
      <c r="AL520"/>
      <c r="AM520"/>
      <c r="AN520"/>
      <c r="AO520"/>
      <c r="AP520"/>
      <c r="AQ520"/>
    </row>
    <row r="521" spans="1:43" ht="38.25">
      <c r="A521" s="1087" t="s">
        <v>1284</v>
      </c>
      <c r="B521" s="14" t="s">
        <v>125</v>
      </c>
      <c r="C521" s="15">
        <v>1.1600000000000001</v>
      </c>
      <c r="D521" s="1085" t="s">
        <v>1573</v>
      </c>
      <c r="E521" s="92"/>
      <c r="F521" s="92"/>
      <c r="G521" s="92"/>
      <c r="H521" s="29"/>
      <c r="I521" s="29"/>
      <c r="J521" s="29"/>
      <c r="K521" s="29"/>
      <c r="L521" s="29"/>
      <c r="M521" s="29"/>
      <c r="N521" s="29"/>
      <c r="O521" s="29"/>
      <c r="P521" s="29"/>
      <c r="Q521" s="29"/>
      <c r="R521" s="29"/>
      <c r="S521" s="29"/>
      <c r="T521"/>
      <c r="U521"/>
      <c r="V521"/>
      <c r="W521"/>
      <c r="X521"/>
      <c r="Y521"/>
      <c r="Z521"/>
      <c r="AA521"/>
      <c r="AB521"/>
      <c r="AC521"/>
      <c r="AD521"/>
      <c r="AE521"/>
      <c r="AF521"/>
      <c r="AG521"/>
      <c r="AH521"/>
      <c r="AI521"/>
      <c r="AJ521"/>
      <c r="AK521"/>
      <c r="AL521"/>
      <c r="AM521"/>
      <c r="AN521"/>
      <c r="AO521"/>
      <c r="AP521"/>
      <c r="AQ521"/>
    </row>
    <row r="522" spans="1:43">
      <c r="A522" s="9" t="s">
        <v>1276</v>
      </c>
      <c r="B522" s="10"/>
      <c r="C522" s="11"/>
      <c r="D522" s="1086"/>
      <c r="E522" s="92"/>
      <c r="F522" s="92"/>
      <c r="G522" s="92"/>
      <c r="H522" s="29"/>
      <c r="I522" s="29"/>
      <c r="J522" s="29"/>
      <c r="K522" s="29"/>
      <c r="L522" s="29"/>
      <c r="M522" s="29"/>
      <c r="N522" s="29"/>
      <c r="O522" s="29"/>
      <c r="P522" s="29"/>
      <c r="Q522" s="29"/>
      <c r="R522" s="29"/>
      <c r="S522" s="29"/>
      <c r="T522"/>
      <c r="U522"/>
      <c r="V522"/>
      <c r="W522"/>
      <c r="X522"/>
      <c r="Y522"/>
      <c r="Z522"/>
      <c r="AA522"/>
      <c r="AB522"/>
      <c r="AC522"/>
      <c r="AD522"/>
      <c r="AE522"/>
      <c r="AF522"/>
      <c r="AG522"/>
      <c r="AH522"/>
      <c r="AI522"/>
      <c r="AJ522"/>
      <c r="AK522"/>
      <c r="AL522"/>
      <c r="AM522"/>
      <c r="AN522"/>
      <c r="AO522"/>
      <c r="AP522"/>
      <c r="AQ522"/>
    </row>
    <row r="523" spans="1:43">
      <c r="A523" s="1087" t="s">
        <v>1276</v>
      </c>
      <c r="B523" s="14" t="s">
        <v>122</v>
      </c>
      <c r="C523" s="15">
        <v>1.01</v>
      </c>
      <c r="D523" s="1084" t="s">
        <v>1572</v>
      </c>
      <c r="E523" s="92"/>
      <c r="F523" s="92"/>
      <c r="G523" s="92"/>
      <c r="H523" s="29"/>
      <c r="I523" s="29"/>
      <c r="J523" s="29"/>
      <c r="K523" s="29"/>
      <c r="L523" s="29"/>
      <c r="M523" s="29"/>
      <c r="N523" s="29"/>
      <c r="O523" s="29"/>
      <c r="P523" s="29"/>
      <c r="Q523" s="29"/>
      <c r="R523" s="29"/>
      <c r="S523" s="29"/>
      <c r="T523"/>
      <c r="U523"/>
      <c r="V523"/>
      <c r="W523"/>
      <c r="X523"/>
      <c r="Y523"/>
      <c r="Z523"/>
      <c r="AA523"/>
      <c r="AB523"/>
      <c r="AC523"/>
      <c r="AD523"/>
      <c r="AE523"/>
      <c r="AF523"/>
      <c r="AG523"/>
      <c r="AH523"/>
      <c r="AI523"/>
      <c r="AJ523"/>
      <c r="AK523"/>
      <c r="AL523"/>
      <c r="AM523"/>
      <c r="AN523"/>
      <c r="AO523"/>
      <c r="AP523"/>
      <c r="AQ523"/>
    </row>
    <row r="524" spans="1:43" ht="38.25">
      <c r="A524" s="1087" t="s">
        <v>1282</v>
      </c>
      <c r="B524" s="29" t="s">
        <v>176</v>
      </c>
      <c r="C524" s="15">
        <v>7.5000000000000011E-2</v>
      </c>
      <c r="D524" s="1085" t="s">
        <v>1573</v>
      </c>
      <c r="E524" s="92"/>
      <c r="F524" s="92"/>
      <c r="G524" s="92"/>
      <c r="H524" s="29"/>
      <c r="I524" s="29"/>
      <c r="J524" s="29"/>
      <c r="K524" s="29"/>
      <c r="L524" s="29"/>
      <c r="M524" s="29"/>
      <c r="N524" s="29"/>
      <c r="O524" s="29"/>
      <c r="P524" s="29"/>
      <c r="Q524" s="29"/>
      <c r="R524" s="29"/>
      <c r="S524" s="29"/>
      <c r="T524"/>
      <c r="U524"/>
      <c r="V524"/>
      <c r="W524"/>
      <c r="X524"/>
      <c r="Y524"/>
      <c r="Z524"/>
      <c r="AA524"/>
      <c r="AB524"/>
      <c r="AC524"/>
      <c r="AD524"/>
      <c r="AE524"/>
      <c r="AF524"/>
      <c r="AG524"/>
      <c r="AH524"/>
      <c r="AI524"/>
      <c r="AJ524"/>
      <c r="AK524"/>
      <c r="AL524"/>
      <c r="AM524"/>
      <c r="AN524"/>
      <c r="AO524"/>
      <c r="AP524"/>
      <c r="AQ524"/>
    </row>
    <row r="525" spans="1:43" ht="38.25">
      <c r="A525" s="1087" t="s">
        <v>1282</v>
      </c>
      <c r="B525" s="29" t="s">
        <v>199</v>
      </c>
      <c r="C525" s="15">
        <v>0.13333333333333333</v>
      </c>
      <c r="D525" s="1085" t="s">
        <v>1573</v>
      </c>
      <c r="E525" s="92"/>
      <c r="F525" s="92"/>
      <c r="G525" s="92"/>
      <c r="H525" s="29"/>
      <c r="I525" s="29"/>
      <c r="J525" s="29"/>
      <c r="K525" s="29"/>
      <c r="L525" s="29"/>
      <c r="M525" s="29"/>
      <c r="N525" s="29"/>
      <c r="O525" s="29"/>
      <c r="P525" s="29"/>
      <c r="Q525" s="29"/>
      <c r="R525" s="29"/>
      <c r="S525" s="29"/>
      <c r="T525"/>
      <c r="U525"/>
      <c r="V525"/>
      <c r="W525"/>
      <c r="X525"/>
      <c r="Y525"/>
      <c r="Z525"/>
      <c r="AA525"/>
      <c r="AB525"/>
      <c r="AC525"/>
      <c r="AD525"/>
      <c r="AE525"/>
      <c r="AF525"/>
      <c r="AG525"/>
      <c r="AH525"/>
      <c r="AI525"/>
      <c r="AJ525"/>
      <c r="AK525"/>
      <c r="AL525"/>
      <c r="AM525"/>
      <c r="AN525"/>
      <c r="AO525"/>
      <c r="AP525"/>
      <c r="AQ525"/>
    </row>
    <row r="526" spans="1:43" ht="38.25">
      <c r="A526" s="1087" t="s">
        <v>1282</v>
      </c>
      <c r="B526" s="29" t="s">
        <v>124</v>
      </c>
      <c r="C526" s="15">
        <v>0.60000000000000009</v>
      </c>
      <c r="D526" s="1085" t="s">
        <v>1573</v>
      </c>
      <c r="E526" s="92"/>
      <c r="F526" s="92"/>
      <c r="G526" s="92"/>
      <c r="H526" s="29"/>
      <c r="I526" s="29"/>
      <c r="J526" s="29"/>
      <c r="K526" s="29"/>
      <c r="L526" s="29"/>
      <c r="M526" s="29"/>
      <c r="N526" s="29"/>
      <c r="O526" s="29"/>
      <c r="P526" s="29"/>
      <c r="Q526" s="29"/>
      <c r="R526" s="29"/>
      <c r="S526" s="29"/>
      <c r="T526"/>
      <c r="U526"/>
      <c r="V526"/>
      <c r="W526"/>
      <c r="X526"/>
      <c r="Y526"/>
      <c r="Z526"/>
      <c r="AA526"/>
      <c r="AB526"/>
      <c r="AC526"/>
      <c r="AD526"/>
      <c r="AE526"/>
      <c r="AF526"/>
      <c r="AG526"/>
      <c r="AH526"/>
      <c r="AI526"/>
      <c r="AJ526"/>
      <c r="AK526"/>
      <c r="AL526"/>
      <c r="AM526"/>
      <c r="AN526"/>
      <c r="AO526"/>
      <c r="AP526"/>
      <c r="AQ526"/>
    </row>
    <row r="527" spans="1:43" ht="38.25">
      <c r="A527" s="1087" t="s">
        <v>1284</v>
      </c>
      <c r="B527" s="14" t="s">
        <v>125</v>
      </c>
      <c r="C527" s="15">
        <v>1.1600000000000001</v>
      </c>
      <c r="D527" s="1085" t="s">
        <v>1573</v>
      </c>
      <c r="E527" s="92"/>
      <c r="F527" s="92"/>
      <c r="G527" s="92"/>
      <c r="H527" s="29"/>
      <c r="I527" s="29"/>
      <c r="J527" s="29"/>
      <c r="K527" s="29"/>
      <c r="L527" s="29"/>
      <c r="M527" s="29"/>
      <c r="N527" s="29"/>
      <c r="O527" s="29"/>
      <c r="P527" s="29"/>
      <c r="Q527" s="29"/>
      <c r="R527" s="29"/>
      <c r="S527" s="29"/>
      <c r="T527"/>
      <c r="U527"/>
      <c r="V527"/>
      <c r="W527"/>
      <c r="X527"/>
      <c r="Y527"/>
      <c r="Z527"/>
      <c r="AA527"/>
      <c r="AB527"/>
      <c r="AC527"/>
      <c r="AD527"/>
      <c r="AE527"/>
      <c r="AF527"/>
      <c r="AG527"/>
      <c r="AH527"/>
      <c r="AI527"/>
      <c r="AJ527"/>
      <c r="AK527"/>
      <c r="AL527"/>
      <c r="AM527"/>
      <c r="AN527"/>
      <c r="AO527"/>
      <c r="AP527"/>
      <c r="AQ527"/>
    </row>
    <row r="528" spans="1:43">
      <c r="A528" s="9" t="s">
        <v>192</v>
      </c>
      <c r="B528" s="10"/>
      <c r="C528" s="11"/>
      <c r="D528" s="1088"/>
      <c r="E528" s="14"/>
      <c r="F528" s="14"/>
      <c r="G528" s="14"/>
      <c r="H528" s="14"/>
      <c r="I528" s="14"/>
      <c r="J528" s="14"/>
      <c r="K528" s="14"/>
      <c r="L528" s="14"/>
      <c r="M528" s="14"/>
      <c r="N528" s="14"/>
      <c r="O528" s="14"/>
      <c r="P528" s="14"/>
      <c r="Q528" s="14"/>
      <c r="R528" s="14"/>
      <c r="S528" s="14"/>
      <c r="T528" s="14"/>
      <c r="U528"/>
      <c r="V528"/>
      <c r="W528"/>
      <c r="X528"/>
      <c r="Y528"/>
      <c r="Z528"/>
      <c r="AA528"/>
      <c r="AB528"/>
      <c r="AC528"/>
      <c r="AD528"/>
      <c r="AE528"/>
      <c r="AF528"/>
      <c r="AG528"/>
      <c r="AH528"/>
      <c r="AI528"/>
      <c r="AJ528"/>
      <c r="AK528"/>
      <c r="AL528"/>
      <c r="AM528"/>
      <c r="AN528"/>
      <c r="AO528"/>
      <c r="AP528"/>
      <c r="AQ528"/>
    </row>
    <row r="529" spans="1:43">
      <c r="A529" s="28" t="s">
        <v>192</v>
      </c>
      <c r="B529" s="14" t="s">
        <v>122</v>
      </c>
      <c r="C529" s="15">
        <v>0.115</v>
      </c>
      <c r="D529" s="1084" t="s">
        <v>1572</v>
      </c>
      <c r="E529" s="14"/>
      <c r="F529" s="14"/>
      <c r="G529" s="14"/>
      <c r="H529" s="14"/>
      <c r="I529" s="14"/>
      <c r="J529" s="14"/>
      <c r="K529" s="14"/>
      <c r="L529" s="14"/>
      <c r="M529" s="14"/>
      <c r="N529" s="14"/>
      <c r="O529" s="14"/>
      <c r="P529" s="14"/>
      <c r="Q529" s="14"/>
      <c r="R529" s="14"/>
      <c r="S529" s="14"/>
      <c r="T529" s="14"/>
      <c r="U529"/>
      <c r="V529"/>
      <c r="W529"/>
      <c r="X529"/>
      <c r="Y529"/>
      <c r="Z529"/>
      <c r="AA529"/>
      <c r="AB529"/>
      <c r="AC529"/>
      <c r="AD529"/>
      <c r="AE529"/>
      <c r="AF529"/>
      <c r="AG529"/>
      <c r="AH529"/>
      <c r="AI529"/>
      <c r="AJ529"/>
      <c r="AK529"/>
      <c r="AL529"/>
      <c r="AM529"/>
      <c r="AN529"/>
      <c r="AO529"/>
      <c r="AP529"/>
      <c r="AQ529"/>
    </row>
    <row r="530" spans="1:43" ht="38.25">
      <c r="A530" s="28" t="s">
        <v>192</v>
      </c>
      <c r="B530" s="29" t="s">
        <v>176</v>
      </c>
      <c r="C530" s="15">
        <v>0.84000000000000008</v>
      </c>
      <c r="D530" s="1085" t="s">
        <v>1573</v>
      </c>
      <c r="E530" s="14"/>
      <c r="F530" s="14"/>
      <c r="G530" s="14"/>
      <c r="H530" s="14"/>
      <c r="I530" s="14"/>
      <c r="J530" s="14"/>
      <c r="K530" s="14"/>
      <c r="L530" s="14"/>
      <c r="M530" s="14"/>
      <c r="N530" s="14"/>
      <c r="O530" s="14"/>
      <c r="P530" s="14"/>
      <c r="Q530" s="14"/>
      <c r="R530" s="14"/>
      <c r="S530" s="14"/>
      <c r="T530" s="14"/>
      <c r="U530"/>
      <c r="V530"/>
      <c r="W530"/>
      <c r="X530"/>
      <c r="Y530"/>
      <c r="Z530"/>
      <c r="AA530"/>
      <c r="AB530"/>
      <c r="AC530"/>
      <c r="AD530"/>
      <c r="AE530"/>
      <c r="AF530"/>
      <c r="AG530"/>
      <c r="AH530"/>
      <c r="AI530"/>
      <c r="AJ530"/>
      <c r="AK530"/>
      <c r="AL530"/>
      <c r="AM530"/>
      <c r="AN530"/>
      <c r="AO530"/>
      <c r="AP530"/>
      <c r="AQ530"/>
    </row>
    <row r="531" spans="1:43" ht="38.25">
      <c r="A531" s="28" t="s">
        <v>192</v>
      </c>
      <c r="B531" s="29" t="s">
        <v>199</v>
      </c>
      <c r="C531" s="15">
        <v>1.02</v>
      </c>
      <c r="D531" s="1085" t="s">
        <v>1573</v>
      </c>
      <c r="E531" s="14"/>
      <c r="F531" s="14"/>
      <c r="G531" s="14"/>
      <c r="H531" s="14"/>
      <c r="I531" s="14"/>
      <c r="J531" s="14"/>
      <c r="K531" s="14"/>
      <c r="L531" s="14"/>
      <c r="M531" s="14"/>
      <c r="N531" s="14"/>
      <c r="O531" s="14"/>
      <c r="P531" s="14"/>
      <c r="Q531" s="14"/>
      <c r="R531" s="14"/>
      <c r="S531" s="14"/>
      <c r="T531" s="14"/>
      <c r="U531"/>
      <c r="V531"/>
      <c r="W531"/>
      <c r="X531"/>
      <c r="Y531"/>
      <c r="Z531"/>
      <c r="AA531"/>
      <c r="AB531"/>
      <c r="AC531"/>
      <c r="AD531"/>
      <c r="AE531"/>
      <c r="AF531"/>
      <c r="AG531"/>
      <c r="AH531"/>
      <c r="AI531"/>
      <c r="AJ531"/>
      <c r="AK531"/>
      <c r="AL531"/>
      <c r="AM531"/>
      <c r="AN531"/>
      <c r="AO531"/>
      <c r="AP531"/>
      <c r="AQ531"/>
    </row>
    <row r="532" spans="1:43" ht="38.25">
      <c r="A532" s="28" t="s">
        <v>192</v>
      </c>
      <c r="B532" s="29" t="s">
        <v>124</v>
      </c>
      <c r="C532" s="15">
        <v>1.1000000000000001</v>
      </c>
      <c r="D532" s="1085" t="s">
        <v>1573</v>
      </c>
      <c r="E532" s="14"/>
      <c r="F532" s="14"/>
      <c r="G532" s="14"/>
      <c r="H532" s="14"/>
      <c r="I532" s="14"/>
      <c r="J532" s="14"/>
      <c r="K532" s="14"/>
      <c r="L532" s="14"/>
      <c r="M532" s="14"/>
      <c r="N532" s="14"/>
      <c r="O532" s="14"/>
      <c r="P532" s="14"/>
      <c r="Q532" s="14"/>
      <c r="R532" s="14"/>
      <c r="S532" s="14"/>
      <c r="T532" s="14"/>
      <c r="U532"/>
      <c r="V532"/>
      <c r="W532"/>
      <c r="X532"/>
      <c r="Y532"/>
      <c r="Z532"/>
      <c r="AA532"/>
      <c r="AB532"/>
      <c r="AC532"/>
      <c r="AD532"/>
      <c r="AE532"/>
      <c r="AF532"/>
      <c r="AG532"/>
      <c r="AH532"/>
      <c r="AI532"/>
      <c r="AJ532"/>
      <c r="AK532"/>
      <c r="AL532"/>
      <c r="AM532"/>
      <c r="AN532"/>
      <c r="AO532"/>
      <c r="AP532"/>
      <c r="AQ532"/>
    </row>
    <row r="533" spans="1:43" ht="38.25">
      <c r="A533" s="28" t="s">
        <v>192</v>
      </c>
      <c r="B533" s="14" t="s">
        <v>125</v>
      </c>
      <c r="C533" s="15">
        <v>1.6</v>
      </c>
      <c r="D533" s="1085" t="s">
        <v>1573</v>
      </c>
      <c r="E533" s="14"/>
      <c r="F533" s="14"/>
      <c r="G533" s="14"/>
      <c r="H533" s="14"/>
      <c r="I533" s="14"/>
      <c r="J533" s="14"/>
      <c r="K533" s="14"/>
      <c r="L533" s="14"/>
      <c r="M533" s="14"/>
      <c r="N533" s="14"/>
      <c r="O533" s="14"/>
      <c r="P533" s="14"/>
      <c r="Q533" s="14"/>
      <c r="R533" s="14"/>
      <c r="S533" s="14"/>
      <c r="T533" s="14"/>
      <c r="U533"/>
      <c r="V533"/>
      <c r="W533"/>
      <c r="X533"/>
      <c r="Y533"/>
      <c r="Z533"/>
      <c r="AA533"/>
      <c r="AB533"/>
      <c r="AC533"/>
      <c r="AD533"/>
      <c r="AE533"/>
      <c r="AF533"/>
      <c r="AG533"/>
      <c r="AH533"/>
      <c r="AI533"/>
      <c r="AJ533"/>
      <c r="AK533"/>
      <c r="AL533"/>
      <c r="AM533"/>
      <c r="AN533"/>
      <c r="AO533"/>
      <c r="AP533"/>
      <c r="AQ533"/>
    </row>
    <row r="534" spans="1:43">
      <c r="A534" s="147" t="s">
        <v>640</v>
      </c>
      <c r="B534" s="10"/>
      <c r="C534" s="123"/>
      <c r="D534" s="1089"/>
      <c r="E534" s="29"/>
      <c r="F534" s="29"/>
      <c r="G534" s="29"/>
      <c r="H534" s="29"/>
      <c r="I534" s="29"/>
      <c r="J534" s="29"/>
      <c r="K534" s="29"/>
      <c r="L534" s="29"/>
      <c r="M534" s="29"/>
      <c r="N534" s="29"/>
      <c r="O534" s="29"/>
      <c r="P534" s="29"/>
      <c r="Q534" s="29"/>
      <c r="R534" s="29"/>
      <c r="S534" s="29"/>
      <c r="T534"/>
      <c r="U534"/>
      <c r="V534"/>
      <c r="W534"/>
      <c r="X534"/>
      <c r="Y534"/>
      <c r="Z534"/>
      <c r="AA534"/>
      <c r="AB534"/>
      <c r="AC534"/>
      <c r="AD534"/>
      <c r="AE534"/>
      <c r="AF534"/>
      <c r="AG534"/>
      <c r="AH534"/>
      <c r="AI534"/>
      <c r="AJ534"/>
      <c r="AK534"/>
      <c r="AL534"/>
      <c r="AM534"/>
      <c r="AN534"/>
      <c r="AO534"/>
      <c r="AP534"/>
      <c r="AQ534"/>
    </row>
    <row r="535" spans="1:43">
      <c r="A535" s="28"/>
      <c r="B535" s="14" t="s">
        <v>139</v>
      </c>
      <c r="C535" s="53">
        <v>2.6</v>
      </c>
      <c r="D535" s="1090" t="s">
        <v>1574</v>
      </c>
      <c r="E535" s="29"/>
      <c r="F535" s="29"/>
      <c r="G535" s="29"/>
      <c r="H535" s="29"/>
      <c r="I535" s="29"/>
      <c r="J535" s="29"/>
      <c r="K535" s="29"/>
      <c r="L535" s="29"/>
      <c r="M535" s="29"/>
      <c r="N535" s="29"/>
      <c r="O535" s="29"/>
      <c r="P535" s="29"/>
      <c r="Q535" s="29"/>
      <c r="R535" s="29"/>
      <c r="S535" s="29"/>
      <c r="T535"/>
      <c r="U535"/>
      <c r="V535"/>
      <c r="W535"/>
      <c r="X535"/>
      <c r="Y535"/>
      <c r="Z535"/>
      <c r="AA535"/>
      <c r="AB535"/>
      <c r="AC535"/>
      <c r="AD535"/>
      <c r="AE535"/>
      <c r="AF535"/>
      <c r="AG535"/>
      <c r="AH535"/>
      <c r="AI535"/>
      <c r="AJ535"/>
      <c r="AK535"/>
      <c r="AL535"/>
      <c r="AM535"/>
      <c r="AN535"/>
      <c r="AO535"/>
      <c r="AP535"/>
      <c r="AQ535"/>
    </row>
    <row r="536" spans="1:43">
      <c r="A536" s="28"/>
      <c r="B536" s="14" t="s">
        <v>188</v>
      </c>
      <c r="C536" s="53">
        <v>2.7229999999999999</v>
      </c>
      <c r="D536" s="1090" t="s">
        <v>674</v>
      </c>
      <c r="E536" s="29"/>
      <c r="F536" s="29"/>
      <c r="G536" s="29"/>
      <c r="H536" s="29"/>
      <c r="I536" s="29"/>
      <c r="J536" s="29"/>
      <c r="K536" s="29"/>
      <c r="L536" s="29"/>
      <c r="M536" s="29"/>
      <c r="N536" s="29"/>
      <c r="O536" s="29"/>
      <c r="P536" s="29"/>
      <c r="Q536" s="29"/>
      <c r="R536" s="29"/>
      <c r="S536" s="29"/>
      <c r="T536"/>
      <c r="U536"/>
      <c r="V536"/>
      <c r="W536"/>
      <c r="X536"/>
      <c r="Y536"/>
      <c r="Z536"/>
      <c r="AA536"/>
      <c r="AB536"/>
      <c r="AC536"/>
      <c r="AD536"/>
      <c r="AE536"/>
      <c r="AF536"/>
      <c r="AG536"/>
      <c r="AH536"/>
      <c r="AI536"/>
      <c r="AJ536"/>
      <c r="AK536"/>
      <c r="AL536"/>
      <c r="AM536"/>
      <c r="AN536"/>
      <c r="AO536"/>
      <c r="AP536"/>
      <c r="AQ536"/>
    </row>
    <row r="537" spans="1:43">
      <c r="A537" s="1091" t="s">
        <v>675</v>
      </c>
      <c r="B537" s="75"/>
      <c r="C537" s="75"/>
      <c r="D537" s="1089"/>
      <c r="E537" s="29"/>
      <c r="F537" s="29"/>
      <c r="G537" s="29"/>
      <c r="H537" s="29"/>
      <c r="I537" s="29"/>
      <c r="J537" s="29"/>
      <c r="K537" s="29"/>
      <c r="L537" s="29"/>
      <c r="M537" s="29"/>
      <c r="N537" s="29"/>
      <c r="O537" s="29"/>
      <c r="P537" s="29"/>
      <c r="Q537" s="29"/>
      <c r="R537" s="29"/>
      <c r="S537" s="29"/>
      <c r="T537"/>
      <c r="U537"/>
      <c r="V537"/>
      <c r="W537"/>
      <c r="X537"/>
      <c r="Y537"/>
      <c r="Z537"/>
      <c r="AA537"/>
      <c r="AB537"/>
      <c r="AC537"/>
      <c r="AD537"/>
      <c r="AE537"/>
      <c r="AF537"/>
      <c r="AG537"/>
      <c r="AH537"/>
      <c r="AI537"/>
      <c r="AJ537"/>
      <c r="AK537"/>
      <c r="AL537"/>
      <c r="AM537"/>
      <c r="AN537"/>
      <c r="AO537"/>
      <c r="AP537"/>
      <c r="AQ537"/>
    </row>
    <row r="538" spans="1:43">
      <c r="A538" s="545"/>
      <c r="B538" s="29" t="s">
        <v>134</v>
      </c>
      <c r="C538" s="1092">
        <v>1.6350000000000002</v>
      </c>
      <c r="D538" s="1090" t="s">
        <v>674</v>
      </c>
      <c r="E538" s="29"/>
      <c r="F538" s="29"/>
      <c r="G538" s="29"/>
      <c r="H538" s="29"/>
      <c r="I538" s="29"/>
      <c r="J538" s="29"/>
      <c r="K538" s="29"/>
      <c r="L538" s="29"/>
      <c r="M538" s="29"/>
      <c r="N538" s="29"/>
      <c r="O538" s="29"/>
      <c r="P538" s="29"/>
      <c r="Q538" s="29"/>
      <c r="R538" s="29"/>
      <c r="S538" s="29"/>
      <c r="T538"/>
      <c r="U538"/>
      <c r="V538"/>
      <c r="W538"/>
      <c r="X538"/>
      <c r="Y538"/>
      <c r="Z538"/>
      <c r="AA538"/>
      <c r="AB538"/>
      <c r="AC538"/>
      <c r="AD538"/>
      <c r="AE538"/>
      <c r="AF538"/>
      <c r="AG538"/>
      <c r="AH538"/>
      <c r="AI538"/>
      <c r="AJ538"/>
      <c r="AK538"/>
      <c r="AL538"/>
      <c r="AM538"/>
      <c r="AN538"/>
      <c r="AO538"/>
      <c r="AP538"/>
      <c r="AQ538"/>
    </row>
    <row r="539" spans="1:43">
      <c r="A539" s="147" t="s">
        <v>1258</v>
      </c>
      <c r="B539" s="75"/>
      <c r="C539" s="75"/>
      <c r="D539" s="1089"/>
      <c r="E539" s="29"/>
      <c r="F539" s="29"/>
      <c r="G539" s="29"/>
      <c r="H539" s="29"/>
      <c r="I539" s="29"/>
      <c r="J539" s="29"/>
      <c r="K539" s="29"/>
      <c r="L539" s="29"/>
      <c r="M539" s="29"/>
      <c r="N539" s="29"/>
      <c r="O539" s="29"/>
      <c r="P539" s="29"/>
      <c r="Q539" s="29"/>
      <c r="R539" s="29"/>
      <c r="S539" s="29"/>
      <c r="T539"/>
      <c r="U539"/>
      <c r="V539"/>
      <c r="W539"/>
      <c r="X539"/>
      <c r="Y539"/>
      <c r="Z539"/>
      <c r="AA539"/>
      <c r="AB539"/>
      <c r="AC539"/>
      <c r="AD539"/>
      <c r="AE539"/>
      <c r="AF539"/>
      <c r="AG539"/>
      <c r="AH539"/>
      <c r="AI539"/>
      <c r="AJ539"/>
      <c r="AK539"/>
      <c r="AL539"/>
      <c r="AM539"/>
      <c r="AN539"/>
      <c r="AO539"/>
      <c r="AP539"/>
      <c r="AQ539"/>
    </row>
    <row r="540" spans="1:43">
      <c r="A540" s="28"/>
      <c r="B540" s="29" t="s">
        <v>122</v>
      </c>
      <c r="C540" s="15">
        <v>0.25</v>
      </c>
      <c r="D540" s="1084" t="s">
        <v>1572</v>
      </c>
      <c r="E540" s="29"/>
      <c r="F540" s="29"/>
      <c r="G540" s="29"/>
      <c r="H540" s="29"/>
      <c r="I540" s="29"/>
      <c r="J540" s="29"/>
      <c r="K540" s="29"/>
      <c r="L540" s="29"/>
      <c r="M540" s="29"/>
      <c r="N540" s="29"/>
      <c r="O540" s="29"/>
      <c r="P540" s="29"/>
      <c r="Q540" s="29"/>
      <c r="R540" s="29"/>
      <c r="S540" s="29"/>
      <c r="T540"/>
      <c r="U540"/>
      <c r="V540"/>
      <c r="W540"/>
      <c r="X540"/>
      <c r="Y540"/>
      <c r="Z540"/>
      <c r="AA540"/>
      <c r="AB540"/>
      <c r="AC540"/>
      <c r="AD540"/>
      <c r="AE540"/>
      <c r="AF540"/>
      <c r="AG540"/>
      <c r="AH540"/>
      <c r="AI540"/>
      <c r="AJ540"/>
      <c r="AK540"/>
      <c r="AL540"/>
      <c r="AM540"/>
      <c r="AN540"/>
      <c r="AO540"/>
      <c r="AP540"/>
      <c r="AQ540"/>
    </row>
    <row r="541" spans="1:43">
      <c r="A541" s="147" t="s">
        <v>1167</v>
      </c>
      <c r="B541" s="75"/>
      <c r="C541" s="75"/>
      <c r="D541" s="1089"/>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row>
    <row r="542" spans="1:43">
      <c r="A542" s="33"/>
      <c r="B542" s="34" t="s">
        <v>122</v>
      </c>
      <c r="C542" s="214">
        <v>0.25</v>
      </c>
      <c r="D542" s="1093" t="s">
        <v>1575</v>
      </c>
      <c r="E542" s="29"/>
      <c r="F542" s="29"/>
      <c r="G542" s="29"/>
      <c r="H542" s="29"/>
      <c r="I542" s="29"/>
      <c r="J542" s="29"/>
      <c r="K542" s="29"/>
      <c r="L542" s="29"/>
      <c r="M542" s="29"/>
      <c r="N542" s="29"/>
      <c r="O542" s="29"/>
      <c r="P542" s="29"/>
      <c r="Q542" s="29"/>
      <c r="R542" s="29"/>
      <c r="S542" s="29"/>
      <c r="T542"/>
      <c r="U542"/>
      <c r="V542"/>
      <c r="W542"/>
      <c r="X542"/>
      <c r="Y542"/>
      <c r="Z542"/>
      <c r="AA542"/>
      <c r="AB542"/>
      <c r="AC542"/>
      <c r="AD542"/>
      <c r="AE542"/>
      <c r="AF542"/>
      <c r="AG542"/>
      <c r="AH542"/>
      <c r="AI542"/>
      <c r="AJ542"/>
      <c r="AK542"/>
      <c r="AL542"/>
      <c r="AM542"/>
      <c r="AN542"/>
      <c r="AO542"/>
      <c r="AP542"/>
      <c r="AQ542"/>
    </row>
    <row r="543" spans="1:43">
      <c r="A543" s="29"/>
      <c r="B543" s="29"/>
      <c r="C543" s="29"/>
      <c r="D543" s="29"/>
      <c r="E543" s="29"/>
      <c r="F543" s="29"/>
      <c r="G543" s="29"/>
      <c r="H543" s="29"/>
      <c r="I543" s="29"/>
      <c r="J543" s="29"/>
      <c r="K543" s="29"/>
      <c r="L543" s="29"/>
      <c r="M543" s="29"/>
      <c r="N543" s="29"/>
      <c r="O543" s="29"/>
      <c r="P543" s="29"/>
      <c r="Q543" s="29"/>
      <c r="R543" s="29"/>
      <c r="S543" s="29"/>
      <c r="T543"/>
      <c r="U543"/>
      <c r="V543"/>
      <c r="W543"/>
      <c r="X543"/>
      <c r="Y543"/>
      <c r="Z543"/>
      <c r="AA543"/>
      <c r="AB543"/>
      <c r="AC543"/>
      <c r="AD543"/>
      <c r="AE543"/>
      <c r="AF543"/>
      <c r="AG543"/>
      <c r="AH543"/>
      <c r="AI543"/>
      <c r="AJ543"/>
      <c r="AK543"/>
      <c r="AL543"/>
      <c r="AM543"/>
      <c r="AN543"/>
      <c r="AO543"/>
      <c r="AP543"/>
      <c r="AQ543"/>
    </row>
    <row r="544" spans="1:43">
      <c r="A544" s="29"/>
      <c r="B544" s="29"/>
      <c r="C544" s="29"/>
      <c r="D544" s="29"/>
      <c r="E544" s="29"/>
      <c r="F544" s="29"/>
      <c r="G544" s="29"/>
      <c r="H544" s="29"/>
      <c r="I544" s="29"/>
      <c r="J544" s="29"/>
      <c r="K544" s="29"/>
      <c r="L544" s="29"/>
      <c r="M544" s="29"/>
      <c r="N544" s="29"/>
      <c r="O544" s="29"/>
      <c r="P544" s="29"/>
      <c r="Q544" s="29"/>
      <c r="R544" s="29"/>
      <c r="S544" s="29"/>
      <c r="T544"/>
      <c r="U544"/>
      <c r="V544"/>
      <c r="W544"/>
      <c r="X544"/>
      <c r="Y544"/>
      <c r="Z544"/>
      <c r="AA544"/>
      <c r="AB544"/>
      <c r="AC544"/>
      <c r="AD544"/>
      <c r="AE544"/>
      <c r="AF544"/>
      <c r="AG544"/>
      <c r="AH544"/>
      <c r="AI544"/>
      <c r="AJ544"/>
      <c r="AK544"/>
      <c r="AL544"/>
      <c r="AM544"/>
      <c r="AN544"/>
      <c r="AO544"/>
      <c r="AP544"/>
      <c r="AQ544"/>
    </row>
    <row r="545" spans="1:43">
      <c r="A545" s="29"/>
      <c r="B545" s="29"/>
      <c r="C545" s="29"/>
      <c r="D545" s="29"/>
      <c r="E545" s="29"/>
      <c r="F545" s="29"/>
      <c r="G545" s="29"/>
      <c r="H545" s="29"/>
      <c r="I545" s="29"/>
      <c r="J545" s="29"/>
      <c r="K545" s="29"/>
      <c r="L545" s="29"/>
      <c r="M545" s="29"/>
      <c r="N545" s="29"/>
      <c r="O545" s="29"/>
      <c r="P545" s="29"/>
      <c r="Q545" s="29"/>
      <c r="R545" s="29"/>
      <c r="S545" s="29"/>
      <c r="T545"/>
      <c r="U545"/>
      <c r="V545"/>
      <c r="W545"/>
      <c r="X545"/>
      <c r="Y545"/>
      <c r="Z545"/>
      <c r="AA545"/>
      <c r="AB545"/>
      <c r="AC545"/>
      <c r="AD545"/>
      <c r="AE545"/>
      <c r="AF545"/>
      <c r="AG545"/>
      <c r="AH545"/>
      <c r="AI545"/>
      <c r="AJ545"/>
      <c r="AK545"/>
      <c r="AL545"/>
      <c r="AM545"/>
      <c r="AN545"/>
      <c r="AO545"/>
      <c r="AP545"/>
      <c r="AQ545"/>
    </row>
    <row r="546" spans="1:43">
      <c r="A546" s="29"/>
      <c r="B546" s="29"/>
      <c r="C546" s="29"/>
      <c r="D546" s="29"/>
      <c r="E546" s="29"/>
      <c r="F546" s="29"/>
      <c r="G546" s="29"/>
      <c r="H546" s="29"/>
      <c r="I546" s="29"/>
      <c r="J546" s="29"/>
      <c r="K546" s="29"/>
      <c r="L546" s="29"/>
      <c r="M546" s="29"/>
      <c r="N546" s="29"/>
      <c r="O546" s="29"/>
      <c r="P546" s="29"/>
      <c r="Q546" s="29"/>
      <c r="R546" s="29"/>
      <c r="S546" s="29"/>
      <c r="T546"/>
      <c r="U546"/>
      <c r="V546"/>
      <c r="W546"/>
      <c r="X546"/>
      <c r="Y546"/>
      <c r="Z546"/>
      <c r="AA546"/>
      <c r="AB546"/>
      <c r="AC546"/>
      <c r="AD546"/>
      <c r="AE546"/>
      <c r="AF546"/>
      <c r="AG546"/>
      <c r="AH546"/>
      <c r="AI546"/>
      <c r="AJ546"/>
      <c r="AK546"/>
      <c r="AL546"/>
      <c r="AM546"/>
      <c r="AN546"/>
      <c r="AO546"/>
      <c r="AP546"/>
      <c r="AQ546"/>
    </row>
    <row r="547" spans="1:43">
      <c r="A547" s="29"/>
      <c r="B547" s="29"/>
      <c r="C547" s="29"/>
      <c r="D547" s="29"/>
      <c r="E547" s="29"/>
      <c r="F547" s="29"/>
      <c r="G547" s="29"/>
      <c r="H547" s="29"/>
      <c r="I547" s="29"/>
      <c r="J547" s="29"/>
      <c r="K547" s="29"/>
      <c r="L547" s="29"/>
      <c r="M547" s="29"/>
      <c r="N547" s="29"/>
      <c r="O547" s="29"/>
      <c r="P547" s="29"/>
      <c r="Q547" s="29"/>
      <c r="R547" s="29"/>
      <c r="S547" s="29"/>
      <c r="T547"/>
      <c r="U547"/>
      <c r="V547"/>
      <c r="W547"/>
      <c r="X547"/>
      <c r="Y547"/>
      <c r="Z547"/>
      <c r="AA547"/>
      <c r="AB547"/>
      <c r="AC547"/>
      <c r="AD547"/>
      <c r="AE547"/>
      <c r="AF547"/>
      <c r="AG547"/>
      <c r="AH547"/>
      <c r="AI547"/>
      <c r="AJ547"/>
      <c r="AK547"/>
      <c r="AL547"/>
      <c r="AM547"/>
      <c r="AN547"/>
      <c r="AO547"/>
      <c r="AP547"/>
      <c r="AQ547"/>
    </row>
    <row r="548" spans="1:43">
      <c r="A548" s="29"/>
      <c r="B548" s="29"/>
      <c r="C548" s="29"/>
      <c r="D548" s="29"/>
      <c r="E548" s="29"/>
      <c r="F548" s="29"/>
      <c r="G548" s="29"/>
      <c r="H548" s="29"/>
      <c r="I548" s="29"/>
      <c r="J548" s="29"/>
      <c r="K548" s="29"/>
      <c r="L548" s="29"/>
      <c r="M548" s="29"/>
      <c r="N548" s="29"/>
      <c r="O548" s="29"/>
      <c r="P548" s="29"/>
      <c r="Q548" s="29"/>
      <c r="R548" s="29"/>
      <c r="S548" s="29"/>
      <c r="T548"/>
      <c r="U548"/>
      <c r="V548"/>
      <c r="W548"/>
      <c r="X548"/>
      <c r="Y548"/>
      <c r="Z548"/>
      <c r="AA548"/>
      <c r="AB548"/>
      <c r="AC548"/>
      <c r="AD548"/>
      <c r="AE548"/>
      <c r="AF548"/>
      <c r="AG548"/>
      <c r="AH548"/>
      <c r="AI548"/>
      <c r="AJ548"/>
      <c r="AK548"/>
      <c r="AL548"/>
      <c r="AM548"/>
      <c r="AN548"/>
      <c r="AO548"/>
      <c r="AP548"/>
      <c r="AQ548"/>
    </row>
    <row r="549" spans="1:43">
      <c r="A549" s="29"/>
      <c r="B549" s="29"/>
      <c r="C549" s="29"/>
      <c r="D549" s="29"/>
      <c r="E549" s="29"/>
      <c r="F549" s="29"/>
      <c r="G549" s="29"/>
      <c r="H549" s="29"/>
      <c r="I549" s="29"/>
      <c r="J549" s="29"/>
      <c r="K549" s="29"/>
      <c r="L549" s="29"/>
      <c r="M549" s="29"/>
      <c r="N549" s="29"/>
      <c r="O549" s="29"/>
      <c r="P549" s="29"/>
      <c r="Q549" s="29"/>
      <c r="R549" s="29"/>
      <c r="S549" s="29"/>
      <c r="T549"/>
      <c r="U549"/>
      <c r="V549"/>
      <c r="W549"/>
      <c r="X549"/>
      <c r="Y549"/>
      <c r="Z549"/>
      <c r="AA549"/>
      <c r="AB549"/>
      <c r="AC549"/>
      <c r="AD549"/>
      <c r="AE549"/>
      <c r="AF549"/>
      <c r="AG549"/>
      <c r="AH549"/>
      <c r="AI549"/>
      <c r="AJ549"/>
      <c r="AK549"/>
      <c r="AL549"/>
      <c r="AM549"/>
      <c r="AN549"/>
      <c r="AO549"/>
      <c r="AP549"/>
      <c r="AQ549"/>
    </row>
    <row r="550" spans="1:43">
      <c r="A550" s="29"/>
      <c r="B550" s="29"/>
      <c r="C550" s="29"/>
      <c r="D550" s="29"/>
      <c r="E550" s="29"/>
      <c r="F550" s="29"/>
      <c r="G550" s="29"/>
      <c r="H550" s="29"/>
      <c r="I550" s="29"/>
      <c r="J550" s="29"/>
      <c r="K550" s="29"/>
      <c r="L550" s="29"/>
      <c r="M550" s="29"/>
      <c r="N550" s="29"/>
      <c r="O550" s="29"/>
      <c r="P550" s="29"/>
      <c r="Q550" s="29"/>
      <c r="R550" s="29"/>
      <c r="S550" s="29"/>
      <c r="T550"/>
      <c r="U550"/>
      <c r="V550"/>
      <c r="W550"/>
      <c r="X550"/>
      <c r="Y550"/>
      <c r="Z550"/>
      <c r="AA550"/>
      <c r="AB550"/>
      <c r="AC550"/>
      <c r="AD550"/>
      <c r="AE550"/>
      <c r="AF550"/>
      <c r="AG550"/>
      <c r="AH550"/>
      <c r="AI550"/>
      <c r="AJ550"/>
      <c r="AK550"/>
      <c r="AL550"/>
      <c r="AM550"/>
      <c r="AN550"/>
      <c r="AO550"/>
      <c r="AP550"/>
      <c r="AQ550"/>
    </row>
    <row r="551" spans="1:43">
      <c r="A551" s="29"/>
      <c r="B551" s="29"/>
      <c r="C551" s="29"/>
      <c r="D551" s="29"/>
      <c r="E551" s="29"/>
      <c r="F551" s="29"/>
      <c r="G551" s="29"/>
      <c r="H551" s="29"/>
      <c r="I551" s="29"/>
      <c r="J551" s="29"/>
      <c r="K551" s="29"/>
      <c r="L551" s="29"/>
      <c r="M551" s="29"/>
      <c r="N551" s="29"/>
      <c r="O551" s="29"/>
      <c r="P551" s="29"/>
      <c r="Q551" s="29"/>
      <c r="R551" s="29"/>
      <c r="S551" s="29"/>
      <c r="T551"/>
      <c r="U551"/>
      <c r="V551"/>
      <c r="W551"/>
      <c r="X551"/>
      <c r="Y551"/>
      <c r="Z551"/>
      <c r="AA551"/>
      <c r="AB551"/>
      <c r="AC551"/>
      <c r="AD551"/>
      <c r="AE551"/>
      <c r="AF551"/>
      <c r="AG551"/>
      <c r="AH551"/>
      <c r="AI551"/>
      <c r="AJ551"/>
      <c r="AK551"/>
      <c r="AL551"/>
      <c r="AM551"/>
      <c r="AN551"/>
      <c r="AO551"/>
      <c r="AP551"/>
      <c r="AQ551"/>
    </row>
    <row r="552" spans="1:43">
      <c r="A552" s="29"/>
      <c r="B552" s="29"/>
      <c r="C552" s="29"/>
      <c r="D552" s="29"/>
      <c r="E552" s="29"/>
      <c r="F552" s="29"/>
      <c r="G552" s="29"/>
      <c r="H552" s="29"/>
      <c r="I552" s="29"/>
      <c r="J552" s="29"/>
      <c r="K552" s="29"/>
      <c r="L552" s="29"/>
      <c r="M552" s="29"/>
      <c r="N552" s="29"/>
      <c r="O552" s="29"/>
      <c r="P552" s="29"/>
      <c r="Q552" s="29"/>
      <c r="R552" s="29"/>
      <c r="S552" s="29"/>
      <c r="T552"/>
      <c r="U552"/>
      <c r="V552"/>
      <c r="W552"/>
      <c r="X552"/>
      <c r="Y552"/>
      <c r="Z552"/>
      <c r="AA552"/>
      <c r="AB552"/>
      <c r="AC552"/>
      <c r="AD552"/>
      <c r="AE552"/>
      <c r="AF552"/>
      <c r="AG552"/>
      <c r="AH552"/>
      <c r="AI552"/>
      <c r="AJ552"/>
      <c r="AK552"/>
      <c r="AL552"/>
      <c r="AM552"/>
      <c r="AN552"/>
      <c r="AO552"/>
      <c r="AP552"/>
      <c r="AQ552"/>
    </row>
    <row r="553" spans="1:43">
      <c r="A553" s="29"/>
      <c r="B553" s="29"/>
      <c r="C553" s="29"/>
      <c r="D553" s="29"/>
      <c r="E553" s="29"/>
      <c r="F553" s="29"/>
      <c r="G553" s="29"/>
      <c r="H553" s="29"/>
      <c r="I553" s="29"/>
      <c r="J553" s="29"/>
      <c r="K553" s="29"/>
      <c r="L553" s="29"/>
      <c r="M553" s="29"/>
      <c r="N553" s="29"/>
      <c r="O553" s="29"/>
      <c r="P553" s="29"/>
      <c r="Q553" s="29"/>
      <c r="R553" s="29"/>
      <c r="S553" s="29"/>
      <c r="T553"/>
      <c r="U553"/>
      <c r="V553"/>
      <c r="W553"/>
      <c r="X553"/>
      <c r="Y553"/>
      <c r="Z553"/>
      <c r="AA553"/>
      <c r="AB553"/>
      <c r="AC553"/>
      <c r="AD553"/>
      <c r="AE553"/>
      <c r="AF553"/>
      <c r="AG553"/>
      <c r="AH553"/>
      <c r="AI553"/>
      <c r="AJ553"/>
      <c r="AK553"/>
      <c r="AL553"/>
      <c r="AM553"/>
      <c r="AN553"/>
      <c r="AO553"/>
      <c r="AP553"/>
      <c r="AQ553"/>
    </row>
    <row r="554" spans="1:43">
      <c r="A554" s="29"/>
      <c r="B554" s="29"/>
      <c r="C554" s="29"/>
      <c r="D554" s="29"/>
      <c r="E554" s="29"/>
      <c r="F554" s="29"/>
      <c r="G554" s="29"/>
      <c r="H554" s="29"/>
      <c r="I554" s="29"/>
      <c r="J554" s="29"/>
      <c r="K554" s="29"/>
      <c r="L554" s="29"/>
      <c r="M554" s="29"/>
      <c r="N554" s="29"/>
      <c r="O554" s="29"/>
      <c r="P554" s="29"/>
      <c r="Q554" s="29"/>
      <c r="R554" s="29"/>
      <c r="S554" s="29"/>
      <c r="T554"/>
      <c r="U554"/>
      <c r="V554"/>
      <c r="W554"/>
      <c r="X554"/>
      <c r="Y554"/>
      <c r="Z554"/>
      <c r="AA554"/>
      <c r="AB554"/>
      <c r="AC554"/>
      <c r="AD554"/>
      <c r="AE554"/>
      <c r="AF554"/>
      <c r="AG554"/>
      <c r="AH554"/>
      <c r="AI554"/>
      <c r="AJ554"/>
      <c r="AK554"/>
      <c r="AL554"/>
      <c r="AM554"/>
      <c r="AN554"/>
      <c r="AO554"/>
      <c r="AP554"/>
      <c r="AQ554"/>
    </row>
    <row r="555" spans="1:43">
      <c r="A555" s="29"/>
      <c r="B555" s="29"/>
      <c r="C555" s="29"/>
      <c r="D555" s="29"/>
      <c r="E555" s="29"/>
      <c r="F555" s="29"/>
      <c r="G555" s="29"/>
      <c r="H555" s="29"/>
      <c r="I555" s="29"/>
      <c r="J555" s="29"/>
      <c r="K555" s="29"/>
      <c r="L555" s="29"/>
      <c r="M555" s="29"/>
      <c r="N555" s="29"/>
      <c r="O555" s="29"/>
      <c r="P555" s="29"/>
      <c r="Q555" s="29"/>
      <c r="R555" s="29"/>
      <c r="S555" s="29"/>
      <c r="T555"/>
      <c r="U555"/>
      <c r="V555"/>
      <c r="W555"/>
      <c r="X555"/>
      <c r="Y555"/>
      <c r="Z555"/>
      <c r="AA555"/>
      <c r="AB555"/>
      <c r="AC555"/>
      <c r="AD555"/>
      <c r="AE555"/>
      <c r="AF555"/>
      <c r="AG555"/>
      <c r="AH555"/>
      <c r="AI555"/>
      <c r="AJ555"/>
      <c r="AK555"/>
      <c r="AL555"/>
      <c r="AM555"/>
      <c r="AN555"/>
      <c r="AO555"/>
      <c r="AP555"/>
      <c r="AQ555"/>
    </row>
    <row r="556" spans="1:43">
      <c r="A556" s="29"/>
      <c r="B556" s="29"/>
      <c r="C556" s="29"/>
      <c r="D556" s="29"/>
      <c r="E556" s="29"/>
      <c r="F556" s="29"/>
      <c r="G556" s="29"/>
      <c r="H556" s="29"/>
      <c r="I556" s="29"/>
      <c r="J556" s="29"/>
      <c r="K556" s="29"/>
      <c r="L556" s="29"/>
      <c r="M556" s="29"/>
      <c r="N556" s="29"/>
      <c r="O556" s="29"/>
      <c r="P556" s="29"/>
      <c r="Q556" s="29"/>
      <c r="R556" s="29"/>
      <c r="S556" s="29"/>
      <c r="T556"/>
      <c r="U556"/>
      <c r="V556"/>
      <c r="W556"/>
      <c r="X556"/>
      <c r="Y556"/>
      <c r="Z556"/>
      <c r="AA556"/>
      <c r="AB556"/>
      <c r="AC556"/>
      <c r="AD556"/>
      <c r="AE556"/>
      <c r="AF556"/>
      <c r="AG556"/>
      <c r="AH556"/>
      <c r="AI556"/>
      <c r="AJ556"/>
      <c r="AK556"/>
      <c r="AL556"/>
      <c r="AM556"/>
      <c r="AN556"/>
      <c r="AO556"/>
      <c r="AP556"/>
      <c r="AQ556"/>
    </row>
    <row r="557" spans="1:43">
      <c r="A557" s="29"/>
      <c r="B557" s="29"/>
      <c r="C557" s="29"/>
      <c r="D557" s="29"/>
      <c r="E557" s="29"/>
      <c r="F557" s="29"/>
      <c r="G557" s="29"/>
      <c r="H557" s="29"/>
      <c r="I557" s="29"/>
      <c r="J557" s="29"/>
      <c r="K557" s="29"/>
      <c r="L557" s="29"/>
      <c r="M557" s="29"/>
      <c r="N557" s="29"/>
      <c r="O557" s="29"/>
      <c r="P557" s="29"/>
      <c r="Q557" s="29"/>
      <c r="R557" s="29"/>
      <c r="S557" s="29"/>
      <c r="T557"/>
      <c r="U557"/>
      <c r="V557"/>
      <c r="W557"/>
      <c r="X557"/>
      <c r="Y557"/>
      <c r="Z557"/>
      <c r="AA557"/>
      <c r="AB557"/>
      <c r="AC557"/>
      <c r="AD557"/>
      <c r="AE557"/>
      <c r="AF557"/>
      <c r="AG557"/>
      <c r="AH557"/>
      <c r="AI557"/>
      <c r="AJ557"/>
      <c r="AK557"/>
      <c r="AL557"/>
      <c r="AM557"/>
      <c r="AN557"/>
      <c r="AO557"/>
      <c r="AP557"/>
      <c r="AQ557"/>
    </row>
    <row r="558" spans="1:43">
      <c r="A558" s="29"/>
      <c r="B558" s="29"/>
      <c r="C558" s="29"/>
      <c r="D558" s="29"/>
      <c r="E558" s="29"/>
      <c r="F558" s="29"/>
      <c r="G558" s="29"/>
      <c r="H558" s="29"/>
      <c r="I558" s="29"/>
      <c r="J558" s="29"/>
      <c r="K558" s="29"/>
      <c r="L558" s="29"/>
      <c r="M558" s="29"/>
      <c r="N558" s="29"/>
      <c r="O558" s="29"/>
      <c r="P558" s="29"/>
      <c r="Q558" s="29"/>
      <c r="R558" s="29"/>
      <c r="S558" s="29"/>
      <c r="T558"/>
      <c r="U558"/>
      <c r="V558"/>
      <c r="W558"/>
      <c r="X558"/>
      <c r="Y558"/>
      <c r="Z558"/>
      <c r="AA558"/>
      <c r="AB558"/>
      <c r="AC558"/>
      <c r="AD558"/>
      <c r="AE558"/>
      <c r="AF558"/>
      <c r="AG558"/>
      <c r="AH558"/>
      <c r="AI558"/>
      <c r="AJ558"/>
      <c r="AK558"/>
      <c r="AL558"/>
      <c r="AM558"/>
      <c r="AN558"/>
      <c r="AO558"/>
      <c r="AP558"/>
      <c r="AQ558"/>
    </row>
    <row r="559" spans="1:43">
      <c r="A559" s="29"/>
      <c r="B559" s="29"/>
      <c r="C559" s="29"/>
      <c r="D559" s="29"/>
      <c r="E559" s="29"/>
      <c r="F559" s="29"/>
      <c r="G559" s="29"/>
      <c r="H559" s="29"/>
      <c r="I559" s="29"/>
      <c r="J559" s="29"/>
      <c r="K559" s="29"/>
      <c r="L559" s="29"/>
      <c r="M559" s="29"/>
      <c r="N559" s="29"/>
      <c r="O559" s="29"/>
      <c r="P559" s="29"/>
      <c r="Q559" s="29"/>
      <c r="R559" s="29"/>
      <c r="S559" s="29"/>
      <c r="T559"/>
      <c r="U559"/>
      <c r="V559"/>
      <c r="W559"/>
      <c r="X559"/>
      <c r="Y559"/>
      <c r="Z559"/>
      <c r="AA559"/>
      <c r="AB559"/>
      <c r="AC559"/>
      <c r="AD559"/>
      <c r="AE559"/>
      <c r="AF559"/>
      <c r="AG559"/>
      <c r="AH559"/>
      <c r="AI559"/>
      <c r="AJ559"/>
      <c r="AK559"/>
      <c r="AL559"/>
      <c r="AM559"/>
      <c r="AN559"/>
      <c r="AO559"/>
      <c r="AP559"/>
      <c r="AQ559"/>
    </row>
    <row r="560" spans="1:43">
      <c r="A560" s="29"/>
      <c r="B560" s="29"/>
      <c r="C560" s="29"/>
      <c r="D560" s="29"/>
      <c r="E560" s="29"/>
      <c r="F560" s="29"/>
      <c r="G560" s="29"/>
      <c r="H560" s="29"/>
      <c r="I560" s="29"/>
      <c r="J560" s="29"/>
      <c r="K560" s="29"/>
      <c r="L560" s="29"/>
      <c r="M560" s="29"/>
      <c r="N560" s="29"/>
      <c r="O560" s="29"/>
      <c r="P560" s="29"/>
      <c r="Q560" s="29"/>
      <c r="R560" s="29"/>
      <c r="S560" s="29"/>
      <c r="T560"/>
      <c r="U560"/>
      <c r="V560"/>
      <c r="W560"/>
      <c r="X560"/>
      <c r="Y560"/>
      <c r="Z560"/>
      <c r="AA560"/>
      <c r="AB560"/>
      <c r="AC560"/>
      <c r="AD560"/>
      <c r="AE560"/>
      <c r="AF560"/>
      <c r="AG560"/>
      <c r="AH560"/>
      <c r="AI560"/>
      <c r="AJ560"/>
      <c r="AK560"/>
      <c r="AL560"/>
      <c r="AM560"/>
      <c r="AN560"/>
      <c r="AO560"/>
      <c r="AP560"/>
      <c r="AQ560"/>
    </row>
    <row r="561" spans="1:43">
      <c r="A561" s="29"/>
      <c r="B561" s="29"/>
      <c r="C561" s="29"/>
      <c r="D561" s="29"/>
      <c r="E561" s="29"/>
      <c r="F561" s="29"/>
      <c r="G561" s="29"/>
      <c r="H561" s="29"/>
      <c r="I561" s="29"/>
      <c r="J561" s="29"/>
      <c r="K561" s="29"/>
      <c r="L561" s="29"/>
      <c r="M561" s="29"/>
      <c r="N561" s="29"/>
      <c r="O561" s="29"/>
      <c r="P561" s="29"/>
      <c r="Q561" s="29"/>
      <c r="R561" s="29"/>
      <c r="S561" s="29"/>
      <c r="T561"/>
      <c r="U561"/>
      <c r="V561"/>
      <c r="W561"/>
      <c r="X561"/>
      <c r="Y561"/>
      <c r="Z561"/>
      <c r="AA561"/>
      <c r="AB561"/>
      <c r="AC561"/>
      <c r="AD561"/>
      <c r="AE561"/>
      <c r="AF561"/>
      <c r="AG561"/>
      <c r="AH561"/>
      <c r="AI561"/>
      <c r="AJ561"/>
      <c r="AK561"/>
      <c r="AL561"/>
      <c r="AM561"/>
      <c r="AN561"/>
      <c r="AO561"/>
      <c r="AP561"/>
      <c r="AQ561"/>
    </row>
    <row r="562" spans="1:43">
      <c r="A562" s="29"/>
      <c r="B562" s="29"/>
      <c r="C562" s="29"/>
      <c r="D562" s="29"/>
      <c r="E562" s="29"/>
      <c r="F562" s="29"/>
      <c r="G562" s="29"/>
      <c r="H562" s="29"/>
      <c r="I562" s="29"/>
      <c r="J562" s="29"/>
      <c r="K562" s="29"/>
      <c r="L562" s="29"/>
      <c r="M562" s="29"/>
      <c r="N562" s="29"/>
      <c r="O562" s="29"/>
      <c r="P562" s="29"/>
      <c r="Q562" s="29"/>
      <c r="R562" s="29"/>
      <c r="S562" s="29"/>
      <c r="T562"/>
      <c r="U562"/>
      <c r="V562"/>
      <c r="W562"/>
      <c r="X562"/>
      <c r="Y562"/>
      <c r="Z562"/>
      <c r="AA562"/>
      <c r="AB562"/>
      <c r="AC562"/>
      <c r="AD562"/>
      <c r="AE562"/>
      <c r="AF562"/>
      <c r="AG562"/>
      <c r="AH562"/>
      <c r="AI562"/>
      <c r="AJ562"/>
      <c r="AK562"/>
      <c r="AL562"/>
      <c r="AM562"/>
      <c r="AN562"/>
      <c r="AO562"/>
      <c r="AP562"/>
      <c r="AQ562"/>
    </row>
    <row r="563" spans="1:43">
      <c r="A563" s="29"/>
      <c r="B563" s="29"/>
      <c r="C563" s="29"/>
      <c r="D563" s="29"/>
      <c r="E563" s="29"/>
      <c r="F563" s="29"/>
      <c r="G563" s="29"/>
      <c r="H563" s="29"/>
      <c r="I563" s="29"/>
      <c r="J563" s="29"/>
      <c r="K563" s="29"/>
      <c r="L563" s="29"/>
      <c r="M563" s="29"/>
      <c r="N563" s="29"/>
      <c r="O563" s="29"/>
      <c r="P563" s="29"/>
      <c r="Q563" s="29"/>
      <c r="R563" s="29"/>
      <c r="S563" s="29"/>
      <c r="T563"/>
      <c r="U563"/>
      <c r="V563"/>
      <c r="W563"/>
      <c r="X563"/>
      <c r="Y563"/>
      <c r="Z563"/>
      <c r="AA563"/>
      <c r="AB563"/>
      <c r="AC563"/>
      <c r="AD563"/>
      <c r="AE563"/>
      <c r="AF563"/>
      <c r="AG563"/>
      <c r="AH563"/>
      <c r="AI563"/>
      <c r="AJ563"/>
      <c r="AK563"/>
      <c r="AL563"/>
      <c r="AM563"/>
      <c r="AN563"/>
      <c r="AO563"/>
      <c r="AP563"/>
      <c r="AQ563"/>
    </row>
    <row r="564" spans="1:43">
      <c r="A564" s="29"/>
      <c r="B564" s="29"/>
      <c r="C564" s="29"/>
      <c r="D564" s="29"/>
      <c r="E564" s="29"/>
      <c r="F564" s="29"/>
      <c r="G564" s="29"/>
      <c r="H564" s="29"/>
      <c r="I564" s="29"/>
      <c r="J564" s="29"/>
      <c r="K564" s="29"/>
      <c r="L564" s="29"/>
      <c r="M564" s="29"/>
      <c r="N564" s="29"/>
      <c r="O564" s="29"/>
      <c r="P564" s="29"/>
      <c r="Q564" s="29"/>
      <c r="R564" s="29"/>
      <c r="S564" s="29"/>
      <c r="T564"/>
      <c r="U564"/>
      <c r="V564"/>
      <c r="W564"/>
      <c r="X564"/>
      <c r="Y564"/>
      <c r="Z564"/>
      <c r="AA564"/>
      <c r="AB564"/>
      <c r="AC564"/>
      <c r="AD564"/>
      <c r="AE564"/>
      <c r="AF564"/>
      <c r="AG564"/>
      <c r="AH564"/>
      <c r="AI564"/>
      <c r="AJ564"/>
      <c r="AK564"/>
      <c r="AL564"/>
      <c r="AM564"/>
      <c r="AN564"/>
      <c r="AO564"/>
      <c r="AP564"/>
      <c r="AQ564"/>
    </row>
    <row r="565" spans="1:43">
      <c r="A565" s="29"/>
      <c r="B565" s="29"/>
      <c r="C565" s="29"/>
      <c r="D565" s="29"/>
      <c r="E565" s="29"/>
      <c r="F565" s="29"/>
      <c r="G565" s="29"/>
      <c r="H565" s="29"/>
      <c r="I565" s="29"/>
      <c r="J565" s="29"/>
      <c r="K565" s="29"/>
      <c r="L565" s="29"/>
      <c r="M565" s="29"/>
      <c r="N565" s="29"/>
      <c r="O565" s="29"/>
      <c r="P565" s="29"/>
      <c r="Q565" s="29"/>
      <c r="R565" s="29"/>
      <c r="S565" s="29"/>
      <c r="T565"/>
      <c r="U565"/>
      <c r="V565"/>
      <c r="W565"/>
      <c r="X565"/>
      <c r="Y565"/>
      <c r="Z565"/>
      <c r="AA565"/>
      <c r="AB565"/>
      <c r="AC565"/>
      <c r="AD565"/>
      <c r="AE565"/>
      <c r="AF565"/>
      <c r="AG565"/>
      <c r="AH565"/>
      <c r="AI565"/>
      <c r="AJ565"/>
      <c r="AK565"/>
      <c r="AL565"/>
      <c r="AM565"/>
      <c r="AN565"/>
      <c r="AO565"/>
      <c r="AP565"/>
      <c r="AQ565"/>
    </row>
    <row r="566" spans="1:43">
      <c r="A566" s="29"/>
      <c r="B566" s="29"/>
      <c r="C566" s="29"/>
      <c r="D566" s="29"/>
      <c r="E566" s="29"/>
      <c r="F566" s="29"/>
      <c r="G566" s="29"/>
      <c r="H566" s="29"/>
      <c r="I566" s="29"/>
      <c r="J566" s="29"/>
      <c r="K566" s="29"/>
      <c r="L566" s="29"/>
      <c r="M566" s="29"/>
      <c r="N566" s="29"/>
      <c r="O566" s="29"/>
      <c r="P566" s="29"/>
      <c r="Q566" s="29"/>
      <c r="R566" s="29"/>
      <c r="S566" s="29"/>
      <c r="T566"/>
      <c r="U566"/>
      <c r="V566"/>
      <c r="W566"/>
      <c r="X566"/>
      <c r="Y566"/>
      <c r="Z566"/>
      <c r="AA566"/>
      <c r="AB566"/>
      <c r="AC566"/>
      <c r="AD566"/>
      <c r="AE566"/>
      <c r="AF566"/>
      <c r="AG566"/>
      <c r="AH566"/>
      <c r="AI566"/>
      <c r="AJ566"/>
      <c r="AK566"/>
      <c r="AL566"/>
      <c r="AM566"/>
      <c r="AN566"/>
      <c r="AO566"/>
      <c r="AP566"/>
      <c r="AQ566"/>
    </row>
    <row r="567" spans="1:43">
      <c r="A567" s="29"/>
      <c r="B567" s="29"/>
      <c r="C567" s="29"/>
      <c r="D567" s="29"/>
      <c r="E567" s="29"/>
      <c r="F567" s="29"/>
      <c r="G567" s="29"/>
      <c r="H567" s="29"/>
      <c r="I567" s="29"/>
      <c r="J567" s="29"/>
      <c r="K567" s="29"/>
      <c r="L567" s="29"/>
      <c r="M567" s="29"/>
      <c r="N567" s="29"/>
      <c r="O567" s="29"/>
      <c r="P567" s="29"/>
      <c r="Q567" s="29"/>
      <c r="R567" s="29"/>
      <c r="S567" s="29"/>
      <c r="T567"/>
      <c r="U567"/>
      <c r="V567"/>
      <c r="W567"/>
      <c r="X567"/>
      <c r="Y567"/>
      <c r="Z567"/>
      <c r="AA567"/>
      <c r="AB567"/>
      <c r="AC567"/>
      <c r="AD567"/>
      <c r="AE567"/>
      <c r="AF567"/>
      <c r="AG567"/>
      <c r="AH567"/>
      <c r="AI567"/>
      <c r="AJ567"/>
      <c r="AK567"/>
      <c r="AL567"/>
      <c r="AM567"/>
      <c r="AN567"/>
      <c r="AO567"/>
      <c r="AP567"/>
      <c r="AQ567"/>
    </row>
    <row r="568" spans="1:43">
      <c r="A568" s="29"/>
      <c r="B568" s="29"/>
      <c r="C568" s="29"/>
      <c r="D568" s="29"/>
      <c r="E568" s="29"/>
      <c r="F568" s="29"/>
      <c r="G568" s="29"/>
      <c r="H568" s="29"/>
      <c r="I568" s="29"/>
      <c r="J568" s="29"/>
      <c r="K568" s="29"/>
      <c r="L568" s="29"/>
      <c r="M568" s="29"/>
      <c r="N568" s="29"/>
      <c r="O568" s="29"/>
      <c r="P568" s="29"/>
      <c r="Q568" s="29"/>
      <c r="R568" s="29"/>
      <c r="S568" s="29"/>
      <c r="T568"/>
      <c r="U568"/>
      <c r="V568"/>
      <c r="W568"/>
      <c r="X568"/>
      <c r="Y568"/>
      <c r="Z568"/>
      <c r="AA568"/>
      <c r="AB568"/>
      <c r="AC568"/>
      <c r="AD568"/>
      <c r="AE568"/>
      <c r="AF568"/>
      <c r="AG568"/>
      <c r="AH568"/>
      <c r="AI568"/>
      <c r="AJ568"/>
      <c r="AK568"/>
      <c r="AL568"/>
      <c r="AM568"/>
      <c r="AN568"/>
      <c r="AO568"/>
      <c r="AP568"/>
      <c r="AQ568"/>
    </row>
    <row r="569" spans="1:43">
      <c r="A569" s="29"/>
      <c r="B569" s="29"/>
      <c r="C569" s="29"/>
      <c r="D569" s="29"/>
      <c r="E569" s="29"/>
      <c r="F569" s="29"/>
      <c r="G569" s="29"/>
      <c r="H569" s="29"/>
      <c r="I569" s="29"/>
      <c r="J569" s="29"/>
      <c r="K569" s="29"/>
      <c r="L569" s="29"/>
      <c r="M569" s="29"/>
      <c r="N569" s="29"/>
      <c r="O569" s="29"/>
      <c r="P569" s="29"/>
      <c r="Q569" s="29"/>
      <c r="R569" s="29"/>
      <c r="S569" s="29"/>
      <c r="T569"/>
      <c r="U569"/>
      <c r="V569"/>
      <c r="W569"/>
      <c r="X569"/>
      <c r="Y569"/>
      <c r="Z569"/>
      <c r="AA569"/>
      <c r="AB569"/>
      <c r="AC569"/>
      <c r="AD569"/>
      <c r="AE569"/>
      <c r="AF569"/>
      <c r="AG569"/>
      <c r="AH569"/>
      <c r="AI569"/>
      <c r="AJ569"/>
      <c r="AK569"/>
      <c r="AL569"/>
      <c r="AM569"/>
      <c r="AN569"/>
      <c r="AO569"/>
      <c r="AP569"/>
      <c r="AQ569"/>
    </row>
    <row r="570" spans="1:43">
      <c r="A570" s="29"/>
      <c r="B570" s="29"/>
      <c r="C570" s="29"/>
      <c r="D570" s="29"/>
      <c r="E570" s="29"/>
      <c r="F570" s="29"/>
      <c r="G570" s="29"/>
      <c r="H570" s="29"/>
      <c r="I570" s="29"/>
      <c r="J570" s="29"/>
      <c r="K570" s="29"/>
      <c r="L570" s="29"/>
      <c r="M570" s="29"/>
      <c r="N570" s="29"/>
      <c r="O570" s="29"/>
      <c r="P570" s="29"/>
      <c r="Q570" s="29"/>
      <c r="R570" s="29"/>
      <c r="S570" s="29"/>
      <c r="T570"/>
      <c r="U570"/>
      <c r="V570"/>
      <c r="W570"/>
      <c r="X570"/>
      <c r="Y570"/>
      <c r="Z570"/>
      <c r="AA570"/>
      <c r="AB570"/>
      <c r="AC570"/>
      <c r="AD570"/>
      <c r="AE570"/>
      <c r="AF570"/>
      <c r="AG570"/>
      <c r="AH570"/>
      <c r="AI570"/>
      <c r="AJ570"/>
      <c r="AK570"/>
      <c r="AL570"/>
      <c r="AM570"/>
      <c r="AN570"/>
      <c r="AO570"/>
      <c r="AP570"/>
      <c r="AQ570"/>
    </row>
    <row r="571" spans="1:43">
      <c r="A571" s="29"/>
      <c r="B571" s="29"/>
      <c r="C571" s="29"/>
      <c r="D571" s="29"/>
      <c r="E571" s="29"/>
      <c r="F571" s="29"/>
      <c r="G571" s="29"/>
      <c r="H571" s="29"/>
      <c r="I571" s="29"/>
      <c r="J571" s="29"/>
      <c r="K571" s="29"/>
      <c r="L571" s="29"/>
      <c r="M571" s="29"/>
      <c r="N571" s="29"/>
      <c r="O571" s="29"/>
      <c r="P571" s="29"/>
      <c r="Q571" s="29"/>
      <c r="R571" s="29"/>
      <c r="S571" s="29"/>
      <c r="T571"/>
      <c r="U571"/>
      <c r="V571"/>
      <c r="W571"/>
      <c r="X571"/>
      <c r="Y571"/>
      <c r="Z571"/>
      <c r="AA571"/>
      <c r="AB571"/>
      <c r="AC571"/>
      <c r="AD571"/>
      <c r="AE571"/>
      <c r="AF571"/>
      <c r="AG571"/>
      <c r="AH571"/>
      <c r="AI571"/>
      <c r="AJ571"/>
      <c r="AK571"/>
      <c r="AL571"/>
      <c r="AM571"/>
      <c r="AN571"/>
      <c r="AO571"/>
      <c r="AP571"/>
      <c r="AQ571"/>
    </row>
    <row r="572" spans="1:43">
      <c r="A572" s="29"/>
      <c r="B572" s="29"/>
      <c r="C572" s="29"/>
      <c r="D572" s="29"/>
      <c r="E572" s="29"/>
      <c r="F572" s="29"/>
      <c r="G572" s="29"/>
      <c r="H572" s="29"/>
      <c r="I572" s="29"/>
      <c r="J572" s="29"/>
      <c r="K572" s="29"/>
      <c r="L572" s="29"/>
      <c r="M572" s="29"/>
      <c r="N572" s="29"/>
      <c r="O572" s="29"/>
      <c r="P572" s="29"/>
      <c r="Q572" s="29"/>
      <c r="R572" s="29"/>
      <c r="S572" s="29"/>
      <c r="T572"/>
      <c r="U572"/>
      <c r="V572"/>
      <c r="W572"/>
      <c r="X572"/>
      <c r="Y572"/>
      <c r="Z572"/>
      <c r="AA572"/>
      <c r="AB572"/>
      <c r="AC572"/>
      <c r="AD572"/>
      <c r="AE572"/>
      <c r="AF572"/>
      <c r="AG572"/>
      <c r="AH572"/>
      <c r="AI572"/>
      <c r="AJ572"/>
      <c r="AK572"/>
      <c r="AL572"/>
      <c r="AM572"/>
      <c r="AN572"/>
      <c r="AO572"/>
      <c r="AP572"/>
      <c r="AQ572"/>
    </row>
    <row r="573" spans="1:43" ht="18.75">
      <c r="A573" s="1080" t="s">
        <v>1576</v>
      </c>
      <c r="B573" s="29"/>
      <c r="C573" s="29"/>
      <c r="D573" s="29"/>
      <c r="E573" s="29"/>
      <c r="F573" s="29"/>
      <c r="G573" s="29"/>
      <c r="H573" s="29"/>
      <c r="I573" s="29"/>
      <c r="J573" s="29"/>
      <c r="K573" s="29"/>
      <c r="L573" s="29"/>
      <c r="M573" s="29"/>
      <c r="N573" s="29"/>
      <c r="O573" s="29"/>
      <c r="P573" s="29"/>
      <c r="Q573" s="29"/>
      <c r="R573" s="29"/>
      <c r="S573" s="29"/>
      <c r="T573"/>
      <c r="U573"/>
      <c r="V573"/>
      <c r="W573"/>
      <c r="X573"/>
      <c r="Y573"/>
      <c r="Z573"/>
      <c r="AA573"/>
      <c r="AB573"/>
      <c r="AC573"/>
      <c r="AD573"/>
      <c r="AE573"/>
      <c r="AF573"/>
      <c r="AG573"/>
      <c r="AH573"/>
      <c r="AI573"/>
      <c r="AJ573"/>
      <c r="AK573"/>
      <c r="AL573"/>
      <c r="AM573"/>
      <c r="AN573"/>
      <c r="AO573"/>
      <c r="AP573"/>
      <c r="AQ573"/>
    </row>
    <row r="574" spans="1:43">
      <c r="A574" s="7" t="s">
        <v>870</v>
      </c>
      <c r="B574" s="8" t="s">
        <v>1577</v>
      </c>
      <c r="C574" s="1094"/>
      <c r="D574" s="118">
        <v>2010</v>
      </c>
      <c r="E574" s="118">
        <v>2017</v>
      </c>
      <c r="F574" s="118"/>
      <c r="G574" s="118"/>
      <c r="H574" s="118" t="s">
        <v>1578</v>
      </c>
      <c r="I574" s="118"/>
      <c r="J574" s="118"/>
      <c r="K574" s="118"/>
      <c r="L574" s="118"/>
      <c r="M574" s="118"/>
      <c r="N574" s="118"/>
      <c r="O574" s="118"/>
      <c r="P574" s="118"/>
      <c r="Q574" s="118"/>
      <c r="R574" s="118"/>
      <c r="S574" s="119" t="s">
        <v>608</v>
      </c>
      <c r="T574" s="92"/>
      <c r="U574" s="92"/>
      <c r="V574" s="92"/>
      <c r="W574" s="92"/>
      <c r="X574" s="92"/>
      <c r="Y574" s="92"/>
      <c r="Z574" s="92"/>
      <c r="AA574" s="92"/>
      <c r="AB574" s="92"/>
      <c r="AC574" s="92"/>
      <c r="AD574"/>
      <c r="AE574"/>
      <c r="AF574"/>
      <c r="AG574"/>
      <c r="AH574"/>
      <c r="AI574"/>
      <c r="AJ574"/>
      <c r="AK574"/>
      <c r="AL574"/>
      <c r="AM574"/>
      <c r="AN574"/>
      <c r="AO574"/>
      <c r="AP574"/>
      <c r="AQ574"/>
    </row>
    <row r="575" spans="1:43">
      <c r="A575" s="686" t="s">
        <v>624</v>
      </c>
      <c r="B575" s="687" t="s">
        <v>120</v>
      </c>
      <c r="C575" s="1095"/>
      <c r="D575" s="1095"/>
      <c r="E575" s="1095"/>
      <c r="F575" s="1095"/>
      <c r="G575" s="1095"/>
      <c r="H575" s="1096"/>
      <c r="I575" s="1096"/>
      <c r="J575" s="1096"/>
      <c r="K575" s="1096"/>
      <c r="L575" s="1096"/>
      <c r="M575" s="1096"/>
      <c r="N575" s="1096"/>
      <c r="O575" s="1096"/>
      <c r="P575" s="1096"/>
      <c r="Q575" s="1096"/>
      <c r="R575" s="1096"/>
      <c r="S575" s="1097"/>
      <c r="T575" s="92"/>
      <c r="U575" s="92"/>
      <c r="V575" s="92"/>
      <c r="W575" s="92"/>
      <c r="X575" s="92"/>
      <c r="Y575" s="92"/>
      <c r="Z575" s="92"/>
      <c r="AA575" s="92"/>
      <c r="AB575" s="92"/>
      <c r="AC575" s="92"/>
      <c r="AD575"/>
      <c r="AE575"/>
      <c r="AF575"/>
      <c r="AG575"/>
      <c r="AH575"/>
      <c r="AI575"/>
      <c r="AJ575"/>
      <c r="AK575"/>
      <c r="AL575"/>
      <c r="AM575"/>
      <c r="AN575"/>
      <c r="AO575"/>
      <c r="AP575"/>
      <c r="AQ575"/>
    </row>
    <row r="576" spans="1:43">
      <c r="A576" s="13" t="s">
        <v>165</v>
      </c>
      <c r="B576" s="14" t="s">
        <v>122</v>
      </c>
      <c r="C576" s="92"/>
      <c r="D576" s="92">
        <v>0.61</v>
      </c>
      <c r="E576" s="92">
        <v>0.64</v>
      </c>
      <c r="F576" s="92"/>
      <c r="G576" s="92"/>
      <c r="H576" s="53">
        <f t="shared" ref="H576:H581" si="13">AVERAGE(D576:E576)</f>
        <v>0.625</v>
      </c>
      <c r="I576" s="53"/>
      <c r="J576" s="53"/>
      <c r="K576" s="53"/>
      <c r="L576" s="53"/>
      <c r="M576" s="53"/>
      <c r="N576" s="53"/>
      <c r="O576" s="53"/>
      <c r="P576" s="53"/>
      <c r="Q576" s="53"/>
      <c r="R576" s="53"/>
      <c r="S576" s="1098" t="s">
        <v>1572</v>
      </c>
      <c r="T576" s="92"/>
      <c r="U576" s="92"/>
      <c r="V576" s="92"/>
      <c r="W576" s="92"/>
      <c r="X576" s="92"/>
      <c r="Y576" s="92"/>
      <c r="Z576" s="92"/>
      <c r="AA576" s="92"/>
      <c r="AB576" s="92"/>
      <c r="AC576" s="92"/>
      <c r="AD576"/>
      <c r="AE576"/>
      <c r="AF576"/>
      <c r="AG576"/>
      <c r="AH576"/>
      <c r="AI576"/>
      <c r="AJ576"/>
      <c r="AK576"/>
      <c r="AL576"/>
      <c r="AM576"/>
      <c r="AN576"/>
      <c r="AO576"/>
      <c r="AP576"/>
      <c r="AQ576"/>
    </row>
    <row r="577" spans="1:43">
      <c r="A577" s="13" t="s">
        <v>166</v>
      </c>
      <c r="B577" s="14" t="s">
        <v>122</v>
      </c>
      <c r="C577" s="92"/>
      <c r="D577" s="92">
        <v>0.4</v>
      </c>
      <c r="E577" s="92">
        <v>0.36</v>
      </c>
      <c r="F577" s="92"/>
      <c r="G577" s="92"/>
      <c r="H577" s="53">
        <f t="shared" si="13"/>
        <v>0.38</v>
      </c>
      <c r="I577" s="53"/>
      <c r="J577" s="53"/>
      <c r="K577" s="53"/>
      <c r="L577" s="53"/>
      <c r="M577" s="53"/>
      <c r="N577" s="53"/>
      <c r="O577" s="53"/>
      <c r="P577" s="53"/>
      <c r="Q577" s="53"/>
      <c r="R577" s="53"/>
      <c r="S577" s="1098" t="s">
        <v>1572</v>
      </c>
      <c r="T577" s="92"/>
      <c r="U577" s="92"/>
      <c r="V577" s="92"/>
      <c r="W577" s="92"/>
      <c r="X577" s="92"/>
      <c r="Y577" s="92"/>
      <c r="Z577" s="92"/>
      <c r="AA577" s="92"/>
      <c r="AB577" s="92"/>
      <c r="AC577" s="92"/>
      <c r="AD577"/>
      <c r="AE577"/>
      <c r="AF577"/>
      <c r="AG577"/>
      <c r="AH577"/>
      <c r="AI577"/>
      <c r="AJ577"/>
      <c r="AK577"/>
      <c r="AL577"/>
      <c r="AM577"/>
      <c r="AN577"/>
      <c r="AO577"/>
      <c r="AP577"/>
      <c r="AQ577"/>
    </row>
    <row r="578" spans="1:43">
      <c r="A578" s="13" t="s">
        <v>40</v>
      </c>
      <c r="B578" s="14" t="s">
        <v>122</v>
      </c>
      <c r="C578" s="92"/>
      <c r="D578" s="92">
        <v>1.25</v>
      </c>
      <c r="E578" s="92">
        <v>1.1599999999999999</v>
      </c>
      <c r="F578" s="92"/>
      <c r="G578" s="92"/>
      <c r="H578" s="53">
        <f t="shared" si="13"/>
        <v>1.2050000000000001</v>
      </c>
      <c r="I578" s="53"/>
      <c r="J578" s="53"/>
      <c r="K578" s="53"/>
      <c r="L578" s="53"/>
      <c r="M578" s="53"/>
      <c r="N578" s="53"/>
      <c r="O578" s="53"/>
      <c r="P578" s="53"/>
      <c r="Q578" s="53"/>
      <c r="R578" s="53"/>
      <c r="S578" s="1098" t="s">
        <v>1572</v>
      </c>
      <c r="T578" s="92"/>
      <c r="U578" s="92"/>
      <c r="V578" s="92"/>
      <c r="W578" s="92"/>
      <c r="X578" s="92"/>
      <c r="Y578" s="92"/>
      <c r="Z578" s="92"/>
      <c r="AA578" s="92"/>
      <c r="AB578" s="92"/>
      <c r="AC578" s="92"/>
      <c r="AD578"/>
      <c r="AE578"/>
      <c r="AF578"/>
      <c r="AG578"/>
      <c r="AH578"/>
      <c r="AI578"/>
      <c r="AJ578"/>
      <c r="AK578"/>
      <c r="AL578"/>
      <c r="AM578"/>
      <c r="AN578"/>
      <c r="AO578"/>
      <c r="AP578"/>
      <c r="AQ578"/>
    </row>
    <row r="579" spans="1:43">
      <c r="A579" s="13" t="s">
        <v>168</v>
      </c>
      <c r="B579" s="14" t="s">
        <v>122</v>
      </c>
      <c r="C579" s="92"/>
      <c r="D579" s="92">
        <v>0.77</v>
      </c>
      <c r="E579" s="92">
        <v>0.93</v>
      </c>
      <c r="F579" s="92"/>
      <c r="G579" s="92"/>
      <c r="H579" s="53">
        <f t="shared" si="13"/>
        <v>0.85000000000000009</v>
      </c>
      <c r="I579" s="53"/>
      <c r="J579" s="53"/>
      <c r="K579" s="53"/>
      <c r="L579" s="53"/>
      <c r="M579" s="53"/>
      <c r="N579" s="53"/>
      <c r="O579" s="53"/>
      <c r="P579" s="53"/>
      <c r="Q579" s="53"/>
      <c r="R579" s="53"/>
      <c r="S579" s="1098" t="s">
        <v>1572</v>
      </c>
      <c r="T579" s="92"/>
      <c r="U579" s="92"/>
      <c r="V579" s="92"/>
      <c r="W579" s="92"/>
      <c r="X579" s="92"/>
      <c r="Y579" s="92"/>
      <c r="Z579" s="92"/>
      <c r="AA579" s="92"/>
      <c r="AB579" s="92"/>
      <c r="AC579" s="92"/>
      <c r="AD579"/>
      <c r="AE579"/>
      <c r="AF579"/>
      <c r="AG579"/>
      <c r="AH579"/>
      <c r="AI579"/>
      <c r="AJ579"/>
      <c r="AK579"/>
      <c r="AL579"/>
      <c r="AM579"/>
      <c r="AN579"/>
      <c r="AO579"/>
      <c r="AP579"/>
      <c r="AQ579"/>
    </row>
    <row r="580" spans="1:43">
      <c r="A580" s="13" t="s">
        <v>169</v>
      </c>
      <c r="B580" s="14" t="s">
        <v>122</v>
      </c>
      <c r="C580" s="92"/>
      <c r="D580" s="92">
        <v>0.45</v>
      </c>
      <c r="E580" s="92">
        <v>0.45</v>
      </c>
      <c r="F580" s="92"/>
      <c r="G580" s="92"/>
      <c r="H580" s="53">
        <f t="shared" si="13"/>
        <v>0.45</v>
      </c>
      <c r="I580" s="53"/>
      <c r="J580" s="53"/>
      <c r="K580" s="53"/>
      <c r="L580" s="53"/>
      <c r="M580" s="53"/>
      <c r="N580" s="53"/>
      <c r="O580" s="53"/>
      <c r="P580" s="53"/>
      <c r="Q580" s="53"/>
      <c r="R580" s="53"/>
      <c r="S580" s="1098" t="s">
        <v>1572</v>
      </c>
      <c r="T580" s="92"/>
      <c r="U580" s="92"/>
      <c r="V580" s="92"/>
      <c r="W580" s="92"/>
      <c r="X580" s="92"/>
      <c r="Y580" s="92"/>
      <c r="Z580" s="92"/>
      <c r="AA580" s="92"/>
      <c r="AB580" s="92"/>
      <c r="AC580" s="92"/>
      <c r="AD580"/>
      <c r="AE580"/>
      <c r="AF580"/>
      <c r="AG580"/>
      <c r="AH580"/>
      <c r="AI580"/>
      <c r="AJ580"/>
      <c r="AK580"/>
      <c r="AL580"/>
      <c r="AM580"/>
      <c r="AN580"/>
      <c r="AO580"/>
      <c r="AP580"/>
      <c r="AQ580"/>
    </row>
    <row r="581" spans="1:43">
      <c r="A581" s="13" t="s">
        <v>53</v>
      </c>
      <c r="B581" s="14" t="s">
        <v>122</v>
      </c>
      <c r="C581" s="92"/>
      <c r="D581" s="92">
        <v>0.33</v>
      </c>
      <c r="E581" s="92">
        <v>0.37</v>
      </c>
      <c r="F581" s="92"/>
      <c r="G581" s="92"/>
      <c r="H581" s="53">
        <f t="shared" si="13"/>
        <v>0.35</v>
      </c>
      <c r="I581" s="53"/>
      <c r="J581" s="53"/>
      <c r="K581" s="53"/>
      <c r="L581" s="53"/>
      <c r="M581" s="53"/>
      <c r="N581" s="53"/>
      <c r="O581" s="53"/>
      <c r="P581" s="53"/>
      <c r="Q581" s="53"/>
      <c r="R581" s="53"/>
      <c r="S581" s="1098" t="s">
        <v>1572</v>
      </c>
      <c r="T581" s="92"/>
      <c r="U581" s="92"/>
      <c r="V581" s="92"/>
      <c r="W581" s="92"/>
      <c r="X581" s="92"/>
      <c r="Y581" s="92"/>
      <c r="Z581" s="92"/>
      <c r="AA581" s="92"/>
      <c r="AB581" s="92"/>
      <c r="AC581" s="92"/>
      <c r="AD581"/>
      <c r="AE581"/>
      <c r="AF581"/>
      <c r="AG581"/>
      <c r="AH581"/>
      <c r="AI581"/>
      <c r="AJ581"/>
      <c r="AK581"/>
      <c r="AL581"/>
      <c r="AM581"/>
      <c r="AN581"/>
      <c r="AO581"/>
      <c r="AP581"/>
      <c r="AQ581"/>
    </row>
    <row r="582" spans="1:43">
      <c r="A582" s="9" t="s">
        <v>54</v>
      </c>
      <c r="B582" s="10" t="s">
        <v>120</v>
      </c>
      <c r="C582" s="271"/>
      <c r="D582" s="271"/>
      <c r="E582" s="271"/>
      <c r="F582" s="271"/>
      <c r="G582" s="271"/>
      <c r="H582" s="113"/>
      <c r="I582" s="113"/>
      <c r="J582" s="113"/>
      <c r="K582" s="113"/>
      <c r="L582" s="113"/>
      <c r="M582" s="113"/>
      <c r="N582" s="113"/>
      <c r="O582" s="113"/>
      <c r="P582" s="113"/>
      <c r="Q582" s="113"/>
      <c r="R582" s="113"/>
      <c r="S582" s="1099"/>
      <c r="T582" s="92"/>
      <c r="U582" s="92"/>
      <c r="V582" s="92"/>
      <c r="W582" s="92"/>
      <c r="X582" s="92"/>
      <c r="Y582" s="92"/>
      <c r="Z582" s="92"/>
      <c r="AA582" s="92"/>
      <c r="AB582" s="92"/>
      <c r="AC582" s="92"/>
      <c r="AD582"/>
      <c r="AE582"/>
      <c r="AF582"/>
      <c r="AG582"/>
      <c r="AH582"/>
      <c r="AI582"/>
      <c r="AJ582"/>
      <c r="AK582"/>
      <c r="AL582"/>
      <c r="AM582"/>
      <c r="AN582"/>
      <c r="AO582"/>
      <c r="AP582"/>
      <c r="AQ582"/>
    </row>
    <row r="583" spans="1:43">
      <c r="A583" s="270"/>
      <c r="B583" s="14" t="s">
        <v>122</v>
      </c>
      <c r="C583" s="92"/>
      <c r="D583" s="92">
        <v>3.41</v>
      </c>
      <c r="E583" s="92">
        <v>2.91</v>
      </c>
      <c r="F583" s="92"/>
      <c r="G583" s="92"/>
      <c r="H583" s="53">
        <f>AVERAGE(D583:E583)</f>
        <v>3.16</v>
      </c>
      <c r="I583" s="53"/>
      <c r="J583" s="53"/>
      <c r="K583" s="53"/>
      <c r="L583" s="53"/>
      <c r="M583" s="53"/>
      <c r="N583" s="53"/>
      <c r="O583" s="53"/>
      <c r="P583" s="53"/>
      <c r="Q583" s="53"/>
      <c r="R583" s="53"/>
      <c r="S583" s="1098" t="s">
        <v>1572</v>
      </c>
      <c r="T583" s="92"/>
      <c r="U583" s="92"/>
      <c r="V583" s="92"/>
      <c r="W583" s="92"/>
      <c r="X583" s="92"/>
      <c r="Y583" s="92"/>
      <c r="Z583" s="92"/>
      <c r="AA583" s="92"/>
      <c r="AB583" s="92"/>
      <c r="AC583" s="92"/>
      <c r="AD583"/>
      <c r="AE583"/>
      <c r="AF583"/>
      <c r="AG583"/>
      <c r="AH583"/>
      <c r="AI583"/>
      <c r="AJ583"/>
      <c r="AK583"/>
      <c r="AL583"/>
      <c r="AM583"/>
      <c r="AN583"/>
      <c r="AO583"/>
      <c r="AP583"/>
      <c r="AQ583"/>
    </row>
    <row r="584" spans="1:43">
      <c r="A584" s="9" t="s">
        <v>1579</v>
      </c>
      <c r="B584" s="10" t="s">
        <v>120</v>
      </c>
      <c r="C584" s="271"/>
      <c r="D584" s="271"/>
      <c r="E584" s="271"/>
      <c r="F584" s="271"/>
      <c r="G584" s="271"/>
      <c r="H584" s="113"/>
      <c r="I584" s="113"/>
      <c r="J584" s="113"/>
      <c r="K584" s="113"/>
      <c r="L584" s="113"/>
      <c r="M584" s="113"/>
      <c r="N584" s="113"/>
      <c r="O584" s="113"/>
      <c r="P584" s="113"/>
      <c r="Q584" s="113"/>
      <c r="R584" s="113"/>
      <c r="S584" s="1099"/>
      <c r="T584" s="92"/>
      <c r="U584" s="92"/>
      <c r="V584" s="92"/>
      <c r="W584" s="92"/>
      <c r="X584" s="92"/>
      <c r="Y584" s="92"/>
      <c r="Z584" s="92"/>
      <c r="AA584" s="92"/>
      <c r="AB584" s="92"/>
      <c r="AC584" s="92"/>
      <c r="AD584"/>
      <c r="AE584"/>
      <c r="AF584"/>
      <c r="AG584"/>
      <c r="AH584"/>
      <c r="AI584"/>
      <c r="AJ584"/>
      <c r="AK584"/>
      <c r="AL584"/>
      <c r="AM584"/>
      <c r="AN584"/>
      <c r="AO584"/>
      <c r="AP584"/>
      <c r="AQ584"/>
    </row>
    <row r="585" spans="1:43">
      <c r="A585" s="13" t="s">
        <v>172</v>
      </c>
      <c r="B585" s="14" t="s">
        <v>122</v>
      </c>
      <c r="C585" s="92"/>
      <c r="D585" s="92">
        <v>0.95</v>
      </c>
      <c r="E585" s="92">
        <v>0.9</v>
      </c>
      <c r="F585" s="92"/>
      <c r="G585" s="92"/>
      <c r="H585" s="53">
        <f>AVERAGE(D585:E585)</f>
        <v>0.92500000000000004</v>
      </c>
      <c r="I585" s="53"/>
      <c r="J585" s="53"/>
      <c r="K585" s="53"/>
      <c r="L585" s="53"/>
      <c r="M585" s="53"/>
      <c r="N585" s="53"/>
      <c r="O585" s="53"/>
      <c r="P585" s="53"/>
      <c r="Q585" s="53"/>
      <c r="R585" s="53"/>
      <c r="S585" s="1098" t="s">
        <v>1572</v>
      </c>
      <c r="T585" s="92"/>
      <c r="U585" s="92"/>
      <c r="V585" s="92"/>
      <c r="W585" s="92"/>
      <c r="X585" s="92"/>
      <c r="Y585" s="92"/>
      <c r="Z585" s="92"/>
      <c r="AA585" s="92"/>
      <c r="AB585" s="92"/>
      <c r="AC585" s="92"/>
      <c r="AD585"/>
      <c r="AE585"/>
      <c r="AF585"/>
      <c r="AG585"/>
      <c r="AH585"/>
      <c r="AI585"/>
      <c r="AJ585"/>
      <c r="AK585"/>
      <c r="AL585"/>
      <c r="AM585"/>
      <c r="AN585"/>
      <c r="AO585"/>
      <c r="AP585"/>
      <c r="AQ585"/>
    </row>
    <row r="586" spans="1:43">
      <c r="A586" s="13" t="s">
        <v>173</v>
      </c>
      <c r="B586" s="14" t="s">
        <v>122</v>
      </c>
      <c r="C586" s="92"/>
      <c r="D586" s="92">
        <v>0.37</v>
      </c>
      <c r="E586" s="92">
        <v>0.3</v>
      </c>
      <c r="F586" s="92"/>
      <c r="G586" s="92"/>
      <c r="H586" s="53">
        <f>AVERAGE(D586:E586)</f>
        <v>0.33499999999999996</v>
      </c>
      <c r="I586" s="53"/>
      <c r="J586" s="53"/>
      <c r="K586" s="53"/>
      <c r="L586" s="53"/>
      <c r="M586" s="53"/>
      <c r="N586" s="53"/>
      <c r="O586" s="53"/>
      <c r="P586" s="53"/>
      <c r="Q586" s="53"/>
      <c r="R586" s="53"/>
      <c r="S586" s="1098" t="s">
        <v>1572</v>
      </c>
      <c r="T586" s="92"/>
      <c r="U586" s="92"/>
      <c r="V586" s="92"/>
      <c r="W586" s="92"/>
      <c r="X586" s="92"/>
      <c r="Y586" s="92"/>
      <c r="Z586" s="92"/>
      <c r="AA586" s="92"/>
      <c r="AB586" s="92"/>
      <c r="AC586" s="92"/>
      <c r="AD586"/>
      <c r="AE586"/>
      <c r="AF586"/>
      <c r="AG586"/>
      <c r="AH586"/>
      <c r="AI586"/>
      <c r="AJ586"/>
      <c r="AK586"/>
      <c r="AL586"/>
      <c r="AM586"/>
      <c r="AN586"/>
      <c r="AO586"/>
      <c r="AP586"/>
      <c r="AQ586"/>
    </row>
    <row r="587" spans="1:43">
      <c r="A587" s="9" t="s">
        <v>180</v>
      </c>
      <c r="B587" s="10" t="s">
        <v>120</v>
      </c>
      <c r="C587" s="271"/>
      <c r="D587" s="271"/>
      <c r="E587" s="271"/>
      <c r="F587" s="271"/>
      <c r="G587" s="271"/>
      <c r="H587" s="113"/>
      <c r="I587" s="113"/>
      <c r="J587" s="113"/>
      <c r="K587" s="113"/>
      <c r="L587" s="113"/>
      <c r="M587" s="113"/>
      <c r="N587" s="113"/>
      <c r="O587" s="113"/>
      <c r="P587" s="113"/>
      <c r="Q587" s="113"/>
      <c r="R587" s="113"/>
      <c r="S587" s="1099"/>
      <c r="T587" s="92"/>
      <c r="U587" s="92"/>
      <c r="V587" s="92"/>
      <c r="W587" s="92"/>
      <c r="X587" s="92"/>
      <c r="Y587" s="92"/>
      <c r="Z587" s="92"/>
      <c r="AA587" s="92"/>
      <c r="AB587" s="92"/>
      <c r="AC587" s="92"/>
      <c r="AD587"/>
      <c r="AE587"/>
      <c r="AF587"/>
      <c r="AG587"/>
      <c r="AH587"/>
      <c r="AI587"/>
      <c r="AJ587"/>
      <c r="AK587"/>
      <c r="AL587"/>
      <c r="AM587"/>
      <c r="AN587"/>
      <c r="AO587"/>
      <c r="AP587"/>
      <c r="AQ587"/>
    </row>
    <row r="588" spans="1:43">
      <c r="A588" s="13" t="s">
        <v>180</v>
      </c>
      <c r="B588" s="14" t="s">
        <v>122</v>
      </c>
      <c r="C588" s="92"/>
      <c r="D588" s="92">
        <v>3.79</v>
      </c>
      <c r="E588" s="92">
        <v>3.07</v>
      </c>
      <c r="F588" s="92"/>
      <c r="G588" s="92"/>
      <c r="H588" s="53">
        <f>AVERAGE(D588:E588)</f>
        <v>3.4299999999999997</v>
      </c>
      <c r="I588" s="53"/>
      <c r="J588" s="53"/>
      <c r="K588" s="53"/>
      <c r="L588" s="53"/>
      <c r="M588" s="53"/>
      <c r="N588" s="53"/>
      <c r="O588" s="53"/>
      <c r="P588" s="53"/>
      <c r="Q588" s="53"/>
      <c r="R588" s="53"/>
      <c r="S588" s="1098" t="s">
        <v>1572</v>
      </c>
      <c r="T588" s="92"/>
      <c r="U588" s="92"/>
      <c r="V588" s="92"/>
      <c r="W588" s="92"/>
      <c r="X588" s="92"/>
      <c r="Y588" s="92"/>
      <c r="Z588" s="92"/>
      <c r="AA588" s="92"/>
      <c r="AB588" s="92"/>
      <c r="AC588" s="92"/>
      <c r="AD588"/>
      <c r="AE588"/>
      <c r="AF588"/>
      <c r="AG588"/>
      <c r="AH588"/>
      <c r="AI588"/>
      <c r="AJ588"/>
      <c r="AK588"/>
      <c r="AL588"/>
      <c r="AM588"/>
      <c r="AN588"/>
      <c r="AO588"/>
      <c r="AP588"/>
      <c r="AQ588"/>
    </row>
    <row r="589" spans="1:43">
      <c r="A589" s="9" t="s">
        <v>27</v>
      </c>
      <c r="B589" s="10" t="s">
        <v>120</v>
      </c>
      <c r="C589" s="271"/>
      <c r="D589" s="271"/>
      <c r="E589" s="271"/>
      <c r="F589" s="271"/>
      <c r="G589" s="271"/>
      <c r="H589" s="113"/>
      <c r="I589" s="113"/>
      <c r="J589" s="113"/>
      <c r="K589" s="113"/>
      <c r="L589" s="113"/>
      <c r="M589" s="113"/>
      <c r="N589" s="113"/>
      <c r="O589" s="113"/>
      <c r="P589" s="113"/>
      <c r="Q589" s="113"/>
      <c r="R589" s="113"/>
      <c r="S589" s="1099"/>
      <c r="T589" s="92"/>
      <c r="U589" s="92"/>
      <c r="V589" s="92"/>
      <c r="W589" s="92"/>
      <c r="X589" s="92"/>
      <c r="Y589" s="92"/>
      <c r="Z589" s="92"/>
      <c r="AA589" s="92"/>
      <c r="AB589" s="92"/>
      <c r="AC589" s="92"/>
      <c r="AD589"/>
      <c r="AE589"/>
      <c r="AF589"/>
      <c r="AG589"/>
      <c r="AH589"/>
      <c r="AI589"/>
      <c r="AJ589"/>
      <c r="AK589"/>
      <c r="AL589"/>
      <c r="AM589"/>
      <c r="AN589"/>
      <c r="AO589"/>
      <c r="AP589"/>
      <c r="AQ589"/>
    </row>
    <row r="590" spans="1:43">
      <c r="A590" s="270"/>
      <c r="B590" s="14" t="s">
        <v>122</v>
      </c>
      <c r="C590" s="92"/>
      <c r="D590" s="92">
        <v>3.55</v>
      </c>
      <c r="E590" s="92">
        <v>2.2000000000000002</v>
      </c>
      <c r="F590" s="92"/>
      <c r="G590" s="92"/>
      <c r="H590" s="172">
        <f>AVERAGE(D590:E590)</f>
        <v>2.875</v>
      </c>
      <c r="I590" s="172"/>
      <c r="J590" s="172"/>
      <c r="K590" s="172"/>
      <c r="L590" s="172"/>
      <c r="M590" s="172"/>
      <c r="N590" s="172"/>
      <c r="O590" s="172"/>
      <c r="P590" s="172"/>
      <c r="Q590" s="172"/>
      <c r="R590" s="172"/>
      <c r="S590" s="1098" t="s">
        <v>1572</v>
      </c>
      <c r="T590" s="114" t="s">
        <v>1580</v>
      </c>
      <c r="U590" s="92"/>
      <c r="V590" s="92"/>
      <c r="W590" s="92"/>
      <c r="X590" s="92"/>
      <c r="Y590" s="92"/>
      <c r="Z590" s="92"/>
      <c r="AA590" s="92"/>
      <c r="AB590" s="92"/>
      <c r="AC590" s="92"/>
      <c r="AD590"/>
      <c r="AE590"/>
      <c r="AF590"/>
      <c r="AG590"/>
      <c r="AH590"/>
      <c r="AI590"/>
      <c r="AJ590"/>
      <c r="AK590"/>
      <c r="AL590"/>
      <c r="AM590"/>
      <c r="AN590"/>
      <c r="AO590"/>
      <c r="AP590"/>
      <c r="AQ590"/>
    </row>
    <row r="591" spans="1:43">
      <c r="A591" s="9" t="s">
        <v>34</v>
      </c>
      <c r="B591" s="10" t="s">
        <v>120</v>
      </c>
      <c r="C591" s="271"/>
      <c r="D591" s="271"/>
      <c r="E591" s="271"/>
      <c r="F591" s="271"/>
      <c r="G591" s="271"/>
      <c r="H591" s="113"/>
      <c r="I591" s="113"/>
      <c r="J591" s="113"/>
      <c r="K591" s="113"/>
      <c r="L591" s="113"/>
      <c r="M591" s="113"/>
      <c r="N591" s="113"/>
      <c r="O591" s="113"/>
      <c r="P591" s="113"/>
      <c r="Q591" s="113"/>
      <c r="R591" s="113"/>
      <c r="S591" s="1099"/>
      <c r="T591" s="92"/>
      <c r="U591" s="92"/>
      <c r="V591" s="92"/>
      <c r="W591" s="92"/>
      <c r="X591" s="92"/>
      <c r="Y591" s="92"/>
      <c r="Z591" s="92"/>
      <c r="AA591" s="92"/>
      <c r="AB591" s="92"/>
      <c r="AC591" s="92"/>
      <c r="AD591"/>
      <c r="AE591"/>
      <c r="AF591"/>
      <c r="AG591"/>
      <c r="AH591"/>
      <c r="AI591"/>
      <c r="AJ591"/>
      <c r="AK591"/>
      <c r="AL591"/>
      <c r="AM591"/>
      <c r="AN591"/>
      <c r="AO591"/>
      <c r="AP591"/>
      <c r="AQ591"/>
    </row>
    <row r="592" spans="1:43">
      <c r="A592" s="270"/>
      <c r="B592" s="14" t="s">
        <v>122</v>
      </c>
      <c r="C592" s="92"/>
      <c r="D592" s="92">
        <v>3.55</v>
      </c>
      <c r="E592" s="92">
        <v>2.2000000000000002</v>
      </c>
      <c r="F592" s="92"/>
      <c r="G592" s="92"/>
      <c r="H592" s="53">
        <f>AVERAGE(D592:E592)</f>
        <v>2.875</v>
      </c>
      <c r="I592" s="53"/>
      <c r="J592" s="53"/>
      <c r="K592" s="53"/>
      <c r="L592" s="53"/>
      <c r="M592" s="53"/>
      <c r="N592" s="53"/>
      <c r="O592" s="53"/>
      <c r="P592" s="53"/>
      <c r="Q592" s="53"/>
      <c r="R592" s="53"/>
      <c r="S592" s="1098" t="s">
        <v>1572</v>
      </c>
      <c r="T592" s="114" t="s">
        <v>1580</v>
      </c>
      <c r="U592" s="92"/>
      <c r="V592" s="92"/>
      <c r="W592" s="92"/>
      <c r="X592" s="92"/>
      <c r="Y592" s="92"/>
      <c r="Z592" s="92"/>
      <c r="AA592" s="92"/>
      <c r="AB592" s="92"/>
      <c r="AC592" s="92"/>
      <c r="AD592"/>
      <c r="AE592"/>
      <c r="AF592"/>
      <c r="AG592"/>
      <c r="AH592"/>
      <c r="AI592"/>
      <c r="AJ592"/>
      <c r="AK592"/>
      <c r="AL592"/>
      <c r="AM592"/>
      <c r="AN592"/>
      <c r="AO592"/>
      <c r="AP592"/>
      <c r="AQ592"/>
    </row>
    <row r="593" spans="1:43">
      <c r="A593" s="13"/>
      <c r="B593" s="14"/>
      <c r="C593" s="92"/>
      <c r="D593" s="92">
        <v>3.55</v>
      </c>
      <c r="E593" s="92">
        <v>2.2000000000000002</v>
      </c>
      <c r="F593" s="92"/>
      <c r="G593" s="92"/>
      <c r="H593" s="53">
        <f>AVERAGE(D593:E593)</f>
        <v>2.875</v>
      </c>
      <c r="I593" s="53"/>
      <c r="J593" s="53"/>
      <c r="K593" s="53"/>
      <c r="L593" s="53"/>
      <c r="M593" s="53"/>
      <c r="N593" s="53"/>
      <c r="O593" s="53"/>
      <c r="P593" s="53"/>
      <c r="Q593" s="53"/>
      <c r="R593" s="53"/>
      <c r="S593" s="1098" t="s">
        <v>1572</v>
      </c>
      <c r="T593" s="114" t="s">
        <v>1580</v>
      </c>
      <c r="U593" s="92"/>
      <c r="V593" s="92"/>
      <c r="W593" s="92"/>
      <c r="X593" s="92"/>
      <c r="Y593" s="92"/>
      <c r="Z593" s="92"/>
      <c r="AA593" s="92"/>
      <c r="AB593" s="92"/>
      <c r="AC593" s="92"/>
      <c r="AD593"/>
      <c r="AE593"/>
      <c r="AF593"/>
      <c r="AG593"/>
      <c r="AH593"/>
      <c r="AI593"/>
      <c r="AJ593"/>
      <c r="AK593"/>
      <c r="AL593"/>
      <c r="AM593"/>
      <c r="AN593"/>
      <c r="AO593"/>
      <c r="AP593"/>
      <c r="AQ593"/>
    </row>
    <row r="594" spans="1:43">
      <c r="A594" s="9" t="s">
        <v>48</v>
      </c>
      <c r="B594" s="10" t="s">
        <v>120</v>
      </c>
      <c r="C594" s="271"/>
      <c r="D594" s="271"/>
      <c r="E594" s="271"/>
      <c r="F594" s="271"/>
      <c r="G594" s="271"/>
      <c r="H594" s="113"/>
      <c r="I594" s="113"/>
      <c r="J594" s="113"/>
      <c r="K594" s="113"/>
      <c r="L594" s="113"/>
      <c r="M594" s="113"/>
      <c r="N594" s="113"/>
      <c r="O594" s="113"/>
      <c r="P594" s="113"/>
      <c r="Q594" s="113"/>
      <c r="R594" s="113"/>
      <c r="S594" s="1099"/>
      <c r="T594" s="92"/>
      <c r="U594" s="92"/>
      <c r="V594" s="92"/>
      <c r="W594" s="92"/>
      <c r="X594" s="92"/>
      <c r="Y594" s="92"/>
      <c r="Z594" s="92"/>
      <c r="AA594" s="92"/>
      <c r="AB594" s="92"/>
      <c r="AC594" s="92"/>
      <c r="AD594"/>
      <c r="AE594"/>
      <c r="AF594"/>
      <c r="AG594"/>
      <c r="AH594"/>
      <c r="AI594"/>
      <c r="AJ594"/>
      <c r="AK594"/>
      <c r="AL594"/>
      <c r="AM594"/>
      <c r="AN594"/>
      <c r="AO594"/>
      <c r="AP594"/>
      <c r="AQ594"/>
    </row>
    <row r="595" spans="1:43">
      <c r="A595" s="270"/>
      <c r="B595" s="14" t="s">
        <v>122</v>
      </c>
      <c r="C595" s="92"/>
      <c r="D595" s="92">
        <v>3.55</v>
      </c>
      <c r="E595" s="92">
        <v>2.2000000000000002</v>
      </c>
      <c r="F595" s="92"/>
      <c r="G595" s="92"/>
      <c r="H595" s="53">
        <f>AVERAGE(D595:E595)</f>
        <v>2.875</v>
      </c>
      <c r="I595" s="53"/>
      <c r="J595" s="53"/>
      <c r="K595" s="53"/>
      <c r="L595" s="53"/>
      <c r="M595" s="53"/>
      <c r="N595" s="53"/>
      <c r="O595" s="53"/>
      <c r="P595" s="53"/>
      <c r="Q595" s="53"/>
      <c r="R595" s="53"/>
      <c r="S595" s="1098" t="s">
        <v>1572</v>
      </c>
      <c r="T595" s="114" t="s">
        <v>1580</v>
      </c>
      <c r="U595" s="92"/>
      <c r="V595" s="92"/>
      <c r="W595" s="92"/>
      <c r="X595" s="92"/>
      <c r="Y595" s="92"/>
      <c r="Z595" s="92"/>
      <c r="AA595" s="92"/>
      <c r="AB595" s="92"/>
      <c r="AC595" s="92"/>
      <c r="AD595"/>
      <c r="AE595"/>
      <c r="AF595"/>
      <c r="AG595"/>
      <c r="AH595"/>
      <c r="AI595"/>
      <c r="AJ595"/>
      <c r="AK595"/>
      <c r="AL595"/>
      <c r="AM595"/>
      <c r="AN595"/>
      <c r="AO595"/>
      <c r="AP595"/>
      <c r="AQ595"/>
    </row>
    <row r="596" spans="1:43">
      <c r="A596" s="9" t="s">
        <v>90</v>
      </c>
      <c r="B596" s="10" t="s">
        <v>120</v>
      </c>
      <c r="C596" s="271"/>
      <c r="D596" s="271"/>
      <c r="E596" s="271"/>
      <c r="F596" s="271"/>
      <c r="G596" s="271"/>
      <c r="H596" s="113"/>
      <c r="I596" s="113"/>
      <c r="J596" s="113"/>
      <c r="K596" s="113"/>
      <c r="L596" s="113"/>
      <c r="M596" s="113"/>
      <c r="N596" s="113"/>
      <c r="O596" s="113"/>
      <c r="P596" s="113"/>
      <c r="Q596" s="113"/>
      <c r="R596" s="113"/>
      <c r="S596" s="1099"/>
      <c r="T596" s="92"/>
      <c r="U596" s="92"/>
      <c r="V596" s="92"/>
      <c r="W596" s="92"/>
      <c r="X596" s="92"/>
      <c r="Y596" s="92"/>
      <c r="Z596" s="92"/>
      <c r="AA596" s="92"/>
      <c r="AB596" s="92"/>
      <c r="AC596" s="92"/>
      <c r="AD596"/>
      <c r="AE596"/>
      <c r="AF596"/>
      <c r="AG596"/>
      <c r="AH596"/>
      <c r="AI596"/>
      <c r="AJ596"/>
      <c r="AK596"/>
      <c r="AL596"/>
      <c r="AM596"/>
      <c r="AN596"/>
      <c r="AO596"/>
      <c r="AP596"/>
      <c r="AQ596"/>
    </row>
    <row r="597" spans="1:43">
      <c r="A597" s="270"/>
      <c r="B597" s="14" t="s">
        <v>122</v>
      </c>
      <c r="C597" s="92"/>
      <c r="D597" s="92">
        <v>0.88</v>
      </c>
      <c r="E597" s="92">
        <v>1.1000000000000001</v>
      </c>
      <c r="F597" s="92"/>
      <c r="G597" s="92"/>
      <c r="H597" s="53">
        <f>AVERAGE(D597:E597)</f>
        <v>0.99</v>
      </c>
      <c r="I597" s="53"/>
      <c r="J597" s="53"/>
      <c r="K597" s="53"/>
      <c r="L597" s="53"/>
      <c r="M597" s="53"/>
      <c r="N597" s="53"/>
      <c r="O597" s="53"/>
      <c r="P597" s="53"/>
      <c r="Q597" s="53"/>
      <c r="R597" s="53"/>
      <c r="S597" s="1098" t="s">
        <v>1572</v>
      </c>
      <c r="T597" s="92"/>
      <c r="U597" s="92"/>
      <c r="V597" s="92"/>
      <c r="W597" s="92"/>
      <c r="X597" s="92"/>
      <c r="Y597" s="92"/>
      <c r="Z597" s="92"/>
      <c r="AA597" s="92"/>
      <c r="AB597" s="92"/>
      <c r="AC597" s="92"/>
      <c r="AD597"/>
      <c r="AE597"/>
      <c r="AF597"/>
      <c r="AG597"/>
      <c r="AH597"/>
      <c r="AI597"/>
      <c r="AJ597"/>
      <c r="AK597"/>
      <c r="AL597"/>
      <c r="AM597"/>
      <c r="AN597"/>
      <c r="AO597"/>
      <c r="AP597"/>
      <c r="AQ597"/>
    </row>
    <row r="598" spans="1:43">
      <c r="A598" s="9" t="s">
        <v>94</v>
      </c>
      <c r="B598" s="10" t="s">
        <v>120</v>
      </c>
      <c r="C598" s="271"/>
      <c r="D598" s="271"/>
      <c r="E598" s="271"/>
      <c r="F598" s="271"/>
      <c r="G598" s="271"/>
      <c r="H598" s="113"/>
      <c r="I598" s="113"/>
      <c r="J598" s="113"/>
      <c r="K598" s="113"/>
      <c r="L598" s="113"/>
      <c r="M598" s="113"/>
      <c r="N598" s="113"/>
      <c r="O598" s="113"/>
      <c r="P598" s="113"/>
      <c r="Q598" s="113"/>
      <c r="R598" s="113"/>
      <c r="S598" s="1099"/>
      <c r="T598" s="92"/>
      <c r="U598" s="92"/>
      <c r="V598" s="92"/>
      <c r="W598" s="92"/>
      <c r="X598" s="92"/>
      <c r="Y598" s="92"/>
      <c r="Z598" s="92"/>
      <c r="AA598" s="92"/>
      <c r="AB598" s="92"/>
      <c r="AC598" s="92"/>
      <c r="AD598"/>
      <c r="AE598"/>
      <c r="AF598"/>
      <c r="AG598"/>
      <c r="AH598"/>
      <c r="AI598"/>
      <c r="AJ598"/>
      <c r="AK598"/>
      <c r="AL598"/>
      <c r="AM598"/>
      <c r="AN598"/>
      <c r="AO598"/>
      <c r="AP598"/>
      <c r="AQ598"/>
    </row>
    <row r="599" spans="1:43" ht="26.25">
      <c r="A599" s="270"/>
      <c r="B599" s="14" t="s">
        <v>122</v>
      </c>
      <c r="C599" s="92"/>
      <c r="D599" s="92">
        <v>0.95</v>
      </c>
      <c r="E599" s="92">
        <v>1.06</v>
      </c>
      <c r="F599" s="92"/>
      <c r="G599" s="92"/>
      <c r="H599" s="53">
        <f>AVERAGE(D599:E599)</f>
        <v>1.0049999999999999</v>
      </c>
      <c r="I599" s="53"/>
      <c r="J599" s="53"/>
      <c r="K599" s="53"/>
      <c r="L599" s="53"/>
      <c r="M599" s="53"/>
      <c r="N599" s="53"/>
      <c r="O599" s="53"/>
      <c r="P599" s="53"/>
      <c r="Q599" s="53"/>
      <c r="R599" s="53"/>
      <c r="S599" s="1098" t="s">
        <v>1572</v>
      </c>
      <c r="T599" s="92" t="s">
        <v>1581</v>
      </c>
      <c r="U599" s="92"/>
      <c r="V599" s="92"/>
      <c r="W599" s="92"/>
      <c r="X599" s="92"/>
      <c r="Y599" s="92"/>
      <c r="Z599" s="92"/>
      <c r="AA599" s="92"/>
      <c r="AB599" s="92"/>
      <c r="AC599" s="92"/>
      <c r="AD599"/>
      <c r="AE599"/>
      <c r="AF599"/>
      <c r="AG599"/>
      <c r="AH599"/>
      <c r="AI599"/>
      <c r="AJ599"/>
      <c r="AK599"/>
      <c r="AL599"/>
      <c r="AM599"/>
      <c r="AN599"/>
      <c r="AO599"/>
      <c r="AP599"/>
      <c r="AQ599"/>
    </row>
    <row r="600" spans="1:43">
      <c r="A600" s="9" t="s">
        <v>60</v>
      </c>
      <c r="B600" s="10" t="s">
        <v>120</v>
      </c>
      <c r="C600" s="271"/>
      <c r="D600" s="271"/>
      <c r="E600" s="271"/>
      <c r="F600" s="271"/>
      <c r="G600" s="271"/>
      <c r="H600" s="113"/>
      <c r="I600" s="113"/>
      <c r="J600" s="113"/>
      <c r="K600" s="113"/>
      <c r="L600" s="113"/>
      <c r="M600" s="113"/>
      <c r="N600" s="113"/>
      <c r="O600" s="113"/>
      <c r="P600" s="113"/>
      <c r="Q600" s="113"/>
      <c r="R600" s="113"/>
      <c r="S600" s="1099"/>
      <c r="T600" s="92"/>
      <c r="U600" s="92"/>
      <c r="V600" s="92"/>
      <c r="W600" s="92"/>
      <c r="X600" s="92"/>
      <c r="Y600" s="92"/>
      <c r="Z600" s="92"/>
      <c r="AA600" s="92"/>
      <c r="AB600" s="92"/>
      <c r="AC600" s="92"/>
      <c r="AD600"/>
      <c r="AE600"/>
      <c r="AF600"/>
      <c r="AG600"/>
      <c r="AH600"/>
      <c r="AI600"/>
      <c r="AJ600"/>
      <c r="AK600"/>
      <c r="AL600"/>
      <c r="AM600"/>
      <c r="AN600"/>
      <c r="AO600"/>
      <c r="AP600"/>
      <c r="AQ600"/>
    </row>
    <row r="601" spans="1:43">
      <c r="A601" s="270"/>
      <c r="B601" s="14" t="s">
        <v>122</v>
      </c>
      <c r="C601" s="92"/>
      <c r="D601" s="92">
        <v>2.5</v>
      </c>
      <c r="E601" s="92">
        <v>2.5099999999999998</v>
      </c>
      <c r="F601" s="92"/>
      <c r="G601" s="92"/>
      <c r="H601" s="53">
        <f>AVERAGE(D601:E601)</f>
        <v>2.5049999999999999</v>
      </c>
      <c r="I601" s="53"/>
      <c r="J601" s="53"/>
      <c r="K601" s="53"/>
      <c r="L601" s="53"/>
      <c r="M601" s="53"/>
      <c r="N601" s="53"/>
      <c r="O601" s="53"/>
      <c r="P601" s="53"/>
      <c r="Q601" s="53"/>
      <c r="R601" s="53"/>
      <c r="S601" s="1098" t="s">
        <v>1572</v>
      </c>
      <c r="T601" s="92"/>
      <c r="U601" s="92"/>
      <c r="V601" s="92"/>
      <c r="W601" s="92"/>
      <c r="X601" s="92"/>
      <c r="Y601" s="92"/>
      <c r="Z601" s="92"/>
      <c r="AA601" s="92"/>
      <c r="AB601" s="92"/>
      <c r="AC601" s="92"/>
      <c r="AD601"/>
      <c r="AE601"/>
      <c r="AF601"/>
      <c r="AG601"/>
      <c r="AH601"/>
      <c r="AI601"/>
      <c r="AJ601"/>
      <c r="AK601"/>
      <c r="AL601"/>
      <c r="AM601"/>
      <c r="AN601"/>
      <c r="AO601"/>
      <c r="AP601"/>
      <c r="AQ601"/>
    </row>
    <row r="602" spans="1:43">
      <c r="A602" s="9" t="s">
        <v>66</v>
      </c>
      <c r="B602" s="10" t="s">
        <v>120</v>
      </c>
      <c r="C602" s="271"/>
      <c r="D602" s="271"/>
      <c r="E602" s="271"/>
      <c r="F602" s="271"/>
      <c r="G602" s="271"/>
      <c r="H602" s="113"/>
      <c r="I602" s="113"/>
      <c r="J602" s="113"/>
      <c r="K602" s="113"/>
      <c r="L602" s="113"/>
      <c r="M602" s="113"/>
      <c r="N602" s="113"/>
      <c r="O602" s="113"/>
      <c r="P602" s="113"/>
      <c r="Q602" s="113"/>
      <c r="R602" s="113"/>
      <c r="S602" s="1099"/>
      <c r="T602" s="92"/>
      <c r="U602" s="92"/>
      <c r="V602" s="92"/>
      <c r="W602" s="92"/>
      <c r="X602" s="92"/>
      <c r="Y602" s="92"/>
      <c r="Z602" s="92"/>
      <c r="AA602" s="92"/>
      <c r="AB602" s="92"/>
      <c r="AC602" s="92"/>
      <c r="AD602"/>
      <c r="AE602"/>
      <c r="AF602"/>
      <c r="AG602"/>
      <c r="AH602"/>
      <c r="AI602"/>
      <c r="AJ602"/>
      <c r="AK602"/>
      <c r="AL602"/>
      <c r="AM602"/>
      <c r="AN602"/>
      <c r="AO602"/>
      <c r="AP602"/>
      <c r="AQ602"/>
    </row>
    <row r="603" spans="1:43">
      <c r="A603" s="270"/>
      <c r="B603" s="14" t="s">
        <v>122</v>
      </c>
      <c r="C603" s="92"/>
      <c r="D603" s="92">
        <v>5.73</v>
      </c>
      <c r="E603" s="92">
        <v>6.28</v>
      </c>
      <c r="F603" s="92"/>
      <c r="G603" s="92"/>
      <c r="H603" s="53">
        <f>AVERAGE(D603:E603)</f>
        <v>6.0050000000000008</v>
      </c>
      <c r="I603" s="53"/>
      <c r="J603" s="53"/>
      <c r="K603" s="53"/>
      <c r="L603" s="53"/>
      <c r="M603" s="53"/>
      <c r="N603" s="53"/>
      <c r="O603" s="53"/>
      <c r="P603" s="53"/>
      <c r="Q603" s="53"/>
      <c r="R603" s="53"/>
      <c r="S603" s="1098" t="s">
        <v>1572</v>
      </c>
      <c r="T603" s="92"/>
      <c r="U603" s="92"/>
      <c r="V603" s="92"/>
      <c r="W603" s="92"/>
      <c r="X603" s="92"/>
      <c r="Y603" s="92"/>
      <c r="Z603" s="92"/>
      <c r="AA603" s="92"/>
      <c r="AB603" s="92"/>
      <c r="AC603" s="92"/>
      <c r="AD603"/>
      <c r="AE603"/>
      <c r="AF603"/>
      <c r="AG603"/>
      <c r="AH603"/>
      <c r="AI603"/>
      <c r="AJ603"/>
      <c r="AK603"/>
      <c r="AL603"/>
      <c r="AM603"/>
      <c r="AN603"/>
      <c r="AO603"/>
      <c r="AP603"/>
      <c r="AQ603"/>
    </row>
    <row r="604" spans="1:43">
      <c r="A604" s="9" t="s">
        <v>72</v>
      </c>
      <c r="B604" s="10" t="s">
        <v>120</v>
      </c>
      <c r="C604" s="271"/>
      <c r="D604" s="271"/>
      <c r="E604" s="271"/>
      <c r="F604" s="271"/>
      <c r="G604" s="271"/>
      <c r="H604" s="113"/>
      <c r="I604" s="113"/>
      <c r="J604" s="113"/>
      <c r="K604" s="113"/>
      <c r="L604" s="113"/>
      <c r="M604" s="113"/>
      <c r="N604" s="113"/>
      <c r="O604" s="113"/>
      <c r="P604" s="113"/>
      <c r="Q604" s="113"/>
      <c r="R604" s="113"/>
      <c r="S604" s="1099"/>
      <c r="T604" s="92"/>
      <c r="U604" s="92"/>
      <c r="V604" s="92"/>
      <c r="W604" s="92"/>
      <c r="X604" s="92"/>
      <c r="Y604" s="92"/>
      <c r="Z604" s="92"/>
      <c r="AA604" s="92"/>
      <c r="AB604" s="92"/>
      <c r="AC604" s="92"/>
      <c r="AD604"/>
      <c r="AE604"/>
      <c r="AF604"/>
      <c r="AG604"/>
      <c r="AH604"/>
      <c r="AI604"/>
      <c r="AJ604"/>
      <c r="AK604"/>
      <c r="AL604"/>
      <c r="AM604"/>
      <c r="AN604"/>
      <c r="AO604"/>
      <c r="AP604"/>
      <c r="AQ604"/>
    </row>
    <row r="605" spans="1:43">
      <c r="A605" s="270"/>
      <c r="B605" s="14" t="s">
        <v>122</v>
      </c>
      <c r="C605" s="92"/>
      <c r="D605" s="92">
        <v>3.55</v>
      </c>
      <c r="E605" s="92">
        <v>2.2000000000000002</v>
      </c>
      <c r="F605" s="92"/>
      <c r="G605" s="92"/>
      <c r="H605" s="53">
        <f>AVERAGE(D605:E605)</f>
        <v>2.875</v>
      </c>
      <c r="I605" s="53"/>
      <c r="J605" s="53"/>
      <c r="K605" s="53"/>
      <c r="L605" s="53"/>
      <c r="M605" s="53"/>
      <c r="N605" s="53"/>
      <c r="O605" s="53"/>
      <c r="P605" s="53"/>
      <c r="Q605" s="53"/>
      <c r="R605" s="53"/>
      <c r="S605" s="1098" t="s">
        <v>1572</v>
      </c>
      <c r="T605" s="114" t="s">
        <v>1580</v>
      </c>
      <c r="U605" s="92"/>
      <c r="V605" s="92"/>
      <c r="W605" s="92"/>
      <c r="X605" s="92"/>
      <c r="Y605" s="92"/>
      <c r="Z605" s="92"/>
      <c r="AA605" s="92"/>
      <c r="AB605" s="92"/>
      <c r="AC605" s="92"/>
      <c r="AD605"/>
      <c r="AE605"/>
      <c r="AF605"/>
      <c r="AG605"/>
      <c r="AH605"/>
      <c r="AI605"/>
      <c r="AJ605"/>
      <c r="AK605"/>
      <c r="AL605"/>
      <c r="AM605"/>
      <c r="AN605"/>
      <c r="AO605"/>
      <c r="AP605"/>
      <c r="AQ605"/>
    </row>
    <row r="606" spans="1:43">
      <c r="A606" s="9" t="s">
        <v>82</v>
      </c>
      <c r="B606" s="10" t="s">
        <v>120</v>
      </c>
      <c r="C606" s="271"/>
      <c r="D606" s="271"/>
      <c r="E606" s="271"/>
      <c r="F606" s="271"/>
      <c r="G606" s="271"/>
      <c r="H606" s="113"/>
      <c r="I606" s="113"/>
      <c r="J606" s="113"/>
      <c r="K606" s="113"/>
      <c r="L606" s="113"/>
      <c r="M606" s="113"/>
      <c r="N606" s="113"/>
      <c r="O606" s="113"/>
      <c r="P606" s="113"/>
      <c r="Q606" s="113"/>
      <c r="R606" s="113"/>
      <c r="S606" s="1099"/>
      <c r="T606" s="92"/>
      <c r="U606" s="92"/>
      <c r="V606" s="92"/>
      <c r="W606" s="92"/>
      <c r="X606" s="92"/>
      <c r="Y606" s="92"/>
      <c r="Z606" s="92"/>
      <c r="AA606" s="92"/>
      <c r="AB606" s="92"/>
      <c r="AC606" s="92"/>
      <c r="AD606"/>
      <c r="AE606"/>
      <c r="AF606"/>
      <c r="AG606"/>
      <c r="AH606"/>
      <c r="AI606"/>
      <c r="AJ606"/>
      <c r="AK606"/>
      <c r="AL606"/>
      <c r="AM606"/>
      <c r="AN606"/>
      <c r="AO606"/>
      <c r="AP606"/>
      <c r="AQ606"/>
    </row>
    <row r="607" spans="1:43">
      <c r="A607" s="270"/>
      <c r="B607" s="14" t="s">
        <v>122</v>
      </c>
      <c r="C607" s="92"/>
      <c r="D607" s="92">
        <v>3.55</v>
      </c>
      <c r="E607" s="92">
        <v>2.2000000000000002</v>
      </c>
      <c r="F607" s="92"/>
      <c r="G607" s="92"/>
      <c r="H607" s="53">
        <f>AVERAGE(D607:E607)</f>
        <v>2.875</v>
      </c>
      <c r="I607" s="53"/>
      <c r="J607" s="53"/>
      <c r="K607" s="53"/>
      <c r="L607" s="53"/>
      <c r="M607" s="53"/>
      <c r="N607" s="53"/>
      <c r="O607" s="53"/>
      <c r="P607" s="53"/>
      <c r="Q607" s="53"/>
      <c r="R607" s="53"/>
      <c r="S607" s="1098" t="s">
        <v>1572</v>
      </c>
      <c r="T607" s="114" t="s">
        <v>1580</v>
      </c>
      <c r="U607" s="92"/>
      <c r="V607" s="92"/>
      <c r="W607" s="92"/>
      <c r="X607" s="92"/>
      <c r="Y607" s="92"/>
      <c r="Z607" s="92"/>
      <c r="AA607" s="92"/>
      <c r="AB607" s="92"/>
      <c r="AC607" s="92"/>
      <c r="AD607"/>
      <c r="AE607"/>
      <c r="AF607"/>
      <c r="AG607"/>
      <c r="AH607"/>
      <c r="AI607"/>
      <c r="AJ607"/>
      <c r="AK607"/>
      <c r="AL607"/>
      <c r="AM607"/>
      <c r="AN607"/>
      <c r="AO607"/>
      <c r="AP607"/>
      <c r="AQ607"/>
    </row>
    <row r="608" spans="1:43">
      <c r="A608" s="9" t="s">
        <v>86</v>
      </c>
      <c r="B608" s="10" t="s">
        <v>120</v>
      </c>
      <c r="C608" s="271"/>
      <c r="D608" s="271"/>
      <c r="E608" s="271"/>
      <c r="F608" s="271"/>
      <c r="G608" s="271"/>
      <c r="H608" s="113"/>
      <c r="I608" s="113"/>
      <c r="J608" s="113"/>
      <c r="K608" s="113"/>
      <c r="L608" s="113"/>
      <c r="M608" s="113"/>
      <c r="N608" s="113"/>
      <c r="O608" s="113"/>
      <c r="P608" s="113"/>
      <c r="Q608" s="113"/>
      <c r="R608" s="113"/>
      <c r="S608" s="1099"/>
      <c r="T608" s="92"/>
      <c r="U608" s="92"/>
      <c r="V608" s="92"/>
      <c r="W608" s="92"/>
      <c r="X608" s="92"/>
      <c r="Y608" s="92"/>
      <c r="Z608" s="92"/>
      <c r="AA608" s="92"/>
      <c r="AB608" s="92"/>
      <c r="AC608" s="92"/>
      <c r="AD608"/>
      <c r="AE608"/>
      <c r="AF608"/>
      <c r="AG608"/>
      <c r="AH608"/>
      <c r="AI608"/>
      <c r="AJ608"/>
      <c r="AK608"/>
      <c r="AL608"/>
      <c r="AM608"/>
      <c r="AN608"/>
      <c r="AO608"/>
      <c r="AP608"/>
      <c r="AQ608"/>
    </row>
    <row r="609" spans="1:43">
      <c r="A609" s="270"/>
      <c r="B609" s="14" t="s">
        <v>122</v>
      </c>
      <c r="C609" s="92"/>
      <c r="D609" s="92">
        <v>3.55</v>
      </c>
      <c r="E609" s="92">
        <v>2.2000000000000002</v>
      </c>
      <c r="F609" s="92"/>
      <c r="G609" s="92"/>
      <c r="H609" s="53">
        <f>AVERAGE(D609:E609)</f>
        <v>2.875</v>
      </c>
      <c r="I609" s="53"/>
      <c r="J609" s="53"/>
      <c r="K609" s="53"/>
      <c r="L609" s="53"/>
      <c r="M609" s="53"/>
      <c r="N609" s="53"/>
      <c r="O609" s="53"/>
      <c r="P609" s="53"/>
      <c r="Q609" s="53"/>
      <c r="R609" s="53"/>
      <c r="S609" s="1098" t="s">
        <v>1572</v>
      </c>
      <c r="T609" s="114" t="s">
        <v>1580</v>
      </c>
      <c r="U609" s="92"/>
      <c r="V609" s="92"/>
      <c r="W609" s="92"/>
      <c r="X609" s="92"/>
      <c r="Y609" s="92"/>
      <c r="Z609" s="92"/>
      <c r="AA609" s="92"/>
      <c r="AB609" s="92"/>
      <c r="AC609" s="92"/>
      <c r="AD609"/>
      <c r="AE609"/>
      <c r="AF609"/>
      <c r="AG609"/>
      <c r="AH609"/>
      <c r="AI609"/>
      <c r="AJ609"/>
      <c r="AK609"/>
      <c r="AL609"/>
      <c r="AM609"/>
      <c r="AN609"/>
      <c r="AO609"/>
      <c r="AP609"/>
      <c r="AQ609"/>
    </row>
    <row r="610" spans="1:43">
      <c r="A610" s="9" t="s">
        <v>78</v>
      </c>
      <c r="B610" s="10" t="s">
        <v>120</v>
      </c>
      <c r="C610" s="271"/>
      <c r="D610" s="271"/>
      <c r="E610" s="271"/>
      <c r="F610" s="271"/>
      <c r="G610" s="271"/>
      <c r="H610" s="113"/>
      <c r="I610" s="113"/>
      <c r="J610" s="113"/>
      <c r="K610" s="113"/>
      <c r="L610" s="113"/>
      <c r="M610" s="113"/>
      <c r="N610" s="113"/>
      <c r="O610" s="113"/>
      <c r="P610" s="113"/>
      <c r="Q610" s="113"/>
      <c r="R610" s="113"/>
      <c r="S610" s="1099"/>
      <c r="T610" s="92"/>
      <c r="U610" s="92"/>
      <c r="V610" s="92"/>
      <c r="W610" s="92"/>
      <c r="X610" s="92"/>
      <c r="Y610" s="92"/>
      <c r="Z610" s="92"/>
      <c r="AA610" s="92"/>
      <c r="AB610" s="92"/>
      <c r="AC610" s="92"/>
      <c r="AD610"/>
      <c r="AE610"/>
      <c r="AF610"/>
      <c r="AG610"/>
      <c r="AH610"/>
      <c r="AI610"/>
      <c r="AJ610"/>
      <c r="AK610"/>
      <c r="AL610"/>
      <c r="AM610"/>
      <c r="AN610"/>
      <c r="AO610"/>
      <c r="AP610"/>
      <c r="AQ610"/>
    </row>
    <row r="611" spans="1:43">
      <c r="A611" s="270"/>
      <c r="B611" s="14" t="s">
        <v>122</v>
      </c>
      <c r="C611" s="92"/>
      <c r="D611" s="92">
        <v>3.55</v>
      </c>
      <c r="E611" s="92">
        <v>2.2000000000000002</v>
      </c>
      <c r="F611" s="92"/>
      <c r="G611" s="92"/>
      <c r="H611" s="53">
        <f>AVERAGE(D611:E611)</f>
        <v>2.875</v>
      </c>
      <c r="I611" s="53"/>
      <c r="J611" s="53"/>
      <c r="K611" s="53"/>
      <c r="L611" s="53"/>
      <c r="M611" s="53"/>
      <c r="N611" s="53"/>
      <c r="O611" s="53"/>
      <c r="P611" s="53"/>
      <c r="Q611" s="53"/>
      <c r="R611" s="53"/>
      <c r="S611" s="1098" t="s">
        <v>1572</v>
      </c>
      <c r="T611" s="114" t="s">
        <v>1580</v>
      </c>
      <c r="U611" s="92"/>
      <c r="V611" s="92"/>
      <c r="W611" s="92"/>
      <c r="X611" s="92"/>
      <c r="Y611" s="92"/>
      <c r="Z611" s="92"/>
      <c r="AA611" s="92"/>
      <c r="AB611" s="92"/>
      <c r="AC611" s="92"/>
      <c r="AD611"/>
      <c r="AE611"/>
      <c r="AF611"/>
      <c r="AG611"/>
      <c r="AH611"/>
      <c r="AI611"/>
      <c r="AJ611"/>
      <c r="AK611"/>
      <c r="AL611"/>
      <c r="AM611"/>
      <c r="AN611"/>
      <c r="AO611"/>
      <c r="AP611"/>
      <c r="AQ611"/>
    </row>
    <row r="612" spans="1:43">
      <c r="A612" s="9" t="s">
        <v>28</v>
      </c>
      <c r="B612" s="10" t="s">
        <v>120</v>
      </c>
      <c r="C612" s="271"/>
      <c r="D612" s="271"/>
      <c r="E612" s="271"/>
      <c r="F612" s="271"/>
      <c r="G612" s="271"/>
      <c r="H612" s="113"/>
      <c r="I612" s="113"/>
      <c r="J612" s="113"/>
      <c r="K612" s="113"/>
      <c r="L612" s="113"/>
      <c r="M612" s="113"/>
      <c r="N612" s="113"/>
      <c r="O612" s="113"/>
      <c r="P612" s="113"/>
      <c r="Q612" s="113"/>
      <c r="R612" s="113"/>
      <c r="S612" s="1099"/>
      <c r="T612" s="92"/>
      <c r="U612" s="92"/>
      <c r="V612" s="92"/>
      <c r="W612" s="92"/>
      <c r="X612" s="92"/>
      <c r="Y612" s="92"/>
      <c r="Z612" s="92"/>
      <c r="AA612" s="92"/>
      <c r="AB612" s="92"/>
      <c r="AC612" s="92"/>
      <c r="AD612"/>
      <c r="AE612"/>
      <c r="AF612"/>
      <c r="AG612"/>
      <c r="AH612"/>
      <c r="AI612"/>
      <c r="AJ612"/>
      <c r="AK612"/>
      <c r="AL612"/>
      <c r="AM612"/>
      <c r="AN612"/>
      <c r="AO612"/>
      <c r="AP612"/>
      <c r="AQ612"/>
    </row>
    <row r="613" spans="1:43">
      <c r="A613" s="270"/>
      <c r="B613" s="14" t="s">
        <v>122</v>
      </c>
      <c r="C613" s="92"/>
      <c r="D613" s="92">
        <v>5.94</v>
      </c>
      <c r="E613" s="92">
        <v>4.22</v>
      </c>
      <c r="F613" s="92"/>
      <c r="G613" s="92"/>
      <c r="H613" s="53">
        <f>AVERAGE(D613:E613)</f>
        <v>5.08</v>
      </c>
      <c r="I613" s="53"/>
      <c r="J613" s="53"/>
      <c r="K613" s="53"/>
      <c r="L613" s="53"/>
      <c r="M613" s="53"/>
      <c r="N613" s="53"/>
      <c r="O613" s="53"/>
      <c r="P613" s="53"/>
      <c r="Q613" s="53"/>
      <c r="R613" s="53"/>
      <c r="S613" s="1098" t="s">
        <v>1572</v>
      </c>
      <c r="T613" s="92"/>
      <c r="U613" s="92"/>
      <c r="V613" s="92"/>
      <c r="W613" s="92"/>
      <c r="X613" s="92"/>
      <c r="Y613" s="92"/>
      <c r="Z613" s="92"/>
      <c r="AA613" s="92"/>
      <c r="AB613" s="92"/>
      <c r="AC613" s="92"/>
      <c r="AD613"/>
      <c r="AE613"/>
      <c r="AF613"/>
      <c r="AG613"/>
      <c r="AH613"/>
      <c r="AI613"/>
      <c r="AJ613"/>
      <c r="AK613"/>
      <c r="AL613"/>
      <c r="AM613"/>
      <c r="AN613"/>
      <c r="AO613"/>
      <c r="AP613"/>
      <c r="AQ613"/>
    </row>
    <row r="614" spans="1:43">
      <c r="A614" s="9" t="s">
        <v>42</v>
      </c>
      <c r="B614" s="10" t="s">
        <v>120</v>
      </c>
      <c r="C614" s="271"/>
      <c r="D614" s="271"/>
      <c r="E614" s="271"/>
      <c r="F614" s="271"/>
      <c r="G614" s="271"/>
      <c r="H614" s="113"/>
      <c r="I614" s="113"/>
      <c r="J614" s="113"/>
      <c r="K614" s="113"/>
      <c r="L614" s="113"/>
      <c r="M614" s="113"/>
      <c r="N614" s="113"/>
      <c r="O614" s="113"/>
      <c r="P614" s="113"/>
      <c r="Q614" s="113"/>
      <c r="R614" s="113"/>
      <c r="S614" s="1099"/>
      <c r="T614" s="92"/>
      <c r="U614" s="92"/>
      <c r="V614" s="92"/>
      <c r="W614" s="92"/>
      <c r="X614" s="92"/>
      <c r="Y614" s="92"/>
      <c r="Z614" s="92"/>
      <c r="AA614" s="92"/>
      <c r="AB614" s="92"/>
      <c r="AC614" s="92"/>
      <c r="AD614"/>
      <c r="AE614"/>
      <c r="AF614"/>
      <c r="AG614"/>
      <c r="AH614"/>
      <c r="AI614"/>
      <c r="AJ614"/>
      <c r="AK614"/>
      <c r="AL614"/>
      <c r="AM614"/>
      <c r="AN614"/>
      <c r="AO614"/>
      <c r="AP614"/>
      <c r="AQ614"/>
    </row>
    <row r="615" spans="1:43">
      <c r="A615" s="270"/>
      <c r="B615" s="14" t="s">
        <v>122</v>
      </c>
      <c r="C615" s="92"/>
      <c r="D615" s="92">
        <v>3.55</v>
      </c>
      <c r="E615" s="92">
        <v>4.1500000000000004</v>
      </c>
      <c r="F615" s="92"/>
      <c r="G615" s="92"/>
      <c r="H615" s="53">
        <f>AVERAGE(D615:E615)</f>
        <v>3.85</v>
      </c>
      <c r="I615" s="53"/>
      <c r="J615" s="53"/>
      <c r="K615" s="53"/>
      <c r="L615" s="53"/>
      <c r="M615" s="53"/>
      <c r="N615" s="53"/>
      <c r="O615" s="53"/>
      <c r="P615" s="53"/>
      <c r="Q615" s="53"/>
      <c r="R615" s="53"/>
      <c r="S615" s="1098" t="s">
        <v>1572</v>
      </c>
      <c r="T615" s="114" t="s">
        <v>1582</v>
      </c>
      <c r="U615" s="92"/>
      <c r="V615" s="92"/>
      <c r="W615" s="92"/>
      <c r="X615" s="92"/>
      <c r="Y615" s="92"/>
      <c r="Z615" s="92"/>
      <c r="AA615" s="92"/>
      <c r="AB615" s="92"/>
      <c r="AC615" s="92"/>
      <c r="AD615"/>
      <c r="AE615"/>
      <c r="AF615"/>
      <c r="AG615"/>
      <c r="AH615"/>
      <c r="AI615"/>
      <c r="AJ615"/>
      <c r="AK615"/>
      <c r="AL615"/>
      <c r="AM615"/>
      <c r="AN615"/>
      <c r="AO615"/>
      <c r="AP615"/>
      <c r="AQ615"/>
    </row>
    <row r="616" spans="1:43">
      <c r="A616" s="9" t="s">
        <v>1583</v>
      </c>
      <c r="B616" s="10" t="s">
        <v>120</v>
      </c>
      <c r="C616" s="271"/>
      <c r="D616" s="271"/>
      <c r="E616" s="271"/>
      <c r="F616" s="271"/>
      <c r="G616" s="271"/>
      <c r="H616" s="113"/>
      <c r="I616" s="113"/>
      <c r="J616" s="113"/>
      <c r="K616" s="113"/>
      <c r="L616" s="113"/>
      <c r="M616" s="113"/>
      <c r="N616" s="113"/>
      <c r="O616" s="113"/>
      <c r="P616" s="113"/>
      <c r="Q616" s="113"/>
      <c r="R616" s="113"/>
      <c r="S616" s="1099"/>
      <c r="T616" s="92"/>
      <c r="U616" s="92"/>
      <c r="V616" s="92"/>
      <c r="W616" s="92"/>
      <c r="X616" s="92"/>
      <c r="Y616" s="92"/>
      <c r="Z616" s="92"/>
      <c r="AA616" s="92"/>
      <c r="AB616" s="92"/>
      <c r="AC616" s="92"/>
      <c r="AD616"/>
      <c r="AE616"/>
      <c r="AF616"/>
      <c r="AG616"/>
      <c r="AH616"/>
      <c r="AI616"/>
      <c r="AJ616"/>
      <c r="AK616"/>
      <c r="AL616"/>
      <c r="AM616"/>
      <c r="AN616"/>
      <c r="AO616"/>
      <c r="AP616"/>
      <c r="AQ616"/>
    </row>
    <row r="617" spans="1:43">
      <c r="A617" s="270"/>
      <c r="B617" s="14" t="s">
        <v>122</v>
      </c>
      <c r="C617" s="92"/>
      <c r="D617" s="92">
        <v>3.55</v>
      </c>
      <c r="E617" s="92">
        <v>4.1500000000000004</v>
      </c>
      <c r="F617" s="92"/>
      <c r="G617" s="92"/>
      <c r="H617" s="53">
        <f>AVERAGE(D617:E617)</f>
        <v>3.85</v>
      </c>
      <c r="I617" s="53"/>
      <c r="J617" s="53"/>
      <c r="K617" s="53"/>
      <c r="L617" s="53"/>
      <c r="M617" s="53"/>
      <c r="N617" s="53"/>
      <c r="O617" s="53"/>
      <c r="P617" s="53"/>
      <c r="Q617" s="53"/>
      <c r="R617" s="53"/>
      <c r="S617" s="1098" t="s">
        <v>1572</v>
      </c>
      <c r="T617" s="114" t="s">
        <v>1582</v>
      </c>
      <c r="U617" s="92"/>
      <c r="V617" s="92"/>
      <c r="W617" s="92"/>
      <c r="X617" s="92"/>
      <c r="Y617" s="92"/>
      <c r="Z617" s="92"/>
      <c r="AA617" s="92"/>
      <c r="AB617" s="92"/>
      <c r="AC617" s="92"/>
      <c r="AD617"/>
      <c r="AE617"/>
      <c r="AF617"/>
      <c r="AG617"/>
      <c r="AH617"/>
      <c r="AI617"/>
      <c r="AJ617"/>
      <c r="AK617"/>
      <c r="AL617"/>
      <c r="AM617"/>
      <c r="AN617"/>
      <c r="AO617"/>
      <c r="AP617"/>
      <c r="AQ617"/>
    </row>
    <row r="618" spans="1:43">
      <c r="A618" s="9" t="s">
        <v>79</v>
      </c>
      <c r="B618" s="10" t="s">
        <v>120</v>
      </c>
      <c r="C618" s="271"/>
      <c r="D618" s="271"/>
      <c r="E618" s="271"/>
      <c r="F618" s="271"/>
      <c r="G618" s="271"/>
      <c r="H618" s="113"/>
      <c r="I618" s="113"/>
      <c r="J618" s="113"/>
      <c r="K618" s="113"/>
      <c r="L618" s="113"/>
      <c r="M618" s="113"/>
      <c r="N618" s="113"/>
      <c r="O618" s="113"/>
      <c r="P618" s="113"/>
      <c r="Q618" s="113"/>
      <c r="R618" s="113"/>
      <c r="S618" s="1099"/>
      <c r="T618" s="92"/>
      <c r="U618" s="92"/>
      <c r="V618" s="92"/>
      <c r="W618" s="92"/>
      <c r="X618" s="92"/>
      <c r="Y618" s="92"/>
      <c r="Z618" s="92"/>
      <c r="AA618" s="92"/>
      <c r="AB618" s="92"/>
      <c r="AC618" s="92"/>
      <c r="AD618"/>
      <c r="AE618"/>
      <c r="AF618"/>
      <c r="AG618"/>
      <c r="AH618"/>
      <c r="AI618"/>
      <c r="AJ618"/>
      <c r="AK618"/>
      <c r="AL618"/>
      <c r="AM618"/>
      <c r="AN618"/>
      <c r="AO618"/>
      <c r="AP618"/>
      <c r="AQ618"/>
    </row>
    <row r="619" spans="1:43">
      <c r="A619" s="270"/>
      <c r="B619" s="14" t="s">
        <v>122</v>
      </c>
      <c r="C619" s="92"/>
      <c r="D619" s="92">
        <v>5.75</v>
      </c>
      <c r="E619" s="92">
        <v>2.59</v>
      </c>
      <c r="F619" s="92"/>
      <c r="G619" s="92"/>
      <c r="H619" s="53">
        <f>AVERAGE(D619:E619)</f>
        <v>4.17</v>
      </c>
      <c r="I619" s="53"/>
      <c r="J619" s="53"/>
      <c r="K619" s="53"/>
      <c r="L619" s="53"/>
      <c r="M619" s="53"/>
      <c r="N619" s="53"/>
      <c r="O619" s="53"/>
      <c r="P619" s="53"/>
      <c r="Q619" s="53"/>
      <c r="R619" s="53"/>
      <c r="S619" s="1098" t="s">
        <v>1572</v>
      </c>
      <c r="T619" s="92"/>
      <c r="U619" s="92"/>
      <c r="V619" s="92"/>
      <c r="W619" s="92"/>
      <c r="X619" s="92"/>
      <c r="Y619" s="92"/>
      <c r="Z619" s="92"/>
      <c r="AA619" s="92"/>
      <c r="AB619" s="92"/>
      <c r="AC619" s="92"/>
      <c r="AD619"/>
      <c r="AE619"/>
      <c r="AF619"/>
      <c r="AG619"/>
      <c r="AH619"/>
      <c r="AI619"/>
      <c r="AJ619"/>
      <c r="AK619"/>
      <c r="AL619"/>
      <c r="AM619"/>
      <c r="AN619"/>
      <c r="AO619"/>
      <c r="AP619"/>
      <c r="AQ619"/>
    </row>
    <row r="620" spans="1:43">
      <c r="A620" s="9" t="s">
        <v>83</v>
      </c>
      <c r="B620" s="10" t="s">
        <v>120</v>
      </c>
      <c r="C620" s="271"/>
      <c r="D620" s="271"/>
      <c r="E620" s="271"/>
      <c r="F620" s="271"/>
      <c r="G620" s="271"/>
      <c r="H620" s="113"/>
      <c r="I620" s="113"/>
      <c r="J620" s="113"/>
      <c r="K620" s="113"/>
      <c r="L620" s="113"/>
      <c r="M620" s="113"/>
      <c r="N620" s="113"/>
      <c r="O620" s="113"/>
      <c r="P620" s="113"/>
      <c r="Q620" s="113"/>
      <c r="R620" s="113"/>
      <c r="S620" s="1100" t="s">
        <v>1584</v>
      </c>
      <c r="T620" s="92"/>
      <c r="U620" s="92"/>
      <c r="V620" s="92"/>
      <c r="W620" s="92"/>
      <c r="X620" s="92"/>
      <c r="Y620" s="92"/>
      <c r="Z620" s="92"/>
      <c r="AA620" s="92"/>
      <c r="AB620" s="92"/>
      <c r="AC620" s="92"/>
      <c r="AD620"/>
      <c r="AE620"/>
      <c r="AF620"/>
      <c r="AG620"/>
      <c r="AH620"/>
      <c r="AI620"/>
      <c r="AJ620"/>
      <c r="AK620"/>
      <c r="AL620"/>
      <c r="AM620"/>
      <c r="AN620"/>
      <c r="AO620"/>
      <c r="AP620"/>
      <c r="AQ620"/>
    </row>
    <row r="621" spans="1:43">
      <c r="A621" s="1101"/>
      <c r="B621" s="22" t="s">
        <v>122</v>
      </c>
      <c r="C621" s="1102"/>
      <c r="D621" s="1102">
        <v>3.55</v>
      </c>
      <c r="E621" s="1102">
        <v>4.1500000000000004</v>
      </c>
      <c r="F621" s="1102"/>
      <c r="G621" s="1102"/>
      <c r="H621" s="541">
        <f>AVERAGE(D621:E621)</f>
        <v>3.85</v>
      </c>
      <c r="I621" s="541"/>
      <c r="J621" s="541"/>
      <c r="K621" s="541"/>
      <c r="L621" s="541"/>
      <c r="M621" s="541"/>
      <c r="N621" s="541"/>
      <c r="O621" s="541"/>
      <c r="P621" s="541"/>
      <c r="Q621" s="541"/>
      <c r="R621" s="541"/>
      <c r="S621" s="1103" t="s">
        <v>1572</v>
      </c>
      <c r="T621" s="114" t="s">
        <v>1582</v>
      </c>
      <c r="U621" s="92"/>
      <c r="V621" s="92"/>
      <c r="W621" s="92"/>
      <c r="X621" s="92"/>
      <c r="Y621" s="92"/>
      <c r="Z621" s="92"/>
      <c r="AA621" s="92"/>
      <c r="AB621" s="92"/>
      <c r="AC621" s="92"/>
      <c r="AD621"/>
      <c r="AE621"/>
      <c r="AF621"/>
      <c r="AG621"/>
      <c r="AH621"/>
      <c r="AI621"/>
      <c r="AJ621"/>
      <c r="AK621"/>
      <c r="AL621"/>
      <c r="AM621"/>
      <c r="AN621"/>
      <c r="AO621"/>
      <c r="AP621"/>
      <c r="AQ621"/>
    </row>
    <row r="622" spans="1:43">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c r="AC622" s="92"/>
      <c r="AD622"/>
      <c r="AE622"/>
      <c r="AF622"/>
      <c r="AG622"/>
      <c r="AH622"/>
      <c r="AI622"/>
      <c r="AJ622"/>
      <c r="AK622"/>
      <c r="AL622"/>
      <c r="AM622"/>
      <c r="AN622"/>
      <c r="AO622"/>
      <c r="AP622"/>
      <c r="AQ622"/>
    </row>
    <row r="623" spans="1:43">
      <c r="A623" s="1104" t="s">
        <v>1585</v>
      </c>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c r="AC623" s="92"/>
      <c r="AD623"/>
      <c r="AE623"/>
      <c r="AF623"/>
      <c r="AG623"/>
      <c r="AH623"/>
      <c r="AI623"/>
      <c r="AJ623"/>
      <c r="AK623"/>
      <c r="AL623"/>
      <c r="AM623"/>
      <c r="AN623"/>
      <c r="AO623"/>
      <c r="AP623"/>
      <c r="AQ623"/>
    </row>
    <row r="624" spans="1:43">
      <c r="A624" s="1105" t="s">
        <v>1586</v>
      </c>
      <c r="B624" s="29"/>
      <c r="C624" s="29"/>
      <c r="D624" s="29"/>
      <c r="E624" s="29"/>
      <c r="F624" s="29"/>
      <c r="G624" s="29"/>
      <c r="H624" s="29"/>
      <c r="I624" s="29"/>
      <c r="J624" s="29"/>
      <c r="K624" s="29"/>
      <c r="L624" s="29"/>
      <c r="M624" s="29"/>
      <c r="N624" s="29"/>
      <c r="O624" s="29"/>
      <c r="P624" s="29"/>
      <c r="Q624" s="29"/>
      <c r="R624" s="29"/>
      <c r="S624" s="29"/>
      <c r="T624" s="29"/>
      <c r="U624" s="29"/>
      <c r="V624"/>
      <c r="W624"/>
      <c r="X624"/>
      <c r="Y624"/>
      <c r="Z624"/>
      <c r="AA624"/>
      <c r="AB624"/>
      <c r="AC624"/>
      <c r="AD624"/>
      <c r="AE624"/>
      <c r="AF624"/>
      <c r="AG624"/>
      <c r="AH624"/>
      <c r="AI624"/>
      <c r="AJ624"/>
      <c r="AK624"/>
      <c r="AL624"/>
      <c r="AM624"/>
      <c r="AN624"/>
      <c r="AO624"/>
      <c r="AP624"/>
      <c r="AQ624"/>
    </row>
    <row r="625" spans="1:43">
      <c r="A625" s="1105" t="s">
        <v>1587</v>
      </c>
      <c r="B625" s="29"/>
      <c r="C625" s="29"/>
      <c r="D625" s="29"/>
      <c r="E625" s="29"/>
      <c r="F625" s="29"/>
      <c r="G625" s="29"/>
      <c r="H625" s="29"/>
      <c r="I625" s="29"/>
      <c r="J625" s="29"/>
      <c r="K625" s="29"/>
      <c r="L625" s="29"/>
      <c r="M625" s="29"/>
      <c r="N625" s="29"/>
      <c r="O625" s="29"/>
      <c r="P625" s="29"/>
      <c r="Q625" s="29"/>
      <c r="R625" s="29"/>
      <c r="S625" s="29"/>
      <c r="T625" s="29"/>
      <c r="U625" s="29"/>
      <c r="V625"/>
      <c r="W625"/>
      <c r="X625"/>
      <c r="Y625"/>
      <c r="Z625"/>
      <c r="AA625"/>
      <c r="AB625"/>
      <c r="AC625"/>
      <c r="AD625"/>
      <c r="AE625"/>
      <c r="AF625"/>
      <c r="AG625"/>
      <c r="AH625"/>
      <c r="AI625"/>
      <c r="AJ625"/>
      <c r="AK625"/>
      <c r="AL625"/>
      <c r="AM625"/>
      <c r="AN625"/>
      <c r="AO625"/>
      <c r="AP625"/>
      <c r="AQ625"/>
    </row>
    <row r="626" spans="1:43" ht="23.25">
      <c r="A626" s="1106"/>
      <c r="B626" s="29"/>
      <c r="C626" s="29"/>
      <c r="D626" s="29"/>
      <c r="E626" s="29"/>
      <c r="F626" s="29"/>
      <c r="G626" s="29"/>
      <c r="H626" s="29"/>
      <c r="I626" s="29"/>
      <c r="J626" s="29"/>
      <c r="K626" s="29"/>
      <c r="L626" s="29"/>
      <c r="M626" s="29"/>
      <c r="N626" s="29"/>
      <c r="O626" s="29"/>
      <c r="P626" s="29"/>
      <c r="Q626" s="29"/>
      <c r="R626" s="29"/>
      <c r="S626" s="29"/>
      <c r="T626" s="29"/>
      <c r="U626" s="29"/>
      <c r="V626"/>
      <c r="W626"/>
      <c r="X626"/>
      <c r="Y626"/>
      <c r="Z626"/>
      <c r="AA626"/>
      <c r="AB626"/>
      <c r="AC626"/>
      <c r="AD626"/>
      <c r="AE626"/>
      <c r="AF626"/>
      <c r="AG626"/>
      <c r="AH626"/>
      <c r="AI626"/>
      <c r="AJ626"/>
      <c r="AK626"/>
      <c r="AL626"/>
      <c r="AM626"/>
      <c r="AN626"/>
      <c r="AO626"/>
      <c r="AP626"/>
      <c r="AQ626"/>
    </row>
    <row r="627" spans="1:43" ht="23.25">
      <c r="A627" s="1106" t="s">
        <v>1586</v>
      </c>
      <c r="B627" s="29"/>
      <c r="C627" s="29"/>
      <c r="D627" s="29"/>
      <c r="E627" s="29"/>
      <c r="F627" s="29"/>
      <c r="G627" s="29"/>
      <c r="H627" s="29"/>
      <c r="I627" s="29"/>
      <c r="J627" s="29"/>
      <c r="K627" s="29"/>
      <c r="L627" s="29"/>
      <c r="M627" s="29"/>
      <c r="N627" s="29"/>
      <c r="O627" s="29"/>
      <c r="P627" s="29"/>
      <c r="Q627" s="29"/>
      <c r="R627" s="29"/>
      <c r="S627" s="29"/>
      <c r="T627" s="29"/>
      <c r="U627" s="29"/>
      <c r="V627"/>
      <c r="W627"/>
      <c r="X627"/>
      <c r="Y627"/>
      <c r="Z627"/>
      <c r="AA627"/>
      <c r="AB627"/>
      <c r="AC627"/>
      <c r="AD627"/>
      <c r="AE627"/>
      <c r="AF627"/>
      <c r="AG627"/>
      <c r="AH627"/>
      <c r="AI627"/>
      <c r="AJ627"/>
      <c r="AK627"/>
      <c r="AL627"/>
      <c r="AM627"/>
      <c r="AN627"/>
      <c r="AO627"/>
      <c r="AP627"/>
      <c r="AQ627"/>
    </row>
    <row r="628" spans="1:43">
      <c r="A628" s="7" t="s">
        <v>870</v>
      </c>
      <c r="B628" s="8" t="s">
        <v>1577</v>
      </c>
      <c r="C628" s="125">
        <v>2010</v>
      </c>
      <c r="D628" s="125">
        <v>2017</v>
      </c>
      <c r="E628" s="125" t="s">
        <v>1578</v>
      </c>
      <c r="F628" s="125"/>
      <c r="G628" s="125"/>
      <c r="H628" s="125" t="s">
        <v>608</v>
      </c>
      <c r="I628" s="125"/>
      <c r="J628" s="125"/>
      <c r="K628" s="125"/>
      <c r="L628" s="125"/>
      <c r="M628" s="125"/>
      <c r="N628" s="125"/>
      <c r="O628" s="125"/>
      <c r="P628" s="125"/>
      <c r="Q628" s="125"/>
      <c r="R628" s="125"/>
      <c r="S628" s="92"/>
      <c r="T628" s="29"/>
      <c r="U628" s="29"/>
      <c r="V628"/>
      <c r="W628"/>
      <c r="X628"/>
      <c r="Y628"/>
      <c r="Z628"/>
      <c r="AA628"/>
      <c r="AB628"/>
      <c r="AC628"/>
      <c r="AD628"/>
      <c r="AE628"/>
      <c r="AF628"/>
      <c r="AG628"/>
      <c r="AH628"/>
      <c r="AI628"/>
      <c r="AJ628"/>
      <c r="AK628"/>
      <c r="AL628"/>
      <c r="AM628"/>
      <c r="AN628"/>
      <c r="AO628"/>
      <c r="AP628"/>
      <c r="AQ628"/>
    </row>
    <row r="629" spans="1:43">
      <c r="A629" s="9" t="s">
        <v>624</v>
      </c>
      <c r="B629" s="10" t="s">
        <v>120</v>
      </c>
      <c r="C629" s="92"/>
      <c r="D629" s="92"/>
      <c r="E629" s="113"/>
      <c r="F629" s="113"/>
      <c r="G629" s="113"/>
      <c r="H629" s="271"/>
      <c r="I629" s="271"/>
      <c r="J629" s="271"/>
      <c r="K629" s="271"/>
      <c r="L629" s="271"/>
      <c r="M629" s="271"/>
      <c r="N629" s="271"/>
      <c r="O629" s="271"/>
      <c r="P629" s="271"/>
      <c r="Q629" s="271"/>
      <c r="R629" s="271"/>
      <c r="S629" s="92"/>
      <c r="T629" s="29"/>
      <c r="U629" s="29"/>
      <c r="V629"/>
      <c r="W629"/>
      <c r="X629"/>
      <c r="Y629"/>
      <c r="Z629"/>
      <c r="AA629"/>
      <c r="AB629"/>
      <c r="AC629"/>
      <c r="AD629"/>
      <c r="AE629"/>
      <c r="AF629"/>
      <c r="AG629"/>
      <c r="AH629"/>
      <c r="AI629"/>
      <c r="AJ629"/>
      <c r="AK629"/>
      <c r="AL629"/>
      <c r="AM629"/>
      <c r="AN629"/>
      <c r="AO629"/>
      <c r="AP629"/>
      <c r="AQ629"/>
    </row>
    <row r="630" spans="1:43">
      <c r="A630" s="13" t="s">
        <v>165</v>
      </c>
      <c r="B630" s="14" t="s">
        <v>122</v>
      </c>
      <c r="C630" s="92">
        <v>0.61</v>
      </c>
      <c r="D630" s="92">
        <v>0.64</v>
      </c>
      <c r="E630" s="53">
        <f t="shared" ref="E630:E635" si="14">AVERAGE(C630:D630)</f>
        <v>0.625</v>
      </c>
      <c r="F630" s="53"/>
      <c r="G630" s="53"/>
      <c r="H630" s="114" t="s">
        <v>1572</v>
      </c>
      <c r="I630" s="114"/>
      <c r="J630" s="114"/>
      <c r="K630" s="114"/>
      <c r="L630" s="114"/>
      <c r="M630" s="114"/>
      <c r="N630" s="114"/>
      <c r="O630" s="114"/>
      <c r="P630" s="114"/>
      <c r="Q630" s="114"/>
      <c r="R630" s="114"/>
      <c r="S630" s="92"/>
      <c r="T630" s="29"/>
      <c r="U630" s="29"/>
      <c r="V630"/>
      <c r="W630"/>
      <c r="X630"/>
      <c r="Y630"/>
      <c r="Z630"/>
      <c r="AA630"/>
      <c r="AB630"/>
      <c r="AC630"/>
      <c r="AD630"/>
      <c r="AE630"/>
      <c r="AF630"/>
      <c r="AG630"/>
      <c r="AH630"/>
      <c r="AI630"/>
      <c r="AJ630"/>
      <c r="AK630"/>
      <c r="AL630"/>
      <c r="AM630"/>
      <c r="AN630"/>
      <c r="AO630"/>
      <c r="AP630"/>
      <c r="AQ630"/>
    </row>
    <row r="631" spans="1:43">
      <c r="A631" s="13" t="s">
        <v>166</v>
      </c>
      <c r="B631" s="14" t="s">
        <v>122</v>
      </c>
      <c r="C631" s="92">
        <v>0.4</v>
      </c>
      <c r="D631" s="92">
        <v>0.36</v>
      </c>
      <c r="E631" s="53">
        <f t="shared" si="14"/>
        <v>0.38</v>
      </c>
      <c r="F631" s="53"/>
      <c r="G631" s="53"/>
      <c r="H631" s="114" t="s">
        <v>1572</v>
      </c>
      <c r="I631" s="114"/>
      <c r="J631" s="114"/>
      <c r="K631" s="114"/>
      <c r="L631" s="114"/>
      <c r="M631" s="114"/>
      <c r="N631" s="114"/>
      <c r="O631" s="114"/>
      <c r="P631" s="114"/>
      <c r="Q631" s="114"/>
      <c r="R631" s="114"/>
      <c r="S631" s="92"/>
      <c r="T631" s="29"/>
      <c r="U631" s="29"/>
      <c r="V631"/>
      <c r="W631"/>
      <c r="X631"/>
      <c r="Y631"/>
      <c r="Z631"/>
      <c r="AA631"/>
      <c r="AB631"/>
      <c r="AC631"/>
      <c r="AD631"/>
      <c r="AE631"/>
      <c r="AF631"/>
      <c r="AG631"/>
      <c r="AH631"/>
      <c r="AI631"/>
      <c r="AJ631"/>
      <c r="AK631"/>
      <c r="AL631"/>
      <c r="AM631"/>
      <c r="AN631"/>
      <c r="AO631"/>
      <c r="AP631"/>
      <c r="AQ631"/>
    </row>
    <row r="632" spans="1:43">
      <c r="A632" s="13" t="s">
        <v>40</v>
      </c>
      <c r="B632" s="14" t="s">
        <v>122</v>
      </c>
      <c r="C632" s="92">
        <v>1.25</v>
      </c>
      <c r="D632" s="92">
        <v>1.1599999999999999</v>
      </c>
      <c r="E632" s="53">
        <f t="shared" si="14"/>
        <v>1.2050000000000001</v>
      </c>
      <c r="F632" s="53"/>
      <c r="G632" s="53"/>
      <c r="H632" s="114" t="s">
        <v>1572</v>
      </c>
      <c r="I632" s="114"/>
      <c r="J632" s="114"/>
      <c r="K632" s="114"/>
      <c r="L632" s="114"/>
      <c r="M632" s="114"/>
      <c r="N632" s="114"/>
      <c r="O632" s="114"/>
      <c r="P632" s="114"/>
      <c r="Q632" s="114"/>
      <c r="R632" s="114"/>
      <c r="S632" s="92"/>
      <c r="T632" s="29"/>
      <c r="U632" s="29"/>
      <c r="V632"/>
      <c r="W632"/>
      <c r="X632"/>
      <c r="Y632"/>
      <c r="Z632"/>
      <c r="AA632"/>
      <c r="AB632"/>
      <c r="AC632"/>
      <c r="AD632"/>
      <c r="AE632"/>
      <c r="AF632"/>
      <c r="AG632"/>
      <c r="AH632"/>
      <c r="AI632"/>
      <c r="AJ632"/>
      <c r="AK632"/>
      <c r="AL632"/>
      <c r="AM632"/>
      <c r="AN632"/>
      <c r="AO632"/>
      <c r="AP632"/>
      <c r="AQ632"/>
    </row>
    <row r="633" spans="1:43">
      <c r="A633" s="13" t="s">
        <v>168</v>
      </c>
      <c r="B633" s="14" t="s">
        <v>122</v>
      </c>
      <c r="C633" s="92">
        <v>0.77</v>
      </c>
      <c r="D633" s="92">
        <v>0.93</v>
      </c>
      <c r="E633" s="53">
        <f t="shared" si="14"/>
        <v>0.85000000000000009</v>
      </c>
      <c r="F633" s="53"/>
      <c r="G633" s="53"/>
      <c r="H633" s="114" t="s">
        <v>1572</v>
      </c>
      <c r="I633" s="114"/>
      <c r="J633" s="114"/>
      <c r="K633" s="114"/>
      <c r="L633" s="114"/>
      <c r="M633" s="114"/>
      <c r="N633" s="114"/>
      <c r="O633" s="114"/>
      <c r="P633" s="114"/>
      <c r="Q633" s="114"/>
      <c r="R633" s="114"/>
      <c r="S633" s="92"/>
      <c r="T633" s="29"/>
      <c r="U633" s="29"/>
      <c r="V633"/>
      <c r="W633"/>
      <c r="X633"/>
      <c r="Y633"/>
      <c r="Z633"/>
      <c r="AA633"/>
      <c r="AB633"/>
      <c r="AC633"/>
      <c r="AD633"/>
      <c r="AE633"/>
      <c r="AF633"/>
      <c r="AG633"/>
      <c r="AH633"/>
      <c r="AI633"/>
      <c r="AJ633"/>
      <c r="AK633"/>
      <c r="AL633"/>
      <c r="AM633"/>
      <c r="AN633"/>
      <c r="AO633"/>
      <c r="AP633"/>
      <c r="AQ633"/>
    </row>
    <row r="634" spans="1:43">
      <c r="A634" s="13" t="s">
        <v>169</v>
      </c>
      <c r="B634" s="14" t="s">
        <v>122</v>
      </c>
      <c r="C634" s="92">
        <v>0.45</v>
      </c>
      <c r="D634" s="92">
        <v>0.45</v>
      </c>
      <c r="E634" s="53">
        <f t="shared" si="14"/>
        <v>0.45</v>
      </c>
      <c r="F634" s="53"/>
      <c r="G634" s="53"/>
      <c r="H634" s="114" t="s">
        <v>1572</v>
      </c>
      <c r="I634" s="114"/>
      <c r="J634" s="114"/>
      <c r="K634" s="114"/>
      <c r="L634" s="114"/>
      <c r="M634" s="114"/>
      <c r="N634" s="114"/>
      <c r="O634" s="114"/>
      <c r="P634" s="114"/>
      <c r="Q634" s="114"/>
      <c r="R634" s="114"/>
      <c r="S634" s="92"/>
      <c r="T634" s="29"/>
      <c r="U634" s="29"/>
      <c r="V634"/>
      <c r="W634"/>
      <c r="X634"/>
      <c r="Y634"/>
      <c r="Z634"/>
      <c r="AA634"/>
      <c r="AB634"/>
      <c r="AC634"/>
      <c r="AD634"/>
      <c r="AE634"/>
      <c r="AF634"/>
      <c r="AG634"/>
      <c r="AH634"/>
      <c r="AI634"/>
      <c r="AJ634"/>
      <c r="AK634"/>
      <c r="AL634"/>
      <c r="AM634"/>
      <c r="AN634"/>
      <c r="AO634"/>
      <c r="AP634"/>
      <c r="AQ634"/>
    </row>
    <row r="635" spans="1:43">
      <c r="A635" s="13" t="s">
        <v>53</v>
      </c>
      <c r="B635" s="14" t="s">
        <v>122</v>
      </c>
      <c r="C635" s="92">
        <v>0.33</v>
      </c>
      <c r="D635" s="92">
        <v>0.37</v>
      </c>
      <c r="E635" s="53">
        <f t="shared" si="14"/>
        <v>0.35</v>
      </c>
      <c r="F635" s="53"/>
      <c r="G635" s="53"/>
      <c r="H635" s="114" t="s">
        <v>1572</v>
      </c>
      <c r="I635" s="114"/>
      <c r="J635" s="114"/>
      <c r="K635" s="114"/>
      <c r="L635" s="114"/>
      <c r="M635" s="114"/>
      <c r="N635" s="114"/>
      <c r="O635" s="114"/>
      <c r="P635" s="114"/>
      <c r="Q635" s="114"/>
      <c r="R635" s="114"/>
      <c r="S635" s="92"/>
      <c r="T635" s="29"/>
      <c r="U635" s="29"/>
      <c r="V635"/>
      <c r="W635"/>
      <c r="X635"/>
      <c r="Y635"/>
      <c r="Z635"/>
      <c r="AA635"/>
      <c r="AB635"/>
      <c r="AC635"/>
      <c r="AD635"/>
      <c r="AE635"/>
      <c r="AF635"/>
      <c r="AG635"/>
      <c r="AH635"/>
      <c r="AI635"/>
      <c r="AJ635"/>
      <c r="AK635"/>
      <c r="AL635"/>
      <c r="AM635"/>
      <c r="AN635"/>
      <c r="AO635"/>
      <c r="AP635"/>
      <c r="AQ635"/>
    </row>
    <row r="636" spans="1:43">
      <c r="A636" s="9" t="s">
        <v>54</v>
      </c>
      <c r="B636" s="10" t="s">
        <v>120</v>
      </c>
      <c r="C636" s="92"/>
      <c r="D636" s="92"/>
      <c r="E636" s="113"/>
      <c r="F636" s="113"/>
      <c r="G636" s="113"/>
      <c r="H636" s="271"/>
      <c r="I636" s="271"/>
      <c r="J636" s="271"/>
      <c r="K636" s="271"/>
      <c r="L636" s="271"/>
      <c r="M636" s="271"/>
      <c r="N636" s="271"/>
      <c r="O636" s="271"/>
      <c r="P636" s="271"/>
      <c r="Q636" s="271"/>
      <c r="R636" s="271"/>
      <c r="S636" s="92"/>
      <c r="T636" s="29"/>
      <c r="U636" s="29"/>
      <c r="V636"/>
      <c r="W636"/>
      <c r="X636"/>
      <c r="Y636"/>
      <c r="Z636"/>
      <c r="AA636"/>
      <c r="AB636"/>
      <c r="AC636"/>
      <c r="AD636"/>
      <c r="AE636"/>
      <c r="AF636"/>
      <c r="AG636"/>
      <c r="AH636"/>
      <c r="AI636"/>
      <c r="AJ636"/>
      <c r="AK636"/>
      <c r="AL636"/>
      <c r="AM636"/>
      <c r="AN636"/>
      <c r="AO636"/>
      <c r="AP636"/>
      <c r="AQ636"/>
    </row>
    <row r="637" spans="1:43">
      <c r="A637" s="270"/>
      <c r="B637" s="14" t="s">
        <v>122</v>
      </c>
      <c r="C637" s="92">
        <v>3.41</v>
      </c>
      <c r="D637" s="92">
        <v>2.91</v>
      </c>
      <c r="E637" s="53">
        <f>AVERAGE(C637:D637)</f>
        <v>3.16</v>
      </c>
      <c r="F637" s="53"/>
      <c r="G637" s="53"/>
      <c r="H637" s="114" t="s">
        <v>1572</v>
      </c>
      <c r="I637" s="114"/>
      <c r="J637" s="114"/>
      <c r="K637" s="114"/>
      <c r="L637" s="114"/>
      <c r="M637" s="114"/>
      <c r="N637" s="114"/>
      <c r="O637" s="114"/>
      <c r="P637" s="114"/>
      <c r="Q637" s="114"/>
      <c r="R637" s="114"/>
      <c r="S637" s="92"/>
      <c r="T637" s="29"/>
      <c r="U637" s="29"/>
      <c r="V637"/>
      <c r="W637"/>
      <c r="X637"/>
      <c r="Y637"/>
      <c r="Z637"/>
      <c r="AA637"/>
      <c r="AB637"/>
      <c r="AC637"/>
      <c r="AD637"/>
      <c r="AE637"/>
      <c r="AF637"/>
      <c r="AG637"/>
      <c r="AH637"/>
      <c r="AI637"/>
      <c r="AJ637"/>
      <c r="AK637"/>
      <c r="AL637"/>
      <c r="AM637"/>
      <c r="AN637"/>
      <c r="AO637"/>
      <c r="AP637"/>
      <c r="AQ637"/>
    </row>
    <row r="638" spans="1:43">
      <c r="A638" s="9" t="s">
        <v>1579</v>
      </c>
      <c r="B638" s="10" t="s">
        <v>120</v>
      </c>
      <c r="C638" s="92"/>
      <c r="D638" s="92"/>
      <c r="E638" s="113"/>
      <c r="F638" s="113"/>
      <c r="G638" s="113"/>
      <c r="H638" s="271"/>
      <c r="I638" s="271"/>
      <c r="J638" s="271"/>
      <c r="K638" s="271"/>
      <c r="L638" s="271"/>
      <c r="M638" s="271"/>
      <c r="N638" s="271"/>
      <c r="O638" s="271"/>
      <c r="P638" s="271"/>
      <c r="Q638" s="271"/>
      <c r="R638" s="271"/>
      <c r="S638" s="92"/>
      <c r="T638" s="29"/>
      <c r="U638" s="29"/>
      <c r="V638"/>
      <c r="W638"/>
      <c r="X638"/>
      <c r="Y638"/>
      <c r="Z638"/>
      <c r="AA638"/>
      <c r="AB638"/>
      <c r="AC638"/>
      <c r="AD638"/>
      <c r="AE638"/>
      <c r="AF638"/>
      <c r="AG638"/>
      <c r="AH638"/>
      <c r="AI638"/>
      <c r="AJ638"/>
      <c r="AK638"/>
      <c r="AL638"/>
      <c r="AM638"/>
      <c r="AN638"/>
      <c r="AO638"/>
      <c r="AP638"/>
      <c r="AQ638"/>
    </row>
    <row r="639" spans="1:43">
      <c r="A639" s="13" t="s">
        <v>172</v>
      </c>
      <c r="B639" s="14" t="s">
        <v>122</v>
      </c>
      <c r="C639" s="92">
        <v>0.95</v>
      </c>
      <c r="D639" s="92">
        <v>0.9</v>
      </c>
      <c r="E639" s="53">
        <f>AVERAGE(C639:D639)</f>
        <v>0.92500000000000004</v>
      </c>
      <c r="F639" s="53"/>
      <c r="G639" s="53"/>
      <c r="H639" s="114" t="s">
        <v>1572</v>
      </c>
      <c r="I639" s="114"/>
      <c r="J639" s="114"/>
      <c r="K639" s="114"/>
      <c r="L639" s="114"/>
      <c r="M639" s="114"/>
      <c r="N639" s="114"/>
      <c r="O639" s="114"/>
      <c r="P639" s="114"/>
      <c r="Q639" s="114"/>
      <c r="R639" s="114"/>
      <c r="S639" s="92"/>
      <c r="T639" s="29"/>
      <c r="U639" s="29"/>
      <c r="V639"/>
      <c r="W639"/>
      <c r="X639"/>
      <c r="Y639"/>
      <c r="Z639"/>
      <c r="AA639"/>
      <c r="AB639"/>
      <c r="AC639"/>
      <c r="AD639"/>
      <c r="AE639"/>
      <c r="AF639"/>
      <c r="AG639"/>
      <c r="AH639"/>
      <c r="AI639"/>
      <c r="AJ639"/>
      <c r="AK639"/>
      <c r="AL639"/>
      <c r="AM639"/>
      <c r="AN639"/>
      <c r="AO639"/>
      <c r="AP639"/>
      <c r="AQ639"/>
    </row>
    <row r="640" spans="1:43">
      <c r="A640" s="13" t="s">
        <v>173</v>
      </c>
      <c r="B640" s="14" t="s">
        <v>122</v>
      </c>
      <c r="C640" s="92">
        <v>0.37</v>
      </c>
      <c r="D640" s="92">
        <v>0.3</v>
      </c>
      <c r="E640" s="53">
        <f>AVERAGE(C640:D640)</f>
        <v>0.33499999999999996</v>
      </c>
      <c r="F640" s="53"/>
      <c r="G640" s="53"/>
      <c r="H640" s="114" t="s">
        <v>1572</v>
      </c>
      <c r="I640" s="114"/>
      <c r="J640" s="114"/>
      <c r="K640" s="114"/>
      <c r="L640" s="114"/>
      <c r="M640" s="114"/>
      <c r="N640" s="114"/>
      <c r="O640" s="114"/>
      <c r="P640" s="114"/>
      <c r="Q640" s="114"/>
      <c r="R640" s="114"/>
      <c r="S640" s="92"/>
      <c r="T640" s="29"/>
      <c r="U640" s="29"/>
      <c r="V640"/>
      <c r="W640"/>
      <c r="X640"/>
      <c r="Y640"/>
      <c r="Z640"/>
      <c r="AA640"/>
      <c r="AB640"/>
      <c r="AC640"/>
      <c r="AD640"/>
      <c r="AE640"/>
      <c r="AF640"/>
      <c r="AG640"/>
      <c r="AH640"/>
      <c r="AI640"/>
      <c r="AJ640"/>
      <c r="AK640"/>
      <c r="AL640"/>
      <c r="AM640"/>
      <c r="AN640"/>
      <c r="AO640"/>
      <c r="AP640"/>
      <c r="AQ640"/>
    </row>
    <row r="641" spans="1:43">
      <c r="A641" s="9" t="s">
        <v>180</v>
      </c>
      <c r="B641" s="10" t="s">
        <v>120</v>
      </c>
      <c r="C641" s="92"/>
      <c r="D641" s="92"/>
      <c r="E641" s="113"/>
      <c r="F641" s="113"/>
      <c r="G641" s="113"/>
      <c r="H641" s="271"/>
      <c r="I641" s="271"/>
      <c r="J641" s="271"/>
      <c r="K641" s="271"/>
      <c r="L641" s="271"/>
      <c r="M641" s="271"/>
      <c r="N641" s="271"/>
      <c r="O641" s="271"/>
      <c r="P641" s="271"/>
      <c r="Q641" s="271"/>
      <c r="R641" s="271"/>
      <c r="S641" s="92"/>
      <c r="T641" s="29"/>
      <c r="U641" s="29"/>
      <c r="V641"/>
      <c r="W641"/>
      <c r="X641"/>
      <c r="Y641"/>
      <c r="Z641"/>
      <c r="AA641"/>
      <c r="AB641"/>
      <c r="AC641"/>
      <c r="AD641"/>
      <c r="AE641"/>
      <c r="AF641"/>
      <c r="AG641"/>
      <c r="AH641"/>
      <c r="AI641"/>
      <c r="AJ641"/>
      <c r="AK641"/>
      <c r="AL641"/>
      <c r="AM641"/>
      <c r="AN641"/>
      <c r="AO641"/>
      <c r="AP641"/>
      <c r="AQ641"/>
    </row>
    <row r="642" spans="1:43">
      <c r="A642" s="13" t="s">
        <v>180</v>
      </c>
      <c r="B642" s="14" t="s">
        <v>122</v>
      </c>
      <c r="C642" s="92">
        <v>3.79</v>
      </c>
      <c r="D642" s="92">
        <v>3.07</v>
      </c>
      <c r="E642" s="53">
        <f>AVERAGE(C642:D642)</f>
        <v>3.4299999999999997</v>
      </c>
      <c r="F642" s="53"/>
      <c r="G642" s="53"/>
      <c r="H642" s="114" t="s">
        <v>1572</v>
      </c>
      <c r="I642" s="114"/>
      <c r="J642" s="114"/>
      <c r="K642" s="114"/>
      <c r="L642" s="114"/>
      <c r="M642" s="114"/>
      <c r="N642" s="114"/>
      <c r="O642" s="114"/>
      <c r="P642" s="114"/>
      <c r="Q642" s="114"/>
      <c r="R642" s="114"/>
      <c r="S642" s="92"/>
      <c r="T642" s="29"/>
      <c r="U642" s="29"/>
      <c r="V642"/>
      <c r="W642"/>
      <c r="X642"/>
      <c r="Y642"/>
      <c r="Z642"/>
      <c r="AA642"/>
      <c r="AB642"/>
      <c r="AC642"/>
      <c r="AD642"/>
      <c r="AE642"/>
      <c r="AF642"/>
      <c r="AG642"/>
      <c r="AH642"/>
      <c r="AI642"/>
      <c r="AJ642"/>
      <c r="AK642"/>
      <c r="AL642"/>
      <c r="AM642"/>
      <c r="AN642"/>
      <c r="AO642"/>
      <c r="AP642"/>
      <c r="AQ642"/>
    </row>
    <row r="643" spans="1:43">
      <c r="A643" s="9" t="s">
        <v>27</v>
      </c>
      <c r="B643" s="10" t="s">
        <v>120</v>
      </c>
      <c r="C643" s="92"/>
      <c r="D643" s="92"/>
      <c r="E643" s="113"/>
      <c r="F643" s="113"/>
      <c r="G643" s="113"/>
      <c r="H643" s="271"/>
      <c r="I643" s="271"/>
      <c r="J643" s="271"/>
      <c r="K643" s="271"/>
      <c r="L643" s="271"/>
      <c r="M643" s="271"/>
      <c r="N643" s="271"/>
      <c r="O643" s="271"/>
      <c r="P643" s="271"/>
      <c r="Q643" s="271"/>
      <c r="R643" s="271"/>
      <c r="S643" s="92"/>
      <c r="T643" s="29"/>
      <c r="U643" s="29"/>
      <c r="V643"/>
      <c r="W643"/>
      <c r="X643"/>
      <c r="Y643"/>
      <c r="Z643"/>
      <c r="AA643"/>
      <c r="AB643"/>
      <c r="AC643"/>
      <c r="AD643"/>
      <c r="AE643"/>
      <c r="AF643"/>
      <c r="AG643"/>
      <c r="AH643"/>
      <c r="AI643"/>
      <c r="AJ643"/>
      <c r="AK643"/>
      <c r="AL643"/>
      <c r="AM643"/>
      <c r="AN643"/>
      <c r="AO643"/>
      <c r="AP643"/>
      <c r="AQ643"/>
    </row>
    <row r="644" spans="1:43">
      <c r="A644" s="270"/>
      <c r="B644" s="14" t="s">
        <v>122</v>
      </c>
      <c r="C644" s="92">
        <v>3.55</v>
      </c>
      <c r="D644" s="92">
        <v>2.2000000000000002</v>
      </c>
      <c r="E644" s="172">
        <f>AVERAGE(C644:D644)</f>
        <v>2.875</v>
      </c>
      <c r="F644" s="172"/>
      <c r="G644" s="172"/>
      <c r="H644" s="114" t="s">
        <v>1572</v>
      </c>
      <c r="I644" s="114"/>
      <c r="J644" s="114"/>
      <c r="K644" s="114"/>
      <c r="L644" s="114"/>
      <c r="M644" s="114"/>
      <c r="N644" s="114"/>
      <c r="O644" s="114"/>
      <c r="P644" s="114"/>
      <c r="Q644" s="114"/>
      <c r="R644" s="114"/>
      <c r="S644" s="114" t="s">
        <v>1580</v>
      </c>
      <c r="T644" s="29"/>
      <c r="U644" s="29"/>
      <c r="V644"/>
      <c r="W644"/>
      <c r="X644"/>
      <c r="Y644"/>
      <c r="Z644"/>
      <c r="AA644"/>
      <c r="AB644"/>
      <c r="AC644"/>
      <c r="AD644"/>
      <c r="AE644"/>
      <c r="AF644"/>
      <c r="AG644"/>
      <c r="AH644"/>
      <c r="AI644"/>
      <c r="AJ644"/>
      <c r="AK644"/>
      <c r="AL644"/>
      <c r="AM644"/>
      <c r="AN644"/>
      <c r="AO644"/>
      <c r="AP644"/>
      <c r="AQ644"/>
    </row>
    <row r="645" spans="1:43">
      <c r="A645" s="9" t="s">
        <v>34</v>
      </c>
      <c r="B645" s="10" t="s">
        <v>120</v>
      </c>
      <c r="C645" s="92"/>
      <c r="D645" s="92"/>
      <c r="E645" s="113"/>
      <c r="F645" s="113"/>
      <c r="G645" s="113"/>
      <c r="H645" s="271"/>
      <c r="I645" s="271"/>
      <c r="J645" s="271"/>
      <c r="K645" s="271"/>
      <c r="L645" s="271"/>
      <c r="M645" s="271"/>
      <c r="N645" s="271"/>
      <c r="O645" s="271"/>
      <c r="P645" s="271"/>
      <c r="Q645" s="271"/>
      <c r="R645" s="271"/>
      <c r="S645" s="92"/>
      <c r="T645" s="29"/>
      <c r="U645" s="29"/>
      <c r="V645"/>
      <c r="W645"/>
      <c r="X645"/>
      <c r="Y645"/>
      <c r="Z645"/>
      <c r="AA645"/>
      <c r="AB645"/>
      <c r="AC645"/>
      <c r="AD645"/>
      <c r="AE645"/>
      <c r="AF645"/>
      <c r="AG645"/>
      <c r="AH645"/>
      <c r="AI645"/>
      <c r="AJ645"/>
      <c r="AK645"/>
      <c r="AL645"/>
      <c r="AM645"/>
      <c r="AN645"/>
      <c r="AO645"/>
      <c r="AP645"/>
      <c r="AQ645"/>
    </row>
    <row r="646" spans="1:43">
      <c r="A646" s="270"/>
      <c r="B646" s="14" t="s">
        <v>122</v>
      </c>
      <c r="C646" s="92">
        <v>3.55</v>
      </c>
      <c r="D646" s="92">
        <v>2.2000000000000002</v>
      </c>
      <c r="E646" s="53">
        <f>AVERAGE(C646:D646)</f>
        <v>2.875</v>
      </c>
      <c r="F646" s="53"/>
      <c r="G646" s="53"/>
      <c r="H646" s="114" t="s">
        <v>1572</v>
      </c>
      <c r="I646" s="114"/>
      <c r="J646" s="114"/>
      <c r="K646" s="114"/>
      <c r="L646" s="114"/>
      <c r="M646" s="114"/>
      <c r="N646" s="114"/>
      <c r="O646" s="114"/>
      <c r="P646" s="114"/>
      <c r="Q646" s="114"/>
      <c r="R646" s="114"/>
      <c r="S646" s="114" t="s">
        <v>1580</v>
      </c>
      <c r="T646" s="29"/>
      <c r="U646" s="29"/>
      <c r="V646"/>
      <c r="W646"/>
      <c r="X646"/>
      <c r="Y646"/>
      <c r="Z646"/>
      <c r="AA646"/>
      <c r="AB646"/>
      <c r="AC646"/>
      <c r="AD646"/>
      <c r="AE646"/>
      <c r="AF646"/>
      <c r="AG646"/>
      <c r="AH646"/>
      <c r="AI646"/>
      <c r="AJ646"/>
      <c r="AK646"/>
      <c r="AL646"/>
      <c r="AM646"/>
      <c r="AN646"/>
      <c r="AO646"/>
      <c r="AP646"/>
      <c r="AQ646"/>
    </row>
    <row r="647" spans="1:43">
      <c r="A647" s="13"/>
      <c r="B647" s="14"/>
      <c r="C647" s="92">
        <v>3.55</v>
      </c>
      <c r="D647" s="92">
        <v>2.2000000000000002</v>
      </c>
      <c r="E647" s="53">
        <f>AVERAGE(C647:D647)</f>
        <v>2.875</v>
      </c>
      <c r="F647" s="53"/>
      <c r="G647" s="53"/>
      <c r="H647" s="114" t="s">
        <v>1572</v>
      </c>
      <c r="I647" s="114"/>
      <c r="J647" s="114"/>
      <c r="K647" s="114"/>
      <c r="L647" s="114"/>
      <c r="M647" s="114"/>
      <c r="N647" s="114"/>
      <c r="O647" s="114"/>
      <c r="P647" s="114"/>
      <c r="Q647" s="114"/>
      <c r="R647" s="114"/>
      <c r="S647" s="114" t="s">
        <v>1580</v>
      </c>
      <c r="T647" s="29"/>
      <c r="U647" s="29"/>
      <c r="V647"/>
      <c r="W647"/>
      <c r="X647"/>
      <c r="Y647"/>
      <c r="Z647"/>
      <c r="AA647"/>
      <c r="AB647"/>
      <c r="AC647"/>
      <c r="AD647"/>
      <c r="AE647"/>
      <c r="AF647"/>
      <c r="AG647"/>
      <c r="AH647"/>
      <c r="AI647"/>
      <c r="AJ647"/>
      <c r="AK647"/>
      <c r="AL647"/>
      <c r="AM647"/>
      <c r="AN647"/>
      <c r="AO647"/>
      <c r="AP647"/>
      <c r="AQ647"/>
    </row>
    <row r="648" spans="1:43">
      <c r="A648" s="9" t="s">
        <v>48</v>
      </c>
      <c r="B648" s="10" t="s">
        <v>120</v>
      </c>
      <c r="C648" s="92"/>
      <c r="D648" s="92"/>
      <c r="E648" s="113"/>
      <c r="F648" s="113"/>
      <c r="G648" s="113"/>
      <c r="H648" s="271"/>
      <c r="I648" s="271"/>
      <c r="J648" s="271"/>
      <c r="K648" s="271"/>
      <c r="L648" s="271"/>
      <c r="M648" s="271"/>
      <c r="N648" s="271"/>
      <c r="O648" s="271"/>
      <c r="P648" s="271"/>
      <c r="Q648" s="271"/>
      <c r="R648" s="271"/>
      <c r="S648" s="92"/>
      <c r="T648" s="29"/>
      <c r="U648" s="29"/>
      <c r="V648"/>
      <c r="W648"/>
      <c r="X648"/>
      <c r="Y648"/>
      <c r="Z648"/>
      <c r="AA648"/>
      <c r="AB648"/>
      <c r="AC648"/>
      <c r="AD648"/>
      <c r="AE648"/>
      <c r="AF648"/>
      <c r="AG648"/>
      <c r="AH648"/>
      <c r="AI648"/>
      <c r="AJ648"/>
      <c r="AK648"/>
      <c r="AL648"/>
      <c r="AM648"/>
      <c r="AN648"/>
      <c r="AO648"/>
      <c r="AP648"/>
      <c r="AQ648"/>
    </row>
    <row r="649" spans="1:43">
      <c r="A649" s="270"/>
      <c r="B649" s="14" t="s">
        <v>122</v>
      </c>
      <c r="C649" s="92">
        <v>3.55</v>
      </c>
      <c r="D649" s="92">
        <v>2.2000000000000002</v>
      </c>
      <c r="E649" s="53">
        <f>AVERAGE(C649:D649)</f>
        <v>2.875</v>
      </c>
      <c r="F649" s="53"/>
      <c r="G649" s="53"/>
      <c r="H649" s="114" t="s">
        <v>1572</v>
      </c>
      <c r="I649" s="114"/>
      <c r="J649" s="114"/>
      <c r="K649" s="114"/>
      <c r="L649" s="114"/>
      <c r="M649" s="114"/>
      <c r="N649" s="114"/>
      <c r="O649" s="114"/>
      <c r="P649" s="114"/>
      <c r="Q649" s="114"/>
      <c r="R649" s="114"/>
      <c r="S649" s="114" t="s">
        <v>1580</v>
      </c>
      <c r="T649" s="29"/>
      <c r="U649" s="29"/>
      <c r="V649"/>
      <c r="W649"/>
      <c r="X649"/>
      <c r="Y649"/>
      <c r="Z649"/>
      <c r="AA649"/>
      <c r="AB649"/>
      <c r="AC649"/>
      <c r="AD649"/>
      <c r="AE649"/>
      <c r="AF649"/>
      <c r="AG649"/>
      <c r="AH649"/>
      <c r="AI649"/>
      <c r="AJ649"/>
      <c r="AK649"/>
      <c r="AL649"/>
      <c r="AM649"/>
      <c r="AN649"/>
      <c r="AO649"/>
      <c r="AP649"/>
      <c r="AQ649"/>
    </row>
    <row r="650" spans="1:43">
      <c r="A650" s="9" t="s">
        <v>90</v>
      </c>
      <c r="B650" s="10" t="s">
        <v>120</v>
      </c>
      <c r="C650" s="92"/>
      <c r="D650" s="92"/>
      <c r="E650" s="113"/>
      <c r="F650" s="113"/>
      <c r="G650" s="113"/>
      <c r="H650" s="271"/>
      <c r="I650" s="271"/>
      <c r="J650" s="271"/>
      <c r="K650" s="271"/>
      <c r="L650" s="271"/>
      <c r="M650" s="271"/>
      <c r="N650" s="271"/>
      <c r="O650" s="271"/>
      <c r="P650" s="271"/>
      <c r="Q650" s="271"/>
      <c r="R650" s="271"/>
      <c r="S650" s="92"/>
      <c r="T650" s="29"/>
      <c r="U650" s="29"/>
      <c r="V650"/>
      <c r="W650"/>
      <c r="X650"/>
      <c r="Y650"/>
      <c r="Z650"/>
      <c r="AA650"/>
      <c r="AB650"/>
      <c r="AC650"/>
      <c r="AD650"/>
      <c r="AE650"/>
      <c r="AF650"/>
      <c r="AG650"/>
      <c r="AH650"/>
      <c r="AI650"/>
      <c r="AJ650"/>
      <c r="AK650"/>
      <c r="AL650"/>
      <c r="AM650"/>
      <c r="AN650"/>
      <c r="AO650"/>
      <c r="AP650"/>
      <c r="AQ650"/>
    </row>
    <row r="651" spans="1:43">
      <c r="A651" s="270"/>
      <c r="B651" s="14" t="s">
        <v>122</v>
      </c>
      <c r="C651" s="92">
        <v>0.88</v>
      </c>
      <c r="D651" s="92">
        <v>1.1000000000000001</v>
      </c>
      <c r="E651" s="53">
        <f>AVERAGE(C651:D651)</f>
        <v>0.99</v>
      </c>
      <c r="F651" s="53"/>
      <c r="G651" s="53"/>
      <c r="H651" s="114" t="s">
        <v>1572</v>
      </c>
      <c r="I651" s="114"/>
      <c r="J651" s="114"/>
      <c r="K651" s="114"/>
      <c r="L651" s="114"/>
      <c r="M651" s="114"/>
      <c r="N651" s="114"/>
      <c r="O651" s="114"/>
      <c r="P651" s="114"/>
      <c r="Q651" s="114"/>
      <c r="R651" s="114"/>
      <c r="S651" s="92"/>
      <c r="T651" s="29"/>
      <c r="U651" s="29"/>
      <c r="V651"/>
      <c r="W651"/>
      <c r="X651"/>
      <c r="Y651"/>
      <c r="Z651"/>
      <c r="AA651"/>
      <c r="AB651"/>
      <c r="AC651"/>
      <c r="AD651"/>
      <c r="AE651"/>
      <c r="AF651"/>
      <c r="AG651"/>
      <c r="AH651"/>
      <c r="AI651"/>
      <c r="AJ651"/>
      <c r="AK651"/>
      <c r="AL651"/>
      <c r="AM651"/>
      <c r="AN651"/>
      <c r="AO651"/>
      <c r="AP651"/>
      <c r="AQ651"/>
    </row>
    <row r="652" spans="1:43">
      <c r="A652" s="9" t="s">
        <v>94</v>
      </c>
      <c r="B652" s="10" t="s">
        <v>120</v>
      </c>
      <c r="C652" s="92"/>
      <c r="D652" s="92"/>
      <c r="E652" s="113"/>
      <c r="F652" s="113"/>
      <c r="G652" s="113"/>
      <c r="H652" s="271"/>
      <c r="I652" s="271"/>
      <c r="J652" s="271"/>
      <c r="K652" s="271"/>
      <c r="L652" s="271"/>
      <c r="M652" s="271"/>
      <c r="N652" s="271"/>
      <c r="O652" s="271"/>
      <c r="P652" s="271"/>
      <c r="Q652" s="271"/>
      <c r="R652" s="271"/>
      <c r="S652" s="92"/>
      <c r="T652" s="29"/>
      <c r="U652" s="29"/>
      <c r="V652"/>
      <c r="W652"/>
      <c r="X652"/>
      <c r="Y652"/>
      <c r="Z652"/>
      <c r="AA652"/>
      <c r="AB652"/>
      <c r="AC652"/>
      <c r="AD652"/>
      <c r="AE652"/>
      <c r="AF652"/>
      <c r="AG652"/>
      <c r="AH652"/>
      <c r="AI652"/>
      <c r="AJ652"/>
      <c r="AK652"/>
      <c r="AL652"/>
      <c r="AM652"/>
      <c r="AN652"/>
      <c r="AO652"/>
      <c r="AP652"/>
      <c r="AQ652"/>
    </row>
    <row r="653" spans="1:43" ht="26.25">
      <c r="A653" s="270"/>
      <c r="B653" s="14" t="s">
        <v>122</v>
      </c>
      <c r="C653" s="92">
        <v>0.95</v>
      </c>
      <c r="D653" s="92">
        <v>1.06</v>
      </c>
      <c r="E653" s="53">
        <f>AVERAGE(C653:D653)</f>
        <v>1.0049999999999999</v>
      </c>
      <c r="F653" s="53"/>
      <c r="G653" s="53"/>
      <c r="H653" s="114" t="s">
        <v>1572</v>
      </c>
      <c r="I653" s="114"/>
      <c r="J653" s="114"/>
      <c r="K653" s="114"/>
      <c r="L653" s="114"/>
      <c r="M653" s="114"/>
      <c r="N653" s="114"/>
      <c r="O653" s="114"/>
      <c r="P653" s="114"/>
      <c r="Q653" s="114"/>
      <c r="R653" s="114"/>
      <c r="S653" s="92" t="s">
        <v>1581</v>
      </c>
      <c r="T653" s="29"/>
      <c r="U653" s="29"/>
      <c r="V653"/>
      <c r="W653"/>
      <c r="X653"/>
      <c r="Y653"/>
      <c r="Z653"/>
      <c r="AA653"/>
      <c r="AB653"/>
      <c r="AC653"/>
      <c r="AD653"/>
      <c r="AE653"/>
      <c r="AF653"/>
      <c r="AG653"/>
      <c r="AH653"/>
      <c r="AI653"/>
      <c r="AJ653"/>
      <c r="AK653"/>
      <c r="AL653"/>
      <c r="AM653"/>
      <c r="AN653"/>
      <c r="AO653"/>
      <c r="AP653"/>
      <c r="AQ653"/>
    </row>
    <row r="654" spans="1:43">
      <c r="A654" s="9" t="s">
        <v>60</v>
      </c>
      <c r="B654" s="10" t="s">
        <v>120</v>
      </c>
      <c r="C654" s="92"/>
      <c r="D654" s="92"/>
      <c r="E654" s="113"/>
      <c r="F654" s="113"/>
      <c r="G654" s="113"/>
      <c r="H654" s="271"/>
      <c r="I654" s="271"/>
      <c r="J654" s="271"/>
      <c r="K654" s="271"/>
      <c r="L654" s="271"/>
      <c r="M654" s="271"/>
      <c r="N654" s="271"/>
      <c r="O654" s="271"/>
      <c r="P654" s="271"/>
      <c r="Q654" s="271"/>
      <c r="R654" s="271"/>
      <c r="S654" s="92"/>
      <c r="T654" s="29"/>
      <c r="U654" s="29"/>
      <c r="V654"/>
      <c r="W654"/>
      <c r="X654"/>
      <c r="Y654"/>
      <c r="Z654"/>
      <c r="AA654"/>
      <c r="AB654"/>
      <c r="AC654"/>
      <c r="AD654"/>
      <c r="AE654"/>
      <c r="AF654"/>
      <c r="AG654"/>
      <c r="AH654"/>
      <c r="AI654"/>
      <c r="AJ654"/>
      <c r="AK654"/>
      <c r="AL654"/>
      <c r="AM654"/>
      <c r="AN654"/>
      <c r="AO654"/>
      <c r="AP654"/>
      <c r="AQ654"/>
    </row>
    <row r="655" spans="1:43">
      <c r="A655" s="270"/>
      <c r="B655" s="14" t="s">
        <v>122</v>
      </c>
      <c r="C655" s="92">
        <v>2.5</v>
      </c>
      <c r="D655" s="92">
        <v>2.5099999999999998</v>
      </c>
      <c r="E655" s="53">
        <f>AVERAGE(C655:D655)</f>
        <v>2.5049999999999999</v>
      </c>
      <c r="F655" s="53"/>
      <c r="G655" s="53"/>
      <c r="H655" s="114" t="s">
        <v>1572</v>
      </c>
      <c r="I655" s="114"/>
      <c r="J655" s="114"/>
      <c r="K655" s="114"/>
      <c r="L655" s="114"/>
      <c r="M655" s="114"/>
      <c r="N655" s="114"/>
      <c r="O655" s="114"/>
      <c r="P655" s="114"/>
      <c r="Q655" s="114"/>
      <c r="R655" s="114"/>
      <c r="S655" s="92"/>
      <c r="T655" s="29"/>
      <c r="U655" s="29"/>
      <c r="V655"/>
      <c r="W655"/>
      <c r="X655"/>
      <c r="Y655"/>
      <c r="Z655"/>
      <c r="AA655"/>
      <c r="AB655"/>
      <c r="AC655"/>
      <c r="AD655"/>
      <c r="AE655"/>
      <c r="AF655"/>
      <c r="AG655"/>
      <c r="AH655"/>
      <c r="AI655"/>
      <c r="AJ655"/>
      <c r="AK655"/>
      <c r="AL655"/>
      <c r="AM655"/>
      <c r="AN655"/>
      <c r="AO655"/>
      <c r="AP655"/>
      <c r="AQ655"/>
    </row>
    <row r="656" spans="1:43">
      <c r="A656" s="9" t="s">
        <v>66</v>
      </c>
      <c r="B656" s="10" t="s">
        <v>120</v>
      </c>
      <c r="C656" s="92"/>
      <c r="D656" s="92"/>
      <c r="E656" s="113"/>
      <c r="F656" s="113"/>
      <c r="G656" s="113"/>
      <c r="H656" s="271"/>
      <c r="I656" s="271"/>
      <c r="J656" s="271"/>
      <c r="K656" s="271"/>
      <c r="L656" s="271"/>
      <c r="M656" s="271"/>
      <c r="N656" s="271"/>
      <c r="O656" s="271"/>
      <c r="P656" s="271"/>
      <c r="Q656" s="271"/>
      <c r="R656" s="271"/>
      <c r="S656" s="92"/>
      <c r="T656" s="29"/>
      <c r="U656" s="29"/>
      <c r="V656"/>
      <c r="W656"/>
      <c r="X656"/>
      <c r="Y656"/>
      <c r="Z656"/>
      <c r="AA656"/>
      <c r="AB656"/>
      <c r="AC656"/>
      <c r="AD656"/>
      <c r="AE656"/>
      <c r="AF656"/>
      <c r="AG656"/>
      <c r="AH656"/>
      <c r="AI656"/>
      <c r="AJ656"/>
      <c r="AK656"/>
      <c r="AL656"/>
      <c r="AM656"/>
      <c r="AN656"/>
      <c r="AO656"/>
      <c r="AP656"/>
      <c r="AQ656"/>
    </row>
    <row r="657" spans="1:43">
      <c r="A657" s="270"/>
      <c r="B657" s="14" t="s">
        <v>122</v>
      </c>
      <c r="C657" s="92">
        <v>5.73</v>
      </c>
      <c r="D657" s="92">
        <v>6.28</v>
      </c>
      <c r="E657" s="53">
        <f>AVERAGE(C657:D657)</f>
        <v>6.0050000000000008</v>
      </c>
      <c r="F657" s="53"/>
      <c r="G657" s="53"/>
      <c r="H657" s="114" t="s">
        <v>1572</v>
      </c>
      <c r="I657" s="114"/>
      <c r="J657" s="114"/>
      <c r="K657" s="114"/>
      <c r="L657" s="114"/>
      <c r="M657" s="114"/>
      <c r="N657" s="114"/>
      <c r="O657" s="114"/>
      <c r="P657" s="114"/>
      <c r="Q657" s="114"/>
      <c r="R657" s="114"/>
      <c r="S657" s="92"/>
      <c r="T657" s="29"/>
      <c r="U657" s="29"/>
      <c r="V657"/>
      <c r="W657"/>
      <c r="X657"/>
      <c r="Y657"/>
      <c r="Z657"/>
      <c r="AA657"/>
      <c r="AB657"/>
      <c r="AC657"/>
      <c r="AD657"/>
      <c r="AE657"/>
      <c r="AF657"/>
      <c r="AG657"/>
      <c r="AH657"/>
      <c r="AI657"/>
      <c r="AJ657"/>
      <c r="AK657"/>
      <c r="AL657"/>
      <c r="AM657"/>
      <c r="AN657"/>
      <c r="AO657"/>
      <c r="AP657"/>
      <c r="AQ657"/>
    </row>
    <row r="658" spans="1:43">
      <c r="A658" s="9" t="s">
        <v>72</v>
      </c>
      <c r="B658" s="10" t="s">
        <v>120</v>
      </c>
      <c r="C658" s="92"/>
      <c r="D658" s="92"/>
      <c r="E658" s="113"/>
      <c r="F658" s="113"/>
      <c r="G658" s="113"/>
      <c r="H658" s="271"/>
      <c r="I658" s="271"/>
      <c r="J658" s="271"/>
      <c r="K658" s="271"/>
      <c r="L658" s="271"/>
      <c r="M658" s="271"/>
      <c r="N658" s="271"/>
      <c r="O658" s="271"/>
      <c r="P658" s="271"/>
      <c r="Q658" s="271"/>
      <c r="R658" s="271"/>
      <c r="S658" s="92"/>
      <c r="T658" s="29"/>
      <c r="U658" s="29"/>
      <c r="V658"/>
      <c r="W658"/>
      <c r="X658"/>
      <c r="Y658"/>
      <c r="Z658"/>
      <c r="AA658"/>
      <c r="AB658"/>
      <c r="AC658"/>
      <c r="AD658"/>
      <c r="AE658"/>
      <c r="AF658"/>
      <c r="AG658"/>
      <c r="AH658"/>
      <c r="AI658"/>
      <c r="AJ658"/>
      <c r="AK658"/>
      <c r="AL658"/>
      <c r="AM658"/>
      <c r="AN658"/>
      <c r="AO658"/>
      <c r="AP658"/>
      <c r="AQ658"/>
    </row>
    <row r="659" spans="1:43">
      <c r="A659" s="270"/>
      <c r="B659" s="14" t="s">
        <v>122</v>
      </c>
      <c r="C659" s="92">
        <v>3.55</v>
      </c>
      <c r="D659" s="92">
        <v>2.2000000000000002</v>
      </c>
      <c r="E659" s="53">
        <f>AVERAGE(C659:D659)</f>
        <v>2.875</v>
      </c>
      <c r="F659" s="53"/>
      <c r="G659" s="53"/>
      <c r="H659" s="114" t="s">
        <v>1572</v>
      </c>
      <c r="I659" s="114"/>
      <c r="J659" s="114"/>
      <c r="K659" s="114"/>
      <c r="L659" s="114"/>
      <c r="M659" s="114"/>
      <c r="N659" s="114"/>
      <c r="O659" s="114"/>
      <c r="P659" s="114"/>
      <c r="Q659" s="114"/>
      <c r="R659" s="114"/>
      <c r="S659" s="114" t="s">
        <v>1580</v>
      </c>
      <c r="T659" s="29"/>
      <c r="U659" s="29"/>
      <c r="V659"/>
      <c r="W659"/>
      <c r="X659"/>
      <c r="Y659"/>
      <c r="Z659"/>
      <c r="AA659"/>
      <c r="AB659"/>
      <c r="AC659"/>
      <c r="AD659"/>
      <c r="AE659"/>
      <c r="AF659"/>
      <c r="AG659"/>
      <c r="AH659"/>
      <c r="AI659"/>
      <c r="AJ659"/>
      <c r="AK659"/>
      <c r="AL659"/>
      <c r="AM659"/>
      <c r="AN659"/>
      <c r="AO659"/>
      <c r="AP659"/>
      <c r="AQ659"/>
    </row>
    <row r="660" spans="1:43">
      <c r="A660" s="9" t="s">
        <v>82</v>
      </c>
      <c r="B660" s="10" t="s">
        <v>120</v>
      </c>
      <c r="C660" s="92"/>
      <c r="D660" s="92"/>
      <c r="E660" s="113"/>
      <c r="F660" s="113"/>
      <c r="G660" s="113"/>
      <c r="H660" s="271"/>
      <c r="I660" s="271"/>
      <c r="J660" s="271"/>
      <c r="K660" s="271"/>
      <c r="L660" s="271"/>
      <c r="M660" s="271"/>
      <c r="N660" s="271"/>
      <c r="O660" s="271"/>
      <c r="P660" s="271"/>
      <c r="Q660" s="271"/>
      <c r="R660" s="271"/>
      <c r="S660" s="92"/>
      <c r="T660" s="29"/>
      <c r="U660" s="29"/>
      <c r="V660"/>
      <c r="W660"/>
      <c r="X660"/>
      <c r="Y660"/>
      <c r="Z660"/>
      <c r="AA660"/>
      <c r="AB660"/>
      <c r="AC660"/>
      <c r="AD660"/>
      <c r="AE660"/>
      <c r="AF660"/>
      <c r="AG660"/>
      <c r="AH660"/>
      <c r="AI660"/>
      <c r="AJ660"/>
      <c r="AK660"/>
      <c r="AL660"/>
      <c r="AM660"/>
      <c r="AN660"/>
      <c r="AO660"/>
      <c r="AP660"/>
      <c r="AQ660"/>
    </row>
    <row r="661" spans="1:43">
      <c r="A661" s="270"/>
      <c r="B661" s="14" t="s">
        <v>122</v>
      </c>
      <c r="C661" s="92">
        <v>3.55</v>
      </c>
      <c r="D661" s="92">
        <v>2.2000000000000002</v>
      </c>
      <c r="E661" s="53">
        <f>AVERAGE(C661:D661)</f>
        <v>2.875</v>
      </c>
      <c r="F661" s="53"/>
      <c r="G661" s="53"/>
      <c r="H661" s="114" t="s">
        <v>1572</v>
      </c>
      <c r="I661" s="114"/>
      <c r="J661" s="114"/>
      <c r="K661" s="114"/>
      <c r="L661" s="114"/>
      <c r="M661" s="114"/>
      <c r="N661" s="114"/>
      <c r="O661" s="114"/>
      <c r="P661" s="114"/>
      <c r="Q661" s="114"/>
      <c r="R661" s="114"/>
      <c r="S661" s="114" t="s">
        <v>1580</v>
      </c>
      <c r="T661" s="29"/>
      <c r="U661" s="29"/>
      <c r="V661"/>
      <c r="W661"/>
      <c r="X661"/>
      <c r="Y661"/>
      <c r="Z661"/>
      <c r="AA661"/>
      <c r="AB661"/>
      <c r="AC661"/>
      <c r="AD661"/>
      <c r="AE661"/>
      <c r="AF661"/>
      <c r="AG661"/>
      <c r="AH661"/>
      <c r="AI661"/>
      <c r="AJ661"/>
      <c r="AK661"/>
      <c r="AL661"/>
      <c r="AM661"/>
      <c r="AN661"/>
      <c r="AO661"/>
      <c r="AP661"/>
      <c r="AQ661"/>
    </row>
    <row r="662" spans="1:43">
      <c r="A662" s="9" t="s">
        <v>86</v>
      </c>
      <c r="B662" s="10" t="s">
        <v>120</v>
      </c>
      <c r="C662" s="92"/>
      <c r="D662" s="92"/>
      <c r="E662" s="113"/>
      <c r="F662" s="113"/>
      <c r="G662" s="113"/>
      <c r="H662" s="271"/>
      <c r="I662" s="271"/>
      <c r="J662" s="271"/>
      <c r="K662" s="271"/>
      <c r="L662" s="271"/>
      <c r="M662" s="271"/>
      <c r="N662" s="271"/>
      <c r="O662" s="271"/>
      <c r="P662" s="271"/>
      <c r="Q662" s="271"/>
      <c r="R662" s="271"/>
      <c r="S662" s="92"/>
      <c r="T662" s="29"/>
      <c r="U662" s="29"/>
      <c r="V662"/>
      <c r="W662"/>
      <c r="X662"/>
      <c r="Y662"/>
      <c r="Z662"/>
      <c r="AA662"/>
      <c r="AB662"/>
      <c r="AC662"/>
      <c r="AD662"/>
      <c r="AE662"/>
      <c r="AF662"/>
      <c r="AG662"/>
      <c r="AH662"/>
      <c r="AI662"/>
      <c r="AJ662"/>
      <c r="AK662"/>
      <c r="AL662"/>
      <c r="AM662"/>
      <c r="AN662"/>
      <c r="AO662"/>
      <c r="AP662"/>
      <c r="AQ662"/>
    </row>
    <row r="663" spans="1:43">
      <c r="A663" s="270"/>
      <c r="B663" s="14" t="s">
        <v>122</v>
      </c>
      <c r="C663" s="92">
        <v>3.55</v>
      </c>
      <c r="D663" s="92">
        <v>2.2000000000000002</v>
      </c>
      <c r="E663" s="53">
        <f>AVERAGE(C663:D663)</f>
        <v>2.875</v>
      </c>
      <c r="F663" s="53"/>
      <c r="G663" s="53"/>
      <c r="H663" s="114" t="s">
        <v>1572</v>
      </c>
      <c r="I663" s="114"/>
      <c r="J663" s="114"/>
      <c r="K663" s="114"/>
      <c r="L663" s="114"/>
      <c r="M663" s="114"/>
      <c r="N663" s="114"/>
      <c r="O663" s="114"/>
      <c r="P663" s="114"/>
      <c r="Q663" s="114"/>
      <c r="R663" s="114"/>
      <c r="S663" s="114" t="s">
        <v>1580</v>
      </c>
      <c r="T663" s="29"/>
      <c r="U663" s="29"/>
      <c r="V663"/>
      <c r="W663"/>
      <c r="X663"/>
      <c r="Y663"/>
      <c r="Z663"/>
      <c r="AA663"/>
      <c r="AB663"/>
      <c r="AC663"/>
      <c r="AD663"/>
      <c r="AE663"/>
      <c r="AF663"/>
      <c r="AG663"/>
      <c r="AH663"/>
      <c r="AI663"/>
      <c r="AJ663"/>
      <c r="AK663"/>
      <c r="AL663"/>
      <c r="AM663"/>
      <c r="AN663"/>
      <c r="AO663"/>
      <c r="AP663"/>
      <c r="AQ663"/>
    </row>
    <row r="664" spans="1:43">
      <c r="A664" s="9" t="s">
        <v>78</v>
      </c>
      <c r="B664" s="10" t="s">
        <v>120</v>
      </c>
      <c r="C664" s="92"/>
      <c r="D664" s="92"/>
      <c r="E664" s="113"/>
      <c r="F664" s="113"/>
      <c r="G664" s="113"/>
      <c r="H664" s="271"/>
      <c r="I664" s="271"/>
      <c r="J664" s="271"/>
      <c r="K664" s="271"/>
      <c r="L664" s="271"/>
      <c r="M664" s="271"/>
      <c r="N664" s="271"/>
      <c r="O664" s="271"/>
      <c r="P664" s="271"/>
      <c r="Q664" s="271"/>
      <c r="R664" s="271"/>
      <c r="S664" s="92"/>
      <c r="T664" s="29"/>
      <c r="U664" s="29"/>
      <c r="V664"/>
      <c r="W664"/>
      <c r="X664"/>
      <c r="Y664"/>
      <c r="Z664"/>
      <c r="AA664"/>
      <c r="AB664"/>
      <c r="AC664"/>
      <c r="AD664"/>
      <c r="AE664"/>
      <c r="AF664"/>
      <c r="AG664"/>
      <c r="AH664"/>
      <c r="AI664"/>
      <c r="AJ664"/>
      <c r="AK664"/>
      <c r="AL664"/>
      <c r="AM664"/>
      <c r="AN664"/>
      <c r="AO664"/>
      <c r="AP664"/>
      <c r="AQ664"/>
    </row>
    <row r="665" spans="1:43">
      <c r="A665" s="270"/>
      <c r="B665" s="14" t="s">
        <v>122</v>
      </c>
      <c r="C665" s="92">
        <v>3.55</v>
      </c>
      <c r="D665" s="92">
        <v>2.2000000000000002</v>
      </c>
      <c r="E665" s="53">
        <f>AVERAGE(C665:D665)</f>
        <v>2.875</v>
      </c>
      <c r="F665" s="53"/>
      <c r="G665" s="53"/>
      <c r="H665" s="114" t="s">
        <v>1572</v>
      </c>
      <c r="I665" s="114"/>
      <c r="J665" s="114"/>
      <c r="K665" s="114"/>
      <c r="L665" s="114"/>
      <c r="M665" s="114"/>
      <c r="N665" s="114"/>
      <c r="O665" s="114"/>
      <c r="P665" s="114"/>
      <c r="Q665" s="114"/>
      <c r="R665" s="114"/>
      <c r="S665" s="114" t="s">
        <v>1580</v>
      </c>
      <c r="T665" s="29"/>
      <c r="U665" s="29"/>
      <c r="V665"/>
      <c r="W665"/>
      <c r="X665"/>
      <c r="Y665"/>
      <c r="Z665"/>
      <c r="AA665"/>
      <c r="AB665"/>
      <c r="AC665"/>
      <c r="AD665"/>
      <c r="AE665"/>
      <c r="AF665"/>
      <c r="AG665"/>
      <c r="AH665"/>
      <c r="AI665"/>
      <c r="AJ665"/>
      <c r="AK665"/>
      <c r="AL665"/>
      <c r="AM665"/>
      <c r="AN665"/>
      <c r="AO665"/>
      <c r="AP665"/>
      <c r="AQ665"/>
    </row>
    <row r="666" spans="1:43">
      <c r="A666" s="9" t="s">
        <v>28</v>
      </c>
      <c r="B666" s="10" t="s">
        <v>120</v>
      </c>
      <c r="C666" s="92"/>
      <c r="D666" s="92"/>
      <c r="E666" s="113"/>
      <c r="F666" s="113"/>
      <c r="G666" s="113"/>
      <c r="H666" s="271"/>
      <c r="I666" s="271"/>
      <c r="J666" s="271"/>
      <c r="K666" s="271"/>
      <c r="L666" s="271"/>
      <c r="M666" s="271"/>
      <c r="N666" s="271"/>
      <c r="O666" s="271"/>
      <c r="P666" s="271"/>
      <c r="Q666" s="271"/>
      <c r="R666" s="271"/>
      <c r="S666" s="92"/>
      <c r="T666" s="29"/>
      <c r="U666" s="29"/>
      <c r="V666"/>
      <c r="W666"/>
      <c r="X666"/>
      <c r="Y666"/>
      <c r="Z666"/>
      <c r="AA666"/>
      <c r="AB666"/>
      <c r="AC666"/>
      <c r="AD666"/>
      <c r="AE666"/>
      <c r="AF666"/>
      <c r="AG666"/>
      <c r="AH666"/>
      <c r="AI666"/>
      <c r="AJ666"/>
      <c r="AK666"/>
      <c r="AL666"/>
      <c r="AM666"/>
      <c r="AN666"/>
      <c r="AO666"/>
      <c r="AP666"/>
      <c r="AQ666"/>
    </row>
    <row r="667" spans="1:43">
      <c r="A667" s="270"/>
      <c r="B667" s="14" t="s">
        <v>122</v>
      </c>
      <c r="C667" s="92">
        <v>5.94</v>
      </c>
      <c r="D667" s="92">
        <v>4.22</v>
      </c>
      <c r="E667" s="53">
        <f>AVERAGE(C667:D667)</f>
        <v>5.08</v>
      </c>
      <c r="F667" s="53"/>
      <c r="G667" s="53"/>
      <c r="H667" s="114" t="s">
        <v>1572</v>
      </c>
      <c r="I667" s="114"/>
      <c r="J667" s="114"/>
      <c r="K667" s="114"/>
      <c r="L667" s="114"/>
      <c r="M667" s="114"/>
      <c r="N667" s="114"/>
      <c r="O667" s="114"/>
      <c r="P667" s="114"/>
      <c r="Q667" s="114"/>
      <c r="R667" s="114"/>
      <c r="S667" s="92"/>
      <c r="T667" s="29"/>
      <c r="U667" s="29"/>
      <c r="V667"/>
      <c r="W667"/>
      <c r="X667"/>
      <c r="Y667"/>
      <c r="Z667"/>
      <c r="AA667"/>
      <c r="AB667"/>
      <c r="AC667"/>
      <c r="AD667"/>
      <c r="AE667"/>
      <c r="AF667"/>
      <c r="AG667"/>
      <c r="AH667"/>
      <c r="AI667"/>
      <c r="AJ667"/>
      <c r="AK667"/>
      <c r="AL667"/>
      <c r="AM667"/>
      <c r="AN667"/>
      <c r="AO667"/>
      <c r="AP667"/>
      <c r="AQ667"/>
    </row>
    <row r="668" spans="1:43">
      <c r="A668" s="9" t="s">
        <v>42</v>
      </c>
      <c r="B668" s="10" t="s">
        <v>120</v>
      </c>
      <c r="C668" s="92"/>
      <c r="D668" s="92"/>
      <c r="E668" s="113"/>
      <c r="F668" s="113"/>
      <c r="G668" s="113"/>
      <c r="H668" s="271"/>
      <c r="I668" s="271"/>
      <c r="J668" s="271"/>
      <c r="K668" s="271"/>
      <c r="L668" s="271"/>
      <c r="M668" s="271"/>
      <c r="N668" s="271"/>
      <c r="O668" s="271"/>
      <c r="P668" s="271"/>
      <c r="Q668" s="271"/>
      <c r="R668" s="271"/>
      <c r="S668" s="92"/>
      <c r="T668" s="29"/>
      <c r="U668" s="29"/>
      <c r="V668"/>
      <c r="W668"/>
      <c r="X668"/>
      <c r="Y668"/>
      <c r="Z668"/>
      <c r="AA668"/>
      <c r="AB668"/>
      <c r="AC668"/>
      <c r="AD668"/>
      <c r="AE668"/>
      <c r="AF668"/>
      <c r="AG668"/>
      <c r="AH668"/>
      <c r="AI668"/>
      <c r="AJ668"/>
      <c r="AK668"/>
      <c r="AL668"/>
      <c r="AM668"/>
      <c r="AN668"/>
      <c r="AO668"/>
      <c r="AP668"/>
      <c r="AQ668"/>
    </row>
    <row r="669" spans="1:43">
      <c r="A669" s="270"/>
      <c r="B669" s="14" t="s">
        <v>122</v>
      </c>
      <c r="C669" s="92">
        <v>3.55</v>
      </c>
      <c r="D669" s="92">
        <v>4.1500000000000004</v>
      </c>
      <c r="E669" s="53">
        <f>AVERAGE(C669:D669)</f>
        <v>3.85</v>
      </c>
      <c r="F669" s="53"/>
      <c r="G669" s="53"/>
      <c r="H669" s="114" t="s">
        <v>1572</v>
      </c>
      <c r="I669" s="114"/>
      <c r="J669" s="114"/>
      <c r="K669" s="114"/>
      <c r="L669" s="114"/>
      <c r="M669" s="114"/>
      <c r="N669" s="114"/>
      <c r="O669" s="114"/>
      <c r="P669" s="114"/>
      <c r="Q669" s="114"/>
      <c r="R669" s="114"/>
      <c r="S669" s="114" t="s">
        <v>1582</v>
      </c>
      <c r="T669" s="29"/>
      <c r="U669" s="29"/>
      <c r="V669"/>
      <c r="W669"/>
      <c r="X669"/>
      <c r="Y669"/>
      <c r="Z669"/>
      <c r="AA669"/>
      <c r="AB669"/>
      <c r="AC669"/>
      <c r="AD669"/>
      <c r="AE669"/>
      <c r="AF669"/>
      <c r="AG669"/>
      <c r="AH669"/>
      <c r="AI669"/>
      <c r="AJ669"/>
      <c r="AK669"/>
      <c r="AL669"/>
      <c r="AM669"/>
      <c r="AN669"/>
      <c r="AO669"/>
      <c r="AP669"/>
      <c r="AQ669"/>
    </row>
    <row r="670" spans="1:43">
      <c r="A670" s="9" t="s">
        <v>1583</v>
      </c>
      <c r="B670" s="10" t="s">
        <v>120</v>
      </c>
      <c r="C670" s="92"/>
      <c r="D670" s="92"/>
      <c r="E670" s="113"/>
      <c r="F670" s="113"/>
      <c r="G670" s="113"/>
      <c r="H670" s="271"/>
      <c r="I670" s="271"/>
      <c r="J670" s="271"/>
      <c r="K670" s="271"/>
      <c r="L670" s="271"/>
      <c r="M670" s="271"/>
      <c r="N670" s="271"/>
      <c r="O670" s="271"/>
      <c r="P670" s="271"/>
      <c r="Q670" s="271"/>
      <c r="R670" s="271"/>
      <c r="S670" s="92"/>
      <c r="T670" s="29"/>
      <c r="U670" s="29"/>
      <c r="V670"/>
      <c r="W670"/>
      <c r="X670"/>
      <c r="Y670"/>
      <c r="Z670"/>
      <c r="AA670"/>
      <c r="AB670"/>
      <c r="AC670"/>
      <c r="AD670"/>
      <c r="AE670"/>
      <c r="AF670"/>
      <c r="AG670"/>
      <c r="AH670"/>
      <c r="AI670"/>
      <c r="AJ670"/>
      <c r="AK670"/>
      <c r="AL670"/>
      <c r="AM670"/>
      <c r="AN670"/>
      <c r="AO670"/>
      <c r="AP670"/>
      <c r="AQ670"/>
    </row>
    <row r="671" spans="1:43">
      <c r="A671" s="270"/>
      <c r="B671" s="14" t="s">
        <v>122</v>
      </c>
      <c r="C671" s="92">
        <v>3.55</v>
      </c>
      <c r="D671" s="92">
        <v>4.1500000000000004</v>
      </c>
      <c r="E671" s="53">
        <f>AVERAGE(C671:D671)</f>
        <v>3.85</v>
      </c>
      <c r="F671" s="53"/>
      <c r="G671" s="53"/>
      <c r="H671" s="114" t="s">
        <v>1572</v>
      </c>
      <c r="I671" s="114"/>
      <c r="J671" s="114"/>
      <c r="K671" s="114"/>
      <c r="L671" s="114"/>
      <c r="M671" s="114"/>
      <c r="N671" s="114"/>
      <c r="O671" s="114"/>
      <c r="P671" s="114"/>
      <c r="Q671" s="114"/>
      <c r="R671" s="114"/>
      <c r="S671" s="114" t="s">
        <v>1582</v>
      </c>
      <c r="T671" s="29"/>
      <c r="U671" s="29"/>
      <c r="V671"/>
      <c r="W671"/>
      <c r="X671"/>
      <c r="Y671"/>
      <c r="Z671"/>
      <c r="AA671"/>
      <c r="AB671"/>
      <c r="AC671"/>
      <c r="AD671"/>
      <c r="AE671"/>
      <c r="AF671"/>
      <c r="AG671"/>
      <c r="AH671"/>
      <c r="AI671"/>
      <c r="AJ671"/>
      <c r="AK671"/>
      <c r="AL671"/>
      <c r="AM671"/>
      <c r="AN671"/>
      <c r="AO671"/>
      <c r="AP671"/>
      <c r="AQ671"/>
    </row>
    <row r="672" spans="1:43">
      <c r="A672" s="9" t="s">
        <v>79</v>
      </c>
      <c r="B672" s="10" t="s">
        <v>120</v>
      </c>
      <c r="C672" s="92"/>
      <c r="D672" s="92"/>
      <c r="E672" s="113"/>
      <c r="F672" s="113"/>
      <c r="G672" s="113"/>
      <c r="H672" s="271"/>
      <c r="I672" s="271"/>
      <c r="J672" s="271"/>
      <c r="K672" s="271"/>
      <c r="L672" s="271"/>
      <c r="M672" s="271"/>
      <c r="N672" s="271"/>
      <c r="O672" s="271"/>
      <c r="P672" s="271"/>
      <c r="Q672" s="271"/>
      <c r="R672" s="271"/>
      <c r="S672" s="92"/>
      <c r="T672" s="29"/>
      <c r="U672" s="29"/>
      <c r="V672"/>
      <c r="W672"/>
      <c r="X672"/>
      <c r="Y672"/>
      <c r="Z672"/>
      <c r="AA672"/>
      <c r="AB672"/>
      <c r="AC672"/>
      <c r="AD672"/>
      <c r="AE672"/>
      <c r="AF672"/>
      <c r="AG672"/>
      <c r="AH672"/>
      <c r="AI672"/>
      <c r="AJ672"/>
      <c r="AK672"/>
      <c r="AL672"/>
      <c r="AM672"/>
      <c r="AN672"/>
      <c r="AO672"/>
      <c r="AP672"/>
      <c r="AQ672"/>
    </row>
    <row r="673" spans="1:43">
      <c r="A673" s="270"/>
      <c r="B673" s="14" t="s">
        <v>122</v>
      </c>
      <c r="C673" s="92">
        <v>5.75</v>
      </c>
      <c r="D673" s="92">
        <v>2.59</v>
      </c>
      <c r="E673" s="53">
        <f>AVERAGE(C673:D673)</f>
        <v>4.17</v>
      </c>
      <c r="F673" s="53"/>
      <c r="G673" s="53"/>
      <c r="H673" s="114" t="s">
        <v>1572</v>
      </c>
      <c r="I673" s="114"/>
      <c r="J673" s="114"/>
      <c r="K673" s="114"/>
      <c r="L673" s="114"/>
      <c r="M673" s="114"/>
      <c r="N673" s="114"/>
      <c r="O673" s="114"/>
      <c r="P673" s="114"/>
      <c r="Q673" s="114"/>
      <c r="R673" s="114"/>
      <c r="S673" s="92"/>
      <c r="T673" s="29"/>
      <c r="U673" s="29"/>
      <c r="V673"/>
      <c r="W673"/>
      <c r="X673"/>
      <c r="Y673"/>
      <c r="Z673"/>
      <c r="AA673"/>
      <c r="AB673"/>
      <c r="AC673"/>
      <c r="AD673"/>
      <c r="AE673"/>
      <c r="AF673"/>
      <c r="AG673"/>
      <c r="AH673"/>
      <c r="AI673"/>
      <c r="AJ673"/>
      <c r="AK673"/>
      <c r="AL673"/>
      <c r="AM673"/>
      <c r="AN673"/>
      <c r="AO673"/>
      <c r="AP673"/>
      <c r="AQ673"/>
    </row>
    <row r="674" spans="1:43">
      <c r="A674" s="9" t="s">
        <v>83</v>
      </c>
      <c r="B674" s="10" t="s">
        <v>120</v>
      </c>
      <c r="C674" s="92"/>
      <c r="D674" s="92"/>
      <c r="E674" s="113"/>
      <c r="F674" s="113"/>
      <c r="G674" s="113"/>
      <c r="H674" s="272" t="s">
        <v>1584</v>
      </c>
      <c r="I674" s="272"/>
      <c r="J674" s="272"/>
      <c r="K674" s="272"/>
      <c r="L674" s="272"/>
      <c r="M674" s="272"/>
      <c r="N674" s="272"/>
      <c r="O674" s="272"/>
      <c r="P674" s="272"/>
      <c r="Q674" s="272"/>
      <c r="R674" s="272"/>
      <c r="S674" s="92"/>
      <c r="T674" s="29"/>
      <c r="U674" s="29"/>
      <c r="V674"/>
      <c r="W674"/>
      <c r="X674"/>
      <c r="Y674"/>
      <c r="Z674"/>
      <c r="AA674"/>
      <c r="AB674"/>
      <c r="AC674"/>
      <c r="AD674"/>
      <c r="AE674"/>
      <c r="AF674"/>
      <c r="AG674"/>
      <c r="AH674"/>
      <c r="AI674"/>
      <c r="AJ674"/>
      <c r="AK674"/>
      <c r="AL674"/>
      <c r="AM674"/>
      <c r="AN674"/>
      <c r="AO674"/>
      <c r="AP674"/>
      <c r="AQ674"/>
    </row>
    <row r="675" spans="1:43">
      <c r="A675" s="270"/>
      <c r="B675" s="14" t="s">
        <v>122</v>
      </c>
      <c r="C675" s="92">
        <v>3.55</v>
      </c>
      <c r="D675" s="92">
        <v>4.1500000000000004</v>
      </c>
      <c r="E675" s="53">
        <f>AVERAGE(C675:D675)</f>
        <v>3.85</v>
      </c>
      <c r="F675" s="53"/>
      <c r="G675" s="53"/>
      <c r="H675" s="114" t="s">
        <v>1572</v>
      </c>
      <c r="I675" s="114"/>
      <c r="J675" s="114"/>
      <c r="K675" s="114"/>
      <c r="L675" s="114"/>
      <c r="M675" s="114"/>
      <c r="N675" s="114"/>
      <c r="O675" s="114"/>
      <c r="P675" s="114"/>
      <c r="Q675" s="114"/>
      <c r="R675" s="114"/>
      <c r="S675" s="114" t="s">
        <v>1582</v>
      </c>
      <c r="T675" s="29"/>
      <c r="U675" s="29"/>
      <c r="V675"/>
      <c r="W675"/>
      <c r="X675"/>
      <c r="Y675"/>
      <c r="Z675"/>
      <c r="AA675"/>
      <c r="AB675"/>
      <c r="AC675"/>
      <c r="AD675"/>
      <c r="AE675"/>
      <c r="AF675"/>
      <c r="AG675"/>
      <c r="AH675"/>
      <c r="AI675"/>
      <c r="AJ675"/>
      <c r="AK675"/>
      <c r="AL675"/>
      <c r="AM675"/>
      <c r="AN675"/>
      <c r="AO675"/>
      <c r="AP675"/>
      <c r="AQ675"/>
    </row>
    <row r="676" spans="1:43">
      <c r="A676" s="29"/>
      <c r="B676" s="29"/>
      <c r="C676" s="29"/>
      <c r="D676" s="29"/>
      <c r="E676" s="29"/>
      <c r="F676" s="29"/>
      <c r="G676" s="29"/>
      <c r="H676" s="29"/>
      <c r="I676" s="29"/>
      <c r="J676" s="29"/>
      <c r="K676" s="29"/>
      <c r="L676" s="29"/>
      <c r="M676" s="29"/>
      <c r="N676" s="29"/>
      <c r="O676" s="29"/>
      <c r="P676" s="29"/>
      <c r="Q676" s="29"/>
      <c r="R676" s="29"/>
      <c r="S676" s="29"/>
      <c r="T676" s="29"/>
      <c r="U676" s="29"/>
      <c r="V676"/>
      <c r="W676"/>
      <c r="X676"/>
      <c r="Y676"/>
      <c r="Z676"/>
      <c r="AA676"/>
      <c r="AB676"/>
      <c r="AC676"/>
      <c r="AD676"/>
      <c r="AE676"/>
      <c r="AF676"/>
      <c r="AG676"/>
      <c r="AH676"/>
      <c r="AI676"/>
      <c r="AJ676"/>
      <c r="AK676"/>
      <c r="AL676"/>
      <c r="AM676"/>
      <c r="AN676"/>
      <c r="AO676"/>
      <c r="AP676"/>
      <c r="AQ676"/>
    </row>
    <row r="677" spans="1:43" ht="23.25">
      <c r="A677" s="521" t="s">
        <v>1587</v>
      </c>
      <c r="B677" s="29"/>
      <c r="C677" s="29"/>
      <c r="D677" s="29"/>
      <c r="E677" s="29"/>
      <c r="F677" s="29"/>
      <c r="G677" s="29"/>
      <c r="H677" s="29"/>
      <c r="I677" s="29"/>
      <c r="J677" s="29"/>
      <c r="K677" s="29"/>
      <c r="L677" s="29"/>
      <c r="M677" s="29"/>
      <c r="N677" s="29"/>
      <c r="O677" s="29"/>
      <c r="P677" s="29"/>
      <c r="Q677" s="29"/>
      <c r="R677" s="29"/>
      <c r="S677" s="29"/>
      <c r="T677" s="29"/>
      <c r="U677" s="29"/>
      <c r="V677"/>
      <c r="W677"/>
      <c r="X677"/>
      <c r="Y677"/>
      <c r="Z677"/>
      <c r="AA677"/>
      <c r="AB677"/>
      <c r="AC677"/>
      <c r="AD677"/>
      <c r="AE677"/>
      <c r="AF677"/>
      <c r="AG677"/>
      <c r="AH677"/>
      <c r="AI677"/>
      <c r="AJ677"/>
      <c r="AK677"/>
      <c r="AL677"/>
      <c r="AM677"/>
      <c r="AN677"/>
      <c r="AO677"/>
      <c r="AP677"/>
      <c r="AQ677"/>
    </row>
    <row r="678" spans="1:43">
      <c r="A678" s="29"/>
      <c r="B678" s="29"/>
      <c r="C678" s="29"/>
      <c r="D678" s="29"/>
      <c r="E678" s="29"/>
      <c r="F678" s="29"/>
      <c r="G678" s="29"/>
      <c r="H678" s="29"/>
      <c r="I678" s="29"/>
      <c r="J678" s="29"/>
      <c r="K678" s="29"/>
      <c r="L678" s="29"/>
      <c r="M678" s="29"/>
      <c r="N678" s="29"/>
      <c r="O678" s="29"/>
      <c r="P678" s="29"/>
      <c r="Q678" s="29"/>
      <c r="R678" s="29"/>
      <c r="S678" s="29"/>
      <c r="T678" s="29"/>
      <c r="U678" s="29"/>
      <c r="V678"/>
      <c r="W678"/>
      <c r="X678"/>
      <c r="Y678"/>
      <c r="Z678"/>
      <c r="AA678"/>
      <c r="AB678"/>
      <c r="AC678"/>
      <c r="AD678"/>
      <c r="AE678"/>
      <c r="AF678"/>
      <c r="AG678"/>
      <c r="AH678"/>
      <c r="AI678"/>
      <c r="AJ678"/>
      <c r="AK678"/>
      <c r="AL678"/>
      <c r="AM678"/>
      <c r="AN678"/>
      <c r="AO678"/>
      <c r="AP678"/>
      <c r="AQ678"/>
    </row>
    <row r="679" spans="1:43" ht="76.5">
      <c r="A679" s="7" t="s">
        <v>870</v>
      </c>
      <c r="B679" s="8" t="s">
        <v>1577</v>
      </c>
      <c r="C679" s="8" t="s">
        <v>1588</v>
      </c>
      <c r="D679" s="8" t="s">
        <v>1589</v>
      </c>
      <c r="E679" s="8" t="s">
        <v>1590</v>
      </c>
      <c r="F679" s="8"/>
      <c r="G679" s="8"/>
      <c r="H679" s="8" t="s">
        <v>1591</v>
      </c>
      <c r="I679" s="8"/>
      <c r="J679" s="8"/>
      <c r="K679" s="8"/>
      <c r="L679" s="8"/>
      <c r="M679" s="8"/>
      <c r="N679" s="8"/>
      <c r="O679" s="8"/>
      <c r="P679" s="8"/>
      <c r="Q679" s="8"/>
      <c r="R679" s="8"/>
      <c r="S679" s="8" t="s">
        <v>1592</v>
      </c>
      <c r="T679" s="61" t="s">
        <v>1593</v>
      </c>
      <c r="U679" s="61" t="s">
        <v>1594</v>
      </c>
      <c r="V679" s="8" t="s">
        <v>1595</v>
      </c>
      <c r="W679" s="27"/>
      <c r="X679"/>
      <c r="Y679"/>
      <c r="Z679"/>
      <c r="AA679"/>
      <c r="AB679"/>
      <c r="AC679"/>
      <c r="AD679"/>
      <c r="AE679"/>
      <c r="AF679"/>
      <c r="AG679"/>
      <c r="AH679"/>
      <c r="AI679"/>
      <c r="AJ679"/>
      <c r="AK679"/>
      <c r="AL679"/>
      <c r="AM679"/>
      <c r="AN679"/>
      <c r="AO679"/>
      <c r="AP679"/>
      <c r="AQ679"/>
    </row>
    <row r="680" spans="1:43">
      <c r="A680" s="9" t="s">
        <v>59</v>
      </c>
      <c r="B680" s="10" t="s">
        <v>170</v>
      </c>
      <c r="C680" s="10"/>
      <c r="D680" s="10"/>
      <c r="E680" s="10"/>
      <c r="F680" s="10"/>
      <c r="G680" s="10"/>
      <c r="H680" s="10"/>
      <c r="I680" s="10"/>
      <c r="J680" s="10"/>
      <c r="K680" s="10"/>
      <c r="L680" s="10"/>
      <c r="M680" s="10"/>
      <c r="N680" s="10"/>
      <c r="O680" s="10"/>
      <c r="P680" s="10"/>
      <c r="Q680" s="10"/>
      <c r="R680" s="10"/>
      <c r="S680" s="10">
        <v>1.6</v>
      </c>
      <c r="T680" s="687"/>
      <c r="U680" s="1107">
        <f>0.000163582722605417+0.0000192544651347376+0.00026845404377744+3.92000000851399E-06+0.0000347936916878248+0.0000129806931472289</f>
        <v>5.0298561636116226E-4</v>
      </c>
      <c r="V680" s="145" t="s">
        <v>1596</v>
      </c>
      <c r="W680"/>
      <c r="X680"/>
      <c r="Y680"/>
      <c r="Z680"/>
      <c r="AA680"/>
      <c r="AB680"/>
      <c r="AC680"/>
      <c r="AD680"/>
      <c r="AE680"/>
      <c r="AF680"/>
      <c r="AG680"/>
      <c r="AH680"/>
      <c r="AI680"/>
      <c r="AJ680"/>
      <c r="AK680"/>
      <c r="AL680"/>
      <c r="AM680"/>
      <c r="AN680"/>
      <c r="AO680"/>
      <c r="AP680"/>
      <c r="AQ680"/>
    </row>
    <row r="681" spans="1:43">
      <c r="A681" s="13"/>
      <c r="B681" s="14" t="s">
        <v>123</v>
      </c>
      <c r="C681" s="14">
        <f>'Feed products'!AB821</f>
        <v>0.48</v>
      </c>
      <c r="D681" s="14"/>
      <c r="E681" s="53">
        <f>0.056+0.128+0.774+0.084+0.003+0.21+0.251+4.635</f>
        <v>6.141</v>
      </c>
      <c r="F681" s="53"/>
      <c r="G681" s="53"/>
      <c r="H681" s="14">
        <f>7040</f>
        <v>7040</v>
      </c>
      <c r="I681" s="14"/>
      <c r="J681" s="14"/>
      <c r="K681" s="14"/>
      <c r="L681" s="14"/>
      <c r="M681" s="14"/>
      <c r="N681" s="14"/>
      <c r="O681" s="14"/>
      <c r="P681" s="14"/>
      <c r="Q681" s="14"/>
      <c r="R681" s="14"/>
      <c r="S681" s="14">
        <v>3.2</v>
      </c>
      <c r="T681" s="14"/>
      <c r="U681" s="14"/>
      <c r="V681" s="114" t="s">
        <v>666</v>
      </c>
      <c r="W681"/>
      <c r="X681"/>
      <c r="Y681"/>
      <c r="Z681"/>
      <c r="AA681"/>
      <c r="AB681"/>
      <c r="AC681"/>
      <c r="AD681"/>
      <c r="AE681"/>
      <c r="AF681"/>
      <c r="AG681"/>
      <c r="AH681"/>
      <c r="AI681"/>
      <c r="AJ681"/>
      <c r="AK681"/>
      <c r="AL681"/>
      <c r="AM681"/>
      <c r="AN681"/>
      <c r="AO681"/>
      <c r="AP681"/>
      <c r="AQ681"/>
    </row>
    <row r="682" spans="1:43">
      <c r="A682" s="13"/>
      <c r="B682" s="14"/>
      <c r="C682" s="14"/>
      <c r="D682" s="14"/>
      <c r="E682" s="53">
        <f>0.21+0.005+0.005+0.04+0.04</f>
        <v>0.3</v>
      </c>
      <c r="F682" s="53"/>
      <c r="G682" s="53"/>
      <c r="H682" s="14">
        <v>1000</v>
      </c>
      <c r="I682" s="14"/>
      <c r="J682" s="14"/>
      <c r="K682" s="14"/>
      <c r="L682" s="14"/>
      <c r="M682" s="14"/>
      <c r="N682" s="14"/>
      <c r="O682" s="14"/>
      <c r="P682" s="14"/>
      <c r="Q682" s="14"/>
      <c r="R682" s="14"/>
      <c r="S682" s="14"/>
      <c r="T682" s="14"/>
      <c r="U682" s="14"/>
      <c r="V682" s="114" t="s">
        <v>1597</v>
      </c>
      <c r="W682"/>
      <c r="X682"/>
      <c r="Y682"/>
      <c r="Z682"/>
      <c r="AA682"/>
      <c r="AB682"/>
      <c r="AC682"/>
      <c r="AD682"/>
      <c r="AE682"/>
      <c r="AF682"/>
      <c r="AG682"/>
      <c r="AH682"/>
      <c r="AI682"/>
      <c r="AJ682"/>
      <c r="AK682"/>
      <c r="AL682"/>
      <c r="AM682"/>
      <c r="AN682"/>
      <c r="AO682"/>
      <c r="AP682"/>
      <c r="AQ682"/>
    </row>
    <row r="683" spans="1:43">
      <c r="A683" s="13"/>
      <c r="B683" s="14" t="s">
        <v>134</v>
      </c>
      <c r="C683" s="14"/>
      <c r="D683" s="14"/>
      <c r="E683" s="14"/>
      <c r="F683" s="14"/>
      <c r="G683" s="14"/>
      <c r="H683" s="14"/>
      <c r="I683" s="14"/>
      <c r="J683" s="14"/>
      <c r="K683" s="14"/>
      <c r="L683" s="14"/>
      <c r="M683" s="14"/>
      <c r="N683" s="14"/>
      <c r="O683" s="14"/>
      <c r="P683" s="14"/>
      <c r="Q683" s="14"/>
      <c r="R683" s="14"/>
      <c r="S683" s="14">
        <v>2.2999999999999998</v>
      </c>
      <c r="T683" s="14"/>
      <c r="U683" s="1056">
        <f>0.000163582722605417+0.0000192544651347376+0.00026845404377744+3.92000000851399E-06+0.0000347936916878248+0.0000129806931472289</f>
        <v>5.0298561636116226E-4</v>
      </c>
      <c r="V683" s="145" t="s">
        <v>1596</v>
      </c>
      <c r="W683"/>
      <c r="X683"/>
      <c r="Y683"/>
      <c r="Z683"/>
      <c r="AA683"/>
      <c r="AB683"/>
      <c r="AC683"/>
      <c r="AD683"/>
      <c r="AE683"/>
      <c r="AF683"/>
      <c r="AG683"/>
      <c r="AH683"/>
      <c r="AI683"/>
      <c r="AJ683"/>
      <c r="AK683"/>
      <c r="AL683"/>
      <c r="AM683"/>
      <c r="AN683"/>
      <c r="AO683"/>
      <c r="AP683"/>
      <c r="AQ683"/>
    </row>
    <row r="684" spans="1:43">
      <c r="A684" s="9" t="s">
        <v>54</v>
      </c>
      <c r="B684" s="10"/>
      <c r="C684" s="10"/>
      <c r="D684" s="10"/>
      <c r="E684" s="10"/>
      <c r="F684" s="10"/>
      <c r="G684" s="10"/>
      <c r="H684" s="10"/>
      <c r="I684" s="10"/>
      <c r="J684" s="10"/>
      <c r="K684" s="10"/>
      <c r="L684" s="10"/>
      <c r="M684" s="10"/>
      <c r="N684" s="10"/>
      <c r="O684" s="10"/>
      <c r="P684" s="10"/>
      <c r="Q684" s="10"/>
      <c r="R684" s="10"/>
      <c r="S684" s="10"/>
      <c r="T684" s="10"/>
      <c r="U684" s="10"/>
      <c r="V684" s="14"/>
      <c r="W684"/>
      <c r="X684"/>
      <c r="Y684"/>
      <c r="Z684"/>
      <c r="AA684"/>
      <c r="AB684"/>
      <c r="AC684"/>
      <c r="AD684"/>
      <c r="AE684"/>
      <c r="AF684"/>
      <c r="AG684"/>
      <c r="AH684"/>
      <c r="AI684"/>
      <c r="AJ684"/>
      <c r="AK684"/>
      <c r="AL684"/>
      <c r="AM684"/>
      <c r="AN684"/>
      <c r="AO684"/>
      <c r="AP684"/>
      <c r="AQ684"/>
    </row>
    <row r="685" spans="1:43">
      <c r="A685" s="13"/>
      <c r="B685" s="14" t="s">
        <v>176</v>
      </c>
      <c r="C685" s="14">
        <f>'Feed products'!AB809</f>
        <v>6.94</v>
      </c>
      <c r="D685" s="14">
        <f>'Feed products'!Z793</f>
        <v>6.1</v>
      </c>
      <c r="E685" s="525">
        <v>2.1</v>
      </c>
      <c r="F685" s="525"/>
      <c r="G685" s="525"/>
      <c r="H685" s="525"/>
      <c r="I685" s="14"/>
      <c r="J685" s="14"/>
      <c r="K685" s="14"/>
      <c r="L685" s="14"/>
      <c r="M685" s="14"/>
      <c r="N685" s="14"/>
      <c r="O685" s="14"/>
      <c r="P685" s="14"/>
      <c r="Q685" s="14"/>
      <c r="R685" s="14"/>
      <c r="S685" s="14"/>
      <c r="T685" s="29"/>
      <c r="U685" s="29"/>
      <c r="V685" s="114" t="s">
        <v>1598</v>
      </c>
      <c r="W685"/>
      <c r="X685"/>
      <c r="Y685"/>
      <c r="Z685"/>
      <c r="AA685"/>
      <c r="AB685"/>
      <c r="AC685"/>
      <c r="AD685"/>
      <c r="AE685"/>
      <c r="AF685"/>
      <c r="AG685"/>
      <c r="AH685"/>
      <c r="AI685"/>
      <c r="AJ685"/>
      <c r="AK685"/>
      <c r="AL685"/>
      <c r="AM685"/>
      <c r="AN685"/>
      <c r="AO685"/>
      <c r="AP685"/>
      <c r="AQ685"/>
    </row>
    <row r="686" spans="1:43">
      <c r="A686" s="13"/>
      <c r="B686" s="14" t="s">
        <v>125</v>
      </c>
      <c r="C686" s="14"/>
      <c r="D686" s="14">
        <f>'Feed products'!Z793</f>
        <v>6.1</v>
      </c>
      <c r="E686" s="14"/>
      <c r="F686" s="14"/>
      <c r="G686" s="14"/>
      <c r="H686" s="14"/>
      <c r="I686" s="14"/>
      <c r="J686" s="14"/>
      <c r="K686" s="14"/>
      <c r="L686" s="14"/>
      <c r="M686" s="14"/>
      <c r="N686" s="14"/>
      <c r="O686" s="14"/>
      <c r="P686" s="14"/>
      <c r="Q686" s="14"/>
      <c r="R686" s="14"/>
      <c r="S686" s="14">
        <v>37.5</v>
      </c>
      <c r="T686" s="14"/>
      <c r="U686" s="14"/>
      <c r="V686" s="114"/>
      <c r="W686"/>
      <c r="X686"/>
      <c r="Y686"/>
      <c r="Z686"/>
      <c r="AA686"/>
      <c r="AB686"/>
      <c r="AC686"/>
      <c r="AD686"/>
      <c r="AE686"/>
      <c r="AF686"/>
      <c r="AG686"/>
      <c r="AH686"/>
      <c r="AI686"/>
      <c r="AJ686"/>
      <c r="AK686"/>
      <c r="AL686"/>
      <c r="AM686"/>
      <c r="AN686"/>
      <c r="AO686"/>
      <c r="AP686"/>
      <c r="AQ686"/>
    </row>
    <row r="687" spans="1:43">
      <c r="A687" s="9" t="s">
        <v>1579</v>
      </c>
      <c r="B687" s="10"/>
      <c r="C687" s="10"/>
      <c r="D687" s="10"/>
      <c r="E687" s="10"/>
      <c r="F687" s="10"/>
      <c r="G687" s="10"/>
      <c r="H687" s="10"/>
      <c r="I687" s="10"/>
      <c r="J687" s="10"/>
      <c r="K687" s="10"/>
      <c r="L687" s="10"/>
      <c r="M687" s="10"/>
      <c r="N687" s="10"/>
      <c r="O687" s="10"/>
      <c r="P687" s="10"/>
      <c r="Q687" s="10"/>
      <c r="R687" s="10"/>
      <c r="S687" s="10"/>
      <c r="T687" s="10"/>
      <c r="U687" s="10"/>
      <c r="V687" s="14"/>
      <c r="W687"/>
      <c r="X687"/>
      <c r="Y687"/>
      <c r="Z687"/>
      <c r="AA687"/>
      <c r="AB687"/>
      <c r="AC687"/>
      <c r="AD687"/>
      <c r="AE687"/>
      <c r="AF687"/>
      <c r="AG687"/>
      <c r="AH687"/>
      <c r="AI687"/>
      <c r="AJ687"/>
      <c r="AK687"/>
      <c r="AL687"/>
      <c r="AM687"/>
      <c r="AN687"/>
      <c r="AO687"/>
      <c r="AP687"/>
      <c r="AQ687"/>
    </row>
    <row r="688" spans="1:43">
      <c r="A688" s="13" t="s">
        <v>171</v>
      </c>
      <c r="B688" s="14" t="s">
        <v>125</v>
      </c>
      <c r="C688" s="14"/>
      <c r="D688" s="14">
        <f>'Feed products'!Z792</f>
        <v>1.1800000000000002</v>
      </c>
      <c r="E688" s="14"/>
      <c r="F688" s="14"/>
      <c r="G688" s="14"/>
      <c r="H688" s="14"/>
      <c r="I688" s="14"/>
      <c r="J688" s="14"/>
      <c r="K688" s="14"/>
      <c r="L688" s="14"/>
      <c r="M688" s="14"/>
      <c r="N688" s="14"/>
      <c r="O688" s="14"/>
      <c r="P688" s="14"/>
      <c r="Q688" s="14"/>
      <c r="R688" s="14"/>
      <c r="S688" s="14"/>
      <c r="T688" s="14"/>
      <c r="U688" s="14"/>
      <c r="V688" s="14"/>
      <c r="W688"/>
      <c r="X688"/>
      <c r="Y688"/>
      <c r="Z688"/>
      <c r="AA688"/>
      <c r="AB688"/>
      <c r="AC688"/>
      <c r="AD688"/>
      <c r="AE688"/>
      <c r="AF688"/>
      <c r="AG688"/>
      <c r="AH688"/>
      <c r="AI688"/>
      <c r="AJ688"/>
      <c r="AK688"/>
      <c r="AL688"/>
      <c r="AM688"/>
      <c r="AN688"/>
      <c r="AO688"/>
      <c r="AP688"/>
      <c r="AQ688"/>
    </row>
    <row r="689" spans="1:43">
      <c r="A689" s="9" t="s">
        <v>27</v>
      </c>
      <c r="B689" s="10"/>
      <c r="C689" s="10"/>
      <c r="D689" s="10"/>
      <c r="E689" s="10"/>
      <c r="F689" s="10"/>
      <c r="G689" s="10"/>
      <c r="H689" s="10"/>
      <c r="I689" s="10"/>
      <c r="J689" s="10"/>
      <c r="K689" s="10"/>
      <c r="L689" s="10"/>
      <c r="M689" s="10"/>
      <c r="N689" s="10"/>
      <c r="O689" s="10"/>
      <c r="P689" s="10"/>
      <c r="Q689" s="10"/>
      <c r="R689" s="10"/>
      <c r="S689" s="10"/>
      <c r="T689" s="10"/>
      <c r="U689" s="10"/>
      <c r="V689" s="14"/>
      <c r="W689"/>
      <c r="X689"/>
      <c r="Y689"/>
      <c r="Z689"/>
      <c r="AA689"/>
      <c r="AB689"/>
      <c r="AC689"/>
      <c r="AD689"/>
      <c r="AE689"/>
      <c r="AF689"/>
      <c r="AG689"/>
      <c r="AH689"/>
      <c r="AI689"/>
      <c r="AJ689"/>
      <c r="AK689"/>
      <c r="AL689"/>
      <c r="AM689"/>
      <c r="AN689"/>
      <c r="AO689"/>
      <c r="AP689"/>
      <c r="AQ689"/>
    </row>
    <row r="690" spans="1:43">
      <c r="A690" s="13"/>
      <c r="B690" s="14" t="s">
        <v>148</v>
      </c>
      <c r="C690" s="14">
        <f>'Feed products'!AB823</f>
        <v>2.7399999999999998</v>
      </c>
      <c r="D690" s="14">
        <f>'Feed products'!$Z$801</f>
        <v>4.3600000000000003</v>
      </c>
      <c r="E690" s="14"/>
      <c r="F690" s="14"/>
      <c r="G690" s="14"/>
      <c r="H690" s="14"/>
      <c r="I690" s="14"/>
      <c r="J690" s="14"/>
      <c r="K690" s="14"/>
      <c r="L690" s="14"/>
      <c r="M690" s="14"/>
      <c r="N690" s="14"/>
      <c r="O690" s="14"/>
      <c r="P690" s="14"/>
      <c r="Q690" s="14"/>
      <c r="R690" s="14"/>
      <c r="S690" s="14">
        <v>46</v>
      </c>
      <c r="T690" s="14">
        <v>45.7</v>
      </c>
      <c r="U690" s="1108">
        <f>45.7/483000</f>
        <v>9.461697722567289E-5</v>
      </c>
      <c r="V690" s="115" t="s">
        <v>1599</v>
      </c>
      <c r="W690" s="114"/>
      <c r="X690"/>
      <c r="Y690"/>
      <c r="Z690"/>
      <c r="AA690"/>
      <c r="AB690"/>
      <c r="AC690"/>
      <c r="AD690"/>
      <c r="AE690"/>
      <c r="AF690"/>
      <c r="AG690"/>
      <c r="AH690"/>
      <c r="AI690"/>
      <c r="AJ690"/>
      <c r="AK690"/>
      <c r="AL690"/>
      <c r="AM690"/>
      <c r="AN690"/>
      <c r="AO690"/>
      <c r="AP690"/>
      <c r="AQ690"/>
    </row>
    <row r="691" spans="1:43">
      <c r="A691" s="13"/>
      <c r="B691" s="14" t="s">
        <v>130</v>
      </c>
      <c r="C691" s="14">
        <f>'Feed products'!AB815</f>
        <v>15.920000000000002</v>
      </c>
      <c r="D691" s="14">
        <f>'Feed products'!$Z$801</f>
        <v>4.3600000000000003</v>
      </c>
      <c r="E691" s="14"/>
      <c r="F691" s="14"/>
      <c r="G691" s="14"/>
      <c r="H691" s="14"/>
      <c r="I691" s="14"/>
      <c r="J691" s="14"/>
      <c r="K691" s="14"/>
      <c r="L691" s="14"/>
      <c r="M691" s="14"/>
      <c r="N691" s="14"/>
      <c r="O691" s="14"/>
      <c r="P691" s="14"/>
      <c r="Q691" s="14"/>
      <c r="R691" s="14"/>
      <c r="S691" s="14">
        <v>19.2</v>
      </c>
      <c r="T691" s="14">
        <v>32.299999999999997</v>
      </c>
      <c r="U691" s="1108">
        <f>32.3/165000</f>
        <v>1.9575757575757575E-4</v>
      </c>
      <c r="V691" s="115" t="s">
        <v>1600</v>
      </c>
      <c r="W691" s="114"/>
      <c r="X691"/>
      <c r="Y691"/>
      <c r="Z691"/>
      <c r="AA691"/>
      <c r="AB691"/>
      <c r="AC691"/>
      <c r="AD691"/>
      <c r="AE691"/>
      <c r="AF691"/>
      <c r="AG691"/>
      <c r="AH691"/>
      <c r="AI691"/>
      <c r="AJ691"/>
      <c r="AK691"/>
      <c r="AL691"/>
      <c r="AM691"/>
      <c r="AN691"/>
      <c r="AO691"/>
      <c r="AP691"/>
      <c r="AQ691"/>
    </row>
    <row r="692" spans="1:43">
      <c r="A692" s="13"/>
      <c r="B692" s="14"/>
      <c r="C692" s="14">
        <f>'Feed products'!AB815</f>
        <v>15.920000000000002</v>
      </c>
      <c r="D692" s="14">
        <f>'Feed products'!$Z$801</f>
        <v>4.3600000000000003</v>
      </c>
      <c r="E692" s="14"/>
      <c r="F692" s="14"/>
      <c r="G692" s="14"/>
      <c r="H692" s="14"/>
      <c r="I692" s="14"/>
      <c r="J692" s="14"/>
      <c r="K692" s="14"/>
      <c r="L692" s="14"/>
      <c r="M692" s="14"/>
      <c r="N692" s="14"/>
      <c r="O692" s="14"/>
      <c r="P692" s="14"/>
      <c r="Q692" s="14"/>
      <c r="R692" s="14"/>
      <c r="S692" s="14">
        <v>19.2</v>
      </c>
      <c r="T692" s="14">
        <v>32.299999999999997</v>
      </c>
      <c r="U692" s="1108">
        <f>32.3/165000</f>
        <v>1.9575757575757575E-4</v>
      </c>
      <c r="V692" s="115" t="s">
        <v>1600</v>
      </c>
      <c r="W692" s="114"/>
      <c r="X692"/>
      <c r="Y692"/>
      <c r="Z692"/>
      <c r="AA692"/>
      <c r="AB692"/>
      <c r="AC692"/>
      <c r="AD692"/>
      <c r="AE692"/>
      <c r="AF692"/>
      <c r="AG692"/>
      <c r="AH692"/>
      <c r="AI692"/>
      <c r="AJ692"/>
      <c r="AK692"/>
      <c r="AL692"/>
      <c r="AM692"/>
      <c r="AN692"/>
      <c r="AO692"/>
      <c r="AP692"/>
      <c r="AQ692"/>
    </row>
    <row r="693" spans="1:43">
      <c r="A693" s="13"/>
      <c r="B693" s="14" t="s">
        <v>125</v>
      </c>
      <c r="C693" s="14"/>
      <c r="D693" s="14">
        <f>'Feed products'!$Z$801</f>
        <v>4.3600000000000003</v>
      </c>
      <c r="E693" s="14"/>
      <c r="F693" s="14"/>
      <c r="G693" s="14"/>
      <c r="H693" s="14"/>
      <c r="I693" s="14"/>
      <c r="J693" s="14"/>
      <c r="K693" s="14"/>
      <c r="L693" s="14"/>
      <c r="M693" s="14"/>
      <c r="N693" s="14"/>
      <c r="O693" s="14"/>
      <c r="P693" s="14"/>
      <c r="Q693" s="14"/>
      <c r="R693" s="14"/>
      <c r="S693" s="14">
        <v>8.4</v>
      </c>
      <c r="T693" s="14"/>
      <c r="U693" s="14"/>
      <c r="V693" s="115"/>
      <c r="W693"/>
      <c r="X693"/>
      <c r="Y693"/>
      <c r="Z693"/>
      <c r="AA693"/>
      <c r="AB693"/>
      <c r="AC693"/>
      <c r="AD693"/>
      <c r="AE693"/>
      <c r="AF693"/>
      <c r="AG693"/>
      <c r="AH693"/>
      <c r="AI693"/>
      <c r="AJ693"/>
      <c r="AK693"/>
      <c r="AL693"/>
      <c r="AM693"/>
      <c r="AN693"/>
      <c r="AO693"/>
      <c r="AP693"/>
      <c r="AQ693"/>
    </row>
    <row r="694" spans="1:43">
      <c r="A694" s="13"/>
      <c r="B694" s="14"/>
      <c r="C694" s="14"/>
      <c r="D694" s="14">
        <f>'Feed products'!$Z$801</f>
        <v>4.3600000000000003</v>
      </c>
      <c r="E694" s="14"/>
      <c r="F694" s="14"/>
      <c r="G694" s="14"/>
      <c r="H694" s="14"/>
      <c r="I694" s="14"/>
      <c r="J694" s="14"/>
      <c r="K694" s="14"/>
      <c r="L694" s="14"/>
      <c r="M694" s="14"/>
      <c r="N694" s="14"/>
      <c r="O694" s="14"/>
      <c r="P694" s="14"/>
      <c r="Q694" s="14"/>
      <c r="R694" s="14"/>
      <c r="S694" s="14">
        <v>8.4</v>
      </c>
      <c r="T694" s="14"/>
      <c r="U694" s="14"/>
      <c r="V694" s="115"/>
      <c r="W694"/>
      <c r="X694"/>
      <c r="Y694"/>
      <c r="Z694"/>
      <c r="AA694"/>
      <c r="AB694"/>
      <c r="AC694"/>
      <c r="AD694"/>
      <c r="AE694"/>
      <c r="AF694"/>
      <c r="AG694"/>
      <c r="AH694"/>
      <c r="AI694"/>
      <c r="AJ694"/>
      <c r="AK694"/>
      <c r="AL694"/>
      <c r="AM694"/>
      <c r="AN694"/>
      <c r="AO694"/>
      <c r="AP694"/>
      <c r="AQ694"/>
    </row>
    <row r="695" spans="1:43">
      <c r="A695" s="9" t="s">
        <v>34</v>
      </c>
      <c r="B695" s="10"/>
      <c r="C695" s="10"/>
      <c r="D695" s="10"/>
      <c r="E695" s="10"/>
      <c r="F695" s="10"/>
      <c r="G695" s="10"/>
      <c r="H695" s="10"/>
      <c r="I695" s="10"/>
      <c r="J695" s="10"/>
      <c r="K695" s="10"/>
      <c r="L695" s="10"/>
      <c r="M695" s="10"/>
      <c r="N695" s="10"/>
      <c r="O695" s="10"/>
      <c r="P695" s="10"/>
      <c r="Q695" s="10"/>
      <c r="R695" s="10"/>
      <c r="S695" s="10"/>
      <c r="T695" s="10"/>
      <c r="U695" s="10"/>
      <c r="V695" s="14"/>
      <c r="W695"/>
      <c r="X695"/>
      <c r="Y695"/>
      <c r="Z695"/>
      <c r="AA695"/>
      <c r="AB695"/>
      <c r="AC695"/>
      <c r="AD695"/>
      <c r="AE695"/>
      <c r="AF695"/>
      <c r="AG695"/>
      <c r="AH695"/>
      <c r="AI695"/>
      <c r="AJ695"/>
      <c r="AK695"/>
      <c r="AL695"/>
      <c r="AM695"/>
      <c r="AN695"/>
      <c r="AO695"/>
      <c r="AP695"/>
      <c r="AQ695"/>
    </row>
    <row r="696" spans="1:43">
      <c r="A696" s="13"/>
      <c r="B696" s="14" t="s">
        <v>148</v>
      </c>
      <c r="C696" s="14">
        <f>'Feed products'!AB823</f>
        <v>2.7399999999999998</v>
      </c>
      <c r="D696" s="14">
        <f>'Feed products'!$Z$800</f>
        <v>6.2200000000000006</v>
      </c>
      <c r="E696" s="14"/>
      <c r="F696" s="14"/>
      <c r="G696" s="14"/>
      <c r="H696" s="14"/>
      <c r="I696" s="14"/>
      <c r="J696" s="14"/>
      <c r="K696" s="14"/>
      <c r="L696" s="14"/>
      <c r="M696" s="14"/>
      <c r="N696" s="14"/>
      <c r="O696" s="14"/>
      <c r="P696" s="14"/>
      <c r="Q696" s="14"/>
      <c r="R696" s="14"/>
      <c r="S696" s="14">
        <v>5.3</v>
      </c>
      <c r="T696" s="14"/>
      <c r="U696" s="14"/>
      <c r="V696"/>
      <c r="W696" s="115"/>
      <c r="X696"/>
      <c r="Y696"/>
      <c r="Z696"/>
      <c r="AA696"/>
      <c r="AB696"/>
      <c r="AC696"/>
      <c r="AD696"/>
      <c r="AE696"/>
      <c r="AF696"/>
      <c r="AG696"/>
      <c r="AH696"/>
      <c r="AI696"/>
      <c r="AJ696"/>
      <c r="AK696"/>
      <c r="AL696"/>
      <c r="AM696"/>
      <c r="AN696"/>
      <c r="AO696"/>
      <c r="AP696"/>
      <c r="AQ696"/>
    </row>
    <row r="697" spans="1:43">
      <c r="A697" s="13"/>
      <c r="B697" s="14" t="s">
        <v>130</v>
      </c>
      <c r="C697" s="1109">
        <f>'Feed products'!AB815</f>
        <v>15.920000000000002</v>
      </c>
      <c r="D697" s="14">
        <f>'Feed products'!$Z$800</f>
        <v>6.2200000000000006</v>
      </c>
      <c r="E697" s="14" t="s">
        <v>1601</v>
      </c>
      <c r="F697" s="14"/>
      <c r="G697" s="14"/>
      <c r="H697" s="14" t="s">
        <v>1602</v>
      </c>
      <c r="I697" s="14"/>
      <c r="J697" s="14"/>
      <c r="K697" s="14"/>
      <c r="L697" s="14"/>
      <c r="M697" s="14"/>
      <c r="N697" s="14"/>
      <c r="O697" s="14"/>
      <c r="P697" s="14"/>
      <c r="Q697" s="14"/>
      <c r="R697" s="14"/>
      <c r="S697" s="14">
        <v>0.7</v>
      </c>
      <c r="T697" s="14"/>
      <c r="U697" s="14"/>
      <c r="V697" s="114"/>
      <c r="W697"/>
      <c r="X697"/>
      <c r="Y697"/>
      <c r="Z697"/>
      <c r="AA697"/>
      <c r="AB697"/>
      <c r="AC697"/>
      <c r="AD697"/>
      <c r="AE697"/>
      <c r="AF697"/>
      <c r="AG697"/>
      <c r="AH697"/>
      <c r="AI697"/>
      <c r="AJ697"/>
      <c r="AK697"/>
      <c r="AL697"/>
      <c r="AM697"/>
      <c r="AN697"/>
      <c r="AO697"/>
      <c r="AP697"/>
      <c r="AQ697"/>
    </row>
    <row r="698" spans="1:43">
      <c r="A698" s="13"/>
      <c r="B698" s="14"/>
      <c r="C698" s="14">
        <f>'Feed products'!AB815</f>
        <v>15.920000000000002</v>
      </c>
      <c r="D698" s="14">
        <f>'Feed products'!$Z$800</f>
        <v>6.2200000000000006</v>
      </c>
      <c r="E698" s="14" t="s">
        <v>1601</v>
      </c>
      <c r="F698" s="14"/>
      <c r="G698" s="14"/>
      <c r="H698" s="14" t="s">
        <v>1602</v>
      </c>
      <c r="I698" s="14"/>
      <c r="J698" s="14"/>
      <c r="K698" s="14"/>
      <c r="L698" s="14"/>
      <c r="M698" s="14"/>
      <c r="N698" s="14"/>
      <c r="O698" s="14"/>
      <c r="P698" s="14"/>
      <c r="Q698" s="14"/>
      <c r="R698" s="14"/>
      <c r="S698" s="14">
        <v>0.7</v>
      </c>
      <c r="T698" s="14"/>
      <c r="U698" s="14"/>
      <c r="V698" s="114"/>
      <c r="W698"/>
      <c r="X698"/>
      <c r="Y698"/>
      <c r="Z698"/>
      <c r="AA698"/>
      <c r="AB698"/>
      <c r="AC698"/>
      <c r="AD698"/>
      <c r="AE698"/>
      <c r="AF698"/>
      <c r="AG698"/>
      <c r="AH698"/>
      <c r="AI698"/>
      <c r="AJ698"/>
      <c r="AK698"/>
      <c r="AL698"/>
      <c r="AM698"/>
      <c r="AN698"/>
      <c r="AO698"/>
      <c r="AP698"/>
      <c r="AQ698"/>
    </row>
    <row r="699" spans="1:43">
      <c r="A699" s="13"/>
      <c r="B699" s="14" t="s">
        <v>125</v>
      </c>
      <c r="C699" s="14"/>
      <c r="D699" s="14">
        <f>'Feed products'!$Z$800</f>
        <v>6.2200000000000006</v>
      </c>
      <c r="E699" s="14"/>
      <c r="F699" s="14"/>
      <c r="G699" s="14"/>
      <c r="H699" s="14"/>
      <c r="I699" s="14"/>
      <c r="J699" s="14"/>
      <c r="K699" s="14"/>
      <c r="L699" s="14"/>
      <c r="M699" s="14"/>
      <c r="N699" s="14"/>
      <c r="O699" s="14"/>
      <c r="P699" s="14"/>
      <c r="Q699" s="14"/>
      <c r="R699" s="14"/>
      <c r="S699" s="14">
        <v>0.2</v>
      </c>
      <c r="T699" s="14"/>
      <c r="U699" s="14"/>
      <c r="V699" s="114"/>
      <c r="W699"/>
      <c r="X699"/>
      <c r="Y699"/>
      <c r="Z699"/>
      <c r="AA699"/>
      <c r="AB699"/>
      <c r="AC699"/>
      <c r="AD699"/>
      <c r="AE699"/>
      <c r="AF699"/>
      <c r="AG699"/>
      <c r="AH699"/>
      <c r="AI699"/>
      <c r="AJ699"/>
      <c r="AK699"/>
      <c r="AL699"/>
      <c r="AM699"/>
      <c r="AN699"/>
      <c r="AO699"/>
      <c r="AP699"/>
      <c r="AQ699"/>
    </row>
    <row r="700" spans="1:43">
      <c r="A700" s="9" t="s">
        <v>48</v>
      </c>
      <c r="B700" s="10"/>
      <c r="C700" s="10"/>
      <c r="D700" s="10"/>
      <c r="E700" s="10"/>
      <c r="F700" s="10"/>
      <c r="G700" s="10"/>
      <c r="H700" s="10"/>
      <c r="I700" s="10"/>
      <c r="J700" s="10"/>
      <c r="K700" s="10"/>
      <c r="L700" s="10"/>
      <c r="M700" s="10"/>
      <c r="N700" s="10"/>
      <c r="O700" s="10"/>
      <c r="P700" s="10"/>
      <c r="Q700" s="10"/>
      <c r="R700" s="10"/>
      <c r="S700" s="10"/>
      <c r="T700" s="10"/>
      <c r="U700" s="10"/>
      <c r="V700" s="14"/>
      <c r="W700"/>
      <c r="X700"/>
      <c r="Y700"/>
      <c r="Z700"/>
      <c r="AA700"/>
      <c r="AB700"/>
      <c r="AC700"/>
      <c r="AD700"/>
      <c r="AE700"/>
      <c r="AF700"/>
      <c r="AG700"/>
      <c r="AH700"/>
      <c r="AI700"/>
      <c r="AJ700"/>
      <c r="AK700"/>
      <c r="AL700"/>
      <c r="AM700"/>
      <c r="AN700"/>
      <c r="AO700"/>
      <c r="AP700"/>
      <c r="AQ700"/>
    </row>
    <row r="701" spans="1:43">
      <c r="A701" s="13"/>
      <c r="B701" s="14" t="s">
        <v>130</v>
      </c>
      <c r="C701" s="14">
        <f>'Feed products'!AB815</f>
        <v>15.920000000000002</v>
      </c>
      <c r="D701" s="14">
        <f>'Feed products'!$Z$802</f>
        <v>50.620000000000005</v>
      </c>
      <c r="E701" s="14"/>
      <c r="F701" s="14"/>
      <c r="G701" s="14"/>
      <c r="H701" s="14"/>
      <c r="I701" s="14"/>
      <c r="J701" s="14"/>
      <c r="K701" s="14"/>
      <c r="L701" s="14"/>
      <c r="M701" s="14"/>
      <c r="N701" s="14"/>
      <c r="O701" s="14"/>
      <c r="P701" s="14"/>
      <c r="Q701" s="14"/>
      <c r="R701" s="14"/>
      <c r="S701" s="14">
        <v>0.8</v>
      </c>
      <c r="T701" s="14"/>
      <c r="U701" s="14"/>
      <c r="V701" s="114"/>
      <c r="W701"/>
      <c r="X701"/>
      <c r="Y701"/>
      <c r="Z701"/>
      <c r="AA701"/>
      <c r="AB701"/>
      <c r="AC701"/>
      <c r="AD701"/>
      <c r="AE701"/>
      <c r="AF701"/>
      <c r="AG701"/>
      <c r="AH701"/>
      <c r="AI701"/>
      <c r="AJ701"/>
      <c r="AK701"/>
      <c r="AL701"/>
      <c r="AM701"/>
      <c r="AN701"/>
      <c r="AO701"/>
      <c r="AP701"/>
      <c r="AQ701"/>
    </row>
    <row r="702" spans="1:43">
      <c r="A702" s="13"/>
      <c r="B702" s="14" t="s">
        <v>125</v>
      </c>
      <c r="C702" s="14"/>
      <c r="D702" s="14">
        <f>'Feed products'!$Z$802</f>
        <v>50.620000000000005</v>
      </c>
      <c r="E702" s="14"/>
      <c r="F702" s="14"/>
      <c r="G702" s="14"/>
      <c r="H702" s="14"/>
      <c r="I702" s="14"/>
      <c r="J702" s="14"/>
      <c r="K702" s="14"/>
      <c r="L702" s="14"/>
      <c r="M702" s="14"/>
      <c r="N702" s="14"/>
      <c r="O702" s="14"/>
      <c r="P702" s="14"/>
      <c r="Q702" s="14"/>
      <c r="R702" s="14"/>
      <c r="S702" s="14">
        <v>0.7</v>
      </c>
      <c r="T702" s="14"/>
      <c r="U702" s="14"/>
      <c r="V702" s="115"/>
      <c r="W702"/>
      <c r="X702"/>
      <c r="Y702"/>
      <c r="Z702"/>
      <c r="AA702"/>
      <c r="AB702"/>
      <c r="AC702"/>
      <c r="AD702"/>
      <c r="AE702"/>
      <c r="AF702"/>
      <c r="AG702"/>
      <c r="AH702"/>
      <c r="AI702"/>
      <c r="AJ702"/>
      <c r="AK702"/>
      <c r="AL702"/>
      <c r="AM702"/>
      <c r="AN702"/>
      <c r="AO702"/>
      <c r="AP702"/>
      <c r="AQ702"/>
    </row>
    <row r="703" spans="1:43">
      <c r="A703" s="9" t="s">
        <v>60</v>
      </c>
      <c r="B703" s="10"/>
      <c r="C703" s="10"/>
      <c r="D703" s="10"/>
      <c r="E703" s="10"/>
      <c r="F703" s="10"/>
      <c r="G703" s="10"/>
      <c r="H703" s="10"/>
      <c r="I703" s="10"/>
      <c r="J703" s="10"/>
      <c r="K703" s="10"/>
      <c r="L703" s="10"/>
      <c r="M703" s="10"/>
      <c r="N703" s="10"/>
      <c r="O703" s="10"/>
      <c r="P703" s="10"/>
      <c r="Q703" s="10"/>
      <c r="R703" s="10"/>
      <c r="S703" s="10"/>
      <c r="T703" s="10"/>
      <c r="U703" s="10"/>
      <c r="V703" s="14"/>
      <c r="W703"/>
      <c r="X703"/>
      <c r="Y703"/>
      <c r="Z703"/>
      <c r="AA703"/>
      <c r="AB703"/>
      <c r="AC703"/>
      <c r="AD703"/>
      <c r="AE703"/>
      <c r="AF703"/>
      <c r="AG703"/>
      <c r="AH703"/>
      <c r="AI703"/>
      <c r="AJ703"/>
      <c r="AK703"/>
      <c r="AL703"/>
      <c r="AM703"/>
      <c r="AN703"/>
      <c r="AO703"/>
      <c r="AP703"/>
      <c r="AQ703"/>
    </row>
    <row r="704" spans="1:43">
      <c r="A704" s="13"/>
      <c r="B704" s="14" t="s">
        <v>125</v>
      </c>
      <c r="C704" s="14"/>
      <c r="D704" s="14">
        <f>'Feed products'!$Z$802</f>
        <v>50.620000000000005</v>
      </c>
      <c r="E704" s="14"/>
      <c r="F704" s="14"/>
      <c r="G704" s="14"/>
      <c r="H704" s="14"/>
      <c r="I704" s="14"/>
      <c r="J704" s="14"/>
      <c r="K704" s="14"/>
      <c r="L704" s="14"/>
      <c r="M704" s="14"/>
      <c r="N704" s="14"/>
      <c r="O704" s="14"/>
      <c r="P704" s="14"/>
      <c r="Q704" s="14"/>
      <c r="R704" s="14"/>
      <c r="S704" s="14">
        <v>3.9</v>
      </c>
      <c r="T704" s="14"/>
      <c r="U704" s="14"/>
      <c r="V704" s="114"/>
      <c r="W704"/>
      <c r="X704"/>
      <c r="Y704"/>
      <c r="Z704"/>
      <c r="AA704"/>
      <c r="AB704"/>
      <c r="AC704"/>
      <c r="AD704"/>
      <c r="AE704"/>
      <c r="AF704"/>
      <c r="AG704"/>
      <c r="AH704"/>
      <c r="AI704"/>
      <c r="AJ704"/>
      <c r="AK704"/>
      <c r="AL704"/>
      <c r="AM704"/>
      <c r="AN704"/>
      <c r="AO704"/>
      <c r="AP704"/>
      <c r="AQ704"/>
    </row>
    <row r="705" spans="1:43">
      <c r="A705" s="9" t="s">
        <v>66</v>
      </c>
      <c r="B705" s="10"/>
      <c r="C705" s="10"/>
      <c r="D705" s="10"/>
      <c r="E705" s="10"/>
      <c r="F705" s="10"/>
      <c r="G705" s="10"/>
      <c r="H705" s="10"/>
      <c r="I705" s="10"/>
      <c r="J705" s="10"/>
      <c r="K705" s="10"/>
      <c r="L705" s="10"/>
      <c r="M705" s="10"/>
      <c r="N705" s="10"/>
      <c r="O705" s="10"/>
      <c r="P705" s="10"/>
      <c r="Q705" s="10"/>
      <c r="R705" s="10"/>
      <c r="S705" s="10"/>
      <c r="T705" s="10"/>
      <c r="U705" s="10"/>
      <c r="V705" s="14"/>
      <c r="W705"/>
      <c r="X705"/>
      <c r="Y705"/>
      <c r="Z705"/>
      <c r="AA705"/>
      <c r="AB705"/>
      <c r="AC705"/>
      <c r="AD705"/>
      <c r="AE705"/>
      <c r="AF705"/>
      <c r="AG705"/>
      <c r="AH705"/>
      <c r="AI705"/>
      <c r="AJ705"/>
      <c r="AK705"/>
      <c r="AL705"/>
      <c r="AM705"/>
      <c r="AN705"/>
      <c r="AO705"/>
      <c r="AP705"/>
      <c r="AQ705"/>
    </row>
    <row r="706" spans="1:43">
      <c r="A706" s="13"/>
      <c r="B706" s="14" t="s">
        <v>148</v>
      </c>
      <c r="C706" s="14">
        <f>'Feed products'!AB823</f>
        <v>2.7399999999999998</v>
      </c>
      <c r="D706" s="14">
        <f>'Feed products'!$Z$802</f>
        <v>50.620000000000005</v>
      </c>
      <c r="E706" s="1110">
        <f>(1.5+1.3+0.6+0.6+0.7+2+0.75+1.2+3.75+7.5+4+8.25+3.5+3+0.75+0.5+0.25+0.125)/(AVERAGE(55700,47400))</f>
        <v>7.8128031037827351E-4</v>
      </c>
      <c r="F706" s="1110"/>
      <c r="G706" s="1110"/>
      <c r="H706" s="14"/>
      <c r="I706" s="14"/>
      <c r="J706" s="14"/>
      <c r="K706" s="14"/>
      <c r="L706" s="14"/>
      <c r="M706" s="14"/>
      <c r="N706" s="14"/>
      <c r="O706" s="14"/>
      <c r="P706" s="14"/>
      <c r="Q706" s="14"/>
      <c r="R706" s="14"/>
      <c r="S706" s="14"/>
      <c r="T706" s="29"/>
      <c r="U706" s="29"/>
      <c r="V706" s="114" t="s">
        <v>1603</v>
      </c>
      <c r="W706"/>
      <c r="X706"/>
      <c r="Y706"/>
      <c r="Z706"/>
      <c r="AA706"/>
      <c r="AB706"/>
      <c r="AC706"/>
      <c r="AD706"/>
      <c r="AE706"/>
      <c r="AF706"/>
      <c r="AG706"/>
      <c r="AH706"/>
      <c r="AI706"/>
      <c r="AJ706"/>
      <c r="AK706"/>
      <c r="AL706"/>
      <c r="AM706"/>
      <c r="AN706"/>
      <c r="AO706"/>
      <c r="AP706"/>
      <c r="AQ706"/>
    </row>
    <row r="707" spans="1:43">
      <c r="A707" s="13"/>
      <c r="B707" s="14" t="s">
        <v>125</v>
      </c>
      <c r="C707" s="14"/>
      <c r="D707" s="14">
        <f>'Feed products'!$Z$802</f>
        <v>50.620000000000005</v>
      </c>
      <c r="E707" s="14"/>
      <c r="F707" s="14"/>
      <c r="G707" s="14"/>
      <c r="H707" s="14"/>
      <c r="I707" s="14"/>
      <c r="J707" s="14"/>
      <c r="K707" s="14"/>
      <c r="L707" s="14"/>
      <c r="M707" s="14"/>
      <c r="N707" s="14"/>
      <c r="O707" s="14"/>
      <c r="P707" s="14"/>
      <c r="Q707" s="14"/>
      <c r="R707" s="14"/>
      <c r="S707" s="14">
        <v>4.3</v>
      </c>
      <c r="T707" s="14"/>
      <c r="U707" s="14"/>
      <c r="V707" s="114"/>
      <c r="W707"/>
      <c r="X707"/>
      <c r="Y707"/>
      <c r="Z707"/>
      <c r="AA707"/>
      <c r="AB707"/>
      <c r="AC707"/>
      <c r="AD707"/>
      <c r="AE707"/>
      <c r="AF707"/>
      <c r="AG707"/>
      <c r="AH707"/>
      <c r="AI707"/>
      <c r="AJ707"/>
      <c r="AK707"/>
      <c r="AL707"/>
      <c r="AM707"/>
      <c r="AN707"/>
      <c r="AO707"/>
      <c r="AP707"/>
      <c r="AQ707"/>
    </row>
    <row r="708" spans="1:43">
      <c r="A708" s="9" t="s">
        <v>72</v>
      </c>
      <c r="B708" s="10"/>
      <c r="C708" s="10"/>
      <c r="D708" s="10"/>
      <c r="E708" s="10"/>
      <c r="F708" s="10"/>
      <c r="G708" s="10"/>
      <c r="H708" s="10"/>
      <c r="I708" s="10"/>
      <c r="J708" s="10"/>
      <c r="K708" s="10"/>
      <c r="L708" s="10"/>
      <c r="M708" s="10"/>
      <c r="N708" s="10"/>
      <c r="O708" s="10"/>
      <c r="P708" s="10"/>
      <c r="Q708" s="10"/>
      <c r="R708" s="10"/>
      <c r="S708" s="10"/>
      <c r="T708" s="10"/>
      <c r="U708" s="10"/>
      <c r="V708" s="14"/>
      <c r="W708"/>
      <c r="X708"/>
      <c r="Y708"/>
      <c r="Z708"/>
      <c r="AA708"/>
      <c r="AB708"/>
      <c r="AC708"/>
      <c r="AD708"/>
      <c r="AE708"/>
      <c r="AF708"/>
      <c r="AG708"/>
      <c r="AH708"/>
      <c r="AI708"/>
      <c r="AJ708"/>
      <c r="AK708"/>
      <c r="AL708"/>
      <c r="AM708"/>
      <c r="AN708"/>
      <c r="AO708"/>
      <c r="AP708"/>
      <c r="AQ708"/>
    </row>
    <row r="709" spans="1:43">
      <c r="A709" s="13"/>
      <c r="B709" s="14" t="s">
        <v>148</v>
      </c>
      <c r="C709" s="14">
        <f>'Feed products'!AB823</f>
        <v>2.7399999999999998</v>
      </c>
      <c r="D709" s="14">
        <f>'Feed products'!$Z$802</f>
        <v>50.620000000000005</v>
      </c>
      <c r="E709" s="1056">
        <f>AVERAGE(((1.2+0.3+1+0.4+1.5+0.2+1.2)/45000),((1+1+1.5+2+2.1+0.6+1.5+0.8+1+0.8+1.75+0.4+1.2)/45000),((1+1+1.5+4+2.4+0.6+0.75+0.6+2+0.8+1.5+0.4+1.2)/40000))</f>
        <v>3.0680555555555555E-4</v>
      </c>
      <c r="F709" s="1056"/>
      <c r="G709" s="1056"/>
      <c r="H709" s="14"/>
      <c r="I709" s="14"/>
      <c r="J709" s="14"/>
      <c r="K709" s="14"/>
      <c r="L709" s="14"/>
      <c r="M709" s="14"/>
      <c r="N709" s="14"/>
      <c r="O709" s="14"/>
      <c r="P709" s="14"/>
      <c r="Q709" s="14"/>
      <c r="R709" s="14"/>
      <c r="S709" s="14"/>
      <c r="T709" s="29"/>
      <c r="U709" s="29"/>
      <c r="V709" s="114" t="s">
        <v>1603</v>
      </c>
      <c r="W709"/>
      <c r="X709"/>
      <c r="Y709"/>
      <c r="Z709"/>
      <c r="AA709"/>
      <c r="AB709"/>
      <c r="AC709"/>
      <c r="AD709"/>
      <c r="AE709"/>
      <c r="AF709"/>
      <c r="AG709"/>
      <c r="AH709"/>
      <c r="AI709"/>
      <c r="AJ709"/>
      <c r="AK709"/>
      <c r="AL709"/>
      <c r="AM709"/>
      <c r="AN709"/>
      <c r="AO709"/>
      <c r="AP709"/>
      <c r="AQ709"/>
    </row>
    <row r="710" spans="1:43">
      <c r="A710" s="13"/>
      <c r="B710" s="14" t="s">
        <v>125</v>
      </c>
      <c r="C710" s="14"/>
      <c r="D710" s="14">
        <f>'Feed products'!$Z$802</f>
        <v>50.620000000000005</v>
      </c>
      <c r="E710" s="14"/>
      <c r="F710" s="14"/>
      <c r="G710" s="14"/>
      <c r="H710" s="14"/>
      <c r="I710" s="14"/>
      <c r="J710" s="14"/>
      <c r="K710" s="14"/>
      <c r="L710" s="14"/>
      <c r="M710" s="14"/>
      <c r="N710" s="14"/>
      <c r="O710" s="14"/>
      <c r="P710" s="14"/>
      <c r="Q710" s="14"/>
      <c r="R710" s="14"/>
      <c r="S710" s="14"/>
      <c r="T710" s="14"/>
      <c r="U710" s="14"/>
      <c r="V710" s="114"/>
      <c r="W710"/>
      <c r="X710"/>
      <c r="Y710"/>
      <c r="Z710"/>
      <c r="AA710"/>
      <c r="AB710"/>
      <c r="AC710"/>
      <c r="AD710"/>
      <c r="AE710"/>
      <c r="AF710"/>
      <c r="AG710"/>
      <c r="AH710"/>
      <c r="AI710"/>
      <c r="AJ710"/>
      <c r="AK710"/>
      <c r="AL710"/>
      <c r="AM710"/>
      <c r="AN710"/>
      <c r="AO710"/>
      <c r="AP710"/>
      <c r="AQ710"/>
    </row>
    <row r="711" spans="1:43">
      <c r="A711" s="9" t="s">
        <v>82</v>
      </c>
      <c r="B711" s="10"/>
      <c r="C711" s="10"/>
      <c r="D711" s="10"/>
      <c r="E711" s="10"/>
      <c r="F711" s="10"/>
      <c r="G711" s="10"/>
      <c r="H711" s="10"/>
      <c r="I711" s="10"/>
      <c r="J711" s="10"/>
      <c r="K711" s="10"/>
      <c r="L711" s="10"/>
      <c r="M711" s="10"/>
      <c r="N711" s="10"/>
      <c r="O711" s="10"/>
      <c r="P711" s="10"/>
      <c r="Q711" s="10"/>
      <c r="R711" s="10"/>
      <c r="S711" s="10"/>
      <c r="T711" s="10"/>
      <c r="U711" s="10"/>
      <c r="V711" s="14"/>
      <c r="W711"/>
      <c r="X711"/>
      <c r="Y711"/>
      <c r="Z711"/>
      <c r="AA711"/>
      <c r="AB711"/>
      <c r="AC711"/>
      <c r="AD711"/>
      <c r="AE711"/>
      <c r="AF711"/>
      <c r="AG711"/>
      <c r="AH711"/>
      <c r="AI711"/>
      <c r="AJ711"/>
      <c r="AK711"/>
      <c r="AL711"/>
      <c r="AM711"/>
      <c r="AN711"/>
      <c r="AO711"/>
      <c r="AP711"/>
      <c r="AQ711"/>
    </row>
    <row r="712" spans="1:43">
      <c r="A712" s="13"/>
      <c r="B712" s="14" t="s">
        <v>199</v>
      </c>
      <c r="C712" s="14">
        <f>'Feed products'!AB810</f>
        <v>2.16</v>
      </c>
      <c r="D712" s="14">
        <f>'Feed products'!$Z$799</f>
        <v>1.5399999999999998</v>
      </c>
      <c r="E712" s="14"/>
      <c r="F712" s="14"/>
      <c r="G712" s="14"/>
      <c r="H712" s="14"/>
      <c r="I712" s="14"/>
      <c r="J712" s="14"/>
      <c r="K712" s="14"/>
      <c r="L712" s="14"/>
      <c r="M712" s="14"/>
      <c r="N712" s="14"/>
      <c r="O712" s="14"/>
      <c r="P712" s="14"/>
      <c r="Q712" s="14"/>
      <c r="R712" s="14"/>
      <c r="S712" s="14">
        <v>7.1</v>
      </c>
      <c r="T712" s="14"/>
      <c r="U712" s="14"/>
      <c r="V712" s="114"/>
      <c r="W712"/>
      <c r="X712"/>
      <c r="Y712"/>
      <c r="Z712"/>
      <c r="AA712"/>
      <c r="AB712"/>
      <c r="AC712"/>
      <c r="AD712"/>
      <c r="AE712"/>
      <c r="AF712"/>
      <c r="AG712"/>
      <c r="AH712"/>
      <c r="AI712"/>
      <c r="AJ712"/>
      <c r="AK712"/>
      <c r="AL712"/>
      <c r="AM712"/>
      <c r="AN712"/>
      <c r="AO712"/>
      <c r="AP712"/>
      <c r="AQ712"/>
    </row>
    <row r="713" spans="1:43">
      <c r="A713" s="13"/>
      <c r="B713" s="14" t="s">
        <v>125</v>
      </c>
      <c r="C713" s="14"/>
      <c r="D713" s="14">
        <f>'Feed products'!$Z$799</f>
        <v>1.5399999999999998</v>
      </c>
      <c r="E713" s="14"/>
      <c r="F713" s="14"/>
      <c r="G713" s="14"/>
      <c r="H713" s="14"/>
      <c r="I713" s="14"/>
      <c r="J713" s="14"/>
      <c r="K713" s="14"/>
      <c r="L713" s="14"/>
      <c r="M713" s="14"/>
      <c r="N713" s="14"/>
      <c r="O713" s="14"/>
      <c r="P713" s="14"/>
      <c r="Q713" s="14"/>
      <c r="R713" s="14"/>
      <c r="S713" s="14">
        <v>3.6</v>
      </c>
      <c r="T713" s="14"/>
      <c r="U713" s="14"/>
      <c r="V713" s="114"/>
      <c r="W713"/>
      <c r="X713"/>
      <c r="Y713"/>
      <c r="Z713"/>
      <c r="AA713"/>
      <c r="AB713"/>
      <c r="AC713"/>
      <c r="AD713"/>
      <c r="AE713"/>
      <c r="AF713"/>
      <c r="AG713"/>
      <c r="AH713"/>
      <c r="AI713"/>
      <c r="AJ713"/>
      <c r="AK713"/>
      <c r="AL713"/>
      <c r="AM713"/>
      <c r="AN713"/>
      <c r="AO713"/>
      <c r="AP713"/>
      <c r="AQ713"/>
    </row>
    <row r="714" spans="1:43">
      <c r="A714" s="9" t="s">
        <v>86</v>
      </c>
      <c r="B714" s="10"/>
      <c r="C714" s="10"/>
      <c r="D714" s="10"/>
      <c r="E714" s="10"/>
      <c r="F714" s="10"/>
      <c r="G714" s="10"/>
      <c r="H714" s="10"/>
      <c r="I714" s="10"/>
      <c r="J714" s="10"/>
      <c r="K714" s="10"/>
      <c r="L714" s="10"/>
      <c r="M714" s="10"/>
      <c r="N714" s="10"/>
      <c r="O714" s="10"/>
      <c r="P714" s="10"/>
      <c r="Q714" s="10"/>
      <c r="R714" s="10"/>
      <c r="S714" s="10"/>
      <c r="T714" s="10"/>
      <c r="U714" s="10"/>
      <c r="V714" s="14"/>
      <c r="W714"/>
      <c r="X714"/>
      <c r="Y714"/>
      <c r="Z714"/>
      <c r="AA714"/>
      <c r="AB714"/>
      <c r="AC714"/>
      <c r="AD714"/>
      <c r="AE714"/>
      <c r="AF714"/>
      <c r="AG714"/>
      <c r="AH714"/>
      <c r="AI714"/>
      <c r="AJ714"/>
      <c r="AK714"/>
      <c r="AL714"/>
      <c r="AM714"/>
      <c r="AN714"/>
      <c r="AO714"/>
      <c r="AP714"/>
      <c r="AQ714"/>
    </row>
    <row r="715" spans="1:43">
      <c r="A715" s="13"/>
      <c r="B715" s="14" t="s">
        <v>130</v>
      </c>
      <c r="C715" s="14">
        <f>'Feed products'!AB815</f>
        <v>15.920000000000002</v>
      </c>
      <c r="D715" s="14">
        <f>'Feed products'!$Z$799</f>
        <v>1.5399999999999998</v>
      </c>
      <c r="E715" s="14"/>
      <c r="F715" s="14"/>
      <c r="G715" s="14"/>
      <c r="H715" s="14"/>
      <c r="I715" s="14"/>
      <c r="J715" s="14"/>
      <c r="K715" s="14"/>
      <c r="L715" s="14"/>
      <c r="M715" s="14"/>
      <c r="N715" s="14"/>
      <c r="O715" s="14"/>
      <c r="P715" s="14"/>
      <c r="Q715" s="14"/>
      <c r="R715" s="14"/>
      <c r="S715" s="14">
        <v>2</v>
      </c>
      <c r="T715" s="14"/>
      <c r="U715" s="14"/>
      <c r="V715" s="114"/>
      <c r="W715"/>
      <c r="X715"/>
      <c r="Y715"/>
      <c r="Z715"/>
      <c r="AA715"/>
      <c r="AB715"/>
      <c r="AC715"/>
      <c r="AD715"/>
      <c r="AE715"/>
      <c r="AF715"/>
      <c r="AG715"/>
      <c r="AH715"/>
      <c r="AI715"/>
      <c r="AJ715"/>
      <c r="AK715"/>
      <c r="AL715"/>
      <c r="AM715"/>
      <c r="AN715"/>
      <c r="AO715"/>
      <c r="AP715"/>
      <c r="AQ715"/>
    </row>
    <row r="716" spans="1:43">
      <c r="A716" s="13"/>
      <c r="B716" s="14" t="s">
        <v>161</v>
      </c>
      <c r="C716" s="14">
        <f>'Feed products'!AB816</f>
        <v>7.8199999999999985</v>
      </c>
      <c r="D716" s="14">
        <f>'Feed products'!$Z$799</f>
        <v>1.5399999999999998</v>
      </c>
      <c r="E716" s="14"/>
      <c r="F716" s="14"/>
      <c r="G716" s="14"/>
      <c r="H716" s="14"/>
      <c r="I716" s="14"/>
      <c r="J716" s="14"/>
      <c r="K716" s="14"/>
      <c r="L716" s="14"/>
      <c r="M716" s="14"/>
      <c r="N716" s="14"/>
      <c r="O716" s="14"/>
      <c r="P716" s="14"/>
      <c r="Q716" s="14"/>
      <c r="R716" s="14"/>
      <c r="S716" s="14">
        <v>2</v>
      </c>
      <c r="T716" s="14"/>
      <c r="U716" s="14"/>
      <c r="V716" s="114"/>
      <c r="W716"/>
      <c r="X716"/>
      <c r="Y716"/>
      <c r="Z716"/>
      <c r="AA716"/>
      <c r="AB716"/>
      <c r="AC716"/>
      <c r="AD716"/>
      <c r="AE716"/>
      <c r="AF716"/>
      <c r="AG716"/>
      <c r="AH716"/>
      <c r="AI716"/>
      <c r="AJ716"/>
      <c r="AK716"/>
      <c r="AL716"/>
      <c r="AM716"/>
      <c r="AN716"/>
      <c r="AO716"/>
      <c r="AP716"/>
      <c r="AQ716"/>
    </row>
    <row r="717" spans="1:43">
      <c r="A717" s="13"/>
      <c r="B717" s="14" t="s">
        <v>125</v>
      </c>
      <c r="C717" s="14"/>
      <c r="D717" s="14">
        <f>'Feed products'!$Z$799</f>
        <v>1.5399999999999998</v>
      </c>
      <c r="E717" s="14"/>
      <c r="F717" s="14"/>
      <c r="G717" s="14"/>
      <c r="H717" s="14"/>
      <c r="I717" s="14"/>
      <c r="J717" s="14"/>
      <c r="K717" s="14"/>
      <c r="L717" s="14"/>
      <c r="M717" s="14"/>
      <c r="N717" s="14"/>
      <c r="O717" s="14"/>
      <c r="P717" s="14"/>
      <c r="Q717" s="14"/>
      <c r="R717" s="14"/>
      <c r="S717" s="14">
        <v>2</v>
      </c>
      <c r="T717" s="14"/>
      <c r="U717" s="14"/>
      <c r="V717" s="114"/>
      <c r="W717"/>
      <c r="X717"/>
      <c r="Y717"/>
      <c r="Z717"/>
      <c r="AA717"/>
      <c r="AB717"/>
      <c r="AC717"/>
      <c r="AD717"/>
      <c r="AE717"/>
      <c r="AF717"/>
      <c r="AG717"/>
      <c r="AH717"/>
      <c r="AI717"/>
      <c r="AJ717"/>
      <c r="AK717"/>
      <c r="AL717"/>
      <c r="AM717"/>
      <c r="AN717"/>
      <c r="AO717"/>
      <c r="AP717"/>
      <c r="AQ717"/>
    </row>
    <row r="718" spans="1:43">
      <c r="A718" s="9" t="s">
        <v>78</v>
      </c>
      <c r="B718" s="10"/>
      <c r="C718" s="10"/>
      <c r="D718" s="10"/>
      <c r="E718" s="10"/>
      <c r="F718" s="10"/>
      <c r="G718" s="10"/>
      <c r="H718" s="10"/>
      <c r="I718" s="10"/>
      <c r="J718" s="10"/>
      <c r="K718" s="10"/>
      <c r="L718" s="10"/>
      <c r="M718" s="10"/>
      <c r="N718" s="10"/>
      <c r="O718" s="10"/>
      <c r="P718" s="10"/>
      <c r="Q718" s="10"/>
      <c r="R718" s="10"/>
      <c r="S718" s="10"/>
      <c r="T718" s="10"/>
      <c r="U718" s="10"/>
      <c r="V718" s="14"/>
      <c r="W718"/>
      <c r="X718"/>
      <c r="Y718"/>
      <c r="Z718"/>
      <c r="AA718"/>
      <c r="AB718"/>
      <c r="AC718"/>
      <c r="AD718"/>
      <c r="AE718"/>
      <c r="AF718"/>
      <c r="AG718"/>
      <c r="AH718"/>
      <c r="AI718"/>
      <c r="AJ718"/>
      <c r="AK718"/>
      <c r="AL718"/>
      <c r="AM718"/>
      <c r="AN718"/>
      <c r="AO718"/>
      <c r="AP718"/>
      <c r="AQ718"/>
    </row>
    <row r="719" spans="1:43">
      <c r="A719" s="13"/>
      <c r="B719" s="14" t="s">
        <v>130</v>
      </c>
      <c r="C719" s="14">
        <f>'Feed products'!AB815</f>
        <v>15.920000000000002</v>
      </c>
      <c r="D719" s="14">
        <f>'Feed products'!$Z$799</f>
        <v>1.5399999999999998</v>
      </c>
      <c r="E719" s="14"/>
      <c r="F719" s="14"/>
      <c r="G719" s="14"/>
      <c r="H719" s="14"/>
      <c r="I719" s="14"/>
      <c r="J719" s="14"/>
      <c r="K719" s="14"/>
      <c r="L719" s="14"/>
      <c r="M719" s="14"/>
      <c r="N719" s="14"/>
      <c r="O719" s="14"/>
      <c r="P719" s="14"/>
      <c r="Q719" s="14"/>
      <c r="R719" s="14"/>
      <c r="S719" s="14">
        <v>2.7</v>
      </c>
      <c r="T719" s="14"/>
      <c r="U719" s="14"/>
      <c r="V719" s="114"/>
      <c r="W719"/>
      <c r="X719"/>
      <c r="Y719"/>
      <c r="Z719"/>
      <c r="AA719"/>
      <c r="AB719"/>
      <c r="AC719"/>
      <c r="AD719"/>
      <c r="AE719"/>
      <c r="AF719"/>
      <c r="AG719"/>
      <c r="AH719"/>
      <c r="AI719"/>
      <c r="AJ719"/>
      <c r="AK719"/>
      <c r="AL719"/>
      <c r="AM719"/>
      <c r="AN719"/>
      <c r="AO719"/>
      <c r="AP719"/>
      <c r="AQ719"/>
    </row>
    <row r="720" spans="1:43">
      <c r="A720" s="13"/>
      <c r="B720" s="14" t="s">
        <v>125</v>
      </c>
      <c r="C720" s="14"/>
      <c r="D720" s="14">
        <f>'Feed products'!$Z$799</f>
        <v>1.5399999999999998</v>
      </c>
      <c r="E720" s="14"/>
      <c r="F720" s="14"/>
      <c r="G720" s="14"/>
      <c r="H720" s="14"/>
      <c r="I720" s="14"/>
      <c r="J720" s="14"/>
      <c r="K720" s="14"/>
      <c r="L720" s="14"/>
      <c r="M720" s="14"/>
      <c r="N720" s="14"/>
      <c r="O720" s="14"/>
      <c r="P720" s="14"/>
      <c r="Q720" s="14"/>
      <c r="R720" s="14"/>
      <c r="S720" s="14">
        <v>2.8</v>
      </c>
      <c r="T720" s="14"/>
      <c r="U720" s="14"/>
      <c r="V720" s="114"/>
      <c r="W720"/>
      <c r="X720"/>
      <c r="Y720"/>
      <c r="Z720"/>
      <c r="AA720"/>
      <c r="AB720"/>
      <c r="AC720"/>
      <c r="AD720"/>
      <c r="AE720"/>
      <c r="AF720"/>
      <c r="AG720"/>
      <c r="AH720"/>
      <c r="AI720"/>
      <c r="AJ720"/>
      <c r="AK720"/>
      <c r="AL720"/>
      <c r="AM720"/>
      <c r="AN720"/>
      <c r="AO720"/>
      <c r="AP720"/>
      <c r="AQ720"/>
    </row>
    <row r="721" spans="1:43">
      <c r="A721" s="9" t="s">
        <v>28</v>
      </c>
      <c r="B721" s="10"/>
      <c r="C721" s="10"/>
      <c r="D721" s="10"/>
      <c r="E721" s="10"/>
      <c r="F721" s="10"/>
      <c r="G721" s="10"/>
      <c r="H721" s="10"/>
      <c r="I721" s="10"/>
      <c r="J721" s="10"/>
      <c r="K721" s="10"/>
      <c r="L721" s="10"/>
      <c r="M721" s="10"/>
      <c r="N721" s="10"/>
      <c r="O721" s="10"/>
      <c r="P721" s="10"/>
      <c r="Q721" s="10"/>
      <c r="R721" s="10"/>
      <c r="S721" s="10"/>
      <c r="T721" s="10"/>
      <c r="U721" s="10"/>
      <c r="V721" s="14"/>
      <c r="W721"/>
      <c r="X721"/>
      <c r="Y721"/>
      <c r="Z721"/>
      <c r="AA721"/>
      <c r="AB721"/>
      <c r="AC721"/>
      <c r="AD721"/>
      <c r="AE721"/>
      <c r="AF721"/>
      <c r="AG721"/>
      <c r="AH721"/>
      <c r="AI721"/>
      <c r="AJ721"/>
      <c r="AK721"/>
      <c r="AL721"/>
      <c r="AM721"/>
      <c r="AN721"/>
      <c r="AO721"/>
      <c r="AP721"/>
      <c r="AQ721"/>
    </row>
    <row r="722" spans="1:43">
      <c r="A722" s="13"/>
      <c r="B722" s="14" t="s">
        <v>123</v>
      </c>
      <c r="C722" s="14">
        <f>'Feed products'!AB819</f>
        <v>14.639999999999997</v>
      </c>
      <c r="D722" s="14">
        <f>'Feed products'!$Z$798</f>
        <v>7.2799999999999994</v>
      </c>
      <c r="E722" s="14"/>
      <c r="F722" s="14"/>
      <c r="G722" s="14"/>
      <c r="H722" s="14"/>
      <c r="I722" s="14"/>
      <c r="J722" s="14"/>
      <c r="K722" s="14"/>
      <c r="L722" s="14"/>
      <c r="M722" s="14"/>
      <c r="N722" s="14"/>
      <c r="O722" s="14"/>
      <c r="P722" s="14"/>
      <c r="Q722" s="14"/>
      <c r="R722" s="14"/>
      <c r="S722" s="14">
        <v>15.7</v>
      </c>
      <c r="T722" s="14">
        <v>15.3</v>
      </c>
      <c r="U722" s="1108">
        <f>15.3/40000</f>
        <v>3.8250000000000003E-4</v>
      </c>
      <c r="V722" s="114" t="s">
        <v>1604</v>
      </c>
      <c r="W722"/>
      <c r="X722"/>
      <c r="Y722"/>
      <c r="Z722"/>
      <c r="AA722"/>
      <c r="AB722"/>
      <c r="AC722"/>
      <c r="AD722"/>
      <c r="AE722"/>
      <c r="AF722"/>
      <c r="AG722"/>
      <c r="AH722"/>
      <c r="AI722"/>
      <c r="AJ722"/>
      <c r="AK722"/>
      <c r="AL722"/>
      <c r="AM722"/>
      <c r="AN722"/>
      <c r="AO722"/>
      <c r="AP722"/>
      <c r="AQ722"/>
    </row>
    <row r="723" spans="1:43">
      <c r="A723" s="13"/>
      <c r="B723" s="14" t="s">
        <v>125</v>
      </c>
      <c r="C723" s="14"/>
      <c r="D723" s="14">
        <f>'Feed products'!$Z$798</f>
        <v>7.2799999999999994</v>
      </c>
      <c r="E723" s="14"/>
      <c r="F723" s="14"/>
      <c r="G723" s="14"/>
      <c r="H723" s="14"/>
      <c r="I723" s="14"/>
      <c r="J723" s="14"/>
      <c r="K723" s="14"/>
      <c r="L723" s="14"/>
      <c r="M723" s="14"/>
      <c r="N723" s="14"/>
      <c r="O723" s="14"/>
      <c r="P723" s="14"/>
      <c r="Q723" s="14"/>
      <c r="R723" s="14"/>
      <c r="S723" s="14">
        <v>11.2</v>
      </c>
      <c r="T723" s="14"/>
      <c r="U723" s="14"/>
      <c r="V723" s="114"/>
      <c r="W723"/>
      <c r="X723"/>
      <c r="Y723"/>
      <c r="Z723"/>
      <c r="AA723"/>
      <c r="AB723"/>
      <c r="AC723"/>
      <c r="AD723"/>
      <c r="AE723"/>
      <c r="AF723"/>
      <c r="AG723"/>
      <c r="AH723"/>
      <c r="AI723"/>
      <c r="AJ723"/>
      <c r="AK723"/>
      <c r="AL723"/>
      <c r="AM723"/>
      <c r="AN723"/>
      <c r="AO723"/>
      <c r="AP723"/>
      <c r="AQ723"/>
    </row>
    <row r="724" spans="1:43">
      <c r="A724" s="9" t="s">
        <v>49</v>
      </c>
      <c r="B724" s="10" t="s">
        <v>131</v>
      </c>
      <c r="C724" s="10"/>
      <c r="D724" s="10"/>
      <c r="E724" s="10"/>
      <c r="F724" s="10"/>
      <c r="G724" s="10"/>
      <c r="H724" s="10"/>
      <c r="I724" s="10"/>
      <c r="J724" s="10"/>
      <c r="K724" s="10"/>
      <c r="L724" s="10"/>
      <c r="M724" s="10"/>
      <c r="N724" s="10"/>
      <c r="O724" s="10"/>
      <c r="P724" s="10"/>
      <c r="Q724" s="10"/>
      <c r="R724" s="10"/>
      <c r="S724" s="10">
        <v>63.6</v>
      </c>
      <c r="T724" s="113">
        <f>64.8</f>
        <v>64.8</v>
      </c>
      <c r="U724" s="1111">
        <f>64.8/52000</f>
        <v>1.2461538461538461E-3</v>
      </c>
      <c r="V724" s="114" t="s">
        <v>1605</v>
      </c>
      <c r="W724"/>
      <c r="X724"/>
      <c r="Y724"/>
      <c r="Z724"/>
      <c r="AA724"/>
      <c r="AB724"/>
      <c r="AC724"/>
      <c r="AD724"/>
      <c r="AE724"/>
      <c r="AF724"/>
      <c r="AG724"/>
      <c r="AH724"/>
      <c r="AI724"/>
      <c r="AJ724"/>
      <c r="AK724"/>
      <c r="AL724"/>
      <c r="AM724"/>
      <c r="AN724"/>
      <c r="AO724"/>
      <c r="AP724"/>
      <c r="AQ724"/>
    </row>
    <row r="725" spans="1:43">
      <c r="A725" s="13"/>
      <c r="B725" s="14" t="s">
        <v>132</v>
      </c>
      <c r="C725" s="14"/>
      <c r="D725" s="14"/>
      <c r="E725" s="29"/>
      <c r="F725" s="29"/>
      <c r="G725" s="29"/>
      <c r="H725" s="29"/>
      <c r="I725" s="29"/>
      <c r="J725" s="29"/>
      <c r="K725" s="29"/>
      <c r="L725" s="29"/>
      <c r="M725" s="29"/>
      <c r="N725" s="29"/>
      <c r="O725" s="29"/>
      <c r="P725" s="29"/>
      <c r="Q725" s="29"/>
      <c r="R725" s="29"/>
      <c r="S725" s="14">
        <v>16.399999999999999</v>
      </c>
      <c r="T725" s="53">
        <v>15.4</v>
      </c>
      <c r="U725" s="1108">
        <f>15.4/33000</f>
        <v>4.6666666666666666E-4</v>
      </c>
      <c r="V725" s="114" t="s">
        <v>1606</v>
      </c>
      <c r="W725"/>
      <c r="X725"/>
      <c r="Y725"/>
      <c r="Z725"/>
      <c r="AA725"/>
      <c r="AB725"/>
      <c r="AC725"/>
      <c r="AD725"/>
      <c r="AE725"/>
      <c r="AF725"/>
      <c r="AG725"/>
      <c r="AH725"/>
      <c r="AI725"/>
      <c r="AJ725"/>
      <c r="AK725"/>
      <c r="AL725"/>
      <c r="AM725"/>
      <c r="AN725"/>
      <c r="AO725"/>
      <c r="AP725"/>
      <c r="AQ725"/>
    </row>
    <row r="726" spans="1:43">
      <c r="A726" s="13"/>
      <c r="B726" s="14" t="s">
        <v>858</v>
      </c>
      <c r="C726" s="14"/>
      <c r="D726" s="14"/>
      <c r="E726" s="29"/>
      <c r="F726" s="29"/>
      <c r="G726" s="29"/>
      <c r="H726" s="29"/>
      <c r="I726" s="29"/>
      <c r="J726" s="29"/>
      <c r="K726" s="29"/>
      <c r="L726" s="29"/>
      <c r="M726" s="29"/>
      <c r="N726" s="29"/>
      <c r="O726" s="29"/>
      <c r="P726" s="29"/>
      <c r="Q726" s="29"/>
      <c r="R726" s="29"/>
      <c r="S726" s="14">
        <v>4.4000000000000004</v>
      </c>
      <c r="T726" s="53">
        <v>4.2</v>
      </c>
      <c r="U726" s="1108">
        <f>4.2/35100</f>
        <v>1.1965811965811966E-4</v>
      </c>
      <c r="V726" s="114" t="s">
        <v>1607</v>
      </c>
      <c r="W726"/>
      <c r="X726"/>
      <c r="Y726"/>
      <c r="Z726"/>
      <c r="AA726"/>
      <c r="AB726"/>
      <c r="AC726"/>
      <c r="AD726"/>
      <c r="AE726"/>
      <c r="AF726"/>
      <c r="AG726"/>
      <c r="AH726"/>
      <c r="AI726"/>
      <c r="AJ726"/>
      <c r="AK726"/>
      <c r="AL726"/>
      <c r="AM726"/>
      <c r="AN726"/>
      <c r="AO726"/>
      <c r="AP726"/>
      <c r="AQ726"/>
    </row>
    <row r="727" spans="1:43">
      <c r="A727" s="13"/>
      <c r="B727" s="14" t="s">
        <v>134</v>
      </c>
      <c r="C727" s="14"/>
      <c r="D727" s="14"/>
      <c r="E727" s="29"/>
      <c r="F727" s="29"/>
      <c r="G727" s="29"/>
      <c r="H727" s="29"/>
      <c r="I727" s="29"/>
      <c r="J727" s="29"/>
      <c r="K727" s="29"/>
      <c r="L727" s="29"/>
      <c r="M727" s="29"/>
      <c r="N727" s="29"/>
      <c r="O727" s="29"/>
      <c r="P727" s="29"/>
      <c r="Q727" s="29"/>
      <c r="R727" s="29"/>
      <c r="S727" s="14">
        <v>2.5</v>
      </c>
      <c r="T727" s="53">
        <v>4.2</v>
      </c>
      <c r="U727" s="1108">
        <f>4.2/35100</f>
        <v>1.1965811965811966E-4</v>
      </c>
      <c r="V727" s="114" t="s">
        <v>1607</v>
      </c>
      <c r="W727"/>
      <c r="X727"/>
      <c r="Y727"/>
      <c r="Z727"/>
      <c r="AA727"/>
      <c r="AB727"/>
      <c r="AC727"/>
      <c r="AD727"/>
      <c r="AE727"/>
      <c r="AF727"/>
      <c r="AG727"/>
      <c r="AH727"/>
      <c r="AI727"/>
      <c r="AJ727"/>
      <c r="AK727"/>
      <c r="AL727"/>
      <c r="AM727"/>
      <c r="AN727"/>
      <c r="AO727"/>
      <c r="AP727"/>
      <c r="AQ727"/>
    </row>
    <row r="728" spans="1:43">
      <c r="A728" s="9" t="s">
        <v>42</v>
      </c>
      <c r="B728" s="10"/>
      <c r="C728" s="10"/>
      <c r="D728" s="10"/>
      <c r="E728" s="10"/>
      <c r="F728" s="10"/>
      <c r="G728" s="10"/>
      <c r="H728" s="10"/>
      <c r="I728" s="10"/>
      <c r="J728" s="10"/>
      <c r="K728" s="10"/>
      <c r="L728" s="10"/>
      <c r="M728" s="10"/>
      <c r="N728" s="10"/>
      <c r="O728" s="10"/>
      <c r="P728" s="10"/>
      <c r="Q728" s="10"/>
      <c r="R728" s="10"/>
      <c r="S728" s="10"/>
      <c r="T728" s="10"/>
      <c r="U728" s="10"/>
      <c r="V728" s="14"/>
      <c r="W728"/>
      <c r="X728"/>
      <c r="Y728"/>
      <c r="Z728"/>
      <c r="AA728"/>
      <c r="AB728"/>
      <c r="AC728"/>
      <c r="AD728"/>
      <c r="AE728"/>
      <c r="AF728"/>
      <c r="AG728"/>
      <c r="AH728"/>
      <c r="AI728"/>
      <c r="AJ728"/>
      <c r="AK728"/>
      <c r="AL728"/>
      <c r="AM728"/>
      <c r="AN728"/>
      <c r="AO728"/>
      <c r="AP728"/>
      <c r="AQ728"/>
    </row>
    <row r="729" spans="1:43">
      <c r="A729" s="13"/>
      <c r="B729" s="14" t="s">
        <v>130</v>
      </c>
      <c r="C729" s="14">
        <f>'Feed products'!AB814</f>
        <v>2.76</v>
      </c>
      <c r="D729" s="14">
        <f>'Feed products'!$Z$800</f>
        <v>6.2200000000000006</v>
      </c>
      <c r="E729" s="14"/>
      <c r="F729" s="14"/>
      <c r="G729" s="14"/>
      <c r="H729" s="14"/>
      <c r="I729" s="14"/>
      <c r="J729" s="14"/>
      <c r="K729" s="14"/>
      <c r="L729" s="14"/>
      <c r="M729" s="14"/>
      <c r="N729" s="14"/>
      <c r="O729" s="14"/>
      <c r="P729" s="14"/>
      <c r="Q729" s="14"/>
      <c r="R729" s="14"/>
      <c r="S729" s="14">
        <v>7.2</v>
      </c>
      <c r="T729" s="14"/>
      <c r="U729" s="14"/>
      <c r="V729" s="114"/>
      <c r="W729"/>
      <c r="X729"/>
      <c r="Y729"/>
      <c r="Z729"/>
      <c r="AA729"/>
      <c r="AB729"/>
      <c r="AC729"/>
      <c r="AD729"/>
      <c r="AE729"/>
      <c r="AF729"/>
      <c r="AG729"/>
      <c r="AH729"/>
      <c r="AI729"/>
      <c r="AJ729"/>
      <c r="AK729"/>
      <c r="AL729"/>
      <c r="AM729"/>
      <c r="AN729"/>
      <c r="AO729"/>
      <c r="AP729"/>
      <c r="AQ729"/>
    </row>
    <row r="730" spans="1:43">
      <c r="A730" s="13"/>
      <c r="B730" s="14" t="s">
        <v>148</v>
      </c>
      <c r="C730" s="14">
        <f>'Feed products'!AB822</f>
        <v>16.78</v>
      </c>
      <c r="D730" s="14">
        <f>'Feed products'!$Z$800</f>
        <v>6.2200000000000006</v>
      </c>
      <c r="E730" s="14"/>
      <c r="F730" s="14"/>
      <c r="G730" s="14"/>
      <c r="H730" s="14"/>
      <c r="I730" s="14"/>
      <c r="J730" s="14"/>
      <c r="K730" s="14"/>
      <c r="L730" s="14"/>
      <c r="M730" s="14"/>
      <c r="N730" s="14"/>
      <c r="O730" s="14"/>
      <c r="P730" s="14"/>
      <c r="Q730" s="14"/>
      <c r="R730" s="14"/>
      <c r="S730" s="14">
        <v>6.8</v>
      </c>
      <c r="T730" s="14"/>
      <c r="U730" s="14"/>
      <c r="V730" s="115"/>
      <c r="W730"/>
      <c r="X730"/>
      <c r="Y730"/>
      <c r="Z730"/>
      <c r="AA730"/>
      <c r="AB730"/>
      <c r="AC730"/>
      <c r="AD730"/>
      <c r="AE730"/>
      <c r="AF730"/>
      <c r="AG730"/>
      <c r="AH730"/>
      <c r="AI730"/>
      <c r="AJ730"/>
      <c r="AK730"/>
      <c r="AL730"/>
      <c r="AM730"/>
      <c r="AN730"/>
      <c r="AO730"/>
      <c r="AP730"/>
      <c r="AQ730"/>
    </row>
    <row r="731" spans="1:43">
      <c r="A731" s="13"/>
      <c r="B731" s="14" t="s">
        <v>125</v>
      </c>
      <c r="C731" s="14"/>
      <c r="D731" s="14">
        <f>'Feed products'!$Z$800</f>
        <v>6.2200000000000006</v>
      </c>
      <c r="E731" s="14"/>
      <c r="F731" s="14"/>
      <c r="G731" s="14"/>
      <c r="H731" s="14"/>
      <c r="I731" s="14"/>
      <c r="J731" s="14"/>
      <c r="K731" s="14"/>
      <c r="L731" s="14"/>
      <c r="M731" s="14"/>
      <c r="N731" s="14"/>
      <c r="O731" s="14"/>
      <c r="P731" s="14"/>
      <c r="Q731" s="14"/>
      <c r="R731" s="14"/>
      <c r="S731" s="14">
        <v>4.7</v>
      </c>
      <c r="T731" s="14"/>
      <c r="U731" s="14"/>
      <c r="V731" s="115"/>
      <c r="W731"/>
      <c r="X731"/>
      <c r="Y731"/>
      <c r="Z731"/>
      <c r="AA731"/>
      <c r="AB731"/>
      <c r="AC731"/>
      <c r="AD731"/>
      <c r="AE731"/>
      <c r="AF731"/>
      <c r="AG731"/>
      <c r="AH731"/>
      <c r="AI731"/>
      <c r="AJ731"/>
      <c r="AK731"/>
      <c r="AL731"/>
      <c r="AM731"/>
      <c r="AN731"/>
      <c r="AO731"/>
      <c r="AP731"/>
      <c r="AQ731"/>
    </row>
    <row r="732" spans="1:43">
      <c r="A732" s="9" t="s">
        <v>1583</v>
      </c>
      <c r="B732" s="10"/>
      <c r="C732" s="10"/>
      <c r="D732" s="10"/>
      <c r="E732" s="10"/>
      <c r="F732" s="10"/>
      <c r="G732" s="10"/>
      <c r="H732" s="10"/>
      <c r="I732" s="10"/>
      <c r="J732" s="10"/>
      <c r="K732" s="10"/>
      <c r="L732" s="10"/>
      <c r="M732" s="10"/>
      <c r="N732" s="10"/>
      <c r="O732" s="10"/>
      <c r="P732" s="10"/>
      <c r="Q732" s="10"/>
      <c r="R732" s="10"/>
      <c r="S732" s="10"/>
      <c r="T732" s="10"/>
      <c r="U732" s="10"/>
      <c r="V732" s="14"/>
      <c r="W732"/>
      <c r="X732"/>
      <c r="Y732"/>
      <c r="Z732"/>
      <c r="AA732"/>
      <c r="AB732"/>
      <c r="AC732"/>
      <c r="AD732"/>
      <c r="AE732"/>
      <c r="AF732"/>
      <c r="AG732"/>
      <c r="AH732"/>
      <c r="AI732"/>
      <c r="AJ732"/>
      <c r="AK732"/>
      <c r="AL732"/>
      <c r="AM732"/>
      <c r="AN732"/>
      <c r="AO732"/>
      <c r="AP732"/>
      <c r="AQ732"/>
    </row>
    <row r="733" spans="1:43">
      <c r="A733" s="13"/>
      <c r="B733" s="14" t="s">
        <v>126</v>
      </c>
      <c r="C733" s="14">
        <f>'Feed products'!AB808</f>
        <v>19.8</v>
      </c>
      <c r="D733" s="14">
        <f>'Feed products'!$Z$798</f>
        <v>7.2799999999999994</v>
      </c>
      <c r="E733" s="14"/>
      <c r="F733" s="14"/>
      <c r="G733" s="14"/>
      <c r="H733" s="14"/>
      <c r="I733" s="14"/>
      <c r="J733" s="14"/>
      <c r="K733" s="14"/>
      <c r="L733" s="14"/>
      <c r="M733" s="14"/>
      <c r="N733" s="14"/>
      <c r="O733" s="14"/>
      <c r="P733" s="14"/>
      <c r="Q733" s="14"/>
      <c r="R733" s="14"/>
      <c r="S733" s="14">
        <v>18.7</v>
      </c>
      <c r="T733" s="14">
        <v>26.15</v>
      </c>
      <c r="U733" s="1108">
        <f>26.15/48200</f>
        <v>5.425311203319502E-4</v>
      </c>
      <c r="V733" s="114" t="s">
        <v>1608</v>
      </c>
      <c r="W733"/>
      <c r="X733"/>
      <c r="Y733"/>
      <c r="Z733"/>
      <c r="AA733"/>
      <c r="AB733"/>
      <c r="AC733"/>
      <c r="AD733"/>
      <c r="AE733"/>
      <c r="AF733"/>
      <c r="AG733"/>
      <c r="AH733"/>
      <c r="AI733"/>
      <c r="AJ733"/>
      <c r="AK733"/>
      <c r="AL733"/>
      <c r="AM733"/>
      <c r="AN733"/>
      <c r="AO733"/>
      <c r="AP733"/>
      <c r="AQ733"/>
    </row>
    <row r="734" spans="1:43">
      <c r="A734" s="13"/>
      <c r="B734" s="14" t="s">
        <v>148</v>
      </c>
      <c r="C734" s="14">
        <f>'Feed products'!AB822</f>
        <v>16.78</v>
      </c>
      <c r="D734" s="14">
        <f>'Feed products'!$Z$798</f>
        <v>7.2799999999999994</v>
      </c>
      <c r="E734" s="14"/>
      <c r="F734" s="14"/>
      <c r="G734" s="14"/>
      <c r="H734" s="14"/>
      <c r="I734" s="14"/>
      <c r="J734" s="14"/>
      <c r="K734" s="14"/>
      <c r="L734" s="14"/>
      <c r="M734" s="14"/>
      <c r="N734" s="14"/>
      <c r="O734" s="14"/>
      <c r="P734" s="14"/>
      <c r="Q734" s="14"/>
      <c r="R734" s="14"/>
      <c r="S734" s="14">
        <v>15.2</v>
      </c>
      <c r="T734" s="14"/>
      <c r="U734" s="14"/>
      <c r="V734" s="114"/>
      <c r="W734"/>
      <c r="X734"/>
      <c r="Y734"/>
      <c r="Z734"/>
      <c r="AA734"/>
      <c r="AB734"/>
      <c r="AC734"/>
      <c r="AD734"/>
      <c r="AE734"/>
      <c r="AF734"/>
      <c r="AG734"/>
      <c r="AH734"/>
      <c r="AI734"/>
      <c r="AJ734"/>
      <c r="AK734"/>
      <c r="AL734"/>
      <c r="AM734"/>
      <c r="AN734"/>
      <c r="AO734"/>
      <c r="AP734"/>
      <c r="AQ734"/>
    </row>
    <row r="735" spans="1:43">
      <c r="A735" s="13"/>
      <c r="B735" s="14" t="s">
        <v>125</v>
      </c>
      <c r="C735" s="14"/>
      <c r="D735" s="14">
        <f>'Feed products'!$Z$798</f>
        <v>7.2799999999999994</v>
      </c>
      <c r="E735" s="14"/>
      <c r="F735" s="14"/>
      <c r="G735" s="14"/>
      <c r="H735" s="14"/>
      <c r="I735" s="14"/>
      <c r="J735" s="14"/>
      <c r="K735" s="14"/>
      <c r="L735" s="14"/>
      <c r="M735" s="14"/>
      <c r="N735" s="14"/>
      <c r="O735" s="14"/>
      <c r="P735" s="14"/>
      <c r="Q735" s="14"/>
      <c r="R735" s="14"/>
      <c r="S735" s="14">
        <v>6.6</v>
      </c>
      <c r="T735" s="14"/>
      <c r="U735" s="14"/>
      <c r="V735" s="114"/>
      <c r="W735"/>
      <c r="X735"/>
      <c r="Y735"/>
      <c r="Z735"/>
      <c r="AA735"/>
      <c r="AB735"/>
      <c r="AC735"/>
      <c r="AD735"/>
      <c r="AE735"/>
      <c r="AF735"/>
      <c r="AG735"/>
      <c r="AH735"/>
      <c r="AI735"/>
      <c r="AJ735"/>
      <c r="AK735"/>
      <c r="AL735"/>
      <c r="AM735"/>
      <c r="AN735"/>
      <c r="AO735"/>
      <c r="AP735"/>
      <c r="AQ735"/>
    </row>
    <row r="736" spans="1:43">
      <c r="A736" s="9" t="s">
        <v>61</v>
      </c>
      <c r="B736" s="10"/>
      <c r="C736" s="10"/>
      <c r="D736" s="10"/>
      <c r="E736" s="10"/>
      <c r="F736" s="10"/>
      <c r="G736" s="10"/>
      <c r="H736" s="10"/>
      <c r="I736" s="10"/>
      <c r="J736" s="10"/>
      <c r="K736" s="10"/>
      <c r="L736" s="10"/>
      <c r="M736" s="10"/>
      <c r="N736" s="10"/>
      <c r="O736" s="10"/>
      <c r="P736" s="10"/>
      <c r="Q736" s="10"/>
      <c r="R736" s="10"/>
      <c r="S736" s="10"/>
      <c r="T736" s="10"/>
      <c r="U736" s="10"/>
      <c r="V736" s="114"/>
      <c r="W736" s="12"/>
      <c r="X736" s="12"/>
      <c r="Y736" s="12"/>
      <c r="Z736" s="12"/>
      <c r="AA736" s="12"/>
      <c r="AB736" s="12"/>
      <c r="AC736" s="12"/>
      <c r="AD736" s="12"/>
      <c r="AE736" s="12"/>
      <c r="AF736" s="12"/>
      <c r="AG736" s="12"/>
      <c r="AH736" s="12"/>
      <c r="AI736" s="12"/>
      <c r="AJ736"/>
      <c r="AK736"/>
      <c r="AL736"/>
      <c r="AM736"/>
      <c r="AN736"/>
      <c r="AO736"/>
      <c r="AP736"/>
      <c r="AQ736"/>
    </row>
    <row r="737" spans="1:43">
      <c r="A737" s="29"/>
      <c r="B737" s="14" t="s">
        <v>130</v>
      </c>
      <c r="C737" s="14">
        <f>'Feed products'!AB812</f>
        <v>8.4</v>
      </c>
      <c r="D737" s="14">
        <f>'Feed products'!$Z$796</f>
        <v>6.04</v>
      </c>
      <c r="E737" s="14"/>
      <c r="F737" s="14"/>
      <c r="G737" s="14"/>
      <c r="H737" s="14"/>
      <c r="I737" s="14"/>
      <c r="J737" s="14"/>
      <c r="K737" s="14"/>
      <c r="L737" s="14"/>
      <c r="M737" s="14"/>
      <c r="N737" s="14"/>
      <c r="O737" s="14"/>
      <c r="P737" s="14"/>
      <c r="Q737" s="14"/>
      <c r="R737" s="14"/>
      <c r="S737" s="14">
        <v>8.1</v>
      </c>
      <c r="T737" s="14"/>
      <c r="U737" s="1056">
        <f>0.000114990557086+0.0000184748368744+0.00000418793683759+0.000236941263796</f>
        <v>3.7459459459399005E-4</v>
      </c>
      <c r="V737" s="114" t="s">
        <v>1609</v>
      </c>
      <c r="W737"/>
      <c r="X737"/>
      <c r="Y737"/>
      <c r="Z737"/>
      <c r="AA737"/>
      <c r="AB737"/>
      <c r="AC737"/>
      <c r="AD737"/>
      <c r="AE737"/>
      <c r="AF737"/>
      <c r="AG737"/>
      <c r="AH737"/>
      <c r="AI737"/>
      <c r="AJ737"/>
      <c r="AK737"/>
      <c r="AL737"/>
      <c r="AM737"/>
      <c r="AN737"/>
      <c r="AO737"/>
      <c r="AP737"/>
      <c r="AQ737"/>
    </row>
    <row r="738" spans="1:43">
      <c r="A738" s="13"/>
      <c r="B738" s="14" t="s">
        <v>125</v>
      </c>
      <c r="C738" s="14"/>
      <c r="D738" s="14">
        <f>'Feed products'!$Z$796</f>
        <v>6.04</v>
      </c>
      <c r="E738" s="14"/>
      <c r="F738" s="14"/>
      <c r="G738" s="14"/>
      <c r="H738" s="14"/>
      <c r="I738" s="14"/>
      <c r="J738" s="14"/>
      <c r="K738" s="14"/>
      <c r="L738" s="14"/>
      <c r="M738" s="14"/>
      <c r="N738" s="14"/>
      <c r="O738" s="14"/>
      <c r="P738" s="14"/>
      <c r="Q738" s="14"/>
      <c r="R738" s="14"/>
      <c r="S738" s="14">
        <v>31.9</v>
      </c>
      <c r="T738" s="14"/>
      <c r="U738" s="14"/>
      <c r="V738" s="114"/>
      <c r="W738"/>
      <c r="X738"/>
      <c r="Y738"/>
      <c r="Z738"/>
      <c r="AA738"/>
      <c r="AB738"/>
      <c r="AC738"/>
      <c r="AD738"/>
      <c r="AE738"/>
      <c r="AF738"/>
      <c r="AG738"/>
      <c r="AH738"/>
      <c r="AI738"/>
      <c r="AJ738"/>
      <c r="AK738"/>
      <c r="AL738"/>
      <c r="AM738"/>
      <c r="AN738"/>
      <c r="AO738"/>
      <c r="AP738"/>
      <c r="AQ738"/>
    </row>
    <row r="739" spans="1:43">
      <c r="A739" s="9" t="s">
        <v>79</v>
      </c>
      <c r="B739" s="10"/>
      <c r="C739" s="10"/>
      <c r="D739" s="10"/>
      <c r="E739" s="10"/>
      <c r="F739" s="10"/>
      <c r="G739" s="10"/>
      <c r="H739" s="10"/>
      <c r="I739" s="10"/>
      <c r="J739" s="10"/>
      <c r="K739" s="10"/>
      <c r="L739" s="10"/>
      <c r="M739" s="10"/>
      <c r="N739" s="10"/>
      <c r="O739" s="10"/>
      <c r="P739" s="10"/>
      <c r="Q739" s="10"/>
      <c r="R739" s="10"/>
      <c r="S739" s="10"/>
      <c r="T739" s="10"/>
      <c r="U739" s="10"/>
      <c r="V739" s="14"/>
      <c r="W739"/>
      <c r="X739"/>
      <c r="Y739"/>
      <c r="Z739"/>
      <c r="AA739"/>
      <c r="AB739"/>
      <c r="AC739"/>
      <c r="AD739"/>
      <c r="AE739"/>
      <c r="AF739"/>
      <c r="AG739"/>
      <c r="AH739"/>
      <c r="AI739"/>
      <c r="AJ739"/>
      <c r="AK739"/>
      <c r="AL739"/>
      <c r="AM739"/>
      <c r="AN739"/>
      <c r="AO739"/>
      <c r="AP739"/>
      <c r="AQ739"/>
    </row>
    <row r="740" spans="1:43">
      <c r="A740" s="13"/>
      <c r="B740" s="14" t="s">
        <v>126</v>
      </c>
      <c r="C740" s="14">
        <f>'Feed products'!AB808</f>
        <v>19.8</v>
      </c>
      <c r="D740" s="14">
        <f>'Feed products'!$Z$798</f>
        <v>7.2799999999999994</v>
      </c>
      <c r="E740" s="14"/>
      <c r="F740" s="14"/>
      <c r="G740" s="14"/>
      <c r="H740" s="14"/>
      <c r="I740" s="14"/>
      <c r="J740" s="14"/>
      <c r="K740" s="14"/>
      <c r="L740" s="14"/>
      <c r="M740" s="14"/>
      <c r="N740" s="14"/>
      <c r="O740" s="14"/>
      <c r="P740" s="14"/>
      <c r="Q740" s="14"/>
      <c r="R740" s="14"/>
      <c r="S740" s="14">
        <v>10.9</v>
      </c>
      <c r="T740" s="14"/>
      <c r="U740" s="14"/>
      <c r="V740" s="114"/>
      <c r="W740"/>
      <c r="X740"/>
      <c r="Y740"/>
      <c r="Z740"/>
      <c r="AA740"/>
      <c r="AB740"/>
      <c r="AC740"/>
      <c r="AD740"/>
      <c r="AE740"/>
      <c r="AF740"/>
      <c r="AG740"/>
      <c r="AH740"/>
      <c r="AI740"/>
      <c r="AJ740"/>
      <c r="AK740"/>
      <c r="AL740"/>
      <c r="AM740"/>
      <c r="AN740"/>
      <c r="AO740"/>
      <c r="AP740"/>
      <c r="AQ740"/>
    </row>
    <row r="741" spans="1:43">
      <c r="A741" s="13"/>
      <c r="B741" s="14" t="s">
        <v>125</v>
      </c>
      <c r="C741" s="14"/>
      <c r="D741" s="14">
        <f>'Feed products'!$Z$798</f>
        <v>7.2799999999999994</v>
      </c>
      <c r="E741" s="14"/>
      <c r="F741" s="14"/>
      <c r="G741" s="14"/>
      <c r="H741" s="14"/>
      <c r="I741" s="14"/>
      <c r="J741" s="14"/>
      <c r="K741" s="14"/>
      <c r="L741" s="14"/>
      <c r="M741" s="14"/>
      <c r="N741" s="14"/>
      <c r="O741" s="14"/>
      <c r="P741" s="14"/>
      <c r="Q741" s="14"/>
      <c r="R741" s="14"/>
      <c r="S741" s="14">
        <v>4.3</v>
      </c>
      <c r="T741" s="14"/>
      <c r="U741" s="14"/>
      <c r="V741" s="114"/>
      <c r="W741"/>
      <c r="X741"/>
      <c r="Y741"/>
      <c r="Z741"/>
      <c r="AA741"/>
      <c r="AB741"/>
      <c r="AC741"/>
      <c r="AD741"/>
      <c r="AE741"/>
      <c r="AF741"/>
      <c r="AG741"/>
      <c r="AH741"/>
      <c r="AI741"/>
      <c r="AJ741"/>
      <c r="AK741"/>
      <c r="AL741"/>
      <c r="AM741"/>
      <c r="AN741"/>
      <c r="AO741"/>
      <c r="AP741"/>
      <c r="AQ741"/>
    </row>
    <row r="742" spans="1:43">
      <c r="A742" s="13"/>
      <c r="B742" s="14"/>
      <c r="C742" s="14"/>
      <c r="D742" s="14">
        <f>'Feed products'!$Z$798</f>
        <v>7.2799999999999994</v>
      </c>
      <c r="E742" s="14"/>
      <c r="F742" s="14"/>
      <c r="G742" s="14"/>
      <c r="H742" s="14"/>
      <c r="I742" s="14"/>
      <c r="J742" s="14"/>
      <c r="K742" s="14"/>
      <c r="L742" s="14"/>
      <c r="M742" s="14"/>
      <c r="N742" s="14"/>
      <c r="O742" s="14"/>
      <c r="P742" s="14"/>
      <c r="Q742" s="14"/>
      <c r="R742" s="14"/>
      <c r="S742" s="14">
        <v>4.3</v>
      </c>
      <c r="T742" s="14"/>
      <c r="U742" s="14"/>
      <c r="V742" s="114"/>
      <c r="W742"/>
      <c r="X742"/>
      <c r="Y742"/>
      <c r="Z742"/>
      <c r="AA742"/>
      <c r="AB742"/>
      <c r="AC742"/>
      <c r="AD742"/>
      <c r="AE742"/>
      <c r="AF742"/>
      <c r="AG742"/>
      <c r="AH742"/>
      <c r="AI742"/>
      <c r="AJ742"/>
      <c r="AK742"/>
      <c r="AL742"/>
      <c r="AM742"/>
      <c r="AN742"/>
      <c r="AO742"/>
      <c r="AP742"/>
      <c r="AQ742"/>
    </row>
    <row r="743" spans="1:43">
      <c r="A743" s="9" t="s">
        <v>83</v>
      </c>
      <c r="B743" s="10"/>
      <c r="C743" s="10"/>
      <c r="D743" s="10"/>
      <c r="E743" s="10"/>
      <c r="F743" s="10"/>
      <c r="G743" s="10"/>
      <c r="H743" s="10"/>
      <c r="I743" s="10"/>
      <c r="J743" s="10"/>
      <c r="K743" s="10"/>
      <c r="L743" s="10"/>
      <c r="M743" s="10"/>
      <c r="N743" s="10"/>
      <c r="O743" s="10"/>
      <c r="P743" s="10"/>
      <c r="Q743" s="10"/>
      <c r="R743" s="10"/>
      <c r="S743" s="10"/>
      <c r="T743" s="10"/>
      <c r="U743" s="10"/>
      <c r="V743" s="114"/>
      <c r="W743"/>
      <c r="X743"/>
      <c r="Y743"/>
      <c r="Z743"/>
      <c r="AA743"/>
      <c r="AB743"/>
      <c r="AC743"/>
      <c r="AD743"/>
      <c r="AE743"/>
      <c r="AF743"/>
      <c r="AG743"/>
      <c r="AH743"/>
      <c r="AI743"/>
      <c r="AJ743"/>
      <c r="AK743"/>
      <c r="AL743"/>
      <c r="AM743"/>
      <c r="AN743"/>
      <c r="AO743"/>
      <c r="AP743"/>
      <c r="AQ743"/>
    </row>
    <row r="744" spans="1:43">
      <c r="A744" s="13"/>
      <c r="B744" s="14" t="s">
        <v>126</v>
      </c>
      <c r="C744" s="14">
        <f>'Feed products'!AB808</f>
        <v>19.8</v>
      </c>
      <c r="D744" s="14">
        <f>'Feed products'!$Z$798</f>
        <v>7.2799999999999994</v>
      </c>
      <c r="E744" s="14"/>
      <c r="F744" s="14"/>
      <c r="G744" s="14"/>
      <c r="H744" s="14"/>
      <c r="I744" s="14"/>
      <c r="J744" s="14"/>
      <c r="K744" s="14"/>
      <c r="L744" s="14"/>
      <c r="M744" s="14"/>
      <c r="N744" s="14"/>
      <c r="O744" s="14"/>
      <c r="P744" s="14"/>
      <c r="Q744" s="14"/>
      <c r="R744" s="14"/>
      <c r="S744" s="14"/>
      <c r="T744" s="14"/>
      <c r="U744" s="14"/>
      <c r="V744" s="114"/>
      <c r="W744"/>
      <c r="X744"/>
      <c r="Y744"/>
      <c r="Z744"/>
      <c r="AA744"/>
      <c r="AB744"/>
      <c r="AC744"/>
      <c r="AD744"/>
      <c r="AE744"/>
      <c r="AF744"/>
      <c r="AG744"/>
      <c r="AH744"/>
      <c r="AI744"/>
      <c r="AJ744"/>
      <c r="AK744"/>
      <c r="AL744"/>
      <c r="AM744"/>
      <c r="AN744"/>
      <c r="AO744"/>
      <c r="AP744"/>
      <c r="AQ744"/>
    </row>
    <row r="745" spans="1:43">
      <c r="A745" s="13"/>
      <c r="B745" s="14" t="s">
        <v>148</v>
      </c>
      <c r="C745" s="14">
        <f>'Feed products'!AB822</f>
        <v>16.78</v>
      </c>
      <c r="D745" s="14">
        <f>'Feed products'!$Z$798</f>
        <v>7.2799999999999994</v>
      </c>
      <c r="E745" s="14"/>
      <c r="F745" s="14"/>
      <c r="G745" s="14"/>
      <c r="H745" s="14"/>
      <c r="I745" s="14"/>
      <c r="J745" s="14"/>
      <c r="K745" s="14"/>
      <c r="L745" s="14"/>
      <c r="M745" s="14"/>
      <c r="N745" s="14"/>
      <c r="O745" s="14"/>
      <c r="P745" s="14"/>
      <c r="Q745" s="14"/>
      <c r="R745" s="14"/>
      <c r="S745" s="14"/>
      <c r="T745" s="14"/>
      <c r="U745" s="14"/>
      <c r="V745" s="114"/>
      <c r="W745"/>
      <c r="X745"/>
      <c r="Y745"/>
      <c r="Z745"/>
      <c r="AA745"/>
      <c r="AB745"/>
      <c r="AC745"/>
      <c r="AD745"/>
      <c r="AE745"/>
      <c r="AF745"/>
      <c r="AG745"/>
      <c r="AH745"/>
      <c r="AI745"/>
      <c r="AJ745"/>
      <c r="AK745"/>
      <c r="AL745"/>
      <c r="AM745"/>
      <c r="AN745"/>
      <c r="AO745"/>
      <c r="AP745"/>
      <c r="AQ745"/>
    </row>
    <row r="746" spans="1:43">
      <c r="A746" s="13"/>
      <c r="B746" s="14" t="s">
        <v>125</v>
      </c>
      <c r="C746" s="14"/>
      <c r="D746" s="14">
        <f>'Feed products'!$Z$798</f>
        <v>7.2799999999999994</v>
      </c>
      <c r="E746" s="14"/>
      <c r="F746" s="14"/>
      <c r="G746" s="14"/>
      <c r="H746" s="14"/>
      <c r="I746" s="14"/>
      <c r="J746" s="14"/>
      <c r="K746" s="14"/>
      <c r="L746" s="14"/>
      <c r="M746" s="14"/>
      <c r="N746" s="14"/>
      <c r="O746" s="14"/>
      <c r="P746" s="14"/>
      <c r="Q746" s="14"/>
      <c r="R746" s="14"/>
      <c r="S746" s="14"/>
      <c r="T746" s="14"/>
      <c r="U746" s="14"/>
      <c r="V746" s="114"/>
      <c r="W746"/>
      <c r="X746"/>
      <c r="Y746"/>
      <c r="Z746"/>
      <c r="AA746"/>
      <c r="AB746"/>
      <c r="AC746"/>
      <c r="AD746"/>
      <c r="AE746"/>
      <c r="AF746"/>
      <c r="AG746"/>
      <c r="AH746"/>
      <c r="AI746"/>
      <c r="AJ746"/>
      <c r="AK746"/>
      <c r="AL746"/>
      <c r="AM746"/>
      <c r="AN746"/>
      <c r="AO746"/>
      <c r="AP746"/>
      <c r="AQ746"/>
    </row>
    <row r="747" spans="1:43">
      <c r="A747" s="9" t="s">
        <v>67</v>
      </c>
      <c r="B747" s="10" t="s">
        <v>135</v>
      </c>
      <c r="C747" s="10"/>
      <c r="D747" s="10"/>
      <c r="E747" s="10"/>
      <c r="F747" s="10"/>
      <c r="G747" s="10"/>
      <c r="H747" s="10"/>
      <c r="I747" s="10"/>
      <c r="J747" s="10"/>
      <c r="K747" s="10"/>
      <c r="L747" s="10"/>
      <c r="M747" s="10"/>
      <c r="N747" s="10"/>
      <c r="O747" s="10"/>
      <c r="P747" s="10"/>
      <c r="Q747" s="10"/>
      <c r="R747" s="10"/>
      <c r="S747" s="10">
        <v>7.7</v>
      </c>
      <c r="T747" s="10"/>
      <c r="U747" s="1112">
        <f>0.00006+0.00025+0.00054</f>
        <v>8.5000000000000006E-4</v>
      </c>
      <c r="V747" s="114" t="s">
        <v>1610</v>
      </c>
      <c r="W747"/>
      <c r="X747"/>
      <c r="Y747"/>
      <c r="Z747"/>
      <c r="AA747"/>
      <c r="AB747"/>
      <c r="AC747"/>
      <c r="AD747"/>
      <c r="AE747"/>
      <c r="AF747"/>
      <c r="AG747"/>
      <c r="AH747"/>
      <c r="AI747"/>
      <c r="AJ747"/>
      <c r="AK747"/>
      <c r="AL747"/>
      <c r="AM747"/>
      <c r="AN747"/>
      <c r="AO747"/>
      <c r="AP747"/>
      <c r="AQ747"/>
    </row>
    <row r="748" spans="1:43">
      <c r="A748" s="13"/>
      <c r="B748" s="14"/>
      <c r="C748" s="14"/>
      <c r="D748" s="14"/>
      <c r="E748" s="14"/>
      <c r="F748" s="14"/>
      <c r="G748" s="14"/>
      <c r="H748" s="14"/>
      <c r="I748" s="14"/>
      <c r="J748" s="14"/>
      <c r="K748" s="14"/>
      <c r="L748" s="14"/>
      <c r="M748" s="14"/>
      <c r="N748" s="14"/>
      <c r="O748" s="14"/>
      <c r="P748" s="14"/>
      <c r="Q748" s="14"/>
      <c r="R748" s="14"/>
      <c r="S748" s="29"/>
      <c r="T748" s="14"/>
      <c r="U748" s="14"/>
      <c r="V748" s="114"/>
      <c r="W748"/>
      <c r="X748"/>
      <c r="Y748"/>
      <c r="Z748"/>
      <c r="AA748"/>
      <c r="AB748"/>
      <c r="AC748"/>
      <c r="AD748"/>
      <c r="AE748"/>
      <c r="AF748"/>
      <c r="AG748"/>
      <c r="AH748"/>
      <c r="AI748"/>
      <c r="AJ748"/>
      <c r="AK748"/>
      <c r="AL748"/>
      <c r="AM748"/>
      <c r="AN748"/>
      <c r="AO748"/>
      <c r="AP748"/>
      <c r="AQ748"/>
    </row>
    <row r="749" spans="1:43">
      <c r="A749" s="9" t="s">
        <v>73</v>
      </c>
      <c r="B749" s="10" t="s">
        <v>123</v>
      </c>
      <c r="C749" s="10">
        <f>'Feed products'!AB819</f>
        <v>14.639999999999997</v>
      </c>
      <c r="D749" s="10">
        <f>'Feed products'!$Z$798</f>
        <v>7.2799999999999994</v>
      </c>
      <c r="E749" s="10"/>
      <c r="F749" s="10"/>
      <c r="G749" s="10"/>
      <c r="H749" s="10"/>
      <c r="I749" s="10"/>
      <c r="J749" s="10"/>
      <c r="K749" s="10"/>
      <c r="L749" s="10"/>
      <c r="M749" s="10"/>
      <c r="N749" s="10"/>
      <c r="O749" s="10"/>
      <c r="P749" s="10"/>
      <c r="Q749" s="10"/>
      <c r="R749" s="10"/>
      <c r="S749" s="10">
        <v>1.6</v>
      </c>
      <c r="T749" s="10"/>
      <c r="U749" s="10"/>
      <c r="V749" s="114"/>
      <c r="W749"/>
      <c r="X749"/>
      <c r="Y749"/>
      <c r="Z749"/>
      <c r="AA749"/>
      <c r="AB749"/>
      <c r="AC749"/>
      <c r="AD749"/>
      <c r="AE749"/>
      <c r="AF749"/>
      <c r="AG749"/>
      <c r="AH749"/>
      <c r="AI749"/>
      <c r="AJ749"/>
      <c r="AK749"/>
      <c r="AL749"/>
      <c r="AM749"/>
      <c r="AN749"/>
      <c r="AO749"/>
      <c r="AP749"/>
      <c r="AQ749"/>
    </row>
    <row r="750" spans="1:43">
      <c r="A750" s="13"/>
      <c r="B750" s="14" t="s">
        <v>134</v>
      </c>
      <c r="C750" s="14"/>
      <c r="D750" s="14"/>
      <c r="E750" s="14"/>
      <c r="F750" s="14"/>
      <c r="G750" s="14"/>
      <c r="H750" s="14"/>
      <c r="I750" s="14"/>
      <c r="J750" s="14"/>
      <c r="K750" s="14"/>
      <c r="L750" s="14"/>
      <c r="M750" s="14"/>
      <c r="N750" s="14"/>
      <c r="O750" s="14"/>
      <c r="P750" s="14"/>
      <c r="Q750" s="14"/>
      <c r="R750" s="14"/>
      <c r="S750" s="14">
        <v>1.4</v>
      </c>
      <c r="T750" s="14"/>
      <c r="U750" s="1055">
        <v>8.8200000000000003E-5</v>
      </c>
      <c r="V750" s="114" t="s">
        <v>1611</v>
      </c>
      <c r="W750"/>
      <c r="X750"/>
      <c r="Y750"/>
      <c r="Z750"/>
      <c r="AA750"/>
      <c r="AB750"/>
      <c r="AC750"/>
      <c r="AD750"/>
      <c r="AE750"/>
      <c r="AF750"/>
      <c r="AG750"/>
      <c r="AH750"/>
      <c r="AI750"/>
      <c r="AJ750"/>
      <c r="AK750"/>
      <c r="AL750"/>
      <c r="AM750"/>
      <c r="AN750"/>
      <c r="AO750"/>
      <c r="AP750"/>
      <c r="AQ750"/>
    </row>
    <row r="751" spans="1:43">
      <c r="A751" s="9" t="s">
        <v>55</v>
      </c>
      <c r="B751" s="10" t="s">
        <v>130</v>
      </c>
      <c r="C751" s="10">
        <f>'Feed products'!AB812</f>
        <v>8.4</v>
      </c>
      <c r="D751" s="10">
        <f>'Feed products'!$Z$796</f>
        <v>6.04</v>
      </c>
      <c r="E751" s="10"/>
      <c r="F751" s="10"/>
      <c r="G751" s="10"/>
      <c r="H751" s="10"/>
      <c r="I751" s="10"/>
      <c r="J751" s="10"/>
      <c r="K751" s="10"/>
      <c r="L751" s="10"/>
      <c r="M751" s="10"/>
      <c r="N751" s="10"/>
      <c r="O751" s="10"/>
      <c r="P751" s="10"/>
      <c r="Q751" s="10"/>
      <c r="R751" s="10"/>
      <c r="S751" s="10">
        <v>10</v>
      </c>
      <c r="T751" s="10">
        <v>14</v>
      </c>
      <c r="U751" s="1111">
        <f>14/30000</f>
        <v>4.6666666666666666E-4</v>
      </c>
      <c r="V751" s="114" t="s">
        <v>1612</v>
      </c>
      <c r="W751" s="14"/>
      <c r="X751"/>
      <c r="Y751"/>
      <c r="Z751"/>
      <c r="AA751"/>
      <c r="AB751"/>
      <c r="AC751"/>
      <c r="AD751"/>
      <c r="AE751"/>
      <c r="AF751"/>
      <c r="AG751"/>
      <c r="AH751"/>
      <c r="AI751"/>
      <c r="AJ751"/>
      <c r="AK751"/>
      <c r="AL751"/>
      <c r="AM751"/>
      <c r="AN751"/>
      <c r="AO751"/>
      <c r="AP751"/>
      <c r="AQ751"/>
    </row>
    <row r="752" spans="1:43">
      <c r="A752" s="13"/>
      <c r="B752" s="14" t="s">
        <v>134</v>
      </c>
      <c r="C752" s="14"/>
      <c r="D752" s="14"/>
      <c r="E752" s="14"/>
      <c r="F752" s="14"/>
      <c r="G752" s="14"/>
      <c r="H752" s="14"/>
      <c r="I752" s="14"/>
      <c r="J752" s="14"/>
      <c r="K752" s="14"/>
      <c r="L752" s="14"/>
      <c r="M752" s="14"/>
      <c r="N752" s="14"/>
      <c r="O752" s="14"/>
      <c r="P752" s="14"/>
      <c r="Q752" s="14"/>
      <c r="R752" s="14"/>
      <c r="S752" s="14">
        <v>8.3000000000000007</v>
      </c>
      <c r="T752" s="14">
        <v>14</v>
      </c>
      <c r="U752" s="1108">
        <f>14/30000</f>
        <v>4.6666666666666666E-4</v>
      </c>
      <c r="V752" s="114" t="s">
        <v>1613</v>
      </c>
      <c r="W752"/>
      <c r="X752"/>
      <c r="Y752"/>
      <c r="Z752"/>
      <c r="AA752"/>
      <c r="AB752"/>
      <c r="AC752"/>
      <c r="AD752"/>
      <c r="AE752"/>
      <c r="AF752"/>
      <c r="AG752"/>
      <c r="AH752"/>
      <c r="AI752"/>
      <c r="AJ752"/>
      <c r="AK752"/>
      <c r="AL752"/>
      <c r="AM752"/>
      <c r="AN752"/>
      <c r="AO752"/>
      <c r="AP752"/>
      <c r="AQ752"/>
    </row>
    <row r="753" spans="1:43" ht="25.5">
      <c r="A753" s="9" t="s">
        <v>136</v>
      </c>
      <c r="B753" s="10" t="s">
        <v>1614</v>
      </c>
      <c r="C753" s="10"/>
      <c r="D753" s="10"/>
      <c r="E753" s="10"/>
      <c r="F753" s="10"/>
      <c r="G753" s="10"/>
      <c r="H753" s="10"/>
      <c r="I753" s="10"/>
      <c r="J753" s="10"/>
      <c r="K753" s="10"/>
      <c r="L753" s="10"/>
      <c r="M753" s="10"/>
      <c r="N753" s="10"/>
      <c r="O753" s="10"/>
      <c r="P753" s="10"/>
      <c r="Q753" s="10"/>
      <c r="R753" s="10"/>
      <c r="S753" s="10">
        <v>8.5</v>
      </c>
      <c r="T753" s="10">
        <v>9.6</v>
      </c>
      <c r="U753" s="11">
        <f>9.6/613</f>
        <v>1.566068515497553E-2</v>
      </c>
      <c r="V753" s="114" t="s">
        <v>1615</v>
      </c>
      <c r="W753"/>
      <c r="X753"/>
      <c r="Y753"/>
      <c r="Z753"/>
      <c r="AA753"/>
      <c r="AB753"/>
      <c r="AC753"/>
      <c r="AD753"/>
      <c r="AE753"/>
      <c r="AF753"/>
      <c r="AG753"/>
      <c r="AH753"/>
      <c r="AI753"/>
      <c r="AJ753"/>
      <c r="AK753"/>
      <c r="AL753"/>
      <c r="AM753"/>
      <c r="AN753"/>
      <c r="AO753"/>
      <c r="AP753"/>
      <c r="AQ753"/>
    </row>
    <row r="754" spans="1:43">
      <c r="A754" s="13"/>
      <c r="B754" s="14" t="s">
        <v>138</v>
      </c>
      <c r="C754" s="14"/>
      <c r="D754" s="14"/>
      <c r="E754" s="14"/>
      <c r="F754" s="14"/>
      <c r="G754" s="14"/>
      <c r="H754" s="14"/>
      <c r="I754" s="14"/>
      <c r="J754" s="14"/>
      <c r="K754" s="14"/>
      <c r="L754" s="14"/>
      <c r="M754" s="14"/>
      <c r="N754" s="14"/>
      <c r="O754" s="14"/>
      <c r="P754" s="14"/>
      <c r="Q754" s="14"/>
      <c r="R754" s="14"/>
      <c r="S754" s="14"/>
      <c r="T754" s="14"/>
      <c r="U754" s="15">
        <f>7.1/457</f>
        <v>1.5536105032822756E-2</v>
      </c>
      <c r="V754" s="114" t="s">
        <v>1616</v>
      </c>
      <c r="W754"/>
      <c r="X754"/>
      <c r="Y754"/>
      <c r="Z754"/>
      <c r="AA754"/>
      <c r="AB754"/>
      <c r="AC754"/>
      <c r="AD754"/>
      <c r="AE754"/>
      <c r="AF754"/>
      <c r="AG754"/>
      <c r="AH754"/>
      <c r="AI754"/>
      <c r="AJ754"/>
      <c r="AK754"/>
      <c r="AL754"/>
      <c r="AM754"/>
      <c r="AN754"/>
      <c r="AO754"/>
      <c r="AP754"/>
      <c r="AQ754"/>
    </row>
    <row r="755" spans="1:43">
      <c r="A755" s="13"/>
      <c r="B755" s="14" t="s">
        <v>139</v>
      </c>
      <c r="C755" s="14"/>
      <c r="D755" s="14"/>
      <c r="E755" s="14"/>
      <c r="F755" s="14"/>
      <c r="G755" s="14"/>
      <c r="H755" s="14"/>
      <c r="I755" s="14"/>
      <c r="J755" s="14"/>
      <c r="K755" s="14"/>
      <c r="L755" s="14"/>
      <c r="M755" s="14"/>
      <c r="N755" s="14"/>
      <c r="O755" s="14"/>
      <c r="P755" s="14"/>
      <c r="Q755" s="14"/>
      <c r="R755" s="14"/>
      <c r="S755" s="14"/>
      <c r="T755" s="14"/>
      <c r="U755" s="15">
        <f>7.7/493</f>
        <v>1.5618661257606491E-2</v>
      </c>
      <c r="V755" s="114" t="s">
        <v>1617</v>
      </c>
      <c r="W755"/>
      <c r="X755"/>
      <c r="Y755"/>
      <c r="Z755"/>
      <c r="AA755"/>
      <c r="AB755"/>
      <c r="AC755"/>
      <c r="AD755"/>
      <c r="AE755"/>
      <c r="AF755"/>
      <c r="AG755"/>
      <c r="AH755"/>
      <c r="AI755"/>
      <c r="AJ755"/>
      <c r="AK755"/>
      <c r="AL755"/>
      <c r="AM755"/>
      <c r="AN755"/>
      <c r="AO755"/>
      <c r="AP755"/>
      <c r="AQ755"/>
    </row>
    <row r="756" spans="1:43">
      <c r="A756" s="13"/>
      <c r="B756" s="14" t="s">
        <v>134</v>
      </c>
      <c r="C756" s="14"/>
      <c r="D756" s="14"/>
      <c r="E756" s="14"/>
      <c r="F756" s="14"/>
      <c r="G756" s="14"/>
      <c r="H756" s="14"/>
      <c r="I756" s="14"/>
      <c r="J756" s="14"/>
      <c r="K756" s="14"/>
      <c r="L756" s="14"/>
      <c r="M756" s="14"/>
      <c r="N756" s="14"/>
      <c r="O756" s="14"/>
      <c r="P756" s="14"/>
      <c r="Q756" s="14"/>
      <c r="R756" s="14"/>
      <c r="S756" s="14"/>
      <c r="T756" s="14"/>
      <c r="U756" s="15">
        <f>9.6/613</f>
        <v>1.566068515497553E-2</v>
      </c>
      <c r="V756" s="114" t="s">
        <v>1618</v>
      </c>
      <c r="W756"/>
      <c r="X756"/>
      <c r="Y756"/>
      <c r="Z756"/>
      <c r="AA756"/>
      <c r="AB756"/>
      <c r="AC756"/>
      <c r="AD756"/>
      <c r="AE756"/>
      <c r="AF756"/>
      <c r="AG756"/>
      <c r="AH756"/>
      <c r="AI756"/>
      <c r="AJ756"/>
      <c r="AK756"/>
      <c r="AL756"/>
      <c r="AM756"/>
      <c r="AN756"/>
      <c r="AO756"/>
      <c r="AP756"/>
      <c r="AQ756"/>
    </row>
    <row r="757" spans="1:43">
      <c r="A757" s="13"/>
      <c r="B757" s="14"/>
      <c r="C757" s="14"/>
      <c r="D757" s="14"/>
      <c r="E757" s="14"/>
      <c r="F757" s="14"/>
      <c r="G757" s="14"/>
      <c r="H757" s="14"/>
      <c r="I757" s="14"/>
      <c r="J757" s="14"/>
      <c r="K757" s="14"/>
      <c r="L757" s="14"/>
      <c r="M757" s="14"/>
      <c r="N757" s="14"/>
      <c r="O757" s="14"/>
      <c r="P757" s="14"/>
      <c r="Q757" s="14"/>
      <c r="R757" s="14"/>
      <c r="S757" s="14"/>
      <c r="T757" s="14"/>
      <c r="U757" s="14"/>
      <c r="V757" s="114"/>
      <c r="W757"/>
      <c r="X757"/>
      <c r="Y757"/>
      <c r="Z757"/>
      <c r="AA757"/>
      <c r="AB757"/>
      <c r="AC757"/>
      <c r="AD757"/>
      <c r="AE757"/>
      <c r="AF757"/>
      <c r="AG757"/>
      <c r="AH757"/>
      <c r="AI757"/>
      <c r="AJ757"/>
      <c r="AK757"/>
      <c r="AL757"/>
      <c r="AM757"/>
      <c r="AN757"/>
      <c r="AO757"/>
      <c r="AP757"/>
      <c r="AQ757"/>
    </row>
    <row r="758" spans="1:43">
      <c r="A758" s="9" t="s">
        <v>91</v>
      </c>
      <c r="B758" s="10" t="s">
        <v>142</v>
      </c>
      <c r="C758" s="10"/>
      <c r="D758" s="10"/>
      <c r="E758" s="10"/>
      <c r="F758" s="10"/>
      <c r="G758" s="10"/>
      <c r="H758" s="10"/>
      <c r="I758" s="10"/>
      <c r="J758" s="10"/>
      <c r="K758" s="10"/>
      <c r="L758" s="10"/>
      <c r="M758" s="10"/>
      <c r="N758" s="10"/>
      <c r="O758" s="10"/>
      <c r="P758" s="10"/>
      <c r="Q758" s="10"/>
      <c r="R758" s="10"/>
      <c r="S758" s="10">
        <v>5.9</v>
      </c>
      <c r="T758" s="10">
        <v>7.8</v>
      </c>
      <c r="U758" s="120">
        <f>7.8/1800</f>
        <v>4.3333333333333331E-3</v>
      </c>
      <c r="V758" s="114" t="s">
        <v>1619</v>
      </c>
      <c r="W758"/>
      <c r="X758"/>
      <c r="Y758"/>
      <c r="Z758"/>
      <c r="AA758"/>
      <c r="AB758"/>
      <c r="AC758"/>
      <c r="AD758"/>
      <c r="AE758"/>
      <c r="AF758"/>
      <c r="AG758"/>
      <c r="AH758"/>
      <c r="AI758"/>
      <c r="AJ758"/>
      <c r="AK758"/>
      <c r="AL758"/>
      <c r="AM758"/>
      <c r="AN758"/>
      <c r="AO758"/>
      <c r="AP758"/>
      <c r="AQ758"/>
    </row>
    <row r="759" spans="1:43">
      <c r="A759" s="13"/>
      <c r="B759" s="14" t="s">
        <v>134</v>
      </c>
      <c r="C759" s="14"/>
      <c r="D759" s="14"/>
      <c r="E759" s="14"/>
      <c r="F759" s="14"/>
      <c r="G759" s="14"/>
      <c r="H759" s="14"/>
      <c r="I759" s="14"/>
      <c r="J759" s="14"/>
      <c r="K759" s="14"/>
      <c r="L759" s="14"/>
      <c r="M759" s="14"/>
      <c r="N759" s="14"/>
      <c r="O759" s="14"/>
      <c r="P759" s="14"/>
      <c r="Q759" s="14"/>
      <c r="R759" s="14"/>
      <c r="S759" s="14">
        <v>3.6</v>
      </c>
      <c r="T759" s="14">
        <v>7.8</v>
      </c>
      <c r="U759" s="121">
        <f>7.8/1800</f>
        <v>4.3333333333333331E-3</v>
      </c>
      <c r="V759" s="114" t="s">
        <v>1620</v>
      </c>
      <c r="W759"/>
      <c r="X759"/>
      <c r="Y759"/>
      <c r="Z759"/>
      <c r="AA759"/>
      <c r="AB759"/>
      <c r="AC759"/>
      <c r="AD759"/>
      <c r="AE759"/>
      <c r="AF759"/>
      <c r="AG759"/>
      <c r="AH759"/>
      <c r="AI759"/>
      <c r="AJ759"/>
      <c r="AK759"/>
      <c r="AL759"/>
      <c r="AM759"/>
      <c r="AN759"/>
      <c r="AO759"/>
      <c r="AP759"/>
      <c r="AQ759"/>
    </row>
    <row r="760" spans="1:43">
      <c r="A760" s="9" t="s">
        <v>1621</v>
      </c>
      <c r="B760" s="10" t="s">
        <v>178</v>
      </c>
      <c r="C760" s="10">
        <f>'Feed products'!AB811</f>
        <v>8.16</v>
      </c>
      <c r="D760" s="10">
        <f>'Feed products'!$Z$798</f>
        <v>7.2799999999999994</v>
      </c>
      <c r="E760" s="10"/>
      <c r="F760" s="10"/>
      <c r="G760" s="10"/>
      <c r="H760" s="10"/>
      <c r="I760" s="10"/>
      <c r="J760" s="10"/>
      <c r="K760" s="10"/>
      <c r="L760" s="10"/>
      <c r="M760" s="10"/>
      <c r="N760" s="10"/>
      <c r="O760" s="10"/>
      <c r="P760" s="10"/>
      <c r="Q760" s="10"/>
      <c r="R760" s="10"/>
      <c r="S760" s="10">
        <v>1.2</v>
      </c>
      <c r="T760" s="10"/>
      <c r="U760" s="10"/>
      <c r="V760" s="14"/>
      <c r="W760" s="114"/>
      <c r="X760"/>
      <c r="Y760"/>
      <c r="Z760"/>
      <c r="AA760"/>
      <c r="AB760"/>
      <c r="AC760"/>
      <c r="AD760"/>
      <c r="AE760"/>
      <c r="AF760"/>
      <c r="AG760"/>
      <c r="AH760"/>
      <c r="AI760"/>
      <c r="AJ760"/>
      <c r="AK760"/>
      <c r="AL760"/>
      <c r="AM760"/>
      <c r="AN760"/>
      <c r="AO760"/>
      <c r="AP760"/>
      <c r="AQ760"/>
    </row>
    <row r="761" spans="1:43">
      <c r="A761" s="13"/>
      <c r="B761" s="14" t="s">
        <v>123</v>
      </c>
      <c r="C761" s="14">
        <f>'Feed products'!AB819</f>
        <v>14.639999999999997</v>
      </c>
      <c r="D761" s="14">
        <f>'Feed products'!$Z$798</f>
        <v>7.2799999999999994</v>
      </c>
      <c r="E761" s="14"/>
      <c r="F761" s="14"/>
      <c r="G761" s="14"/>
      <c r="H761" s="14"/>
      <c r="I761" s="14"/>
      <c r="J761" s="14"/>
      <c r="K761" s="14"/>
      <c r="L761" s="14"/>
      <c r="M761" s="14"/>
      <c r="N761" s="14"/>
      <c r="O761" s="14"/>
      <c r="P761" s="14"/>
      <c r="Q761" s="14"/>
      <c r="R761" s="14"/>
      <c r="S761" s="14">
        <v>9</v>
      </c>
      <c r="T761" s="14">
        <v>16.75</v>
      </c>
      <c r="U761" s="1108">
        <f>16.75/4300</f>
        <v>3.8953488372093022E-3</v>
      </c>
      <c r="V761" s="114" t="s">
        <v>1622</v>
      </c>
      <c r="W761"/>
      <c r="X761"/>
      <c r="Y761"/>
      <c r="Z761"/>
      <c r="AA761"/>
      <c r="AB761"/>
      <c r="AC761"/>
      <c r="AD761"/>
      <c r="AE761"/>
      <c r="AF761"/>
      <c r="AG761"/>
      <c r="AH761"/>
      <c r="AI761"/>
      <c r="AJ761"/>
      <c r="AK761"/>
      <c r="AL761"/>
      <c r="AM761"/>
      <c r="AN761"/>
      <c r="AO761"/>
      <c r="AP761"/>
      <c r="AQ761"/>
    </row>
    <row r="762" spans="1:43">
      <c r="A762" s="13"/>
      <c r="B762" s="14" t="s">
        <v>130</v>
      </c>
      <c r="C762" s="14">
        <f>'Feed products'!AB814</f>
        <v>2.76</v>
      </c>
      <c r="D762" s="14">
        <f>'Feed products'!$Z$798</f>
        <v>7.2799999999999994</v>
      </c>
      <c r="E762" s="14"/>
      <c r="F762" s="14"/>
      <c r="G762" s="14"/>
      <c r="H762" s="14"/>
      <c r="I762" s="14"/>
      <c r="J762" s="14"/>
      <c r="K762" s="14"/>
      <c r="L762" s="14"/>
      <c r="M762" s="14"/>
      <c r="N762" s="14"/>
      <c r="O762" s="14"/>
      <c r="P762" s="14"/>
      <c r="Q762" s="14"/>
      <c r="R762" s="14"/>
      <c r="S762" s="14">
        <v>1.2</v>
      </c>
      <c r="T762" s="14">
        <v>2.15</v>
      </c>
      <c r="U762" s="1108">
        <f>2.15/5000</f>
        <v>4.2999999999999999E-4</v>
      </c>
      <c r="V762" s="114" t="s">
        <v>1623</v>
      </c>
      <c r="W762"/>
      <c r="X762"/>
      <c r="Y762"/>
      <c r="Z762"/>
      <c r="AA762"/>
      <c r="AB762"/>
      <c r="AC762"/>
      <c r="AD762"/>
      <c r="AE762"/>
      <c r="AF762"/>
      <c r="AG762"/>
      <c r="AH762"/>
      <c r="AI762"/>
      <c r="AJ762"/>
      <c r="AK762"/>
      <c r="AL762"/>
      <c r="AM762"/>
      <c r="AN762"/>
      <c r="AO762"/>
      <c r="AP762"/>
      <c r="AQ762"/>
    </row>
    <row r="763" spans="1:43">
      <c r="A763" s="21"/>
      <c r="B763" s="22" t="s">
        <v>125</v>
      </c>
      <c r="C763" s="14"/>
      <c r="D763" s="14">
        <f>'Feed products'!$Z$798</f>
        <v>7.2799999999999994</v>
      </c>
      <c r="E763" s="14"/>
      <c r="F763" s="14"/>
      <c r="G763" s="14"/>
      <c r="H763" s="14"/>
      <c r="I763" s="14"/>
      <c r="J763" s="14"/>
      <c r="K763" s="14"/>
      <c r="L763" s="14"/>
      <c r="M763" s="14"/>
      <c r="N763" s="14"/>
      <c r="O763" s="14"/>
      <c r="P763" s="14"/>
      <c r="Q763" s="14"/>
      <c r="R763" s="14"/>
      <c r="S763" s="22">
        <v>1.1000000000000001</v>
      </c>
      <c r="T763" s="14"/>
      <c r="U763" s="14"/>
      <c r="V763" s="114"/>
      <c r="W763" s="114"/>
      <c r="X763"/>
      <c r="Y763"/>
      <c r="Z763"/>
      <c r="AA763"/>
      <c r="AB763"/>
      <c r="AC763"/>
      <c r="AD763"/>
      <c r="AE763"/>
      <c r="AF763"/>
      <c r="AG763"/>
      <c r="AH763"/>
      <c r="AI763"/>
      <c r="AJ763"/>
      <c r="AK763"/>
      <c r="AL763"/>
      <c r="AM763"/>
      <c r="AN763"/>
      <c r="AO763"/>
      <c r="AP763"/>
      <c r="AQ763"/>
    </row>
    <row r="764" spans="1:43">
      <c r="A764" s="9" t="s">
        <v>147</v>
      </c>
      <c r="B764" s="10" t="s">
        <v>120</v>
      </c>
      <c r="C764" s="10"/>
      <c r="D764" s="14"/>
      <c r="E764" s="14"/>
      <c r="F764" s="14"/>
      <c r="G764" s="14"/>
      <c r="H764" s="14"/>
      <c r="I764" s="14"/>
      <c r="J764" s="14"/>
      <c r="K764" s="14"/>
      <c r="L764" s="14"/>
      <c r="M764" s="14"/>
      <c r="N764" s="14"/>
      <c r="O764" s="14"/>
      <c r="P764" s="14"/>
      <c r="Q764" s="14"/>
      <c r="R764" s="14"/>
      <c r="S764" s="14"/>
      <c r="T764" s="14"/>
      <c r="U764" s="14"/>
      <c r="V764" s="114"/>
      <c r="W764"/>
      <c r="X764"/>
      <c r="Y764"/>
      <c r="Z764"/>
      <c r="AA764"/>
      <c r="AB764"/>
      <c r="AC764"/>
      <c r="AD764"/>
      <c r="AE764"/>
      <c r="AF764"/>
      <c r="AG764"/>
      <c r="AH764"/>
      <c r="AI764"/>
      <c r="AJ764"/>
      <c r="AK764"/>
      <c r="AL764"/>
      <c r="AM764"/>
      <c r="AN764"/>
      <c r="AO764"/>
      <c r="AP764"/>
      <c r="AQ764"/>
    </row>
    <row r="765" spans="1:43">
      <c r="A765" s="14"/>
      <c r="B765" s="29" t="s">
        <v>123</v>
      </c>
      <c r="C765" s="14"/>
      <c r="D765" s="148"/>
      <c r="E765" s="148"/>
      <c r="F765" s="148"/>
      <c r="G765" s="148"/>
      <c r="H765" s="148"/>
      <c r="I765" s="148"/>
      <c r="J765" s="148"/>
      <c r="K765" s="148"/>
      <c r="L765" s="148"/>
      <c r="M765" s="148"/>
      <c r="N765" s="148"/>
      <c r="O765" s="148"/>
      <c r="P765" s="148"/>
      <c r="Q765" s="148"/>
      <c r="R765" s="148"/>
      <c r="S765" s="148"/>
      <c r="T765" s="148"/>
      <c r="U765" s="148"/>
      <c r="V765" s="578"/>
      <c r="W765"/>
      <c r="X765"/>
      <c r="Y765"/>
      <c r="Z765"/>
      <c r="AA765"/>
      <c r="AB765"/>
      <c r="AC765"/>
      <c r="AD765"/>
      <c r="AE765"/>
      <c r="AF765"/>
      <c r="AG765"/>
      <c r="AH765"/>
      <c r="AI765"/>
      <c r="AJ765"/>
      <c r="AK765"/>
      <c r="AL765"/>
      <c r="AM765"/>
      <c r="AN765"/>
      <c r="AO765"/>
      <c r="AP765"/>
      <c r="AQ765"/>
    </row>
    <row r="766" spans="1:43">
      <c r="A766" s="14"/>
      <c r="B766" s="29" t="s">
        <v>148</v>
      </c>
      <c r="C766" s="14"/>
      <c r="D766" s="14"/>
      <c r="E766" s="14"/>
      <c r="F766" s="14"/>
      <c r="G766" s="14"/>
      <c r="H766" s="14"/>
      <c r="I766" s="14"/>
      <c r="J766" s="14"/>
      <c r="K766" s="14"/>
      <c r="L766" s="14"/>
      <c r="M766" s="14"/>
      <c r="N766" s="14"/>
      <c r="O766" s="14"/>
      <c r="P766" s="14"/>
      <c r="Q766" s="14"/>
      <c r="R766" s="14"/>
      <c r="S766" s="14"/>
      <c r="T766" s="14"/>
      <c r="U766" s="14"/>
      <c r="V766" s="114"/>
      <c r="W766"/>
      <c r="X766"/>
      <c r="Y766"/>
      <c r="Z766"/>
      <c r="AA766"/>
      <c r="AB766"/>
      <c r="AC766"/>
      <c r="AD766"/>
      <c r="AE766"/>
      <c r="AF766"/>
      <c r="AG766"/>
      <c r="AH766"/>
      <c r="AI766"/>
      <c r="AJ766"/>
      <c r="AK766"/>
      <c r="AL766"/>
      <c r="AM766"/>
      <c r="AN766"/>
      <c r="AO766"/>
      <c r="AP766"/>
      <c r="AQ766"/>
    </row>
    <row r="767" spans="1:43">
      <c r="A767" s="14"/>
      <c r="B767" s="69" t="s">
        <v>149</v>
      </c>
      <c r="C767" s="14"/>
      <c r="D767" s="14"/>
      <c r="E767" s="14"/>
      <c r="F767" s="14"/>
      <c r="G767" s="14"/>
      <c r="H767" s="14"/>
      <c r="I767" s="14"/>
      <c r="J767" s="14"/>
      <c r="K767" s="14"/>
      <c r="L767" s="14"/>
      <c r="M767" s="14"/>
      <c r="N767" s="14"/>
      <c r="O767" s="14"/>
      <c r="P767" s="14"/>
      <c r="Q767" s="14"/>
      <c r="R767" s="14"/>
      <c r="S767" s="14"/>
      <c r="T767" s="14"/>
      <c r="U767" s="14"/>
      <c r="V767" s="114"/>
      <c r="W767"/>
      <c r="X767"/>
      <c r="Y767"/>
      <c r="Z767"/>
      <c r="AA767"/>
      <c r="AB767"/>
      <c r="AC767"/>
      <c r="AD767"/>
      <c r="AE767"/>
      <c r="AF767"/>
      <c r="AG767"/>
      <c r="AH767"/>
      <c r="AI767"/>
      <c r="AJ767"/>
      <c r="AK767"/>
      <c r="AL767"/>
      <c r="AM767"/>
      <c r="AN767"/>
      <c r="AO767"/>
      <c r="AP767"/>
      <c r="AQ767"/>
    </row>
    <row r="768" spans="1:43">
      <c r="A768" s="14"/>
      <c r="B768" s="69" t="s">
        <v>134</v>
      </c>
      <c r="C768" s="14"/>
      <c r="D768" s="14"/>
      <c r="E768" s="14"/>
      <c r="F768" s="14"/>
      <c r="G768" s="14"/>
      <c r="H768" s="14"/>
      <c r="I768" s="14"/>
      <c r="J768" s="14"/>
      <c r="K768" s="14"/>
      <c r="L768" s="14"/>
      <c r="M768" s="14"/>
      <c r="N768" s="14"/>
      <c r="O768" s="14"/>
      <c r="P768" s="14"/>
      <c r="Q768" s="14"/>
      <c r="R768" s="14"/>
      <c r="S768" s="14"/>
      <c r="T768" s="14"/>
      <c r="U768" s="14"/>
      <c r="V768" s="114"/>
      <c r="W768"/>
      <c r="X768"/>
      <c r="Y768"/>
      <c r="Z768"/>
      <c r="AA768"/>
      <c r="AB768"/>
      <c r="AC768"/>
      <c r="AD768"/>
      <c r="AE768"/>
      <c r="AF768"/>
      <c r="AG768"/>
      <c r="AH768"/>
      <c r="AI768"/>
      <c r="AJ768"/>
      <c r="AK768"/>
      <c r="AL768"/>
      <c r="AM768"/>
      <c r="AN768"/>
      <c r="AO768"/>
      <c r="AP768"/>
      <c r="AQ768"/>
    </row>
    <row r="769" spans="1:43">
      <c r="A769" s="10" t="s">
        <v>158</v>
      </c>
      <c r="B769" s="10" t="s">
        <v>120</v>
      </c>
      <c r="C769" s="12"/>
      <c r="D769" s="29"/>
      <c r="E769" s="29"/>
      <c r="F769" s="29"/>
      <c r="G769" s="29"/>
      <c r="H769" s="29"/>
      <c r="I769" s="29"/>
      <c r="J769" s="29"/>
      <c r="K769" s="29"/>
      <c r="L769" s="29"/>
      <c r="M769" s="29"/>
      <c r="N769" s="29"/>
      <c r="O769" s="29"/>
      <c r="P769" s="29"/>
      <c r="Q769" s="29"/>
      <c r="R769" s="29"/>
      <c r="S769" s="29"/>
      <c r="T769" s="29"/>
      <c r="U769" s="29"/>
      <c r="V769" s="114"/>
      <c r="W769"/>
      <c r="X769"/>
      <c r="Y769"/>
      <c r="Z769"/>
      <c r="AA769"/>
      <c r="AB769"/>
      <c r="AC769"/>
      <c r="AD769"/>
      <c r="AE769"/>
      <c r="AF769"/>
      <c r="AG769"/>
      <c r="AH769"/>
      <c r="AI769"/>
      <c r="AJ769"/>
      <c r="AK769"/>
      <c r="AL769"/>
      <c r="AM769"/>
      <c r="AN769"/>
      <c r="AO769"/>
      <c r="AP769"/>
      <c r="AQ769"/>
    </row>
    <row r="770" spans="1:43">
      <c r="A770" s="14"/>
      <c r="B770" s="14" t="s">
        <v>130</v>
      </c>
      <c r="C770" s="14"/>
      <c r="D770" s="29"/>
      <c r="E770" s="29"/>
      <c r="F770" s="29"/>
      <c r="G770" s="29"/>
      <c r="H770" s="29"/>
      <c r="I770" s="29"/>
      <c r="J770" s="29"/>
      <c r="K770" s="29"/>
      <c r="L770" s="29"/>
      <c r="M770" s="29"/>
      <c r="N770" s="29"/>
      <c r="O770" s="29"/>
      <c r="P770" s="29"/>
      <c r="Q770" s="29"/>
      <c r="R770" s="29"/>
      <c r="S770" s="29"/>
      <c r="T770" s="29"/>
      <c r="U770" s="29"/>
      <c r="V770" s="114"/>
      <c r="W770"/>
      <c r="X770"/>
      <c r="Y770"/>
      <c r="Z770"/>
      <c r="AA770"/>
      <c r="AB770"/>
      <c r="AC770"/>
      <c r="AD770"/>
      <c r="AE770"/>
      <c r="AF770"/>
      <c r="AG770"/>
      <c r="AH770"/>
      <c r="AI770"/>
      <c r="AJ770"/>
      <c r="AK770"/>
      <c r="AL770"/>
      <c r="AM770"/>
      <c r="AN770"/>
      <c r="AO770"/>
      <c r="AP770"/>
      <c r="AQ770"/>
    </row>
    <row r="771" spans="1:43">
      <c r="A771" s="14"/>
      <c r="B771" s="14" t="s">
        <v>123</v>
      </c>
      <c r="C771" s="14"/>
      <c r="D771" s="29"/>
      <c r="E771" s="29"/>
      <c r="F771" s="29"/>
      <c r="G771" s="29"/>
      <c r="H771" s="29"/>
      <c r="I771" s="29"/>
      <c r="J771" s="29"/>
      <c r="K771" s="29"/>
      <c r="L771" s="29"/>
      <c r="M771" s="29"/>
      <c r="N771" s="29"/>
      <c r="O771" s="29"/>
      <c r="P771" s="29"/>
      <c r="Q771" s="29"/>
      <c r="R771" s="29"/>
      <c r="S771" s="29"/>
      <c r="T771" s="29"/>
      <c r="U771" s="29"/>
      <c r="V771" s="114"/>
      <c r="W771"/>
      <c r="X771"/>
      <c r="Y771"/>
      <c r="Z771"/>
      <c r="AA771"/>
      <c r="AB771"/>
      <c r="AC771"/>
      <c r="AD771"/>
      <c r="AE771"/>
      <c r="AF771"/>
      <c r="AG771"/>
      <c r="AH771"/>
      <c r="AI771"/>
      <c r="AJ771"/>
      <c r="AK771"/>
      <c r="AL771"/>
      <c r="AM771"/>
      <c r="AN771"/>
      <c r="AO771"/>
      <c r="AP771"/>
      <c r="AQ771"/>
    </row>
    <row r="772" spans="1:43">
      <c r="A772" s="14"/>
      <c r="B772" s="14" t="s">
        <v>134</v>
      </c>
      <c r="C772" s="14"/>
      <c r="D772" s="29"/>
      <c r="E772" s="29"/>
      <c r="F772" s="29"/>
      <c r="G772" s="29"/>
      <c r="H772" s="29"/>
      <c r="I772" s="29"/>
      <c r="J772" s="29"/>
      <c r="K772" s="29"/>
      <c r="L772" s="29"/>
      <c r="M772" s="29"/>
      <c r="N772" s="29"/>
      <c r="O772" s="29"/>
      <c r="P772" s="29"/>
      <c r="Q772" s="29"/>
      <c r="R772" s="29"/>
      <c r="S772" s="29"/>
      <c r="T772" s="29"/>
      <c r="U772" s="1113">
        <f>13.93/15000</f>
        <v>9.2866666666666662E-4</v>
      </c>
      <c r="V772" s="114" t="s">
        <v>1624</v>
      </c>
      <c r="W772"/>
      <c r="X772"/>
      <c r="Y772"/>
      <c r="Z772"/>
      <c r="AA772"/>
      <c r="AB772"/>
      <c r="AC772"/>
      <c r="AD772"/>
      <c r="AE772"/>
      <c r="AF772"/>
      <c r="AG772"/>
      <c r="AH772"/>
      <c r="AI772"/>
      <c r="AJ772"/>
      <c r="AK772"/>
      <c r="AL772"/>
      <c r="AM772"/>
      <c r="AN772"/>
      <c r="AO772"/>
      <c r="AP772"/>
      <c r="AQ772"/>
    </row>
    <row r="773" spans="1:43">
      <c r="A773" s="10" t="s">
        <v>197</v>
      </c>
      <c r="B773" s="10" t="s">
        <v>120</v>
      </c>
      <c r="C773" s="12"/>
      <c r="D773" s="23"/>
      <c r="E773" s="23"/>
      <c r="F773" s="23"/>
      <c r="G773" s="23"/>
      <c r="H773" s="23"/>
      <c r="I773" s="23"/>
      <c r="J773" s="23"/>
      <c r="K773" s="23"/>
      <c r="L773" s="23"/>
      <c r="M773" s="23"/>
      <c r="N773" s="23"/>
      <c r="O773" s="23"/>
      <c r="P773" s="23"/>
      <c r="Q773" s="23"/>
      <c r="R773" s="23"/>
      <c r="S773" s="23"/>
      <c r="T773" s="23"/>
      <c r="U773" s="23"/>
      <c r="V773" s="23"/>
      <c r="W773" s="6"/>
      <c r="X773"/>
      <c r="Y773"/>
      <c r="Z773"/>
      <c r="AA773"/>
      <c r="AB773"/>
      <c r="AC773"/>
      <c r="AD773"/>
      <c r="AE773"/>
      <c r="AF773"/>
      <c r="AG773"/>
      <c r="AH773"/>
      <c r="AI773"/>
      <c r="AJ773"/>
      <c r="AK773"/>
      <c r="AL773"/>
      <c r="AM773"/>
      <c r="AN773"/>
      <c r="AO773"/>
      <c r="AP773"/>
      <c r="AQ773"/>
    </row>
    <row r="774" spans="1:43">
      <c r="A774" s="14"/>
      <c r="B774" s="14" t="s">
        <v>184</v>
      </c>
      <c r="C774" s="14"/>
      <c r="D774" s="29"/>
      <c r="E774" s="29"/>
      <c r="F774" s="29"/>
      <c r="G774" s="29"/>
      <c r="H774" s="29"/>
      <c r="I774" s="29"/>
      <c r="J774" s="29"/>
      <c r="K774" s="29"/>
      <c r="L774" s="29"/>
      <c r="M774" s="29"/>
      <c r="N774" s="29"/>
      <c r="O774" s="29"/>
      <c r="P774" s="29"/>
      <c r="Q774" s="29"/>
      <c r="R774" s="29"/>
      <c r="S774" s="29"/>
      <c r="T774" s="29"/>
      <c r="U774" s="1113">
        <f>2.56/2570</f>
        <v>9.9610894941634253E-4</v>
      </c>
      <c r="V774" s="114" t="s">
        <v>1625</v>
      </c>
      <c r="W774"/>
      <c r="X774"/>
      <c r="Y774"/>
      <c r="Z774"/>
      <c r="AA774"/>
      <c r="AB774"/>
      <c r="AC774"/>
      <c r="AD774"/>
      <c r="AE774"/>
      <c r="AF774"/>
      <c r="AG774"/>
      <c r="AH774"/>
      <c r="AI774"/>
      <c r="AJ774"/>
      <c r="AK774"/>
      <c r="AL774"/>
      <c r="AM774"/>
      <c r="AN774"/>
      <c r="AO774"/>
      <c r="AP774"/>
      <c r="AQ774"/>
    </row>
    <row r="775" spans="1:43">
      <c r="A775" s="14"/>
      <c r="B775" s="14" t="s">
        <v>145</v>
      </c>
      <c r="C775" s="14"/>
      <c r="D775" s="29"/>
      <c r="E775" s="29"/>
      <c r="F775" s="29"/>
      <c r="G775" s="29"/>
      <c r="H775" s="29"/>
      <c r="I775" s="29"/>
      <c r="J775" s="29"/>
      <c r="K775" s="29"/>
      <c r="L775" s="29"/>
      <c r="M775" s="29"/>
      <c r="N775" s="29"/>
      <c r="O775" s="29"/>
      <c r="P775" s="29"/>
      <c r="Q775" s="29"/>
      <c r="R775" s="29"/>
      <c r="S775" s="29"/>
      <c r="T775" s="29"/>
      <c r="U775" s="1113">
        <f>11.25/3500</f>
        <v>3.2142857142857142E-3</v>
      </c>
      <c r="V775" s="114" t="s">
        <v>1626</v>
      </c>
      <c r="W775"/>
      <c r="X775"/>
      <c r="Y775"/>
      <c r="Z775"/>
      <c r="AA775"/>
      <c r="AB775"/>
      <c r="AC775"/>
      <c r="AD775"/>
      <c r="AE775"/>
      <c r="AF775"/>
      <c r="AG775"/>
      <c r="AH775"/>
      <c r="AI775"/>
      <c r="AJ775"/>
      <c r="AK775"/>
      <c r="AL775"/>
      <c r="AM775"/>
      <c r="AN775"/>
      <c r="AO775"/>
      <c r="AP775"/>
      <c r="AQ775"/>
    </row>
    <row r="776" spans="1:43">
      <c r="A776" s="14"/>
      <c r="B776" s="14" t="s">
        <v>134</v>
      </c>
      <c r="C776" s="14"/>
      <c r="D776" s="29"/>
      <c r="E776" s="29"/>
      <c r="F776" s="29"/>
      <c r="G776" s="29"/>
      <c r="H776" s="29"/>
      <c r="I776" s="29"/>
      <c r="J776" s="29"/>
      <c r="K776" s="29"/>
      <c r="L776" s="29"/>
      <c r="M776" s="29"/>
      <c r="N776" s="29"/>
      <c r="O776" s="29"/>
      <c r="P776" s="29"/>
      <c r="Q776" s="29"/>
      <c r="R776" s="29"/>
      <c r="S776" s="29"/>
      <c r="T776" s="29"/>
      <c r="U776" s="1113">
        <f>11.25/3500</f>
        <v>3.2142857142857142E-3</v>
      </c>
      <c r="V776" s="114" t="s">
        <v>1627</v>
      </c>
      <c r="W776"/>
      <c r="X776"/>
      <c r="Y776"/>
      <c r="Z776"/>
      <c r="AA776"/>
      <c r="AB776"/>
      <c r="AC776"/>
      <c r="AD776"/>
      <c r="AE776"/>
      <c r="AF776"/>
      <c r="AG776"/>
      <c r="AH776"/>
      <c r="AI776"/>
      <c r="AJ776"/>
      <c r="AK776"/>
      <c r="AL776"/>
      <c r="AM776"/>
      <c r="AN776"/>
      <c r="AO776"/>
      <c r="AP776"/>
      <c r="AQ776"/>
    </row>
    <row r="777" spans="1:43">
      <c r="A777" s="10" t="s">
        <v>196</v>
      </c>
      <c r="B777" s="10" t="s">
        <v>120</v>
      </c>
      <c r="C777" s="10"/>
      <c r="D777" s="29"/>
      <c r="E777" s="29"/>
      <c r="F777" s="29"/>
      <c r="G777" s="29"/>
      <c r="H777" s="29"/>
      <c r="I777" s="29"/>
      <c r="J777" s="29"/>
      <c r="K777" s="29"/>
      <c r="L777" s="29"/>
      <c r="M777" s="29"/>
      <c r="N777" s="29"/>
      <c r="O777" s="29"/>
      <c r="P777" s="29"/>
      <c r="Q777" s="29"/>
      <c r="R777" s="29"/>
      <c r="S777" s="29"/>
      <c r="T777" s="29"/>
      <c r="U777" s="29"/>
      <c r="V777"/>
      <c r="W777"/>
      <c r="X777"/>
      <c r="Y777"/>
      <c r="Z777"/>
      <c r="AA777"/>
      <c r="AB777"/>
      <c r="AC777"/>
      <c r="AD777"/>
      <c r="AE777"/>
      <c r="AF777"/>
      <c r="AG777"/>
      <c r="AH777"/>
      <c r="AI777"/>
      <c r="AJ777"/>
      <c r="AK777"/>
      <c r="AL777"/>
      <c r="AM777"/>
      <c r="AN777"/>
      <c r="AO777"/>
      <c r="AP777"/>
      <c r="AQ777"/>
    </row>
    <row r="778" spans="1:43">
      <c r="A778" s="14"/>
      <c r="B778" s="14" t="s">
        <v>149</v>
      </c>
      <c r="C778" s="14"/>
      <c r="D778" s="29"/>
      <c r="E778" s="29"/>
      <c r="F778" s="29"/>
      <c r="G778" s="29"/>
      <c r="H778" s="29"/>
      <c r="I778" s="29"/>
      <c r="J778" s="29"/>
      <c r="K778" s="29"/>
      <c r="L778" s="29"/>
      <c r="M778" s="29"/>
      <c r="N778" s="29"/>
      <c r="O778" s="29"/>
      <c r="P778" s="29"/>
      <c r="Q778" s="29"/>
      <c r="R778" s="29"/>
      <c r="S778" s="29"/>
      <c r="T778" s="29"/>
      <c r="U778" s="1114">
        <f>10.9/3100</f>
        <v>3.5161290322580645E-3</v>
      </c>
      <c r="V778" s="114" t="s">
        <v>1628</v>
      </c>
      <c r="W778"/>
      <c r="X778"/>
      <c r="Y778"/>
      <c r="Z778"/>
      <c r="AA778"/>
      <c r="AB778"/>
      <c r="AC778"/>
      <c r="AD778"/>
      <c r="AE778"/>
      <c r="AF778"/>
      <c r="AG778"/>
      <c r="AH778"/>
      <c r="AI778"/>
      <c r="AJ778"/>
      <c r="AK778"/>
      <c r="AL778"/>
      <c r="AM778"/>
      <c r="AN778"/>
      <c r="AO778"/>
      <c r="AP778"/>
      <c r="AQ778"/>
    </row>
    <row r="779" spans="1:43">
      <c r="A779" s="14"/>
      <c r="B779" s="14" t="s">
        <v>130</v>
      </c>
      <c r="C779" s="14"/>
      <c r="D779" s="29"/>
      <c r="E779" s="29"/>
      <c r="F779" s="29"/>
      <c r="G779" s="29"/>
      <c r="H779" s="29"/>
      <c r="I779" s="29"/>
      <c r="J779" s="29"/>
      <c r="K779" s="29"/>
      <c r="L779" s="29"/>
      <c r="M779" s="29"/>
      <c r="N779" s="29"/>
      <c r="O779" s="29"/>
      <c r="P779" s="29"/>
      <c r="Q779" s="29"/>
      <c r="R779" s="29"/>
      <c r="S779" s="29"/>
      <c r="T779" s="29"/>
      <c r="U779" s="1114"/>
      <c r="V779" s="114"/>
      <c r="W779"/>
      <c r="X779"/>
      <c r="Y779"/>
      <c r="Z779"/>
      <c r="AA779"/>
      <c r="AB779"/>
      <c r="AC779"/>
      <c r="AD779"/>
      <c r="AE779"/>
      <c r="AF779"/>
      <c r="AG779"/>
      <c r="AH779"/>
      <c r="AI779"/>
      <c r="AJ779"/>
      <c r="AK779"/>
      <c r="AL779"/>
      <c r="AM779"/>
      <c r="AN779"/>
      <c r="AO779"/>
      <c r="AP779"/>
      <c r="AQ779"/>
    </row>
    <row r="780" spans="1:43">
      <c r="A780" s="14"/>
      <c r="B780" s="14" t="s">
        <v>134</v>
      </c>
      <c r="C780" s="14"/>
      <c r="D780" s="29"/>
      <c r="E780" s="29"/>
      <c r="F780" s="29"/>
      <c r="G780" s="29"/>
      <c r="H780" s="29"/>
      <c r="I780" s="29"/>
      <c r="J780" s="29"/>
      <c r="K780" s="29"/>
      <c r="L780" s="29"/>
      <c r="M780" s="29"/>
      <c r="N780" s="29"/>
      <c r="O780" s="29"/>
      <c r="P780" s="29"/>
      <c r="Q780" s="29"/>
      <c r="R780" s="29"/>
      <c r="S780" s="29"/>
      <c r="T780" s="29"/>
      <c r="U780" s="1114">
        <f>10.9/3100</f>
        <v>3.5161290322580645E-3</v>
      </c>
      <c r="V780" s="114" t="s">
        <v>1629</v>
      </c>
      <c r="W780"/>
      <c r="X780"/>
      <c r="Y780"/>
      <c r="Z780"/>
      <c r="AA780"/>
      <c r="AB780"/>
      <c r="AC780"/>
      <c r="AD780"/>
      <c r="AE780"/>
      <c r="AF780"/>
      <c r="AG780"/>
      <c r="AH780"/>
      <c r="AI780"/>
      <c r="AJ780"/>
      <c r="AK780"/>
      <c r="AL780"/>
      <c r="AM780"/>
      <c r="AN780"/>
      <c r="AO780"/>
      <c r="AP780"/>
      <c r="AQ780"/>
    </row>
    <row r="781" spans="1:43">
      <c r="A781" s="10" t="s">
        <v>144</v>
      </c>
      <c r="B781" s="10" t="s">
        <v>120</v>
      </c>
      <c r="C781" s="10"/>
      <c r="D781" s="29"/>
      <c r="E781" s="29"/>
      <c r="F781" s="29"/>
      <c r="G781" s="29"/>
      <c r="H781" s="29"/>
      <c r="I781" s="29"/>
      <c r="J781" s="29"/>
      <c r="K781" s="29"/>
      <c r="L781" s="29"/>
      <c r="M781" s="29"/>
      <c r="N781" s="29"/>
      <c r="O781" s="29"/>
      <c r="P781" s="29"/>
      <c r="Q781" s="29"/>
      <c r="R781" s="29"/>
      <c r="S781" s="29"/>
      <c r="T781" s="29"/>
      <c r="U781" s="29"/>
      <c r="V781"/>
      <c r="W781"/>
      <c r="X781"/>
      <c r="Y781"/>
      <c r="Z781"/>
      <c r="AA781"/>
      <c r="AB781"/>
      <c r="AC781"/>
      <c r="AD781"/>
      <c r="AE781"/>
      <c r="AF781"/>
      <c r="AG781"/>
      <c r="AH781"/>
      <c r="AI781"/>
      <c r="AJ781"/>
      <c r="AK781"/>
      <c r="AL781"/>
      <c r="AM781"/>
      <c r="AN781"/>
      <c r="AO781"/>
      <c r="AP781"/>
      <c r="AQ781"/>
    </row>
    <row r="782" spans="1:43">
      <c r="A782" s="14"/>
      <c r="B782" s="174" t="s">
        <v>145</v>
      </c>
      <c r="C782" s="14"/>
      <c r="D782" s="29"/>
      <c r="E782" s="29"/>
      <c r="F782" s="29"/>
      <c r="G782" s="29"/>
      <c r="H782" s="29"/>
      <c r="I782" s="29"/>
      <c r="J782" s="29"/>
      <c r="K782" s="29"/>
      <c r="L782" s="29"/>
      <c r="M782" s="29"/>
      <c r="N782" s="29"/>
      <c r="O782" s="29"/>
      <c r="P782" s="29"/>
      <c r="Q782" s="29"/>
      <c r="R782" s="29"/>
      <c r="S782" s="29"/>
      <c r="T782" s="29"/>
      <c r="U782" s="1114">
        <v>9.9049499999999992E-3</v>
      </c>
      <c r="V782" s="114" t="s">
        <v>1630</v>
      </c>
      <c r="W782"/>
      <c r="X782"/>
      <c r="Y782"/>
      <c r="Z782"/>
      <c r="AA782"/>
      <c r="AB782"/>
      <c r="AC782"/>
      <c r="AD782"/>
      <c r="AE782"/>
      <c r="AF782"/>
      <c r="AG782"/>
      <c r="AH782"/>
      <c r="AI782"/>
      <c r="AJ782"/>
      <c r="AK782"/>
      <c r="AL782"/>
      <c r="AM782"/>
      <c r="AN782"/>
      <c r="AO782"/>
      <c r="AP782"/>
      <c r="AQ782"/>
    </row>
    <row r="783" spans="1:43">
      <c r="A783" s="14"/>
      <c r="B783" s="174" t="s">
        <v>146</v>
      </c>
      <c r="C783" s="14"/>
      <c r="D783" s="29"/>
      <c r="E783" s="29"/>
      <c r="F783" s="29"/>
      <c r="G783" s="29"/>
      <c r="H783" s="29"/>
      <c r="I783" s="29"/>
      <c r="J783" s="29"/>
      <c r="K783" s="29"/>
      <c r="L783" s="29"/>
      <c r="M783" s="29"/>
      <c r="N783" s="29"/>
      <c r="O783" s="29"/>
      <c r="P783" s="29"/>
      <c r="Q783" s="29"/>
      <c r="R783" s="29"/>
      <c r="S783" s="29"/>
      <c r="T783" s="29"/>
      <c r="U783" s="29">
        <v>5.5514758459405998E-3</v>
      </c>
      <c r="V783" s="114" t="s">
        <v>1631</v>
      </c>
      <c r="W783"/>
      <c r="X783"/>
      <c r="Y783"/>
      <c r="Z783"/>
      <c r="AA783"/>
      <c r="AB783"/>
      <c r="AC783"/>
      <c r="AD783"/>
      <c r="AE783"/>
      <c r="AF783"/>
      <c r="AG783"/>
      <c r="AH783"/>
      <c r="AI783"/>
      <c r="AJ783"/>
      <c r="AK783"/>
      <c r="AL783"/>
      <c r="AM783"/>
      <c r="AN783"/>
      <c r="AO783"/>
      <c r="AP783"/>
      <c r="AQ783"/>
    </row>
    <row r="784" spans="1:43">
      <c r="A784" s="14"/>
      <c r="B784" s="14" t="s">
        <v>134</v>
      </c>
      <c r="C784" s="14"/>
      <c r="D784" s="29"/>
      <c r="E784" s="29"/>
      <c r="F784" s="29"/>
      <c r="G784" s="29"/>
      <c r="H784" s="29"/>
      <c r="I784" s="29"/>
      <c r="J784" s="29"/>
      <c r="K784" s="29"/>
      <c r="L784" s="29"/>
      <c r="M784" s="29"/>
      <c r="N784" s="29"/>
      <c r="O784" s="29"/>
      <c r="P784" s="29"/>
      <c r="Q784" s="29"/>
      <c r="R784" s="29"/>
      <c r="S784" s="29"/>
      <c r="T784" s="29"/>
      <c r="U784" s="29">
        <v>5.5514758459405998E-3</v>
      </c>
      <c r="V784" s="114" t="s">
        <v>1632</v>
      </c>
      <c r="W784"/>
      <c r="X784"/>
      <c r="Y784"/>
      <c r="Z784"/>
      <c r="AA784"/>
      <c r="AB784"/>
      <c r="AC784"/>
      <c r="AD784"/>
      <c r="AE784"/>
      <c r="AF784"/>
      <c r="AG784"/>
      <c r="AH784"/>
      <c r="AI784"/>
      <c r="AJ784"/>
      <c r="AK784"/>
      <c r="AL784"/>
      <c r="AM784"/>
      <c r="AN784"/>
      <c r="AO784"/>
      <c r="AP784"/>
      <c r="AQ784"/>
    </row>
    <row r="785" spans="1:43">
      <c r="A785" s="29"/>
      <c r="B785" s="29"/>
      <c r="C785" s="29"/>
      <c r="D785" s="29"/>
      <c r="E785" s="29"/>
      <c r="F785" s="29"/>
      <c r="G785" s="29"/>
      <c r="H785" s="29"/>
      <c r="I785" s="29"/>
      <c r="J785" s="29"/>
      <c r="K785" s="29"/>
      <c r="L785" s="29"/>
      <c r="M785" s="29"/>
      <c r="N785" s="29"/>
      <c r="O785" s="29"/>
      <c r="P785" s="29"/>
      <c r="Q785" s="29"/>
      <c r="R785" s="29"/>
      <c r="S785" s="29"/>
      <c r="T785"/>
      <c r="U785"/>
      <c r="V785"/>
      <c r="W785"/>
      <c r="X785"/>
      <c r="Y785"/>
      <c r="Z785"/>
      <c r="AA785"/>
      <c r="AB785"/>
      <c r="AC785"/>
      <c r="AD785"/>
      <c r="AE785"/>
      <c r="AF785"/>
      <c r="AG785"/>
      <c r="AH785"/>
      <c r="AI785"/>
      <c r="AJ785"/>
      <c r="AK785"/>
      <c r="AL785"/>
      <c r="AM785"/>
      <c r="AN785"/>
      <c r="AO785"/>
      <c r="AP785"/>
      <c r="AQ785"/>
    </row>
    <row r="786" spans="1:43">
      <c r="A786" s="29"/>
      <c r="B786" s="29"/>
      <c r="C786" s="29"/>
      <c r="D786" s="29"/>
      <c r="E786" s="29"/>
      <c r="F786" s="29"/>
      <c r="G786" s="29"/>
      <c r="H786" s="29"/>
      <c r="I786" s="29"/>
      <c r="J786" s="29"/>
      <c r="K786" s="29"/>
      <c r="L786" s="29"/>
      <c r="M786" s="29"/>
      <c r="N786" s="29"/>
      <c r="O786" s="29"/>
      <c r="P786" s="29"/>
      <c r="Q786" s="29"/>
      <c r="R786" s="29"/>
      <c r="S786" s="29"/>
      <c r="T786"/>
      <c r="U786"/>
      <c r="V786"/>
      <c r="W786"/>
      <c r="X786"/>
      <c r="Y786"/>
      <c r="Z786"/>
      <c r="AA786"/>
      <c r="AB786"/>
      <c r="AC786"/>
      <c r="AD786"/>
      <c r="AE786"/>
      <c r="AF786"/>
      <c r="AG786"/>
      <c r="AH786"/>
      <c r="AI786"/>
      <c r="AJ786"/>
      <c r="AK786"/>
      <c r="AL786"/>
      <c r="AM786"/>
      <c r="AN786"/>
      <c r="AO786"/>
      <c r="AP786"/>
      <c r="AQ786"/>
    </row>
    <row r="787" spans="1:43">
      <c r="A787" s="29"/>
      <c r="B787" s="29"/>
      <c r="C787" s="29"/>
      <c r="D787" s="29"/>
      <c r="E787" s="29"/>
      <c r="F787" s="29"/>
      <c r="G787" s="29"/>
      <c r="H787" s="29"/>
      <c r="I787" s="29"/>
      <c r="J787" s="29"/>
      <c r="K787" s="29"/>
      <c r="L787" s="29"/>
      <c r="M787" s="29"/>
      <c r="N787" s="29"/>
      <c r="O787" s="29"/>
      <c r="P787" s="29"/>
      <c r="Q787" s="29"/>
      <c r="R787" s="29"/>
      <c r="S787" s="29"/>
      <c r="T787"/>
      <c r="U787"/>
      <c r="V787"/>
      <c r="W787"/>
      <c r="X787"/>
      <c r="Y787"/>
      <c r="Z787"/>
      <c r="AA787"/>
      <c r="AB787"/>
      <c r="AC787"/>
      <c r="AD787"/>
      <c r="AE787"/>
      <c r="AF787"/>
      <c r="AG787"/>
      <c r="AH787"/>
      <c r="AI787"/>
      <c r="AJ787"/>
      <c r="AK787"/>
      <c r="AL787"/>
      <c r="AM787"/>
      <c r="AN787"/>
      <c r="AO787"/>
      <c r="AP787"/>
      <c r="AQ787"/>
    </row>
    <row r="788" spans="1:43">
      <c r="A788" s="6" t="s">
        <v>1633</v>
      </c>
      <c r="B788" t="s">
        <v>1634</v>
      </c>
      <c r="C788" t="s">
        <v>1635</v>
      </c>
      <c r="D788" t="s">
        <v>1636</v>
      </c>
      <c r="E788" t="s">
        <v>1637</v>
      </c>
      <c r="F788"/>
      <c r="G788"/>
      <c r="H788" t="s">
        <v>1638</v>
      </c>
      <c r="I788"/>
      <c r="J788"/>
      <c r="K788"/>
      <c r="L788"/>
      <c r="M788"/>
      <c r="N788"/>
      <c r="O788"/>
      <c r="P788"/>
      <c r="Q788"/>
      <c r="R788"/>
      <c r="S788" t="s">
        <v>1639</v>
      </c>
      <c r="T788" t="s">
        <v>1640</v>
      </c>
      <c r="U788" t="s">
        <v>1641</v>
      </c>
      <c r="V788" t="s">
        <v>1642</v>
      </c>
      <c r="W788" t="s">
        <v>1643</v>
      </c>
      <c r="X788" t="s">
        <v>1644</v>
      </c>
      <c r="Y788" t="s">
        <v>1645</v>
      </c>
      <c r="Z788" t="s">
        <v>1646</v>
      </c>
      <c r="AA788" t="s">
        <v>1647</v>
      </c>
      <c r="AB788"/>
      <c r="AC788"/>
      <c r="AD788"/>
      <c r="AE788"/>
      <c r="AF788"/>
      <c r="AG788"/>
      <c r="AH788"/>
      <c r="AI788"/>
      <c r="AJ788"/>
      <c r="AK788"/>
      <c r="AL788"/>
      <c r="AM788"/>
      <c r="AN788"/>
      <c r="AO788"/>
      <c r="AP788"/>
      <c r="AQ788"/>
    </row>
    <row r="789" spans="1:43">
      <c r="A789" s="1115"/>
      <c r="B789" s="6">
        <v>1992</v>
      </c>
      <c r="C789" s="6">
        <v>1993</v>
      </c>
      <c r="D789" s="6">
        <v>1994</v>
      </c>
      <c r="E789" s="6">
        <v>1995</v>
      </c>
      <c r="F789" s="6"/>
      <c r="G789" s="6"/>
      <c r="H789" s="6">
        <v>1996</v>
      </c>
      <c r="I789" s="6"/>
      <c r="J789" s="6"/>
      <c r="K789" s="6"/>
      <c r="L789" s="6"/>
      <c r="M789" s="6"/>
      <c r="N789" s="6"/>
      <c r="O789" s="6"/>
      <c r="P789" s="6"/>
      <c r="Q789" s="6"/>
      <c r="R789" s="6"/>
      <c r="S789" s="6">
        <v>1997</v>
      </c>
      <c r="T789" s="6">
        <v>1998</v>
      </c>
      <c r="U789" s="6">
        <v>1999</v>
      </c>
      <c r="V789" s="6">
        <v>2000</v>
      </c>
      <c r="W789" s="6">
        <v>2001</v>
      </c>
      <c r="X789" s="6">
        <v>2002</v>
      </c>
      <c r="Y789" s="6">
        <v>2003</v>
      </c>
      <c r="Z789" s="6" t="s">
        <v>1648</v>
      </c>
      <c r="AA789" s="6" t="s">
        <v>1649</v>
      </c>
      <c r="AB789" s="6"/>
      <c r="AC789" s="6"/>
      <c r="AD789" s="6"/>
      <c r="AE789" s="6"/>
      <c r="AF789" s="6"/>
      <c r="AG789" s="6"/>
      <c r="AH789" s="6"/>
      <c r="AI789" s="6"/>
      <c r="AJ789" s="6"/>
      <c r="AK789" s="6"/>
      <c r="AL789" s="6"/>
      <c r="AM789" s="6"/>
      <c r="AN789"/>
      <c r="AO789"/>
      <c r="AP789"/>
      <c r="AQ789"/>
    </row>
    <row r="790" spans="1:43">
      <c r="A790" s="6" t="s">
        <v>1650</v>
      </c>
      <c r="B790">
        <v>1</v>
      </c>
      <c r="C790">
        <v>1</v>
      </c>
      <c r="D790">
        <v>1</v>
      </c>
      <c r="E790">
        <v>1.1000000000000001</v>
      </c>
      <c r="F790"/>
      <c r="G790"/>
      <c r="H790">
        <v>1.1000000000000001</v>
      </c>
      <c r="I790"/>
      <c r="J790"/>
      <c r="K790"/>
      <c r="L790"/>
      <c r="M790"/>
      <c r="N790"/>
      <c r="O790"/>
      <c r="P790"/>
      <c r="Q790"/>
      <c r="R790"/>
      <c r="S790">
        <v>1.3</v>
      </c>
      <c r="T790">
        <v>1.5</v>
      </c>
      <c r="U790">
        <v>1.4</v>
      </c>
      <c r="V790">
        <v>1.4</v>
      </c>
      <c r="W790">
        <v>1.4</v>
      </c>
      <c r="X790">
        <v>1.5</v>
      </c>
      <c r="Y790">
        <v>1.3</v>
      </c>
      <c r="Z790" s="1116">
        <f t="shared" ref="Z790:Z804" si="15">AVERAGE(U790:Y790)</f>
        <v>1.4</v>
      </c>
      <c r="AA790" s="1">
        <f t="shared" ref="AA790:AA804" si="16">AVERAGE(B790:Y790)</f>
        <v>1.25</v>
      </c>
      <c r="AB790"/>
      <c r="AC790"/>
      <c r="AD790"/>
      <c r="AE790"/>
      <c r="AF790"/>
      <c r="AG790"/>
      <c r="AH790"/>
      <c r="AI790"/>
      <c r="AJ790"/>
      <c r="AK790"/>
      <c r="AL790"/>
      <c r="AM790"/>
      <c r="AN790"/>
      <c r="AO790"/>
      <c r="AP790"/>
      <c r="AQ790"/>
    </row>
    <row r="791" spans="1:43">
      <c r="A791" s="6" t="s">
        <v>1651</v>
      </c>
      <c r="B791">
        <v>1.5</v>
      </c>
      <c r="C791">
        <v>1.3</v>
      </c>
      <c r="D791">
        <v>1.4</v>
      </c>
      <c r="E791">
        <v>1.6</v>
      </c>
      <c r="F791"/>
      <c r="G791"/>
      <c r="H791">
        <v>1.5</v>
      </c>
      <c r="I791"/>
      <c r="J791"/>
      <c r="K791"/>
      <c r="L791"/>
      <c r="M791"/>
      <c r="N791"/>
      <c r="O791"/>
      <c r="P791"/>
      <c r="Q791"/>
      <c r="R791"/>
      <c r="S791">
        <v>2</v>
      </c>
      <c r="T791">
        <v>2.1</v>
      </c>
      <c r="U791">
        <v>2.1</v>
      </c>
      <c r="V791">
        <v>1.6</v>
      </c>
      <c r="W791">
        <v>1.5</v>
      </c>
      <c r="X791">
        <v>1.5</v>
      </c>
      <c r="Y791">
        <v>1.3</v>
      </c>
      <c r="Z791" s="1116">
        <f t="shared" si="15"/>
        <v>1.6</v>
      </c>
      <c r="AA791" s="1">
        <f t="shared" si="16"/>
        <v>1.6166666666666665</v>
      </c>
      <c r="AB791"/>
      <c r="AC791"/>
      <c r="AD791"/>
      <c r="AE791"/>
      <c r="AF791"/>
      <c r="AG791"/>
      <c r="AH791"/>
      <c r="AI791"/>
      <c r="AJ791"/>
      <c r="AK791"/>
      <c r="AL791"/>
      <c r="AM791"/>
      <c r="AN791"/>
      <c r="AO791"/>
      <c r="AP791"/>
      <c r="AQ791"/>
    </row>
    <row r="792" spans="1:43">
      <c r="A792" s="6" t="s">
        <v>1652</v>
      </c>
      <c r="B792">
        <v>0.6</v>
      </c>
      <c r="C792">
        <v>0.4</v>
      </c>
      <c r="D792">
        <v>0.5</v>
      </c>
      <c r="E792">
        <v>0.6</v>
      </c>
      <c r="F792"/>
      <c r="G792"/>
      <c r="H792">
        <v>0.7</v>
      </c>
      <c r="I792"/>
      <c r="J792"/>
      <c r="K792"/>
      <c r="L792"/>
      <c r="M792"/>
      <c r="N792"/>
      <c r="O792"/>
      <c r="P792"/>
      <c r="Q792"/>
      <c r="R792"/>
      <c r="S792">
        <v>1</v>
      </c>
      <c r="T792">
        <v>1.4</v>
      </c>
      <c r="U792">
        <v>1.2</v>
      </c>
      <c r="V792">
        <v>1.2</v>
      </c>
      <c r="W792">
        <v>1.2</v>
      </c>
      <c r="X792">
        <v>1.2</v>
      </c>
      <c r="Y792">
        <v>1.1000000000000001</v>
      </c>
      <c r="Z792" s="1116">
        <f t="shared" si="15"/>
        <v>1.1800000000000002</v>
      </c>
      <c r="AA792" s="1">
        <f t="shared" si="16"/>
        <v>0.92499999999999982</v>
      </c>
      <c r="AB792"/>
      <c r="AC792"/>
      <c r="AD792"/>
      <c r="AE792"/>
      <c r="AF792"/>
      <c r="AG792"/>
      <c r="AH792"/>
      <c r="AI792"/>
      <c r="AJ792"/>
      <c r="AK792"/>
      <c r="AL792"/>
      <c r="AM792"/>
      <c r="AN792"/>
      <c r="AO792"/>
      <c r="AP792"/>
      <c r="AQ792"/>
    </row>
    <row r="793" spans="1:43">
      <c r="A793" s="6" t="s">
        <v>1653</v>
      </c>
      <c r="B793">
        <v>5.0999999999999996</v>
      </c>
      <c r="C793">
        <v>5.3</v>
      </c>
      <c r="D793">
        <v>5.8</v>
      </c>
      <c r="E793">
        <v>5.7</v>
      </c>
      <c r="F793"/>
      <c r="G793"/>
      <c r="H793">
        <v>5.7</v>
      </c>
      <c r="I793"/>
      <c r="J793"/>
      <c r="K793"/>
      <c r="L793"/>
      <c r="M793"/>
      <c r="N793"/>
      <c r="O793"/>
      <c r="P793"/>
      <c r="Q793"/>
      <c r="R793"/>
      <c r="S793">
        <v>6.7</v>
      </c>
      <c r="T793">
        <v>9</v>
      </c>
      <c r="U793">
        <v>7.5</v>
      </c>
      <c r="V793">
        <v>5.0999999999999996</v>
      </c>
      <c r="W793">
        <v>5.3</v>
      </c>
      <c r="X793">
        <v>6.3</v>
      </c>
      <c r="Y793">
        <v>6.3</v>
      </c>
      <c r="Z793" s="1116">
        <f t="shared" si="15"/>
        <v>6.1</v>
      </c>
      <c r="AA793" s="1">
        <f t="shared" si="16"/>
        <v>6.1499999999999995</v>
      </c>
      <c r="AB793"/>
      <c r="AC793"/>
      <c r="AD793"/>
      <c r="AE793"/>
      <c r="AF793"/>
      <c r="AG793"/>
      <c r="AH793"/>
      <c r="AI793"/>
      <c r="AJ793"/>
      <c r="AK793"/>
      <c r="AL793"/>
      <c r="AM793"/>
      <c r="AN793"/>
      <c r="AO793"/>
      <c r="AP793"/>
      <c r="AQ793"/>
    </row>
    <row r="794" spans="1:43">
      <c r="A794" s="6" t="s">
        <v>1654</v>
      </c>
      <c r="B794">
        <v>3.8</v>
      </c>
      <c r="C794">
        <v>3.7</v>
      </c>
      <c r="D794">
        <v>3.6</v>
      </c>
      <c r="E794">
        <v>3.9</v>
      </c>
      <c r="F794"/>
      <c r="G794"/>
      <c r="H794">
        <v>4</v>
      </c>
      <c r="I794"/>
      <c r="J794"/>
      <c r="K794"/>
      <c r="L794"/>
      <c r="M794"/>
      <c r="N794"/>
      <c r="O794"/>
      <c r="P794"/>
      <c r="Q794"/>
      <c r="R794"/>
      <c r="S794">
        <v>4.3</v>
      </c>
      <c r="T794">
        <v>4.4000000000000004</v>
      </c>
      <c r="U794">
        <v>3.7</v>
      </c>
      <c r="V794">
        <v>3.5</v>
      </c>
      <c r="W794">
        <v>3.5</v>
      </c>
      <c r="X794">
        <v>3.7</v>
      </c>
      <c r="Y794">
        <v>3.1</v>
      </c>
      <c r="Z794" s="1116">
        <f t="shared" si="15"/>
        <v>3.5</v>
      </c>
      <c r="AA794" s="1">
        <f t="shared" si="16"/>
        <v>3.7666666666666675</v>
      </c>
      <c r="AB794"/>
      <c r="AC794"/>
      <c r="AD794"/>
      <c r="AE794"/>
      <c r="AF794"/>
      <c r="AG794"/>
      <c r="AH794"/>
      <c r="AI794"/>
      <c r="AJ794"/>
      <c r="AK794"/>
      <c r="AL794"/>
      <c r="AM794"/>
      <c r="AN794"/>
      <c r="AO794"/>
      <c r="AP794"/>
      <c r="AQ794"/>
    </row>
    <row r="795" spans="1:43">
      <c r="A795" s="6" t="s">
        <v>1655</v>
      </c>
      <c r="B795">
        <v>0.9</v>
      </c>
      <c r="C795">
        <v>0.8</v>
      </c>
      <c r="D795">
        <v>0.8</v>
      </c>
      <c r="E795">
        <v>0.9</v>
      </c>
      <c r="F795"/>
      <c r="G795"/>
      <c r="H795">
        <v>0.9</v>
      </c>
      <c r="I795"/>
      <c r="J795"/>
      <c r="K795"/>
      <c r="L795"/>
      <c r="M795"/>
      <c r="N795"/>
      <c r="O795"/>
      <c r="P795"/>
      <c r="Q795"/>
      <c r="R795"/>
      <c r="S795">
        <v>1.1000000000000001</v>
      </c>
      <c r="T795">
        <v>1.3</v>
      </c>
      <c r="U795">
        <v>1.2</v>
      </c>
      <c r="V795">
        <v>1.1000000000000001</v>
      </c>
      <c r="W795">
        <v>1.2</v>
      </c>
      <c r="X795">
        <v>1.2</v>
      </c>
      <c r="Y795">
        <v>1.1000000000000001</v>
      </c>
      <c r="Z795" s="1116">
        <f t="shared" si="15"/>
        <v>1.1600000000000001</v>
      </c>
      <c r="AA795" s="1">
        <f t="shared" si="16"/>
        <v>1.0416666666666665</v>
      </c>
      <c r="AB795"/>
      <c r="AC795"/>
      <c r="AD795"/>
      <c r="AE795"/>
      <c r="AF795"/>
      <c r="AG795"/>
      <c r="AH795"/>
      <c r="AI795"/>
      <c r="AJ795"/>
      <c r="AK795"/>
      <c r="AL795"/>
      <c r="AM795"/>
      <c r="AN795"/>
      <c r="AO795"/>
      <c r="AP795"/>
      <c r="AQ795"/>
    </row>
    <row r="796" spans="1:43">
      <c r="A796" s="6" t="s">
        <v>1656</v>
      </c>
      <c r="B796">
        <v>5.3</v>
      </c>
      <c r="C796">
        <v>4.9000000000000004</v>
      </c>
      <c r="D796">
        <v>7.3</v>
      </c>
      <c r="E796">
        <v>6.8</v>
      </c>
      <c r="F796"/>
      <c r="G796"/>
      <c r="H796">
        <v>6.3</v>
      </c>
      <c r="I796"/>
      <c r="J796"/>
      <c r="K796"/>
      <c r="L796"/>
      <c r="M796"/>
      <c r="N796"/>
      <c r="O796"/>
      <c r="P796"/>
      <c r="Q796"/>
      <c r="R796"/>
      <c r="S796">
        <v>4.8</v>
      </c>
      <c r="T796">
        <v>4.4000000000000004</v>
      </c>
      <c r="U796">
        <v>4.5999999999999996</v>
      </c>
      <c r="V796">
        <v>4.8</v>
      </c>
      <c r="W796">
        <v>6.5</v>
      </c>
      <c r="X796">
        <v>7.1</v>
      </c>
      <c r="Y796">
        <v>7.2</v>
      </c>
      <c r="Z796" s="1116">
        <f t="shared" si="15"/>
        <v>6.04</v>
      </c>
      <c r="AA796" s="1">
        <f t="shared" si="16"/>
        <v>5.833333333333333</v>
      </c>
      <c r="AB796"/>
      <c r="AC796"/>
      <c r="AD796"/>
      <c r="AE796"/>
      <c r="AF796"/>
      <c r="AG796"/>
      <c r="AH796"/>
      <c r="AI796"/>
      <c r="AJ796"/>
      <c r="AK796"/>
      <c r="AL796"/>
      <c r="AM796"/>
      <c r="AN796"/>
      <c r="AO796"/>
      <c r="AP796"/>
      <c r="AQ796"/>
    </row>
    <row r="797" spans="1:43">
      <c r="A797" s="6" t="s">
        <v>1657</v>
      </c>
      <c r="B797">
        <v>25</v>
      </c>
      <c r="C797">
        <v>30.8</v>
      </c>
      <c r="D797">
        <v>28.9</v>
      </c>
      <c r="E797">
        <v>32.4</v>
      </c>
      <c r="F797"/>
      <c r="G797"/>
      <c r="H797">
        <v>33.700000000000003</v>
      </c>
      <c r="I797"/>
      <c r="J797"/>
      <c r="K797"/>
      <c r="L797"/>
      <c r="M797"/>
      <c r="N797"/>
      <c r="O797"/>
      <c r="P797"/>
      <c r="Q797"/>
      <c r="R797"/>
      <c r="S797">
        <v>35.299999999999997</v>
      </c>
      <c r="T797">
        <v>32.5</v>
      </c>
      <c r="U797">
        <v>31.9</v>
      </c>
      <c r="V797">
        <v>27.2</v>
      </c>
      <c r="W797">
        <v>27</v>
      </c>
      <c r="X797">
        <v>26.5</v>
      </c>
      <c r="Y797">
        <v>21.4</v>
      </c>
      <c r="Z797" s="1116">
        <f t="shared" si="15"/>
        <v>26.8</v>
      </c>
      <c r="AA797" s="1">
        <f t="shared" si="16"/>
        <v>29.383333333333336</v>
      </c>
      <c r="AB797"/>
      <c r="AC797"/>
      <c r="AD797"/>
      <c r="AE797"/>
      <c r="AF797"/>
      <c r="AG797"/>
      <c r="AH797"/>
      <c r="AI797"/>
      <c r="AJ797"/>
      <c r="AK797"/>
      <c r="AL797"/>
      <c r="AM797"/>
      <c r="AN797"/>
      <c r="AO797"/>
      <c r="AP797"/>
      <c r="AQ797"/>
    </row>
    <row r="798" spans="1:43">
      <c r="A798" s="6" t="s">
        <v>1658</v>
      </c>
      <c r="B798">
        <v>6.8</v>
      </c>
      <c r="C798">
        <v>7.4</v>
      </c>
      <c r="D798">
        <v>7.5</v>
      </c>
      <c r="E798">
        <v>9.3000000000000007</v>
      </c>
      <c r="F798"/>
      <c r="G798"/>
      <c r="H798">
        <v>8.3000000000000007</v>
      </c>
      <c r="I798"/>
      <c r="J798"/>
      <c r="K798"/>
      <c r="L798"/>
      <c r="M798"/>
      <c r="N798"/>
      <c r="O798"/>
      <c r="P798"/>
      <c r="Q798"/>
      <c r="R798"/>
      <c r="S798">
        <v>8.6999999999999993</v>
      </c>
      <c r="T798">
        <v>8.5</v>
      </c>
      <c r="U798">
        <v>7.8</v>
      </c>
      <c r="V798">
        <v>6.7</v>
      </c>
      <c r="W798">
        <v>7.1</v>
      </c>
      <c r="X798">
        <v>7.9</v>
      </c>
      <c r="Y798">
        <v>6.9</v>
      </c>
      <c r="Z798" s="1116">
        <f t="shared" si="15"/>
        <v>7.2799999999999994</v>
      </c>
      <c r="AA798" s="1">
        <f t="shared" si="16"/>
        <v>7.7416666666666671</v>
      </c>
      <c r="AB798"/>
      <c r="AC798"/>
      <c r="AD798"/>
      <c r="AE798"/>
      <c r="AF798"/>
      <c r="AG798"/>
      <c r="AH798"/>
      <c r="AI798"/>
      <c r="AJ798"/>
      <c r="AK798"/>
      <c r="AL798"/>
      <c r="AM798"/>
      <c r="AN798"/>
      <c r="AO798"/>
      <c r="AP798"/>
      <c r="AQ798"/>
    </row>
    <row r="799" spans="1:43">
      <c r="A799" s="6" t="s">
        <v>1659</v>
      </c>
      <c r="B799">
        <v>2.8</v>
      </c>
      <c r="C799">
        <v>3.1</v>
      </c>
      <c r="D799">
        <v>3.3</v>
      </c>
      <c r="E799">
        <v>4.2</v>
      </c>
      <c r="F799"/>
      <c r="G799"/>
      <c r="H799">
        <v>4.4000000000000004</v>
      </c>
      <c r="I799"/>
      <c r="J799"/>
      <c r="K799"/>
      <c r="L799"/>
      <c r="M799"/>
      <c r="N799"/>
      <c r="O799"/>
      <c r="P799"/>
      <c r="Q799"/>
      <c r="R799"/>
      <c r="S799">
        <v>2</v>
      </c>
      <c r="T799">
        <v>1.8</v>
      </c>
      <c r="U799">
        <v>2.6</v>
      </c>
      <c r="V799">
        <v>0.9</v>
      </c>
      <c r="W799">
        <v>1.2</v>
      </c>
      <c r="X799">
        <v>1.4</v>
      </c>
      <c r="Y799">
        <v>1.6</v>
      </c>
      <c r="Z799" s="1116">
        <f t="shared" si="15"/>
        <v>1.5399999999999998</v>
      </c>
      <c r="AA799" s="1">
        <f t="shared" si="16"/>
        <v>2.4416666666666664</v>
      </c>
      <c r="AB799"/>
      <c r="AC799"/>
      <c r="AD799"/>
      <c r="AE799"/>
      <c r="AF799"/>
      <c r="AG799"/>
      <c r="AH799"/>
      <c r="AI799"/>
      <c r="AJ799"/>
      <c r="AK799"/>
      <c r="AL799"/>
      <c r="AM799"/>
      <c r="AN799"/>
      <c r="AO799"/>
      <c r="AP799"/>
      <c r="AQ799"/>
    </row>
    <row r="800" spans="1:43">
      <c r="A800" s="6" t="s">
        <v>1660</v>
      </c>
      <c r="B800">
        <v>1.8</v>
      </c>
      <c r="C800">
        <v>7.1</v>
      </c>
      <c r="D800">
        <v>6.4</v>
      </c>
      <c r="E800">
        <v>6.8</v>
      </c>
      <c r="F800"/>
      <c r="G800"/>
      <c r="H800">
        <v>6.1</v>
      </c>
      <c r="I800"/>
      <c r="J800"/>
      <c r="K800"/>
      <c r="L800"/>
      <c r="M800"/>
      <c r="N800"/>
      <c r="O800"/>
      <c r="P800"/>
      <c r="Q800"/>
      <c r="R800"/>
      <c r="S800">
        <v>10.1</v>
      </c>
      <c r="T800">
        <v>7</v>
      </c>
      <c r="U800">
        <v>10.4</v>
      </c>
      <c r="V800">
        <v>4.5</v>
      </c>
      <c r="W800">
        <v>5.2</v>
      </c>
      <c r="X800">
        <v>4.8</v>
      </c>
      <c r="Y800">
        <v>6.2</v>
      </c>
      <c r="Z800" s="1116">
        <f t="shared" si="15"/>
        <v>6.2200000000000006</v>
      </c>
      <c r="AA800" s="1">
        <f t="shared" si="16"/>
        <v>6.3666666666666671</v>
      </c>
      <c r="AB800"/>
      <c r="AC800"/>
      <c r="AD800"/>
      <c r="AE800"/>
      <c r="AF800"/>
      <c r="AG800"/>
      <c r="AH800"/>
      <c r="AI800"/>
      <c r="AJ800"/>
      <c r="AK800"/>
      <c r="AL800"/>
      <c r="AM800"/>
      <c r="AN800"/>
      <c r="AO800"/>
      <c r="AP800"/>
      <c r="AQ800"/>
    </row>
    <row r="801" spans="1:43">
      <c r="A801" s="6" t="s">
        <v>1661</v>
      </c>
      <c r="B801">
        <v>15.3</v>
      </c>
      <c r="C801">
        <v>15.6</v>
      </c>
      <c r="D801">
        <v>11.5</v>
      </c>
      <c r="E801">
        <v>12.6</v>
      </c>
      <c r="F801"/>
      <c r="G801"/>
      <c r="H801">
        <v>12.7</v>
      </c>
      <c r="I801"/>
      <c r="J801"/>
      <c r="K801"/>
      <c r="L801"/>
      <c r="M801"/>
      <c r="N801"/>
      <c r="O801"/>
      <c r="P801"/>
      <c r="Q801"/>
      <c r="R801"/>
      <c r="S801">
        <v>6</v>
      </c>
      <c r="T801">
        <v>6.2</v>
      </c>
      <c r="U801">
        <v>7.1</v>
      </c>
      <c r="V801">
        <v>2.7</v>
      </c>
      <c r="W801">
        <v>5.0999999999999996</v>
      </c>
      <c r="X801">
        <v>3.2</v>
      </c>
      <c r="Y801">
        <v>3.7</v>
      </c>
      <c r="Z801" s="1116">
        <f t="shared" si="15"/>
        <v>4.3600000000000003</v>
      </c>
      <c r="AA801" s="1">
        <f t="shared" si="16"/>
        <v>8.4749999999999996</v>
      </c>
      <c r="AB801"/>
      <c r="AC801"/>
      <c r="AD801"/>
      <c r="AE801"/>
      <c r="AF801"/>
      <c r="AG801"/>
      <c r="AH801"/>
      <c r="AI801"/>
      <c r="AJ801"/>
      <c r="AK801"/>
      <c r="AL801"/>
      <c r="AM801"/>
      <c r="AN801"/>
      <c r="AO801"/>
      <c r="AP801"/>
      <c r="AQ801"/>
    </row>
    <row r="802" spans="1:43">
      <c r="A802" s="6" t="s">
        <v>1662</v>
      </c>
      <c r="B802">
        <v>16.2</v>
      </c>
      <c r="C802">
        <v>13.1</v>
      </c>
      <c r="D802">
        <v>13.2</v>
      </c>
      <c r="E802">
        <v>14.5</v>
      </c>
      <c r="F802"/>
      <c r="G802"/>
      <c r="H802">
        <v>16.399999999999999</v>
      </c>
      <c r="I802"/>
      <c r="J802"/>
      <c r="K802"/>
      <c r="L802"/>
      <c r="M802"/>
      <c r="N802"/>
      <c r="O802"/>
      <c r="P802"/>
      <c r="Q802"/>
      <c r="R802"/>
      <c r="S802">
        <v>39.200000000000003</v>
      </c>
      <c r="T802">
        <v>44.2</v>
      </c>
      <c r="U802">
        <v>48.1</v>
      </c>
      <c r="V802">
        <v>47</v>
      </c>
      <c r="W802">
        <v>45.9</v>
      </c>
      <c r="X802">
        <v>50.4</v>
      </c>
      <c r="Y802">
        <v>61.7</v>
      </c>
      <c r="Z802" s="1116">
        <f t="shared" si="15"/>
        <v>50.620000000000005</v>
      </c>
      <c r="AA802" s="1">
        <f t="shared" si="16"/>
        <v>34.158333333333331</v>
      </c>
      <c r="AB802"/>
      <c r="AC802"/>
      <c r="AD802"/>
      <c r="AE802"/>
      <c r="AF802"/>
      <c r="AG802"/>
      <c r="AH802"/>
      <c r="AI802"/>
      <c r="AJ802"/>
      <c r="AK802"/>
      <c r="AL802"/>
      <c r="AM802"/>
      <c r="AN802"/>
      <c r="AO802"/>
      <c r="AP802"/>
      <c r="AQ802"/>
    </row>
    <row r="803" spans="1:43">
      <c r="A803" s="6" t="s">
        <v>1663</v>
      </c>
      <c r="B803">
        <v>16.100000000000001</v>
      </c>
      <c r="C803">
        <v>19</v>
      </c>
      <c r="D803">
        <v>18.100000000000001</v>
      </c>
      <c r="E803">
        <v>20.8</v>
      </c>
      <c r="F803"/>
      <c r="G803"/>
      <c r="H803">
        <v>21.1</v>
      </c>
      <c r="I803"/>
      <c r="J803"/>
      <c r="K803"/>
      <c r="L803"/>
      <c r="M803"/>
      <c r="N803"/>
      <c r="O803"/>
      <c r="P803"/>
      <c r="Q803"/>
      <c r="R803"/>
      <c r="S803">
        <v>22.4</v>
      </c>
      <c r="T803">
        <v>21</v>
      </c>
      <c r="U803">
        <v>20.7</v>
      </c>
      <c r="V803">
        <v>17.2</v>
      </c>
      <c r="W803">
        <v>17.3</v>
      </c>
      <c r="X803">
        <v>17.7</v>
      </c>
      <c r="Y803">
        <v>15</v>
      </c>
      <c r="Z803" s="1116">
        <f t="shared" si="15"/>
        <v>17.580000000000002</v>
      </c>
      <c r="AA803" s="1">
        <f t="shared" si="16"/>
        <v>18.866666666666664</v>
      </c>
      <c r="AB803"/>
      <c r="AC803"/>
      <c r="AD803"/>
      <c r="AE803"/>
      <c r="AF803"/>
      <c r="AG803"/>
      <c r="AH803"/>
      <c r="AI803"/>
      <c r="AJ803"/>
      <c r="AK803"/>
      <c r="AL803"/>
      <c r="AM803"/>
      <c r="AN803"/>
      <c r="AO803"/>
      <c r="AP803"/>
      <c r="AQ803"/>
    </row>
    <row r="804" spans="1:43">
      <c r="A804" s="6" t="s">
        <v>1664</v>
      </c>
      <c r="B804">
        <v>2.2999999999999998</v>
      </c>
      <c r="C804">
        <v>2.4</v>
      </c>
      <c r="D804">
        <v>2.4</v>
      </c>
      <c r="E804">
        <v>2.6</v>
      </c>
      <c r="F804"/>
      <c r="G804"/>
      <c r="H804">
        <v>2.6</v>
      </c>
      <c r="I804"/>
      <c r="J804"/>
      <c r="K804"/>
      <c r="L804"/>
      <c r="M804"/>
      <c r="N804"/>
      <c r="O804"/>
      <c r="P804"/>
      <c r="Q804"/>
      <c r="R804"/>
      <c r="S804">
        <v>2.9</v>
      </c>
      <c r="T804">
        <v>2.9</v>
      </c>
      <c r="U804">
        <v>2.8</v>
      </c>
      <c r="V804">
        <v>2.2999999999999998</v>
      </c>
      <c r="W804">
        <v>2.2999999999999998</v>
      </c>
      <c r="X804">
        <v>2.4</v>
      </c>
      <c r="Y804">
        <v>2.1</v>
      </c>
      <c r="Z804" s="1116">
        <f t="shared" si="15"/>
        <v>2.38</v>
      </c>
      <c r="AA804" s="1">
        <f t="shared" si="16"/>
        <v>2.5</v>
      </c>
      <c r="AB804"/>
      <c r="AC804"/>
      <c r="AD804"/>
      <c r="AE804"/>
      <c r="AF804"/>
      <c r="AG804"/>
      <c r="AH804"/>
      <c r="AI804"/>
      <c r="AJ804"/>
      <c r="AK804"/>
      <c r="AL804"/>
      <c r="AM804"/>
      <c r="AN804"/>
      <c r="AO804"/>
      <c r="AP804"/>
      <c r="AQ804"/>
    </row>
    <row r="805" spans="1:43">
      <c r="A805" s="6"/>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row>
    <row r="806" spans="1:43">
      <c r="A806" s="138" t="s">
        <v>1665</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row>
    <row r="807" spans="1:43">
      <c r="A807" s="6"/>
      <c r="B807" s="6"/>
      <c r="C807" s="6">
        <v>1992</v>
      </c>
      <c r="D807" s="6">
        <v>1993</v>
      </c>
      <c r="E807" s="6">
        <v>1994</v>
      </c>
      <c r="F807" s="6"/>
      <c r="G807" s="6"/>
      <c r="H807" s="6">
        <v>1995</v>
      </c>
      <c r="I807" s="6"/>
      <c r="J807" s="6"/>
      <c r="K807" s="6"/>
      <c r="L807" s="6"/>
      <c r="M807" s="6"/>
      <c r="N807" s="6"/>
      <c r="O807" s="6"/>
      <c r="P807" s="6"/>
      <c r="Q807" s="6"/>
      <c r="R807" s="6"/>
      <c r="S807" s="6">
        <v>1996</v>
      </c>
      <c r="T807" s="6">
        <v>1997</v>
      </c>
      <c r="U807" s="6">
        <v>1998</v>
      </c>
      <c r="V807" s="6">
        <v>1999</v>
      </c>
      <c r="W807" s="6">
        <v>2000</v>
      </c>
      <c r="X807" s="6">
        <v>2001</v>
      </c>
      <c r="Y807" s="6">
        <v>2002</v>
      </c>
      <c r="Z807" s="6">
        <v>2003</v>
      </c>
      <c r="AA807" s="6" t="s">
        <v>1666</v>
      </c>
      <c r="AB807" s="6" t="s">
        <v>1667</v>
      </c>
      <c r="AC807"/>
      <c r="AD807"/>
      <c r="AE807"/>
      <c r="AF807"/>
      <c r="AG807"/>
      <c r="AH807"/>
      <c r="AI807"/>
      <c r="AJ807"/>
      <c r="AK807"/>
      <c r="AL807"/>
      <c r="AM807"/>
      <c r="AN807"/>
      <c r="AO807"/>
      <c r="AP807"/>
      <c r="AQ807"/>
    </row>
    <row r="808" spans="1:43">
      <c r="A808" s="6" t="s">
        <v>126</v>
      </c>
      <c r="B808" t="s">
        <v>1658</v>
      </c>
      <c r="C808">
        <v>23.4</v>
      </c>
      <c r="D808">
        <v>18.100000000000001</v>
      </c>
      <c r="E808">
        <v>18.7</v>
      </c>
      <c r="F808"/>
      <c r="G808"/>
      <c r="H808">
        <v>21.6</v>
      </c>
      <c r="I808"/>
      <c r="J808"/>
      <c r="K808"/>
      <c r="L808"/>
      <c r="M808"/>
      <c r="N808"/>
      <c r="O808"/>
      <c r="P808"/>
      <c r="Q808"/>
      <c r="R808"/>
      <c r="S808">
        <v>19.3</v>
      </c>
      <c r="T808">
        <v>20.7</v>
      </c>
      <c r="U808">
        <v>18</v>
      </c>
      <c r="V808">
        <v>17.399999999999999</v>
      </c>
      <c r="W808">
        <v>19.3</v>
      </c>
      <c r="X808">
        <v>9.8000000000000007</v>
      </c>
      <c r="Y808">
        <v>26.2</v>
      </c>
      <c r="Z808">
        <v>26.3</v>
      </c>
      <c r="AA808" s="1">
        <f t="shared" ref="AA808:AA823" si="17">AVERAGE(C808:Z808)</f>
        <v>19.900000000000002</v>
      </c>
      <c r="AB808" s="1117">
        <f t="shared" ref="AB808:AB823" si="18">AVERAGE(V808:Z808)</f>
        <v>19.8</v>
      </c>
      <c r="AC808"/>
      <c r="AD808"/>
      <c r="AE808"/>
      <c r="AF808"/>
      <c r="AG808"/>
      <c r="AH808"/>
      <c r="AI808"/>
      <c r="AJ808"/>
      <c r="AK808"/>
      <c r="AL808"/>
      <c r="AM808"/>
      <c r="AN808"/>
      <c r="AO808"/>
      <c r="AP808"/>
      <c r="AQ808"/>
    </row>
    <row r="809" spans="1:43">
      <c r="A809" s="6" t="s">
        <v>176</v>
      </c>
      <c r="B809" t="s">
        <v>1653</v>
      </c>
      <c r="C809">
        <v>9</v>
      </c>
      <c r="D809">
        <v>7.1</v>
      </c>
      <c r="E809">
        <v>6.7</v>
      </c>
      <c r="F809"/>
      <c r="G809"/>
      <c r="H809">
        <v>6.3</v>
      </c>
      <c r="I809"/>
      <c r="J809"/>
      <c r="K809"/>
      <c r="L809"/>
      <c r="M809"/>
      <c r="N809"/>
      <c r="O809"/>
      <c r="P809"/>
      <c r="Q809"/>
      <c r="R809"/>
      <c r="S809">
        <v>6.7</v>
      </c>
      <c r="T809">
        <v>3.8</v>
      </c>
      <c r="U809">
        <v>3.6</v>
      </c>
      <c r="V809">
        <v>4.8</v>
      </c>
      <c r="W809">
        <v>4.5</v>
      </c>
      <c r="X809">
        <v>6</v>
      </c>
      <c r="Y809">
        <v>8.9</v>
      </c>
      <c r="Z809">
        <v>10.5</v>
      </c>
      <c r="AA809" s="1">
        <f t="shared" si="17"/>
        <v>6.4916666666666671</v>
      </c>
      <c r="AB809" s="1117">
        <f t="shared" si="18"/>
        <v>6.94</v>
      </c>
      <c r="AC809"/>
      <c r="AD809"/>
      <c r="AE809"/>
      <c r="AF809"/>
      <c r="AG809"/>
      <c r="AH809"/>
      <c r="AI809"/>
      <c r="AJ809"/>
      <c r="AK809"/>
      <c r="AL809"/>
      <c r="AM809"/>
      <c r="AN809"/>
      <c r="AO809"/>
      <c r="AP809"/>
      <c r="AQ809"/>
    </row>
    <row r="810" spans="1:43">
      <c r="A810" s="6" t="s">
        <v>199</v>
      </c>
      <c r="B810" t="s">
        <v>1668</v>
      </c>
      <c r="C810">
        <v>0.8</v>
      </c>
      <c r="D810">
        <v>1.3</v>
      </c>
      <c r="E810">
        <v>2.4</v>
      </c>
      <c r="F810"/>
      <c r="G810"/>
      <c r="H810">
        <v>3</v>
      </c>
      <c r="I810"/>
      <c r="J810"/>
      <c r="K810"/>
      <c r="L810"/>
      <c r="M810"/>
      <c r="N810"/>
      <c r="O810"/>
      <c r="P810"/>
      <c r="Q810"/>
      <c r="R810"/>
      <c r="S810">
        <v>1.7</v>
      </c>
      <c r="T810">
        <v>0.4</v>
      </c>
      <c r="U810">
        <v>3</v>
      </c>
      <c r="V810">
        <v>1.5</v>
      </c>
      <c r="W810">
        <v>1.6</v>
      </c>
      <c r="X810">
        <v>2.1</v>
      </c>
      <c r="Y810">
        <v>2.6</v>
      </c>
      <c r="Z810">
        <v>3</v>
      </c>
      <c r="AA810" s="1">
        <f t="shared" si="17"/>
        <v>1.9500000000000002</v>
      </c>
      <c r="AB810" s="1117">
        <f t="shared" si="18"/>
        <v>2.16</v>
      </c>
      <c r="AC810"/>
      <c r="AD810"/>
      <c r="AE810"/>
      <c r="AF810"/>
      <c r="AG810"/>
      <c r="AH810"/>
      <c r="AI810"/>
      <c r="AJ810"/>
      <c r="AK810"/>
      <c r="AL810"/>
      <c r="AM810"/>
      <c r="AN810"/>
      <c r="AO810"/>
      <c r="AP810"/>
      <c r="AQ810"/>
    </row>
    <row r="811" spans="1:43">
      <c r="A811" s="6" t="s">
        <v>178</v>
      </c>
      <c r="B811" t="s">
        <v>1658</v>
      </c>
      <c r="C811">
        <v>3.6</v>
      </c>
      <c r="D811">
        <v>3.4</v>
      </c>
      <c r="E811">
        <v>3.8</v>
      </c>
      <c r="F811"/>
      <c r="G811"/>
      <c r="H811">
        <v>3.6</v>
      </c>
      <c r="I811"/>
      <c r="J811"/>
      <c r="K811"/>
      <c r="L811"/>
      <c r="M811"/>
      <c r="N811"/>
      <c r="O811"/>
      <c r="P811"/>
      <c r="Q811"/>
      <c r="R811"/>
      <c r="S811">
        <v>3.9</v>
      </c>
      <c r="T811">
        <v>3.3</v>
      </c>
      <c r="U811">
        <v>4.5</v>
      </c>
      <c r="V811">
        <v>3.1</v>
      </c>
      <c r="W811">
        <v>9.6</v>
      </c>
      <c r="X811">
        <v>9.1999999999999993</v>
      </c>
      <c r="Y811">
        <v>9.6</v>
      </c>
      <c r="Z811">
        <v>9.3000000000000007</v>
      </c>
      <c r="AA811" s="1">
        <f t="shared" si="17"/>
        <v>5.5750000000000002</v>
      </c>
      <c r="AB811" s="1117">
        <f t="shared" si="18"/>
        <v>8.16</v>
      </c>
      <c r="AC811"/>
      <c r="AD811"/>
      <c r="AE811"/>
      <c r="AF811"/>
      <c r="AG811"/>
      <c r="AH811"/>
      <c r="AI811"/>
      <c r="AJ811"/>
      <c r="AK811"/>
      <c r="AL811"/>
      <c r="AM811"/>
      <c r="AN811"/>
      <c r="AO811"/>
      <c r="AP811"/>
      <c r="AQ811"/>
    </row>
    <row r="812" spans="1:43">
      <c r="A812" s="6" t="s">
        <v>130</v>
      </c>
      <c r="B812" t="s">
        <v>1656</v>
      </c>
      <c r="C812">
        <v>6.1</v>
      </c>
      <c r="D812">
        <v>5.4</v>
      </c>
      <c r="E812">
        <v>10.3</v>
      </c>
      <c r="F812"/>
      <c r="G812"/>
      <c r="H812">
        <v>8.9</v>
      </c>
      <c r="I812"/>
      <c r="J812"/>
      <c r="K812"/>
      <c r="L812"/>
      <c r="M812"/>
      <c r="N812"/>
      <c r="O812"/>
      <c r="P812"/>
      <c r="Q812"/>
      <c r="R812"/>
      <c r="S812">
        <v>8</v>
      </c>
      <c r="T812">
        <v>7.7</v>
      </c>
      <c r="U812">
        <v>6.4</v>
      </c>
      <c r="V812">
        <v>7</v>
      </c>
      <c r="W812">
        <v>6.2</v>
      </c>
      <c r="X812">
        <v>9</v>
      </c>
      <c r="Y812">
        <v>9.8000000000000007</v>
      </c>
      <c r="Z812">
        <v>10</v>
      </c>
      <c r="AA812" s="1">
        <f t="shared" si="17"/>
        <v>7.8999999999999995</v>
      </c>
      <c r="AB812" s="1117">
        <f t="shared" si="18"/>
        <v>8.4</v>
      </c>
      <c r="AC812"/>
      <c r="AD812"/>
      <c r="AE812"/>
      <c r="AF812"/>
      <c r="AG812"/>
      <c r="AH812"/>
      <c r="AI812"/>
      <c r="AJ812"/>
      <c r="AK812"/>
      <c r="AL812"/>
      <c r="AM812"/>
      <c r="AN812"/>
      <c r="AO812"/>
      <c r="AP812"/>
      <c r="AQ812"/>
    </row>
    <row r="813" spans="1:43">
      <c r="A813"/>
      <c r="B813" t="s">
        <v>1669</v>
      </c>
      <c r="C813">
        <v>14.7</v>
      </c>
      <c r="D813">
        <v>15.2</v>
      </c>
      <c r="E813">
        <v>14.4</v>
      </c>
      <c r="F813"/>
      <c r="G813"/>
      <c r="H813">
        <v>13.5</v>
      </c>
      <c r="I813"/>
      <c r="J813"/>
      <c r="K813"/>
      <c r="L813"/>
      <c r="M813"/>
      <c r="N813"/>
      <c r="O813"/>
      <c r="P813"/>
      <c r="Q813"/>
      <c r="R813"/>
      <c r="S813">
        <v>14.1</v>
      </c>
      <c r="T813">
        <v>13.8</v>
      </c>
      <c r="U813">
        <v>13.7</v>
      </c>
      <c r="V813">
        <v>13.6</v>
      </c>
      <c r="W813">
        <v>6.8</v>
      </c>
      <c r="X813">
        <v>8.9</v>
      </c>
      <c r="Y813">
        <v>11.4</v>
      </c>
      <c r="Z813">
        <v>11.7</v>
      </c>
      <c r="AA813" s="1">
        <f t="shared" si="17"/>
        <v>12.649999999999999</v>
      </c>
      <c r="AB813" s="1117">
        <f t="shared" si="18"/>
        <v>10.479999999999999</v>
      </c>
      <c r="AC813"/>
      <c r="AD813"/>
      <c r="AE813"/>
      <c r="AF813"/>
      <c r="AG813"/>
      <c r="AH813"/>
      <c r="AI813"/>
      <c r="AJ813"/>
      <c r="AK813"/>
      <c r="AL813"/>
      <c r="AM813"/>
      <c r="AN813"/>
      <c r="AO813"/>
      <c r="AP813"/>
      <c r="AQ813"/>
    </row>
    <row r="814" spans="1:43">
      <c r="A814"/>
      <c r="B814" t="s">
        <v>1658</v>
      </c>
      <c r="C814">
        <v>2.1</v>
      </c>
      <c r="D814">
        <v>2</v>
      </c>
      <c r="E814">
        <v>2.1</v>
      </c>
      <c r="F814"/>
      <c r="G814"/>
      <c r="H814">
        <v>2.1</v>
      </c>
      <c r="I814"/>
      <c r="J814"/>
      <c r="K814"/>
      <c r="L814"/>
      <c r="M814"/>
      <c r="N814"/>
      <c r="O814"/>
      <c r="P814"/>
      <c r="Q814"/>
      <c r="R814"/>
      <c r="S814">
        <v>2.1</v>
      </c>
      <c r="T814">
        <v>1.8</v>
      </c>
      <c r="U814">
        <v>1.4</v>
      </c>
      <c r="V814">
        <v>1.4</v>
      </c>
      <c r="W814">
        <v>3.2</v>
      </c>
      <c r="X814">
        <v>3.4</v>
      </c>
      <c r="Y814">
        <v>3.2</v>
      </c>
      <c r="Z814">
        <v>2.6</v>
      </c>
      <c r="AA814" s="1">
        <f t="shared" si="17"/>
        <v>2.2833333333333332</v>
      </c>
      <c r="AB814" s="1117">
        <f t="shared" si="18"/>
        <v>2.76</v>
      </c>
      <c r="AC814"/>
      <c r="AD814"/>
      <c r="AE814"/>
      <c r="AF814"/>
      <c r="AG814"/>
      <c r="AH814"/>
      <c r="AI814"/>
      <c r="AJ814"/>
      <c r="AK814"/>
      <c r="AL814"/>
      <c r="AM814"/>
      <c r="AN814"/>
      <c r="AO814"/>
      <c r="AP814"/>
      <c r="AQ814"/>
    </row>
    <row r="815" spans="1:43">
      <c r="A815"/>
      <c r="B815" t="s">
        <v>1668</v>
      </c>
      <c r="C815">
        <v>6.7</v>
      </c>
      <c r="D815">
        <v>7</v>
      </c>
      <c r="E815">
        <v>5.4</v>
      </c>
      <c r="F815"/>
      <c r="G815"/>
      <c r="H815">
        <v>6.3</v>
      </c>
      <c r="I815"/>
      <c r="J815"/>
      <c r="K815"/>
      <c r="L815"/>
      <c r="M815"/>
      <c r="N815"/>
      <c r="O815"/>
      <c r="P815"/>
      <c r="Q815"/>
      <c r="R815"/>
      <c r="S815">
        <v>7</v>
      </c>
      <c r="T815">
        <v>16</v>
      </c>
      <c r="U815">
        <v>14.1</v>
      </c>
      <c r="V815">
        <v>18.600000000000001</v>
      </c>
      <c r="W815">
        <v>16</v>
      </c>
      <c r="X815">
        <v>14.8</v>
      </c>
      <c r="Y815">
        <v>14.4</v>
      </c>
      <c r="Z815">
        <v>15.8</v>
      </c>
      <c r="AA815" s="1">
        <f t="shared" si="17"/>
        <v>11.841666666666669</v>
      </c>
      <c r="AB815" s="1117">
        <f t="shared" si="18"/>
        <v>15.920000000000002</v>
      </c>
      <c r="AC815"/>
      <c r="AD815"/>
      <c r="AE815"/>
      <c r="AF815"/>
      <c r="AG815"/>
      <c r="AH815"/>
      <c r="AI815"/>
      <c r="AJ815"/>
      <c r="AK815"/>
      <c r="AL815"/>
      <c r="AM815"/>
      <c r="AN815"/>
      <c r="AO815"/>
      <c r="AP815"/>
      <c r="AQ815"/>
    </row>
    <row r="816" spans="1:43">
      <c r="A816" s="6" t="s">
        <v>161</v>
      </c>
      <c r="B816" t="s">
        <v>1668</v>
      </c>
      <c r="C816">
        <v>8.5</v>
      </c>
      <c r="D816">
        <v>8.4</v>
      </c>
      <c r="E816">
        <v>7.7</v>
      </c>
      <c r="F816"/>
      <c r="G816"/>
      <c r="H816">
        <v>7.9</v>
      </c>
      <c r="I816"/>
      <c r="J816"/>
      <c r="K816"/>
      <c r="L816"/>
      <c r="M816"/>
      <c r="N816"/>
      <c r="O816"/>
      <c r="P816"/>
      <c r="Q816"/>
      <c r="R816"/>
      <c r="S816">
        <v>8.5</v>
      </c>
      <c r="T816">
        <v>7.8</v>
      </c>
      <c r="U816">
        <v>8.3000000000000007</v>
      </c>
      <c r="V816">
        <v>8.6</v>
      </c>
      <c r="W816">
        <v>8.6</v>
      </c>
      <c r="X816">
        <v>9.1</v>
      </c>
      <c r="Y816">
        <v>5.7</v>
      </c>
      <c r="Z816">
        <v>7.1</v>
      </c>
      <c r="AA816" s="1">
        <f t="shared" si="17"/>
        <v>8.0166666666666639</v>
      </c>
      <c r="AB816" s="1117">
        <f t="shared" si="18"/>
        <v>7.8199999999999985</v>
      </c>
      <c r="AC816"/>
      <c r="AD816"/>
      <c r="AE816"/>
      <c r="AF816"/>
      <c r="AG816"/>
      <c r="AH816"/>
      <c r="AI816"/>
      <c r="AJ816"/>
      <c r="AK816"/>
      <c r="AL816"/>
      <c r="AM816"/>
      <c r="AN816"/>
      <c r="AO816"/>
      <c r="AP816"/>
      <c r="AQ816"/>
    </row>
    <row r="817" spans="1:43">
      <c r="A817" s="6" t="s">
        <v>123</v>
      </c>
      <c r="B817" t="s">
        <v>1656</v>
      </c>
      <c r="C817">
        <v>5.7</v>
      </c>
      <c r="D817">
        <v>5.4</v>
      </c>
      <c r="E817">
        <v>5.3</v>
      </c>
      <c r="F817"/>
      <c r="G817"/>
      <c r="H817">
        <v>5.8</v>
      </c>
      <c r="I817"/>
      <c r="J817"/>
      <c r="K817"/>
      <c r="L817"/>
      <c r="M817"/>
      <c r="N817"/>
      <c r="O817"/>
      <c r="P817"/>
      <c r="Q817"/>
      <c r="R817"/>
      <c r="S817">
        <v>5.7</v>
      </c>
      <c r="T817">
        <v>1.9</v>
      </c>
      <c r="U817">
        <v>2.1</v>
      </c>
      <c r="V817">
        <v>1.7</v>
      </c>
      <c r="W817">
        <v>3.5</v>
      </c>
      <c r="X817">
        <v>4</v>
      </c>
      <c r="Y817">
        <v>4.5999999999999996</v>
      </c>
      <c r="Z817">
        <v>4.0999999999999996</v>
      </c>
      <c r="AA817" s="1">
        <f t="shared" si="17"/>
        <v>4.1500000000000004</v>
      </c>
      <c r="AB817" s="1117">
        <f t="shared" si="18"/>
        <v>3.5799999999999996</v>
      </c>
      <c r="AC817"/>
      <c r="AD817"/>
      <c r="AE817"/>
      <c r="AF817"/>
      <c r="AG817"/>
      <c r="AH817"/>
      <c r="AI817"/>
      <c r="AJ817"/>
      <c r="AK817"/>
      <c r="AL817"/>
      <c r="AM817"/>
      <c r="AN817"/>
      <c r="AO817"/>
      <c r="AP817"/>
      <c r="AQ817"/>
    </row>
    <row r="818" spans="1:43">
      <c r="A818"/>
      <c r="B818" t="s">
        <v>1669</v>
      </c>
      <c r="C818">
        <v>28.5</v>
      </c>
      <c r="D818">
        <v>40.799999999999997</v>
      </c>
      <c r="E818">
        <v>40.700000000000003</v>
      </c>
      <c r="F818"/>
      <c r="G818"/>
      <c r="H818">
        <v>41.8</v>
      </c>
      <c r="I818"/>
      <c r="J818"/>
      <c r="K818"/>
      <c r="L818"/>
      <c r="M818"/>
      <c r="N818"/>
      <c r="O818"/>
      <c r="P818"/>
      <c r="Q818"/>
      <c r="R818"/>
      <c r="S818">
        <v>45.1</v>
      </c>
      <c r="T818">
        <v>44.7</v>
      </c>
      <c r="U818">
        <v>40.6</v>
      </c>
      <c r="V818">
        <v>38.799999999999997</v>
      </c>
      <c r="W818">
        <v>37.5</v>
      </c>
      <c r="X818">
        <v>35.6</v>
      </c>
      <c r="Y818">
        <v>31.5</v>
      </c>
      <c r="Z818">
        <v>17.8</v>
      </c>
      <c r="AA818" s="1">
        <f t="shared" si="17"/>
        <v>36.95000000000001</v>
      </c>
      <c r="AB818" s="1117">
        <f t="shared" si="18"/>
        <v>32.24</v>
      </c>
      <c r="AC818"/>
      <c r="AD818"/>
      <c r="AE818"/>
      <c r="AF818"/>
      <c r="AG818"/>
      <c r="AH818"/>
      <c r="AI818"/>
      <c r="AJ818"/>
      <c r="AK818"/>
      <c r="AL818"/>
      <c r="AM818"/>
      <c r="AN818"/>
      <c r="AO818"/>
      <c r="AP818"/>
      <c r="AQ818"/>
    </row>
    <row r="819" spans="1:43">
      <c r="A819"/>
      <c r="B819" t="s">
        <v>1658</v>
      </c>
      <c r="C819">
        <v>8.9</v>
      </c>
      <c r="D819">
        <v>9.9</v>
      </c>
      <c r="E819">
        <v>9.9</v>
      </c>
      <c r="F819"/>
      <c r="G819"/>
      <c r="H819">
        <v>17.399999999999999</v>
      </c>
      <c r="I819"/>
      <c r="J819"/>
      <c r="K819"/>
      <c r="L819"/>
      <c r="M819"/>
      <c r="N819"/>
      <c r="O819"/>
      <c r="P819"/>
      <c r="Q819"/>
      <c r="R819"/>
      <c r="S819">
        <v>15.2</v>
      </c>
      <c r="T819">
        <v>19.2</v>
      </c>
      <c r="U819">
        <v>18.899999999999999</v>
      </c>
      <c r="V819">
        <v>17.899999999999999</v>
      </c>
      <c r="W819">
        <v>13.7</v>
      </c>
      <c r="X819">
        <v>13.5</v>
      </c>
      <c r="Y819">
        <v>15.1</v>
      </c>
      <c r="Z819">
        <v>13</v>
      </c>
      <c r="AA819" s="1">
        <f t="shared" si="17"/>
        <v>14.383333333333333</v>
      </c>
      <c r="AB819" s="1117">
        <f t="shared" si="18"/>
        <v>14.639999999999997</v>
      </c>
      <c r="AC819"/>
      <c r="AD819"/>
      <c r="AE819"/>
      <c r="AF819"/>
      <c r="AG819"/>
      <c r="AH819"/>
      <c r="AI819"/>
      <c r="AJ819"/>
      <c r="AK819"/>
      <c r="AL819"/>
      <c r="AM819"/>
      <c r="AN819"/>
      <c r="AO819"/>
      <c r="AP819"/>
      <c r="AQ819"/>
    </row>
    <row r="820" spans="1:43">
      <c r="A820"/>
      <c r="B820" t="s">
        <v>1668</v>
      </c>
      <c r="C820">
        <v>1.9</v>
      </c>
      <c r="D820">
        <v>2.4</v>
      </c>
      <c r="E820">
        <v>2.6</v>
      </c>
      <c r="F820"/>
      <c r="G820"/>
      <c r="H820">
        <v>2.6</v>
      </c>
      <c r="I820"/>
      <c r="J820"/>
      <c r="K820"/>
      <c r="L820"/>
      <c r="M820"/>
      <c r="N820"/>
      <c r="O820"/>
      <c r="P820"/>
      <c r="Q820"/>
      <c r="R820"/>
      <c r="S820">
        <v>2.8</v>
      </c>
      <c r="T820">
        <v>4.7</v>
      </c>
      <c r="U820">
        <v>4.8</v>
      </c>
      <c r="V820">
        <v>4.5999999999999996</v>
      </c>
      <c r="W820">
        <v>5.3</v>
      </c>
      <c r="X820">
        <v>6.4</v>
      </c>
      <c r="Y820">
        <v>9.6999999999999993</v>
      </c>
      <c r="Z820">
        <v>9.1999999999999993</v>
      </c>
      <c r="AA820" s="1">
        <f t="shared" si="17"/>
        <v>4.75</v>
      </c>
      <c r="AB820" s="1117">
        <f t="shared" si="18"/>
        <v>7.0399999999999991</v>
      </c>
      <c r="AC820"/>
      <c r="AD820"/>
      <c r="AE820"/>
      <c r="AF820"/>
      <c r="AG820"/>
      <c r="AH820"/>
      <c r="AI820"/>
      <c r="AJ820"/>
      <c r="AK820"/>
      <c r="AL820"/>
      <c r="AM820"/>
      <c r="AN820"/>
      <c r="AO820"/>
      <c r="AP820"/>
      <c r="AQ820"/>
    </row>
    <row r="821" spans="1:43">
      <c r="A821"/>
      <c r="B821" t="s">
        <v>1650</v>
      </c>
      <c r="C821">
        <v>0.2</v>
      </c>
      <c r="D821">
        <v>0.2</v>
      </c>
      <c r="E821">
        <v>0.3</v>
      </c>
      <c r="F821"/>
      <c r="G821"/>
      <c r="H821">
        <v>0.3</v>
      </c>
      <c r="I821"/>
      <c r="J821"/>
      <c r="K821"/>
      <c r="L821"/>
      <c r="M821"/>
      <c r="N821"/>
      <c r="O821"/>
      <c r="P821"/>
      <c r="Q821"/>
      <c r="R821"/>
      <c r="S821">
        <v>0.3</v>
      </c>
      <c r="T821">
        <v>0.4</v>
      </c>
      <c r="U821">
        <v>0.4</v>
      </c>
      <c r="V821">
        <v>0.3</v>
      </c>
      <c r="W821">
        <v>0.6</v>
      </c>
      <c r="X821">
        <v>0.5</v>
      </c>
      <c r="Y821">
        <v>0.5</v>
      </c>
      <c r="Z821">
        <v>0.5</v>
      </c>
      <c r="AA821" s="1">
        <f t="shared" si="17"/>
        <v>0.375</v>
      </c>
      <c r="AB821" s="1117">
        <f t="shared" si="18"/>
        <v>0.48</v>
      </c>
      <c r="AC821"/>
      <c r="AD821"/>
      <c r="AE821"/>
      <c r="AF821"/>
      <c r="AG821"/>
      <c r="AH821"/>
      <c r="AI821"/>
      <c r="AJ821"/>
      <c r="AK821"/>
      <c r="AL821"/>
      <c r="AM821"/>
      <c r="AN821"/>
      <c r="AO821"/>
      <c r="AP821"/>
      <c r="AQ821"/>
    </row>
    <row r="822" spans="1:43">
      <c r="A822" s="6" t="s">
        <v>1670</v>
      </c>
      <c r="B822" t="s">
        <v>1658</v>
      </c>
      <c r="C822">
        <v>19.100000000000001</v>
      </c>
      <c r="D822">
        <v>17.600000000000001</v>
      </c>
      <c r="E822">
        <v>20.9</v>
      </c>
      <c r="F822"/>
      <c r="G822"/>
      <c r="H822">
        <v>28.8</v>
      </c>
      <c r="I822"/>
      <c r="J822"/>
      <c r="K822"/>
      <c r="L822"/>
      <c r="M822"/>
      <c r="N822"/>
      <c r="O822"/>
      <c r="P822"/>
      <c r="Q822"/>
      <c r="R822"/>
      <c r="S822">
        <v>23.4</v>
      </c>
      <c r="T822">
        <v>21.2</v>
      </c>
      <c r="U822">
        <v>27.2</v>
      </c>
      <c r="V822">
        <v>20.7</v>
      </c>
      <c r="W822">
        <v>12.8</v>
      </c>
      <c r="X822">
        <v>9.6</v>
      </c>
      <c r="Y822">
        <v>19.8</v>
      </c>
      <c r="Z822">
        <v>21</v>
      </c>
      <c r="AA822" s="1">
        <f t="shared" si="17"/>
        <v>20.175000000000001</v>
      </c>
      <c r="AB822" s="1117">
        <f t="shared" si="18"/>
        <v>16.78</v>
      </c>
      <c r="AC822"/>
      <c r="AD822"/>
      <c r="AE822"/>
      <c r="AF822"/>
      <c r="AG822"/>
      <c r="AH822"/>
      <c r="AI822"/>
      <c r="AJ822"/>
      <c r="AK822"/>
      <c r="AL822"/>
      <c r="AM822"/>
      <c r="AN822"/>
      <c r="AO822"/>
      <c r="AP822"/>
      <c r="AQ822"/>
    </row>
    <row r="823" spans="1:43">
      <c r="A823"/>
      <c r="B823" t="s">
        <v>1668</v>
      </c>
      <c r="C823">
        <v>2.5</v>
      </c>
      <c r="D823">
        <v>2.5</v>
      </c>
      <c r="E823">
        <v>2.7</v>
      </c>
      <c r="F823"/>
      <c r="G823"/>
      <c r="H823">
        <v>2.7</v>
      </c>
      <c r="I823"/>
      <c r="J823"/>
      <c r="K823"/>
      <c r="L823"/>
      <c r="M823"/>
      <c r="N823"/>
      <c r="O823"/>
      <c r="P823"/>
      <c r="Q823"/>
      <c r="R823"/>
      <c r="S823">
        <v>4</v>
      </c>
      <c r="T823">
        <v>3.4</v>
      </c>
      <c r="U823">
        <v>3.7</v>
      </c>
      <c r="V823">
        <v>3</v>
      </c>
      <c r="W823">
        <v>2.9</v>
      </c>
      <c r="X823">
        <v>1.9</v>
      </c>
      <c r="Y823">
        <v>2.6</v>
      </c>
      <c r="Z823">
        <v>3.3</v>
      </c>
      <c r="AA823" s="1">
        <f t="shared" si="17"/>
        <v>2.9333333333333331</v>
      </c>
      <c r="AB823" s="1117">
        <f t="shared" si="18"/>
        <v>2.7399999999999998</v>
      </c>
      <c r="AC823"/>
      <c r="AD823"/>
      <c r="AE823"/>
      <c r="AF823"/>
      <c r="AG823"/>
      <c r="AH823"/>
      <c r="AI823"/>
      <c r="AJ823"/>
      <c r="AK823"/>
      <c r="AL823"/>
      <c r="AM823"/>
      <c r="AN823"/>
      <c r="AO823"/>
      <c r="AP823"/>
      <c r="AQ823"/>
    </row>
    <row r="824" spans="1:43">
      <c r="A824" s="6"/>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row>
    <row r="825" spans="1:43">
      <c r="A825" s="6"/>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row>
    <row r="826" spans="1:43">
      <c r="A826" s="6"/>
      <c r="B826"/>
      <c r="C826" s="6">
        <v>1999</v>
      </c>
      <c r="D826" s="6">
        <v>2000</v>
      </c>
      <c r="E826" s="6">
        <v>2001</v>
      </c>
      <c r="F826" s="6"/>
      <c r="G826" s="6"/>
      <c r="H826" s="6">
        <v>2002</v>
      </c>
      <c r="I826" s="6"/>
      <c r="J826" s="6"/>
      <c r="K826" s="6"/>
      <c r="L826" s="6"/>
      <c r="M826" s="6"/>
      <c r="N826" s="6"/>
      <c r="O826" s="6"/>
      <c r="P826" s="6"/>
      <c r="Q826" s="6"/>
      <c r="R826" s="6"/>
      <c r="S826" s="6">
        <v>2003</v>
      </c>
      <c r="T826" s="6" t="s">
        <v>1671</v>
      </c>
      <c r="U826"/>
      <c r="V826"/>
      <c r="W826"/>
      <c r="X826"/>
      <c r="Y826"/>
      <c r="Z826"/>
      <c r="AA826"/>
      <c r="AB826"/>
      <c r="AC826"/>
      <c r="AD826"/>
      <c r="AE826"/>
      <c r="AF826"/>
      <c r="AG826"/>
      <c r="AH826"/>
      <c r="AI826"/>
      <c r="AJ826"/>
      <c r="AK826"/>
      <c r="AL826"/>
      <c r="AM826"/>
      <c r="AN826"/>
      <c r="AO826"/>
      <c r="AP826"/>
      <c r="AQ826"/>
    </row>
    <row r="827" spans="1:43">
      <c r="A827" s="6" t="s">
        <v>176</v>
      </c>
      <c r="B827" t="s">
        <v>831</v>
      </c>
      <c r="C827">
        <v>0.6</v>
      </c>
      <c r="D827">
        <v>0.9</v>
      </c>
      <c r="E827">
        <v>1</v>
      </c>
      <c r="F827"/>
      <c r="G827"/>
      <c r="H827">
        <v>1</v>
      </c>
      <c r="I827"/>
      <c r="J827"/>
      <c r="K827"/>
      <c r="L827"/>
      <c r="M827"/>
      <c r="N827"/>
      <c r="O827"/>
      <c r="P827"/>
      <c r="Q827"/>
      <c r="R827"/>
      <c r="S827">
        <v>1.1000000000000001</v>
      </c>
      <c r="T827">
        <f t="shared" ref="T827:T844" si="19">AVERAGE(C827:S827)</f>
        <v>0.91999999999999993</v>
      </c>
      <c r="U827"/>
      <c r="V827"/>
      <c r="W827"/>
      <c r="X827"/>
      <c r="Y827"/>
      <c r="Z827"/>
      <c r="AA827"/>
      <c r="AB827"/>
      <c r="AC827"/>
      <c r="AD827"/>
      <c r="AE827"/>
      <c r="AF827"/>
      <c r="AG827"/>
      <c r="AH827"/>
      <c r="AI827"/>
      <c r="AJ827"/>
      <c r="AK827"/>
      <c r="AL827"/>
      <c r="AM827"/>
      <c r="AN827"/>
      <c r="AO827"/>
      <c r="AP827"/>
      <c r="AQ827"/>
    </row>
    <row r="828" spans="1:43">
      <c r="A828" s="6"/>
      <c r="B828" t="s">
        <v>192</v>
      </c>
      <c r="C828">
        <v>0.5</v>
      </c>
      <c r="D828">
        <v>1</v>
      </c>
      <c r="E828">
        <v>0.9</v>
      </c>
      <c r="F828"/>
      <c r="G828"/>
      <c r="H828">
        <v>0.9</v>
      </c>
      <c r="I828"/>
      <c r="J828"/>
      <c r="K828"/>
      <c r="L828"/>
      <c r="M828"/>
      <c r="N828"/>
      <c r="O828"/>
      <c r="P828"/>
      <c r="Q828"/>
      <c r="R828"/>
      <c r="S828">
        <v>0.9</v>
      </c>
      <c r="T828">
        <f t="shared" si="19"/>
        <v>0.84000000000000008</v>
      </c>
      <c r="U828"/>
      <c r="V828"/>
      <c r="W828"/>
      <c r="X828"/>
      <c r="Y828"/>
      <c r="Z828"/>
      <c r="AA828"/>
      <c r="AB828"/>
      <c r="AC828"/>
      <c r="AD828"/>
      <c r="AE828"/>
      <c r="AF828"/>
      <c r="AG828"/>
      <c r="AH828"/>
      <c r="AI828"/>
      <c r="AJ828"/>
      <c r="AK828"/>
      <c r="AL828"/>
      <c r="AM828"/>
      <c r="AN828"/>
      <c r="AO828"/>
      <c r="AP828"/>
      <c r="AQ828"/>
    </row>
    <row r="829" spans="1:43">
      <c r="A829" s="6"/>
      <c r="B829" t="s">
        <v>1263</v>
      </c>
      <c r="C829">
        <v>0.5</v>
      </c>
      <c r="D829">
        <v>0.1</v>
      </c>
      <c r="E829">
        <v>0.3</v>
      </c>
      <c r="F829"/>
      <c r="G829"/>
      <c r="H829">
        <v>0.2</v>
      </c>
      <c r="I829"/>
      <c r="J829"/>
      <c r="K829"/>
      <c r="L829"/>
      <c r="M829"/>
      <c r="N829"/>
      <c r="O829"/>
      <c r="P829"/>
      <c r="Q829"/>
      <c r="R829"/>
      <c r="S829">
        <v>0.2</v>
      </c>
      <c r="T829">
        <f t="shared" si="19"/>
        <v>0.25999999999999995</v>
      </c>
      <c r="U829"/>
      <c r="V829"/>
      <c r="W829"/>
      <c r="X829"/>
      <c r="Y829"/>
      <c r="Z829"/>
      <c r="AA829"/>
      <c r="AB829"/>
      <c r="AC829"/>
      <c r="AD829"/>
      <c r="AE829"/>
      <c r="AF829"/>
      <c r="AG829"/>
      <c r="AH829"/>
      <c r="AI829"/>
      <c r="AJ829"/>
      <c r="AK829"/>
      <c r="AL829"/>
      <c r="AM829"/>
      <c r="AN829"/>
      <c r="AO829"/>
      <c r="AP829"/>
      <c r="AQ829"/>
    </row>
    <row r="830" spans="1:43">
      <c r="A830" s="6"/>
      <c r="B830" t="s">
        <v>180</v>
      </c>
      <c r="C830">
        <v>2.2000000000000002</v>
      </c>
      <c r="D830">
        <v>3</v>
      </c>
      <c r="E830">
        <v>3.1</v>
      </c>
      <c r="F830"/>
      <c r="G830"/>
      <c r="H830">
        <v>3.4</v>
      </c>
      <c r="I830"/>
      <c r="J830"/>
      <c r="K830"/>
      <c r="L830"/>
      <c r="M830"/>
      <c r="N830"/>
      <c r="O830"/>
      <c r="P830"/>
      <c r="Q830"/>
      <c r="R830"/>
      <c r="S830">
        <v>1.7</v>
      </c>
      <c r="T830">
        <f t="shared" si="19"/>
        <v>2.68</v>
      </c>
      <c r="U830"/>
      <c r="V830"/>
      <c r="W830"/>
      <c r="X830"/>
      <c r="Y830"/>
      <c r="Z830"/>
      <c r="AA830"/>
      <c r="AB830"/>
      <c r="AC830"/>
      <c r="AD830"/>
      <c r="AE830"/>
      <c r="AF830"/>
      <c r="AG830"/>
      <c r="AH830"/>
      <c r="AI830"/>
      <c r="AJ830"/>
      <c r="AK830"/>
      <c r="AL830"/>
      <c r="AM830"/>
      <c r="AN830"/>
      <c r="AO830"/>
      <c r="AP830"/>
      <c r="AQ830"/>
    </row>
    <row r="831" spans="1:43">
      <c r="A831" s="6"/>
      <c r="B831" t="s">
        <v>1282</v>
      </c>
      <c r="C831"/>
      <c r="D831">
        <v>0</v>
      </c>
      <c r="E831">
        <v>0.1</v>
      </c>
      <c r="F831"/>
      <c r="G831"/>
      <c r="H831">
        <v>0.1</v>
      </c>
      <c r="I831"/>
      <c r="J831"/>
      <c r="K831"/>
      <c r="L831"/>
      <c r="M831"/>
      <c r="N831"/>
      <c r="O831"/>
      <c r="P831"/>
      <c r="Q831"/>
      <c r="R831"/>
      <c r="S831">
        <v>0.1</v>
      </c>
      <c r="T831">
        <f t="shared" si="19"/>
        <v>7.5000000000000011E-2</v>
      </c>
      <c r="U831"/>
      <c r="V831"/>
      <c r="W831"/>
      <c r="X831"/>
      <c r="Y831"/>
      <c r="Z831"/>
      <c r="AA831"/>
      <c r="AB831"/>
      <c r="AC831"/>
      <c r="AD831"/>
      <c r="AE831"/>
      <c r="AF831"/>
      <c r="AG831"/>
      <c r="AH831"/>
      <c r="AI831"/>
      <c r="AJ831"/>
      <c r="AK831"/>
      <c r="AL831"/>
      <c r="AM831"/>
      <c r="AN831"/>
      <c r="AO831"/>
      <c r="AP831"/>
      <c r="AQ831"/>
    </row>
    <row r="832" spans="1:43">
      <c r="A832" s="6" t="s">
        <v>199</v>
      </c>
      <c r="B832" t="s">
        <v>831</v>
      </c>
      <c r="C832">
        <v>1.8</v>
      </c>
      <c r="D832">
        <v>2.4</v>
      </c>
      <c r="E832">
        <v>2.4</v>
      </c>
      <c r="F832"/>
      <c r="G832"/>
      <c r="H832">
        <v>2.2999999999999998</v>
      </c>
      <c r="I832"/>
      <c r="J832"/>
      <c r="K832"/>
      <c r="L832"/>
      <c r="M832"/>
      <c r="N832"/>
      <c r="O832"/>
      <c r="P832"/>
      <c r="Q832"/>
      <c r="R832"/>
      <c r="S832">
        <v>1.9</v>
      </c>
      <c r="T832">
        <f t="shared" si="19"/>
        <v>2.1599999999999997</v>
      </c>
      <c r="U832"/>
      <c r="V832"/>
      <c r="W832"/>
      <c r="X832"/>
      <c r="Y832"/>
      <c r="Z832"/>
      <c r="AA832"/>
      <c r="AB832"/>
      <c r="AC832"/>
      <c r="AD832"/>
      <c r="AE832"/>
      <c r="AF832"/>
      <c r="AG832"/>
      <c r="AH832"/>
      <c r="AI832"/>
      <c r="AJ832"/>
      <c r="AK832"/>
      <c r="AL832"/>
      <c r="AM832"/>
      <c r="AN832"/>
      <c r="AO832"/>
      <c r="AP832"/>
      <c r="AQ832"/>
    </row>
    <row r="833" spans="1:43">
      <c r="A833" s="6"/>
      <c r="B833" t="s">
        <v>192</v>
      </c>
      <c r="C833">
        <v>1.3</v>
      </c>
      <c r="D833">
        <v>1</v>
      </c>
      <c r="E833">
        <v>1</v>
      </c>
      <c r="F833"/>
      <c r="G833"/>
      <c r="H833">
        <v>0.9</v>
      </c>
      <c r="I833"/>
      <c r="J833"/>
      <c r="K833"/>
      <c r="L833"/>
      <c r="M833"/>
      <c r="N833"/>
      <c r="O833"/>
      <c r="P833"/>
      <c r="Q833"/>
      <c r="R833"/>
      <c r="S833">
        <v>0.9</v>
      </c>
      <c r="T833">
        <f t="shared" si="19"/>
        <v>1.02</v>
      </c>
      <c r="U833"/>
      <c r="V833"/>
      <c r="W833"/>
      <c r="X833"/>
      <c r="Y833"/>
      <c r="Z833"/>
      <c r="AA833"/>
      <c r="AB833"/>
      <c r="AC833"/>
      <c r="AD833"/>
      <c r="AE833"/>
      <c r="AF833"/>
      <c r="AG833"/>
      <c r="AH833"/>
      <c r="AI833"/>
      <c r="AJ833"/>
      <c r="AK833"/>
      <c r="AL833"/>
      <c r="AM833"/>
      <c r="AN833"/>
      <c r="AO833"/>
      <c r="AP833"/>
      <c r="AQ833"/>
    </row>
    <row r="834" spans="1:43">
      <c r="A834" s="6"/>
      <c r="B834" t="s">
        <v>1263</v>
      </c>
      <c r="C834">
        <v>1.1000000000000001</v>
      </c>
      <c r="D834">
        <v>1.4</v>
      </c>
      <c r="E834">
        <v>1.6</v>
      </c>
      <c r="F834"/>
      <c r="G834"/>
      <c r="H834">
        <v>1.8</v>
      </c>
      <c r="I834"/>
      <c r="J834"/>
      <c r="K834"/>
      <c r="L834"/>
      <c r="M834"/>
      <c r="N834"/>
      <c r="O834"/>
      <c r="P834"/>
      <c r="Q834"/>
      <c r="R834"/>
      <c r="S834">
        <v>1.2</v>
      </c>
      <c r="T834">
        <f t="shared" si="19"/>
        <v>1.42</v>
      </c>
      <c r="U834"/>
      <c r="V834"/>
      <c r="W834"/>
      <c r="X834"/>
      <c r="Y834"/>
      <c r="Z834"/>
      <c r="AA834"/>
      <c r="AB834"/>
      <c r="AC834"/>
      <c r="AD834"/>
      <c r="AE834"/>
      <c r="AF834"/>
      <c r="AG834"/>
      <c r="AH834"/>
      <c r="AI834"/>
      <c r="AJ834"/>
      <c r="AK834"/>
      <c r="AL834"/>
      <c r="AM834"/>
      <c r="AN834"/>
      <c r="AO834"/>
      <c r="AP834"/>
      <c r="AQ834"/>
    </row>
    <row r="835" spans="1:43">
      <c r="A835" s="6"/>
      <c r="B835" t="s">
        <v>180</v>
      </c>
      <c r="C835">
        <v>3</v>
      </c>
      <c r="D835">
        <v>3.6</v>
      </c>
      <c r="E835">
        <v>3.1</v>
      </c>
      <c r="F835"/>
      <c r="G835"/>
      <c r="H835">
        <v>3.6</v>
      </c>
      <c r="I835"/>
      <c r="J835"/>
      <c r="K835"/>
      <c r="L835"/>
      <c r="M835"/>
      <c r="N835"/>
      <c r="O835"/>
      <c r="P835"/>
      <c r="Q835"/>
      <c r="R835"/>
      <c r="S835">
        <v>2.2999999999999998</v>
      </c>
      <c r="T835">
        <f t="shared" si="19"/>
        <v>3.1199999999999997</v>
      </c>
      <c r="U835"/>
      <c r="V835"/>
      <c r="W835"/>
      <c r="X835"/>
      <c r="Y835"/>
      <c r="Z835"/>
      <c r="AA835"/>
      <c r="AB835"/>
      <c r="AC835"/>
      <c r="AD835"/>
      <c r="AE835"/>
      <c r="AF835"/>
      <c r="AG835"/>
      <c r="AH835"/>
      <c r="AI835"/>
      <c r="AJ835"/>
      <c r="AK835"/>
      <c r="AL835"/>
      <c r="AM835"/>
      <c r="AN835"/>
      <c r="AO835"/>
      <c r="AP835"/>
      <c r="AQ835"/>
    </row>
    <row r="836" spans="1:43">
      <c r="A836" s="6"/>
      <c r="B836" t="s">
        <v>1282</v>
      </c>
      <c r="C836"/>
      <c r="D836"/>
      <c r="E836">
        <v>0.1</v>
      </c>
      <c r="F836"/>
      <c r="G836"/>
      <c r="H836">
        <v>0.2</v>
      </c>
      <c r="I836"/>
      <c r="J836"/>
      <c r="K836"/>
      <c r="L836"/>
      <c r="M836"/>
      <c r="N836"/>
      <c r="O836"/>
      <c r="P836"/>
      <c r="Q836"/>
      <c r="R836"/>
      <c r="S836">
        <v>0.1</v>
      </c>
      <c r="T836">
        <f t="shared" si="19"/>
        <v>0.13333333333333333</v>
      </c>
      <c r="U836"/>
      <c r="V836"/>
      <c r="W836"/>
      <c r="X836"/>
      <c r="Y836"/>
      <c r="Z836"/>
      <c r="AA836"/>
      <c r="AB836"/>
      <c r="AC836"/>
      <c r="AD836"/>
      <c r="AE836"/>
      <c r="AF836"/>
      <c r="AG836"/>
      <c r="AH836"/>
      <c r="AI836"/>
      <c r="AJ836"/>
      <c r="AK836"/>
      <c r="AL836"/>
      <c r="AM836"/>
      <c r="AN836"/>
      <c r="AO836"/>
      <c r="AP836"/>
      <c r="AQ836"/>
    </row>
    <row r="837" spans="1:43">
      <c r="A837" s="6" t="s">
        <v>124</v>
      </c>
      <c r="B837" t="s">
        <v>831</v>
      </c>
      <c r="C837"/>
      <c r="D837">
        <v>0.6</v>
      </c>
      <c r="E837">
        <v>0.7</v>
      </c>
      <c r="F837"/>
      <c r="G837"/>
      <c r="H837">
        <v>0.7</v>
      </c>
      <c r="I837"/>
      <c r="J837"/>
      <c r="K837"/>
      <c r="L837"/>
      <c r="M837"/>
      <c r="N837"/>
      <c r="O837"/>
      <c r="P837"/>
      <c r="Q837"/>
      <c r="R837"/>
      <c r="S837">
        <v>0.8</v>
      </c>
      <c r="T837">
        <f t="shared" si="19"/>
        <v>0.7</v>
      </c>
      <c r="U837"/>
      <c r="V837"/>
      <c r="W837"/>
      <c r="X837"/>
      <c r="Y837"/>
      <c r="Z837"/>
      <c r="AA837"/>
      <c r="AB837"/>
      <c r="AC837"/>
      <c r="AD837"/>
      <c r="AE837"/>
      <c r="AF837"/>
      <c r="AG837"/>
      <c r="AH837"/>
      <c r="AI837"/>
      <c r="AJ837"/>
      <c r="AK837"/>
      <c r="AL837"/>
      <c r="AM837"/>
      <c r="AN837"/>
      <c r="AO837"/>
      <c r="AP837"/>
      <c r="AQ837"/>
    </row>
    <row r="838" spans="1:43">
      <c r="A838" s="6"/>
      <c r="B838" t="s">
        <v>192</v>
      </c>
      <c r="C838"/>
      <c r="D838">
        <v>1.4</v>
      </c>
      <c r="E838">
        <v>1.3</v>
      </c>
      <c r="F838"/>
      <c r="G838"/>
      <c r="H838">
        <v>0.9</v>
      </c>
      <c r="I838"/>
      <c r="J838"/>
      <c r="K838"/>
      <c r="L838"/>
      <c r="M838"/>
      <c r="N838"/>
      <c r="O838"/>
      <c r="P838"/>
      <c r="Q838"/>
      <c r="R838"/>
      <c r="S838">
        <v>0.8</v>
      </c>
      <c r="T838">
        <f t="shared" si="19"/>
        <v>1.1000000000000001</v>
      </c>
      <c r="U838"/>
      <c r="V838"/>
      <c r="W838"/>
      <c r="X838"/>
      <c r="Y838"/>
      <c r="Z838"/>
      <c r="AA838"/>
      <c r="AB838"/>
      <c r="AC838"/>
      <c r="AD838"/>
      <c r="AE838"/>
      <c r="AF838"/>
      <c r="AG838"/>
      <c r="AH838"/>
      <c r="AI838"/>
      <c r="AJ838"/>
      <c r="AK838"/>
      <c r="AL838"/>
      <c r="AM838"/>
      <c r="AN838"/>
      <c r="AO838"/>
      <c r="AP838"/>
      <c r="AQ838"/>
    </row>
    <row r="839" spans="1:43">
      <c r="A839" s="6"/>
      <c r="B839" t="s">
        <v>1263</v>
      </c>
      <c r="C839"/>
      <c r="D839">
        <v>0.6</v>
      </c>
      <c r="E839">
        <v>1</v>
      </c>
      <c r="F839"/>
      <c r="G839"/>
      <c r="H839">
        <v>0.8</v>
      </c>
      <c r="I839"/>
      <c r="J839"/>
      <c r="K839"/>
      <c r="L839"/>
      <c r="M839"/>
      <c r="N839"/>
      <c r="O839"/>
      <c r="P839"/>
      <c r="Q839"/>
      <c r="R839"/>
      <c r="S839">
        <v>0.9</v>
      </c>
      <c r="T839">
        <f t="shared" si="19"/>
        <v>0.82500000000000007</v>
      </c>
      <c r="U839"/>
      <c r="V839"/>
      <c r="W839"/>
      <c r="X839"/>
      <c r="Y839"/>
      <c r="Z839"/>
      <c r="AA839"/>
      <c r="AB839"/>
      <c r="AC839"/>
      <c r="AD839"/>
      <c r="AE839"/>
      <c r="AF839"/>
      <c r="AG839"/>
      <c r="AH839"/>
      <c r="AI839"/>
      <c r="AJ839"/>
      <c r="AK839"/>
      <c r="AL839"/>
      <c r="AM839"/>
      <c r="AN839"/>
      <c r="AO839"/>
      <c r="AP839"/>
      <c r="AQ839"/>
    </row>
    <row r="840" spans="1:43">
      <c r="A840" s="6"/>
      <c r="B840" t="s">
        <v>180</v>
      </c>
      <c r="C840"/>
      <c r="D840">
        <v>2</v>
      </c>
      <c r="E840">
        <v>2.4</v>
      </c>
      <c r="F840"/>
      <c r="G840"/>
      <c r="H840">
        <v>2.5</v>
      </c>
      <c r="I840"/>
      <c r="J840"/>
      <c r="K840"/>
      <c r="L840"/>
      <c r="M840"/>
      <c r="N840"/>
      <c r="O840"/>
      <c r="P840"/>
      <c r="Q840"/>
      <c r="R840"/>
      <c r="S840">
        <v>2.8</v>
      </c>
      <c r="T840">
        <f t="shared" si="19"/>
        <v>2.4249999999999998</v>
      </c>
      <c r="U840"/>
      <c r="V840"/>
      <c r="W840"/>
      <c r="X840"/>
      <c r="Y840"/>
      <c r="Z840"/>
      <c r="AA840"/>
      <c r="AB840"/>
      <c r="AC840"/>
      <c r="AD840"/>
      <c r="AE840"/>
      <c r="AF840"/>
      <c r="AG840"/>
      <c r="AH840"/>
      <c r="AI840"/>
      <c r="AJ840"/>
      <c r="AK840"/>
      <c r="AL840"/>
      <c r="AM840"/>
      <c r="AN840"/>
      <c r="AO840"/>
      <c r="AP840"/>
      <c r="AQ840"/>
    </row>
    <row r="841" spans="1:43">
      <c r="A841" s="6"/>
      <c r="B841" t="s">
        <v>1282</v>
      </c>
      <c r="C841"/>
      <c r="D841">
        <v>0.5</v>
      </c>
      <c r="E841">
        <v>0.6</v>
      </c>
      <c r="F841"/>
      <c r="G841"/>
      <c r="H841">
        <v>0.6</v>
      </c>
      <c r="I841"/>
      <c r="J841"/>
      <c r="K841"/>
      <c r="L841"/>
      <c r="M841"/>
      <c r="N841"/>
      <c r="O841"/>
      <c r="P841"/>
      <c r="Q841"/>
      <c r="R841"/>
      <c r="S841">
        <v>0.7</v>
      </c>
      <c r="T841">
        <f t="shared" si="19"/>
        <v>0.60000000000000009</v>
      </c>
      <c r="U841"/>
      <c r="V841"/>
      <c r="W841"/>
      <c r="X841"/>
      <c r="Y841"/>
      <c r="Z841"/>
      <c r="AA841"/>
      <c r="AB841"/>
      <c r="AC841"/>
      <c r="AD841"/>
      <c r="AE841"/>
      <c r="AF841"/>
      <c r="AG841"/>
      <c r="AH841"/>
      <c r="AI841"/>
      <c r="AJ841"/>
      <c r="AK841"/>
      <c r="AL841"/>
      <c r="AM841"/>
      <c r="AN841"/>
      <c r="AO841"/>
      <c r="AP841"/>
      <c r="AQ841"/>
    </row>
    <row r="842" spans="1:43">
      <c r="A842" s="6" t="s">
        <v>201</v>
      </c>
      <c r="B842" t="s">
        <v>831</v>
      </c>
      <c r="C842">
        <v>1.5</v>
      </c>
      <c r="D842">
        <v>3.6</v>
      </c>
      <c r="E842">
        <v>3.6</v>
      </c>
      <c r="F842"/>
      <c r="G842"/>
      <c r="H842">
        <v>3.4</v>
      </c>
      <c r="I842"/>
      <c r="J842"/>
      <c r="K842"/>
      <c r="L842"/>
      <c r="M842"/>
      <c r="N842"/>
      <c r="O842"/>
      <c r="P842"/>
      <c r="Q842"/>
      <c r="R842"/>
      <c r="S842">
        <v>2.7</v>
      </c>
      <c r="T842">
        <f t="shared" si="19"/>
        <v>2.96</v>
      </c>
      <c r="U842"/>
      <c r="V842"/>
      <c r="W842"/>
      <c r="X842"/>
      <c r="Y842"/>
      <c r="Z842"/>
      <c r="AA842"/>
      <c r="AB842"/>
      <c r="AC842"/>
      <c r="AD842"/>
      <c r="AE842"/>
      <c r="AF842"/>
      <c r="AG842"/>
      <c r="AH842"/>
      <c r="AI842"/>
      <c r="AJ842"/>
      <c r="AK842"/>
      <c r="AL842"/>
      <c r="AM842"/>
      <c r="AN842"/>
      <c r="AO842"/>
      <c r="AP842"/>
      <c r="AQ842"/>
    </row>
    <row r="843" spans="1:43">
      <c r="A843" s="6"/>
      <c r="B843" t="s">
        <v>1263</v>
      </c>
      <c r="C843">
        <v>0</v>
      </c>
      <c r="D843">
        <v>0</v>
      </c>
      <c r="E843">
        <v>0.1</v>
      </c>
      <c r="F843"/>
      <c r="G843"/>
      <c r="H843">
        <v>0</v>
      </c>
      <c r="I843"/>
      <c r="J843"/>
      <c r="K843"/>
      <c r="L843"/>
      <c r="M843"/>
      <c r="N843"/>
      <c r="O843"/>
      <c r="P843"/>
      <c r="Q843"/>
      <c r="R843"/>
      <c r="S843">
        <v>0</v>
      </c>
      <c r="T843">
        <f t="shared" si="19"/>
        <v>0.02</v>
      </c>
      <c r="U843"/>
      <c r="V843"/>
      <c r="W843"/>
      <c r="X843"/>
      <c r="Y843"/>
      <c r="Z843"/>
      <c r="AA843"/>
      <c r="AB843"/>
      <c r="AC843"/>
      <c r="AD843"/>
      <c r="AE843"/>
      <c r="AF843"/>
      <c r="AG843"/>
      <c r="AH843"/>
      <c r="AI843"/>
      <c r="AJ843"/>
      <c r="AK843"/>
      <c r="AL843"/>
      <c r="AM843"/>
      <c r="AN843"/>
      <c r="AO843"/>
      <c r="AP843"/>
      <c r="AQ843"/>
    </row>
    <row r="844" spans="1:43">
      <c r="A844" s="6"/>
      <c r="B844" t="s">
        <v>180</v>
      </c>
      <c r="C844">
        <v>1.8</v>
      </c>
      <c r="D844">
        <v>2.4</v>
      </c>
      <c r="E844">
        <v>1.1000000000000001</v>
      </c>
      <c r="F844"/>
      <c r="G844"/>
      <c r="H844">
        <v>1.3</v>
      </c>
      <c r="I844"/>
      <c r="J844"/>
      <c r="K844"/>
      <c r="L844"/>
      <c r="M844"/>
      <c r="N844"/>
      <c r="O844"/>
      <c r="P844"/>
      <c r="Q844"/>
      <c r="R844"/>
      <c r="S844">
        <v>1.7</v>
      </c>
      <c r="T844">
        <f t="shared" si="19"/>
        <v>1.6600000000000001</v>
      </c>
      <c r="U844"/>
      <c r="V844"/>
      <c r="W844"/>
      <c r="X844"/>
      <c r="Y844"/>
      <c r="Z844"/>
      <c r="AA844"/>
      <c r="AB844"/>
      <c r="AC844"/>
      <c r="AD844"/>
      <c r="AE844"/>
      <c r="AF844"/>
      <c r="AG844"/>
      <c r="AH844"/>
      <c r="AI844"/>
      <c r="AJ844"/>
      <c r="AK844"/>
      <c r="AL844"/>
      <c r="AM844"/>
      <c r="AN844"/>
      <c r="AO844"/>
      <c r="AP844"/>
      <c r="AQ844"/>
    </row>
    <row r="845" spans="1:43">
      <c r="A845" s="6"/>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row>
    <row r="846" spans="1:43">
      <c r="A846" s="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row>
    <row r="847" spans="1:43">
      <c r="A847" s="29"/>
      <c r="B847" s="29"/>
      <c r="C847" s="29"/>
      <c r="D847" s="29"/>
      <c r="E847" s="29"/>
      <c r="F847" s="29"/>
      <c r="G847" s="29"/>
      <c r="H847" s="29"/>
      <c r="I847" s="29"/>
      <c r="J847" s="29"/>
      <c r="K847" s="29"/>
      <c r="L847" s="29"/>
      <c r="M847" s="29"/>
      <c r="N847" s="29"/>
      <c r="O847" s="29"/>
      <c r="P847" s="29"/>
      <c r="Q847" s="29"/>
      <c r="R847" s="29"/>
      <c r="S847" s="29"/>
      <c r="T847"/>
      <c r="U847"/>
      <c r="V847"/>
      <c r="W847"/>
      <c r="X847"/>
      <c r="Y847"/>
      <c r="Z847"/>
      <c r="AA847"/>
      <c r="AB847"/>
      <c r="AC847"/>
      <c r="AD847"/>
      <c r="AE847"/>
      <c r="AF847"/>
      <c r="AG847"/>
      <c r="AH847"/>
      <c r="AI847"/>
      <c r="AJ847"/>
      <c r="AK847"/>
      <c r="AL847"/>
      <c r="AM847"/>
      <c r="AN847"/>
      <c r="AO847"/>
      <c r="AP847"/>
      <c r="AQ847"/>
    </row>
    <row r="848" spans="1:43">
      <c r="A848" s="29"/>
      <c r="B848" s="29"/>
      <c r="C848" s="29"/>
      <c r="D848" s="29"/>
      <c r="E848" s="29"/>
      <c r="F848" s="29"/>
      <c r="G848" s="29"/>
      <c r="H848" s="29"/>
      <c r="I848" s="29"/>
      <c r="J848" s="29"/>
      <c r="K848" s="29"/>
      <c r="L848" s="29"/>
      <c r="M848" s="29"/>
      <c r="N848" s="29"/>
      <c r="O848" s="29"/>
      <c r="P848" s="29"/>
      <c r="Q848" s="29"/>
      <c r="R848" s="29"/>
      <c r="S848" s="29"/>
      <c r="T848"/>
      <c r="U848"/>
      <c r="V848"/>
      <c r="W848"/>
      <c r="X848"/>
      <c r="Y848"/>
      <c r="Z848"/>
      <c r="AA848"/>
      <c r="AB848"/>
      <c r="AC848"/>
      <c r="AD848"/>
      <c r="AE848"/>
      <c r="AF848"/>
      <c r="AG848"/>
      <c r="AH848"/>
      <c r="AI848"/>
      <c r="AJ848"/>
      <c r="AK848"/>
      <c r="AL848"/>
      <c r="AM848"/>
      <c r="AN848"/>
      <c r="AO848"/>
      <c r="AP848"/>
      <c r="AQ848"/>
    </row>
    <row r="849" spans="1:43">
      <c r="A849" s="29"/>
      <c r="B849" s="29"/>
      <c r="C849" s="29"/>
      <c r="D849" s="29"/>
      <c r="E849" s="29"/>
      <c r="F849" s="29"/>
      <c r="G849" s="29"/>
      <c r="H849" s="29"/>
      <c r="I849" s="29"/>
      <c r="J849" s="29"/>
      <c r="K849" s="29"/>
      <c r="L849" s="29"/>
      <c r="M849" s="29"/>
      <c r="N849" s="29"/>
      <c r="O849" s="29"/>
      <c r="P849" s="29"/>
      <c r="Q849" s="29"/>
      <c r="R849" s="29"/>
      <c r="S849" s="29"/>
      <c r="T849"/>
      <c r="U849"/>
      <c r="V849"/>
      <c r="W849"/>
      <c r="X849"/>
      <c r="Y849"/>
      <c r="Z849"/>
      <c r="AA849"/>
      <c r="AB849"/>
      <c r="AC849"/>
      <c r="AD849"/>
      <c r="AE849"/>
      <c r="AF849"/>
      <c r="AG849"/>
      <c r="AH849"/>
      <c r="AI849"/>
      <c r="AJ849"/>
      <c r="AK849"/>
      <c r="AL849"/>
      <c r="AM849"/>
      <c r="AN849"/>
      <c r="AO849"/>
      <c r="AP849"/>
      <c r="AQ849"/>
    </row>
    <row r="850" spans="1:43">
      <c r="A850" s="29"/>
      <c r="B850" s="29"/>
      <c r="C850" s="29"/>
      <c r="D850" s="29"/>
      <c r="E850" s="29"/>
      <c r="F850" s="29"/>
      <c r="G850" s="29"/>
      <c r="H850" s="29"/>
      <c r="I850" s="29"/>
      <c r="J850" s="29"/>
      <c r="K850" s="29"/>
      <c r="L850" s="29"/>
      <c r="M850" s="29"/>
      <c r="N850" s="29"/>
      <c r="O850" s="29"/>
      <c r="P850" s="29"/>
      <c r="Q850" s="29"/>
      <c r="R850" s="29"/>
      <c r="S850" s="29"/>
      <c r="T850"/>
      <c r="U850"/>
      <c r="V850"/>
      <c r="W850"/>
      <c r="X850"/>
      <c r="Y850"/>
      <c r="Z850"/>
      <c r="AA850"/>
      <c r="AB850"/>
      <c r="AC850"/>
      <c r="AD850"/>
      <c r="AE850"/>
      <c r="AF850"/>
      <c r="AG850"/>
      <c r="AH850"/>
      <c r="AI850"/>
      <c r="AJ850"/>
      <c r="AK850"/>
      <c r="AL850"/>
      <c r="AM850"/>
      <c r="AN850"/>
      <c r="AO850"/>
      <c r="AP850"/>
      <c r="AQ850"/>
    </row>
    <row r="851" spans="1:43">
      <c r="A851" s="29"/>
      <c r="B851" s="29"/>
      <c r="C851" s="29"/>
      <c r="D851" s="29"/>
      <c r="E851" s="29"/>
      <c r="F851" s="29"/>
      <c r="G851" s="29"/>
      <c r="H851" s="29"/>
      <c r="I851" s="29"/>
      <c r="J851" s="29"/>
      <c r="K851" s="29"/>
      <c r="L851" s="29"/>
      <c r="M851" s="29"/>
      <c r="N851" s="29"/>
      <c r="O851" s="29"/>
      <c r="P851" s="29"/>
      <c r="Q851" s="29"/>
      <c r="R851" s="29"/>
      <c r="S851" s="29"/>
      <c r="T851"/>
      <c r="U851"/>
      <c r="V851"/>
      <c r="W851"/>
      <c r="X851"/>
      <c r="Y851"/>
      <c r="Z851"/>
      <c r="AA851"/>
      <c r="AB851"/>
      <c r="AC851"/>
      <c r="AD851"/>
      <c r="AE851"/>
      <c r="AF851"/>
      <c r="AG851"/>
      <c r="AH851"/>
      <c r="AI851"/>
      <c r="AJ851"/>
      <c r="AK851"/>
      <c r="AL851"/>
      <c r="AM851"/>
      <c r="AN851"/>
      <c r="AO851"/>
      <c r="AP851"/>
      <c r="AQ851"/>
    </row>
    <row r="852" spans="1:43">
      <c r="A852" s="29"/>
      <c r="B852" s="29"/>
      <c r="C852" s="29"/>
      <c r="D852" s="29"/>
      <c r="E852" s="29"/>
      <c r="F852" s="29"/>
      <c r="G852" s="29"/>
      <c r="H852" s="29"/>
      <c r="I852" s="29"/>
      <c r="J852" s="29"/>
      <c r="K852" s="29"/>
      <c r="L852" s="29"/>
      <c r="M852" s="29"/>
      <c r="N852" s="29"/>
      <c r="O852" s="29"/>
      <c r="P852" s="29"/>
      <c r="Q852" s="29"/>
      <c r="R852" s="29"/>
      <c r="S852" s="29"/>
      <c r="T852"/>
      <c r="U852"/>
      <c r="V852"/>
      <c r="W852"/>
      <c r="X852"/>
      <c r="Y852"/>
      <c r="Z852"/>
      <c r="AA852"/>
      <c r="AB852"/>
      <c r="AC852"/>
      <c r="AD852"/>
      <c r="AE852"/>
      <c r="AF852"/>
      <c r="AG852"/>
      <c r="AH852"/>
      <c r="AI852"/>
      <c r="AJ852"/>
      <c r="AK852"/>
      <c r="AL852"/>
      <c r="AM852"/>
      <c r="AN852"/>
      <c r="AO852"/>
      <c r="AP852"/>
      <c r="AQ852"/>
    </row>
    <row r="853" spans="1:43">
      <c r="A853" s="29"/>
      <c r="B853" s="29"/>
      <c r="C853" s="29"/>
      <c r="D853" s="29"/>
      <c r="E853" s="29"/>
      <c r="F853" s="29"/>
      <c r="G853" s="29"/>
      <c r="H853" s="29"/>
      <c r="I853" s="29"/>
      <c r="J853" s="29"/>
      <c r="K853" s="29"/>
      <c r="L853" s="29"/>
      <c r="M853" s="29"/>
      <c r="N853" s="29"/>
      <c r="O853" s="29"/>
      <c r="P853" s="29"/>
      <c r="Q853" s="29"/>
      <c r="R853" s="29"/>
      <c r="S853" s="29"/>
      <c r="T853"/>
      <c r="U853"/>
      <c r="V853"/>
      <c r="W853"/>
      <c r="X853"/>
      <c r="Y853"/>
      <c r="Z853"/>
      <c r="AA853"/>
      <c r="AB853"/>
      <c r="AC853"/>
      <c r="AD853"/>
      <c r="AE853"/>
      <c r="AF853"/>
      <c r="AG853"/>
      <c r="AH853"/>
      <c r="AI853"/>
      <c r="AJ853"/>
      <c r="AK853"/>
      <c r="AL853"/>
      <c r="AM853"/>
      <c r="AN853"/>
      <c r="AO853"/>
      <c r="AP853"/>
      <c r="AQ853"/>
    </row>
    <row r="854" spans="1:43">
      <c r="A854" s="29"/>
      <c r="B854" s="29"/>
      <c r="C854" s="29"/>
      <c r="D854" s="29"/>
      <c r="E854" s="29"/>
      <c r="F854" s="29"/>
      <c r="G854" s="29"/>
      <c r="H854" s="29"/>
      <c r="I854" s="29"/>
      <c r="J854" s="29"/>
      <c r="K854" s="29"/>
      <c r="L854" s="29"/>
      <c r="M854" s="29"/>
      <c r="N854" s="29"/>
      <c r="O854" s="29"/>
      <c r="P854" s="29"/>
      <c r="Q854" s="29"/>
      <c r="R854" s="29"/>
      <c r="S854" s="29"/>
      <c r="T854"/>
      <c r="U854"/>
      <c r="V854"/>
      <c r="W854"/>
      <c r="X854"/>
      <c r="Y854"/>
      <c r="Z854"/>
      <c r="AA854"/>
      <c r="AB854"/>
      <c r="AC854"/>
      <c r="AD854"/>
      <c r="AE854"/>
      <c r="AF854"/>
      <c r="AG854"/>
      <c r="AH854"/>
      <c r="AI854"/>
      <c r="AJ854"/>
      <c r="AK854"/>
      <c r="AL854"/>
      <c r="AM854"/>
      <c r="AN854"/>
      <c r="AO854"/>
      <c r="AP854"/>
      <c r="AQ854"/>
    </row>
    <row r="855" spans="1:43">
      <c r="A855" s="29"/>
      <c r="B855" s="29"/>
      <c r="C855" s="29"/>
      <c r="D855" s="29"/>
      <c r="E855" s="29"/>
      <c r="F855" s="29"/>
      <c r="G855" s="29"/>
      <c r="H855" s="29"/>
      <c r="I855" s="29"/>
      <c r="J855" s="29"/>
      <c r="K855" s="29"/>
      <c r="L855" s="29"/>
      <c r="M855" s="29"/>
      <c r="N855" s="29"/>
      <c r="O855" s="29"/>
      <c r="P855" s="29"/>
      <c r="Q855" s="29"/>
      <c r="R855" s="29"/>
      <c r="S855" s="29"/>
      <c r="T855"/>
      <c r="U855"/>
      <c r="V855"/>
      <c r="W855"/>
      <c r="X855"/>
      <c r="Y855"/>
      <c r="Z855"/>
      <c r="AA855"/>
      <c r="AB855"/>
      <c r="AC855"/>
      <c r="AD855"/>
      <c r="AE855"/>
      <c r="AF855"/>
      <c r="AG855"/>
      <c r="AH855"/>
      <c r="AI855"/>
      <c r="AJ855"/>
      <c r="AK855"/>
      <c r="AL855"/>
      <c r="AM855"/>
      <c r="AN855"/>
      <c r="AO855"/>
      <c r="AP855"/>
      <c r="AQ855"/>
    </row>
    <row r="856" spans="1:43">
      <c r="A856" s="29"/>
      <c r="B856" s="29"/>
      <c r="C856" s="29"/>
      <c r="D856" s="29"/>
      <c r="E856" s="29"/>
      <c r="F856" s="29"/>
      <c r="G856" s="29"/>
      <c r="H856" s="29"/>
      <c r="I856" s="29"/>
      <c r="J856" s="29"/>
      <c r="K856" s="29"/>
      <c r="L856" s="29"/>
      <c r="M856" s="29"/>
      <c r="N856" s="29"/>
      <c r="O856" s="29"/>
      <c r="P856" s="29"/>
      <c r="Q856" s="29"/>
      <c r="R856" s="29"/>
      <c r="S856" s="29"/>
      <c r="T856"/>
      <c r="U856"/>
      <c r="V856"/>
      <c r="W856"/>
      <c r="X856"/>
      <c r="Y856"/>
      <c r="Z856"/>
      <c r="AA856"/>
      <c r="AB856"/>
      <c r="AC856"/>
      <c r="AD856"/>
      <c r="AE856"/>
      <c r="AF856"/>
      <c r="AG856"/>
      <c r="AH856"/>
      <c r="AI856"/>
      <c r="AJ856"/>
      <c r="AK856"/>
      <c r="AL856"/>
      <c r="AM856"/>
      <c r="AN856"/>
      <c r="AO856"/>
      <c r="AP856"/>
      <c r="AQ856"/>
    </row>
    <row r="857" spans="1:43">
      <c r="A857" s="29"/>
      <c r="B857" s="29"/>
      <c r="C857" s="29"/>
      <c r="D857" s="29"/>
      <c r="E857" s="29"/>
      <c r="F857" s="29"/>
      <c r="G857" s="29"/>
      <c r="H857" s="29"/>
      <c r="I857" s="29"/>
      <c r="J857" s="29"/>
      <c r="K857" s="29"/>
      <c r="L857" s="29"/>
      <c r="M857" s="29"/>
      <c r="N857" s="29"/>
      <c r="O857" s="29"/>
      <c r="P857" s="29"/>
      <c r="Q857" s="29"/>
      <c r="R857" s="29"/>
      <c r="S857" s="29"/>
      <c r="T857"/>
      <c r="U857"/>
      <c r="V857"/>
      <c r="W857"/>
      <c r="X857"/>
      <c r="Y857"/>
      <c r="Z857"/>
      <c r="AA857"/>
      <c r="AB857"/>
      <c r="AC857"/>
      <c r="AD857"/>
      <c r="AE857"/>
      <c r="AF857"/>
      <c r="AG857"/>
      <c r="AH857"/>
      <c r="AI857"/>
      <c r="AJ857"/>
      <c r="AK857"/>
      <c r="AL857"/>
      <c r="AM857"/>
      <c r="AN857"/>
      <c r="AO857"/>
      <c r="AP857"/>
      <c r="AQ857"/>
    </row>
    <row r="858" spans="1:43">
      <c r="A858" s="29"/>
      <c r="B858" s="29"/>
      <c r="C858" s="29"/>
      <c r="D858" s="29"/>
      <c r="E858" s="29"/>
      <c r="F858" s="29"/>
      <c r="G858" s="29"/>
      <c r="H858" s="29"/>
      <c r="I858" s="29"/>
      <c r="J858" s="29"/>
      <c r="K858" s="29"/>
      <c r="L858" s="29"/>
      <c r="M858" s="29"/>
      <c r="N858" s="29"/>
      <c r="O858" s="29"/>
      <c r="P858" s="29"/>
      <c r="Q858" s="29"/>
      <c r="R858" s="29"/>
      <c r="S858" s="29"/>
      <c r="T858"/>
      <c r="U858"/>
      <c r="V858"/>
      <c r="W858"/>
      <c r="X858"/>
      <c r="Y858"/>
      <c r="Z858"/>
      <c r="AA858"/>
      <c r="AB858"/>
      <c r="AC858"/>
      <c r="AD858"/>
      <c r="AE858"/>
      <c r="AF858"/>
      <c r="AG858"/>
      <c r="AH858"/>
      <c r="AI858"/>
      <c r="AJ858"/>
      <c r="AK858"/>
      <c r="AL858"/>
      <c r="AM858"/>
      <c r="AN858"/>
      <c r="AO858"/>
      <c r="AP858"/>
      <c r="AQ858"/>
    </row>
    <row r="859" spans="1:43">
      <c r="A859" s="29"/>
      <c r="B859" s="29"/>
      <c r="C859" s="29"/>
      <c r="D859" s="29"/>
      <c r="E859" s="29"/>
      <c r="F859" s="29"/>
      <c r="G859" s="29"/>
      <c r="H859" s="29"/>
      <c r="I859" s="29"/>
      <c r="J859" s="29"/>
      <c r="K859" s="29"/>
      <c r="L859" s="29"/>
      <c r="M859" s="29"/>
      <c r="N859" s="29"/>
      <c r="O859" s="29"/>
      <c r="P859" s="29"/>
      <c r="Q859" s="29"/>
      <c r="R859" s="29"/>
      <c r="S859" s="29"/>
      <c r="T859"/>
      <c r="U859"/>
      <c r="V859"/>
      <c r="W859"/>
      <c r="X859"/>
      <c r="Y859"/>
      <c r="Z859"/>
      <c r="AA859"/>
      <c r="AB859"/>
      <c r="AC859"/>
      <c r="AD859"/>
      <c r="AE859"/>
      <c r="AF859"/>
      <c r="AG859"/>
      <c r="AH859"/>
      <c r="AI859"/>
      <c r="AJ859"/>
      <c r="AK859"/>
      <c r="AL859"/>
      <c r="AM859"/>
      <c r="AN859"/>
      <c r="AO859"/>
      <c r="AP859"/>
      <c r="AQ859"/>
    </row>
    <row r="860" spans="1:43">
      <c r="A860" s="29"/>
      <c r="B860" s="29"/>
      <c r="C860" s="29"/>
      <c r="D860" s="29"/>
      <c r="E860" s="29"/>
      <c r="F860" s="29"/>
      <c r="G860" s="29"/>
      <c r="H860" s="29"/>
      <c r="I860" s="29"/>
      <c r="J860" s="29"/>
      <c r="K860" s="29"/>
      <c r="L860" s="29"/>
      <c r="M860" s="29"/>
      <c r="N860" s="29"/>
      <c r="O860" s="29"/>
      <c r="P860" s="29"/>
      <c r="Q860" s="29"/>
      <c r="R860" s="29"/>
      <c r="S860" s="29"/>
      <c r="T860"/>
      <c r="U860"/>
      <c r="V860"/>
      <c r="W860"/>
      <c r="X860"/>
      <c r="Y860"/>
      <c r="Z860"/>
      <c r="AA860"/>
      <c r="AB860"/>
      <c r="AC860"/>
      <c r="AD860"/>
      <c r="AE860"/>
      <c r="AF860"/>
      <c r="AG860"/>
      <c r="AH860"/>
      <c r="AI860"/>
      <c r="AJ860"/>
      <c r="AK860"/>
      <c r="AL860"/>
      <c r="AM860"/>
      <c r="AN860"/>
      <c r="AO860"/>
      <c r="AP860"/>
      <c r="AQ860"/>
    </row>
    <row r="861" spans="1:43">
      <c r="A861" s="29"/>
      <c r="B861" s="29"/>
      <c r="C861" s="29"/>
      <c r="D861" s="29"/>
      <c r="E861" s="29"/>
      <c r="F861" s="29"/>
      <c r="G861" s="29"/>
      <c r="H861" s="29"/>
      <c r="I861" s="29"/>
      <c r="J861" s="29"/>
      <c r="K861" s="29"/>
      <c r="L861" s="29"/>
      <c r="M861" s="29"/>
      <c r="N861" s="29"/>
      <c r="O861" s="29"/>
      <c r="P861" s="29"/>
      <c r="Q861" s="29"/>
      <c r="R861" s="29"/>
      <c r="S861" s="29"/>
      <c r="T861"/>
      <c r="U861"/>
      <c r="V861"/>
      <c r="W861"/>
      <c r="X861"/>
      <c r="Y861"/>
      <c r="Z861"/>
      <c r="AA861"/>
      <c r="AB861"/>
      <c r="AC861"/>
      <c r="AD861"/>
      <c r="AE861"/>
      <c r="AF861"/>
      <c r="AG861"/>
      <c r="AH861"/>
      <c r="AI861"/>
      <c r="AJ861"/>
      <c r="AK861"/>
      <c r="AL861"/>
      <c r="AM861"/>
      <c r="AN861"/>
      <c r="AO861"/>
      <c r="AP861"/>
      <c r="AQ861"/>
    </row>
    <row r="862" spans="1:43">
      <c r="A862" s="29"/>
      <c r="B862" s="29"/>
      <c r="C862" s="29"/>
      <c r="D862" s="29"/>
      <c r="E862" s="29"/>
      <c r="F862" s="29"/>
      <c r="G862" s="29"/>
      <c r="H862" s="29"/>
      <c r="I862" s="29"/>
      <c r="J862" s="29"/>
      <c r="K862" s="29"/>
      <c r="L862" s="29"/>
      <c r="M862" s="29"/>
      <c r="N862" s="29"/>
      <c r="O862" s="29"/>
      <c r="P862" s="29"/>
      <c r="Q862" s="29"/>
      <c r="R862" s="29"/>
      <c r="S862" s="29"/>
      <c r="T862"/>
      <c r="U862"/>
      <c r="V862"/>
      <c r="W862"/>
      <c r="X862"/>
      <c r="Y862"/>
      <c r="Z862"/>
      <c r="AA862"/>
      <c r="AB862"/>
      <c r="AC862"/>
      <c r="AD862"/>
      <c r="AE862"/>
      <c r="AF862"/>
      <c r="AG862"/>
      <c r="AH862"/>
      <c r="AI862"/>
      <c r="AJ862"/>
      <c r="AK862"/>
      <c r="AL862"/>
      <c r="AM862"/>
      <c r="AN862"/>
      <c r="AO862"/>
      <c r="AP862"/>
      <c r="AQ862"/>
    </row>
    <row r="863" spans="1:43">
      <c r="A863" s="29"/>
      <c r="B863" s="29"/>
      <c r="C863" s="29"/>
      <c r="D863" s="29"/>
      <c r="E863" s="29"/>
      <c r="F863" s="29"/>
      <c r="G863" s="29"/>
      <c r="H863" s="29"/>
      <c r="I863" s="29"/>
      <c r="J863" s="29"/>
      <c r="K863" s="29"/>
      <c r="L863" s="29"/>
      <c r="M863" s="29"/>
      <c r="N863" s="29"/>
      <c r="O863" s="29"/>
      <c r="P863" s="29"/>
      <c r="Q863" s="29"/>
      <c r="R863" s="29"/>
      <c r="S863" s="29"/>
      <c r="T863"/>
      <c r="U863"/>
      <c r="V863"/>
      <c r="W863"/>
      <c r="X863"/>
      <c r="Y863"/>
      <c r="Z863"/>
      <c r="AA863"/>
      <c r="AB863"/>
      <c r="AC863"/>
      <c r="AD863"/>
      <c r="AE863"/>
      <c r="AF863"/>
      <c r="AG863"/>
      <c r="AH863"/>
      <c r="AI863"/>
      <c r="AJ863"/>
      <c r="AK863"/>
      <c r="AL863"/>
      <c r="AM863"/>
      <c r="AN863"/>
      <c r="AO863"/>
      <c r="AP863"/>
      <c r="AQ863"/>
    </row>
    <row r="864" spans="1:43">
      <c r="A864" s="29"/>
      <c r="B864" s="29"/>
      <c r="C864" s="29"/>
      <c r="D864" s="29"/>
      <c r="E864" s="29"/>
      <c r="F864" s="29"/>
      <c r="G864" s="29"/>
      <c r="H864" s="29"/>
      <c r="I864" s="29"/>
      <c r="J864" s="29"/>
      <c r="K864" s="29"/>
      <c r="L864" s="29"/>
      <c r="M864" s="29"/>
      <c r="N864" s="29"/>
      <c r="O864" s="29"/>
      <c r="P864" s="29"/>
      <c r="Q864" s="29"/>
      <c r="R864" s="29"/>
      <c r="S864" s="29"/>
      <c r="T864"/>
      <c r="U864"/>
      <c r="V864"/>
      <c r="W864"/>
      <c r="X864"/>
      <c r="Y864"/>
      <c r="Z864"/>
      <c r="AA864"/>
      <c r="AB864"/>
      <c r="AC864"/>
      <c r="AD864"/>
      <c r="AE864"/>
      <c r="AF864"/>
      <c r="AG864"/>
      <c r="AH864"/>
      <c r="AI864"/>
      <c r="AJ864"/>
      <c r="AK864"/>
      <c r="AL864"/>
      <c r="AM864"/>
      <c r="AN864"/>
      <c r="AO864"/>
      <c r="AP864"/>
      <c r="AQ864"/>
    </row>
    <row r="865" spans="1:43">
      <c r="A865" s="29"/>
      <c r="B865" s="29"/>
      <c r="C865" s="29"/>
      <c r="D865" s="29"/>
      <c r="E865" s="29"/>
      <c r="F865" s="29"/>
      <c r="G865" s="29"/>
      <c r="H865" s="29"/>
      <c r="I865" s="29"/>
      <c r="J865" s="29"/>
      <c r="K865" s="29"/>
      <c r="L865" s="29"/>
      <c r="M865" s="29"/>
      <c r="N865" s="29"/>
      <c r="O865" s="29"/>
      <c r="P865" s="29"/>
      <c r="Q865" s="29"/>
      <c r="R865" s="29"/>
      <c r="S865" s="29"/>
      <c r="T865"/>
      <c r="U865"/>
      <c r="V865"/>
      <c r="W865"/>
      <c r="X865"/>
      <c r="Y865"/>
      <c r="Z865"/>
      <c r="AA865"/>
      <c r="AB865"/>
      <c r="AC865"/>
      <c r="AD865"/>
      <c r="AE865"/>
      <c r="AF865"/>
      <c r="AG865"/>
      <c r="AH865"/>
      <c r="AI865"/>
      <c r="AJ865"/>
      <c r="AK865"/>
      <c r="AL865"/>
      <c r="AM865"/>
      <c r="AN865"/>
      <c r="AO865"/>
      <c r="AP865"/>
      <c r="AQ865"/>
    </row>
    <row r="866" spans="1:43">
      <c r="A866" s="29"/>
      <c r="B866" s="29"/>
      <c r="C866" s="29"/>
      <c r="D866" s="29"/>
      <c r="E866" s="29"/>
      <c r="F866" s="29"/>
      <c r="G866" s="29"/>
      <c r="H866" s="29"/>
      <c r="I866" s="29"/>
      <c r="J866" s="29"/>
      <c r="K866" s="29"/>
      <c r="L866" s="29"/>
      <c r="M866" s="29"/>
      <c r="N866" s="29"/>
      <c r="O866" s="29"/>
      <c r="P866" s="29"/>
      <c r="Q866" s="29"/>
      <c r="R866" s="29"/>
      <c r="S866" s="29"/>
      <c r="T866"/>
      <c r="U866"/>
      <c r="V866"/>
      <c r="W866"/>
      <c r="X866"/>
      <c r="Y866"/>
      <c r="Z866"/>
      <c r="AA866"/>
      <c r="AB866"/>
      <c r="AC866"/>
      <c r="AD866"/>
      <c r="AE866"/>
      <c r="AF866"/>
      <c r="AG866"/>
      <c r="AH866"/>
      <c r="AI866"/>
      <c r="AJ866"/>
      <c r="AK866"/>
      <c r="AL866"/>
      <c r="AM866"/>
      <c r="AN866"/>
      <c r="AO866"/>
      <c r="AP866"/>
      <c r="AQ866"/>
    </row>
    <row r="867" spans="1:43">
      <c r="A867" s="29"/>
      <c r="B867" s="29"/>
      <c r="C867" s="29"/>
      <c r="D867" s="29"/>
      <c r="E867" s="29"/>
      <c r="F867" s="29"/>
      <c r="G867" s="29"/>
      <c r="H867" s="29"/>
      <c r="I867" s="29"/>
      <c r="J867" s="29"/>
      <c r="K867" s="29"/>
      <c r="L867" s="29"/>
      <c r="M867" s="29"/>
      <c r="N867" s="29"/>
      <c r="O867" s="29"/>
      <c r="P867" s="29"/>
      <c r="Q867" s="29"/>
      <c r="R867" s="29"/>
      <c r="S867" s="29"/>
      <c r="T867"/>
      <c r="U867"/>
      <c r="V867"/>
      <c r="W867"/>
      <c r="X867"/>
      <c r="Y867"/>
      <c r="Z867"/>
      <c r="AA867"/>
      <c r="AB867"/>
      <c r="AC867"/>
      <c r="AD867"/>
      <c r="AE867"/>
      <c r="AF867"/>
      <c r="AG867"/>
      <c r="AH867"/>
      <c r="AI867"/>
      <c r="AJ867"/>
      <c r="AK867"/>
      <c r="AL867"/>
      <c r="AM867"/>
      <c r="AN867"/>
      <c r="AO867"/>
      <c r="AP867"/>
      <c r="AQ867"/>
    </row>
    <row r="868" spans="1:43">
      <c r="A868" s="29"/>
      <c r="B868" s="29"/>
      <c r="C868" s="29"/>
      <c r="D868" s="29"/>
      <c r="E868" s="29"/>
      <c r="F868" s="29"/>
      <c r="G868" s="29"/>
      <c r="H868" s="29"/>
      <c r="I868" s="29"/>
      <c r="J868" s="29"/>
      <c r="K868" s="29"/>
      <c r="L868" s="29"/>
      <c r="M868" s="29"/>
      <c r="N868" s="29"/>
      <c r="O868" s="29"/>
      <c r="P868" s="29"/>
      <c r="Q868" s="29"/>
      <c r="R868" s="29"/>
      <c r="S868" s="29"/>
      <c r="T868"/>
      <c r="U868"/>
      <c r="V868"/>
      <c r="W868"/>
      <c r="X868"/>
      <c r="Y868"/>
      <c r="Z868"/>
      <c r="AA868"/>
      <c r="AB868"/>
      <c r="AC868"/>
      <c r="AD868"/>
      <c r="AE868"/>
      <c r="AF868"/>
      <c r="AG868"/>
      <c r="AH868"/>
      <c r="AI868"/>
      <c r="AJ868"/>
      <c r="AK868"/>
      <c r="AL868"/>
      <c r="AM868"/>
      <c r="AN868"/>
      <c r="AO868"/>
      <c r="AP868"/>
      <c r="AQ868"/>
    </row>
    <row r="869" spans="1:43">
      <c r="A869" s="29"/>
      <c r="B869" s="29"/>
      <c r="C869" s="29"/>
      <c r="D869" s="29"/>
      <c r="E869" s="29"/>
      <c r="F869" s="29"/>
      <c r="G869" s="29"/>
      <c r="H869" s="29"/>
      <c r="I869" s="29"/>
      <c r="J869" s="29"/>
      <c r="K869" s="29"/>
      <c r="L869" s="29"/>
      <c r="M869" s="29"/>
      <c r="N869" s="29"/>
      <c r="O869" s="29"/>
      <c r="P869" s="29"/>
      <c r="Q869" s="29"/>
      <c r="R869" s="29"/>
      <c r="S869" s="29"/>
      <c r="T869"/>
      <c r="U869"/>
      <c r="V869"/>
      <c r="W869"/>
      <c r="X869"/>
      <c r="Y869"/>
      <c r="Z869"/>
      <c r="AA869"/>
      <c r="AB869"/>
      <c r="AC869"/>
      <c r="AD869"/>
      <c r="AE869"/>
      <c r="AF869"/>
      <c r="AG869"/>
      <c r="AH869"/>
      <c r="AI869"/>
      <c r="AJ869"/>
      <c r="AK869"/>
      <c r="AL869"/>
      <c r="AM869"/>
      <c r="AN869"/>
      <c r="AO869"/>
      <c r="AP869"/>
      <c r="AQ869"/>
    </row>
    <row r="870" spans="1:43">
      <c r="A870" s="29"/>
      <c r="B870" s="29"/>
      <c r="C870" s="29"/>
      <c r="D870" s="29"/>
      <c r="E870" s="29"/>
      <c r="F870" s="29"/>
      <c r="G870" s="29"/>
      <c r="H870" s="29"/>
      <c r="I870" s="29"/>
      <c r="J870" s="29"/>
      <c r="K870" s="29"/>
      <c r="L870" s="29"/>
      <c r="M870" s="29"/>
      <c r="N870" s="29"/>
      <c r="O870" s="29"/>
      <c r="P870" s="29"/>
      <c r="Q870" s="29"/>
      <c r="R870" s="29"/>
      <c r="S870" s="29"/>
      <c r="T870"/>
      <c r="U870"/>
      <c r="V870"/>
      <c r="W870"/>
      <c r="X870"/>
      <c r="Y870"/>
      <c r="Z870"/>
      <c r="AA870"/>
      <c r="AB870"/>
      <c r="AC870"/>
      <c r="AD870"/>
      <c r="AE870"/>
      <c r="AF870"/>
      <c r="AG870"/>
      <c r="AH870"/>
      <c r="AI870"/>
      <c r="AJ870"/>
      <c r="AK870"/>
      <c r="AL870"/>
      <c r="AM870"/>
      <c r="AN870"/>
      <c r="AO870"/>
      <c r="AP870"/>
      <c r="AQ870"/>
    </row>
    <row r="871" spans="1:43">
      <c r="A871" s="29"/>
      <c r="B871" s="29"/>
      <c r="C871" s="29"/>
      <c r="D871" s="29"/>
      <c r="E871" s="29"/>
      <c r="F871" s="29"/>
      <c r="G871" s="29"/>
      <c r="H871" s="29"/>
      <c r="I871" s="29"/>
      <c r="J871" s="29"/>
      <c r="K871" s="29"/>
      <c r="L871" s="29"/>
      <c r="M871" s="29"/>
      <c r="N871" s="29"/>
      <c r="O871" s="29"/>
      <c r="P871" s="29"/>
      <c r="Q871" s="29"/>
      <c r="R871" s="29"/>
      <c r="S871" s="29"/>
      <c r="T871"/>
      <c r="U871"/>
      <c r="V871"/>
      <c r="W871"/>
      <c r="X871"/>
      <c r="Y871"/>
      <c r="Z871"/>
      <c r="AA871"/>
      <c r="AB871"/>
      <c r="AC871"/>
      <c r="AD871"/>
      <c r="AE871"/>
      <c r="AF871"/>
      <c r="AG871"/>
      <c r="AH871"/>
      <c r="AI871"/>
      <c r="AJ871"/>
      <c r="AK871"/>
      <c r="AL871"/>
      <c r="AM871"/>
      <c r="AN871"/>
      <c r="AO871"/>
      <c r="AP871"/>
      <c r="AQ871"/>
    </row>
    <row r="872" spans="1:43">
      <c r="A872" s="29"/>
      <c r="B872" s="29"/>
      <c r="C872" s="29"/>
      <c r="D872" s="29"/>
      <c r="E872" s="29"/>
      <c r="F872" s="29"/>
      <c r="G872" s="29"/>
      <c r="H872" s="29"/>
      <c r="I872" s="29"/>
      <c r="J872" s="29"/>
      <c r="K872" s="29"/>
      <c r="L872" s="29"/>
      <c r="M872" s="29"/>
      <c r="N872" s="29"/>
      <c r="O872" s="29"/>
      <c r="P872" s="29"/>
      <c r="Q872" s="29"/>
      <c r="R872" s="29"/>
      <c r="S872" s="29"/>
      <c r="T872"/>
      <c r="U872"/>
      <c r="V872"/>
      <c r="W872"/>
      <c r="X872"/>
      <c r="Y872"/>
      <c r="Z872"/>
      <c r="AA872"/>
      <c r="AB872"/>
      <c r="AC872"/>
      <c r="AD872"/>
      <c r="AE872"/>
      <c r="AF872"/>
      <c r="AG872"/>
      <c r="AH872"/>
      <c r="AI872"/>
      <c r="AJ872"/>
      <c r="AK872"/>
      <c r="AL872"/>
      <c r="AM872"/>
      <c r="AN872"/>
      <c r="AO872"/>
      <c r="AP872"/>
      <c r="AQ872"/>
    </row>
    <row r="873" spans="1:43">
      <c r="A873" s="29"/>
      <c r="B873" s="29"/>
      <c r="C873" s="29"/>
      <c r="D873" s="29"/>
      <c r="E873" s="29"/>
      <c r="F873" s="29"/>
      <c r="G873" s="29"/>
      <c r="H873" s="29"/>
      <c r="I873" s="29"/>
      <c r="J873" s="29"/>
      <c r="K873" s="29"/>
      <c r="L873" s="29"/>
      <c r="M873" s="29"/>
      <c r="N873" s="29"/>
      <c r="O873" s="29"/>
      <c r="P873" s="29"/>
      <c r="Q873" s="29"/>
      <c r="R873" s="29"/>
      <c r="S873" s="29"/>
      <c r="T873"/>
      <c r="U873"/>
      <c r="V873"/>
      <c r="W873"/>
      <c r="X873"/>
      <c r="Y873"/>
      <c r="Z873"/>
      <c r="AA873"/>
      <c r="AB873"/>
      <c r="AC873"/>
      <c r="AD873"/>
      <c r="AE873"/>
      <c r="AF873"/>
      <c r="AG873"/>
      <c r="AH873"/>
      <c r="AI873"/>
      <c r="AJ873"/>
      <c r="AK873"/>
      <c r="AL873"/>
      <c r="AM873"/>
      <c r="AN873"/>
      <c r="AO873"/>
      <c r="AP873"/>
      <c r="AQ873"/>
    </row>
    <row r="874" spans="1:43">
      <c r="A874" s="29"/>
      <c r="B874" s="29"/>
      <c r="C874" s="29"/>
      <c r="D874" s="29"/>
      <c r="E874" s="29"/>
      <c r="F874" s="29"/>
      <c r="G874" s="29"/>
      <c r="H874" s="29"/>
      <c r="I874" s="29"/>
      <c r="J874" s="29"/>
      <c r="K874" s="29"/>
      <c r="L874" s="29"/>
      <c r="M874" s="29"/>
      <c r="N874" s="29"/>
      <c r="O874" s="29"/>
      <c r="P874" s="29"/>
      <c r="Q874" s="29"/>
      <c r="R874" s="29"/>
      <c r="S874" s="29"/>
      <c r="T874"/>
      <c r="U874"/>
      <c r="V874"/>
      <c r="W874"/>
      <c r="X874"/>
      <c r="Y874"/>
      <c r="Z874"/>
      <c r="AA874"/>
      <c r="AB874"/>
      <c r="AC874"/>
      <c r="AD874"/>
      <c r="AE874"/>
      <c r="AF874"/>
      <c r="AG874"/>
      <c r="AH874"/>
      <c r="AI874"/>
      <c r="AJ874"/>
      <c r="AK874"/>
      <c r="AL874"/>
      <c r="AM874"/>
      <c r="AN874"/>
      <c r="AO874"/>
      <c r="AP874"/>
      <c r="AQ874"/>
    </row>
    <row r="875" spans="1:43">
      <c r="A875" s="29"/>
      <c r="B875" s="29"/>
      <c r="C875" s="29"/>
      <c r="D875" s="29"/>
      <c r="E875" s="29"/>
      <c r="F875" s="29"/>
      <c r="G875" s="29"/>
      <c r="H875" s="29"/>
      <c r="I875" s="29"/>
      <c r="J875" s="29"/>
      <c r="K875" s="29"/>
      <c r="L875" s="29"/>
      <c r="M875" s="29"/>
      <c r="N875" s="29"/>
      <c r="O875" s="29"/>
      <c r="P875" s="29"/>
      <c r="Q875" s="29"/>
      <c r="R875" s="29"/>
      <c r="S875" s="29"/>
      <c r="T875"/>
      <c r="U875"/>
      <c r="V875"/>
      <c r="W875"/>
      <c r="X875"/>
      <c r="Y875"/>
      <c r="Z875"/>
      <c r="AA875"/>
      <c r="AB875"/>
      <c r="AC875"/>
      <c r="AD875"/>
      <c r="AE875"/>
      <c r="AF875"/>
      <c r="AG875"/>
      <c r="AH875"/>
      <c r="AI875"/>
      <c r="AJ875"/>
      <c r="AK875"/>
      <c r="AL875"/>
      <c r="AM875"/>
      <c r="AN875"/>
      <c r="AO875"/>
      <c r="AP875"/>
      <c r="AQ875"/>
    </row>
    <row r="876" spans="1:43">
      <c r="A876" s="29"/>
      <c r="B876" s="29"/>
      <c r="C876" s="29"/>
      <c r="D876" s="29"/>
      <c r="E876" s="29"/>
      <c r="F876" s="29"/>
      <c r="G876" s="29"/>
      <c r="H876" s="29"/>
      <c r="I876" s="29"/>
      <c r="J876" s="29"/>
      <c r="K876" s="29"/>
      <c r="L876" s="29"/>
      <c r="M876" s="29"/>
      <c r="N876" s="29"/>
      <c r="O876" s="29"/>
      <c r="P876" s="29"/>
      <c r="Q876" s="29"/>
      <c r="R876" s="29"/>
      <c r="S876" s="29"/>
      <c r="T876"/>
      <c r="U876"/>
      <c r="V876"/>
      <c r="W876"/>
      <c r="X876"/>
      <c r="Y876"/>
      <c r="Z876"/>
      <c r="AA876"/>
      <c r="AB876"/>
      <c r="AC876"/>
      <c r="AD876"/>
      <c r="AE876"/>
      <c r="AF876"/>
      <c r="AG876"/>
      <c r="AH876"/>
      <c r="AI876"/>
      <c r="AJ876"/>
      <c r="AK876"/>
      <c r="AL876"/>
      <c r="AM876"/>
      <c r="AN876"/>
      <c r="AO876"/>
      <c r="AP876"/>
      <c r="AQ876"/>
    </row>
    <row r="877" spans="1:43">
      <c r="A877" s="29"/>
      <c r="B877" s="29"/>
      <c r="C877" s="29"/>
      <c r="D877" s="29"/>
      <c r="E877" s="29"/>
      <c r="F877" s="29"/>
      <c r="G877" s="29"/>
      <c r="H877" s="29"/>
      <c r="I877" s="29"/>
      <c r="J877" s="29"/>
      <c r="K877" s="29"/>
      <c r="L877" s="29"/>
      <c r="M877" s="29"/>
      <c r="N877" s="29"/>
      <c r="O877" s="29"/>
      <c r="P877" s="29"/>
      <c r="Q877" s="29"/>
      <c r="R877" s="29"/>
      <c r="S877" s="29"/>
      <c r="T877"/>
      <c r="U877"/>
      <c r="V877"/>
      <c r="W877"/>
      <c r="X877"/>
      <c r="Y877"/>
      <c r="Z877"/>
      <c r="AA877"/>
      <c r="AB877"/>
      <c r="AC877"/>
      <c r="AD877"/>
      <c r="AE877"/>
      <c r="AF877"/>
      <c r="AG877"/>
      <c r="AH877"/>
      <c r="AI877"/>
      <c r="AJ877"/>
      <c r="AK877"/>
      <c r="AL877"/>
      <c r="AM877"/>
      <c r="AN877"/>
      <c r="AO877"/>
      <c r="AP877"/>
      <c r="AQ877"/>
    </row>
    <row r="878" spans="1:43">
      <c r="A878" s="29"/>
      <c r="B878" s="29"/>
      <c r="C878" s="29"/>
      <c r="D878" s="29"/>
      <c r="E878" s="29"/>
      <c r="F878" s="29"/>
      <c r="G878" s="29"/>
      <c r="H878" s="29"/>
      <c r="I878" s="29"/>
      <c r="J878" s="29"/>
      <c r="K878" s="29"/>
      <c r="L878" s="29"/>
      <c r="M878" s="29"/>
      <c r="N878" s="29"/>
      <c r="O878" s="29"/>
      <c r="P878" s="29"/>
      <c r="Q878" s="29"/>
      <c r="R878" s="29"/>
      <c r="S878" s="29"/>
      <c r="T878"/>
      <c r="U878"/>
      <c r="V878"/>
      <c r="W878"/>
      <c r="X878"/>
      <c r="Y878"/>
      <c r="Z878"/>
      <c r="AA878"/>
      <c r="AB878"/>
      <c r="AC878"/>
      <c r="AD878"/>
      <c r="AE878"/>
      <c r="AF878"/>
      <c r="AG878"/>
      <c r="AH878"/>
      <c r="AI878"/>
      <c r="AJ878"/>
      <c r="AK878"/>
      <c r="AL878"/>
      <c r="AM878"/>
      <c r="AN878"/>
      <c r="AO878"/>
      <c r="AP878"/>
      <c r="AQ878"/>
    </row>
    <row r="879" spans="1:43">
      <c r="A879" s="29"/>
      <c r="B879" s="29"/>
      <c r="C879" s="29"/>
      <c r="D879" s="29"/>
      <c r="E879" s="29"/>
      <c r="F879" s="29"/>
      <c r="G879" s="29"/>
      <c r="H879" s="29"/>
      <c r="I879" s="29"/>
      <c r="J879" s="29"/>
      <c r="K879" s="29"/>
      <c r="L879" s="29"/>
      <c r="M879" s="29"/>
      <c r="N879" s="29"/>
      <c r="O879" s="29"/>
      <c r="P879" s="29"/>
      <c r="Q879" s="29"/>
      <c r="R879" s="29"/>
      <c r="S879" s="29"/>
      <c r="T879"/>
      <c r="U879"/>
      <c r="V879"/>
      <c r="W879"/>
      <c r="X879"/>
      <c r="Y879"/>
      <c r="Z879"/>
      <c r="AA879"/>
      <c r="AB879"/>
      <c r="AC879"/>
      <c r="AD879"/>
      <c r="AE879"/>
      <c r="AF879"/>
      <c r="AG879"/>
      <c r="AH879"/>
      <c r="AI879"/>
      <c r="AJ879"/>
      <c r="AK879"/>
      <c r="AL879"/>
      <c r="AM879"/>
      <c r="AN879"/>
      <c r="AO879"/>
      <c r="AP879"/>
      <c r="AQ879"/>
    </row>
    <row r="880" spans="1:43">
      <c r="A880" s="29"/>
      <c r="B880" s="29"/>
      <c r="C880" s="29"/>
      <c r="D880" s="29"/>
      <c r="E880" s="29"/>
      <c r="F880" s="29"/>
      <c r="G880" s="29"/>
      <c r="H880" s="29"/>
      <c r="I880" s="29"/>
      <c r="J880" s="29"/>
      <c r="K880" s="29"/>
      <c r="L880" s="29"/>
      <c r="M880" s="29"/>
      <c r="N880" s="29"/>
      <c r="O880" s="29"/>
      <c r="P880" s="29"/>
      <c r="Q880" s="29"/>
      <c r="R880" s="29"/>
      <c r="S880" s="29"/>
      <c r="T880"/>
      <c r="U880"/>
      <c r="V880"/>
      <c r="W880"/>
      <c r="X880"/>
      <c r="Y880"/>
      <c r="Z880"/>
      <c r="AA880"/>
      <c r="AB880"/>
      <c r="AC880"/>
      <c r="AD880"/>
      <c r="AE880"/>
      <c r="AF880"/>
      <c r="AG880"/>
      <c r="AH880"/>
      <c r="AI880"/>
      <c r="AJ880"/>
      <c r="AK880"/>
      <c r="AL880"/>
      <c r="AM880"/>
      <c r="AN880"/>
      <c r="AO880"/>
      <c r="AP880"/>
      <c r="AQ880"/>
    </row>
    <row r="881" spans="1:43">
      <c r="A881" s="29"/>
      <c r="B881" s="29"/>
      <c r="C881" s="29"/>
      <c r="D881" s="29"/>
      <c r="E881" s="29"/>
      <c r="F881" s="29"/>
      <c r="G881" s="29"/>
      <c r="H881" s="29"/>
      <c r="I881" s="29"/>
      <c r="J881" s="29"/>
      <c r="K881" s="29"/>
      <c r="L881" s="29"/>
      <c r="M881" s="29"/>
      <c r="N881" s="29"/>
      <c r="O881" s="29"/>
      <c r="P881" s="29"/>
      <c r="Q881" s="29"/>
      <c r="R881" s="29"/>
      <c r="S881" s="29"/>
      <c r="T881"/>
      <c r="U881"/>
      <c r="V881"/>
      <c r="W881"/>
      <c r="X881"/>
      <c r="Y881"/>
      <c r="Z881"/>
      <c r="AA881"/>
      <c r="AB881"/>
      <c r="AC881"/>
      <c r="AD881"/>
      <c r="AE881"/>
      <c r="AF881"/>
      <c r="AG881"/>
      <c r="AH881"/>
      <c r="AI881"/>
      <c r="AJ881"/>
      <c r="AK881"/>
      <c r="AL881"/>
      <c r="AM881"/>
      <c r="AN881"/>
      <c r="AO881"/>
      <c r="AP881"/>
      <c r="AQ881"/>
    </row>
    <row r="882" spans="1:43">
      <c r="A882" s="29"/>
      <c r="B882" s="29"/>
      <c r="C882" s="29"/>
      <c r="D882" s="29"/>
      <c r="E882" s="29"/>
      <c r="F882" s="29"/>
      <c r="G882" s="29"/>
      <c r="H882" s="29"/>
      <c r="I882" s="29"/>
      <c r="J882" s="29"/>
      <c r="K882" s="29"/>
      <c r="L882" s="29"/>
      <c r="M882" s="29"/>
      <c r="N882" s="29"/>
      <c r="O882" s="29"/>
      <c r="P882" s="29"/>
      <c r="Q882" s="29"/>
      <c r="R882" s="29"/>
      <c r="S882" s="29"/>
      <c r="T882"/>
      <c r="U882"/>
      <c r="V882"/>
      <c r="W882"/>
      <c r="X882"/>
      <c r="Y882"/>
      <c r="Z882"/>
      <c r="AA882"/>
      <c r="AB882"/>
      <c r="AC882"/>
      <c r="AD882"/>
      <c r="AE882"/>
      <c r="AF882"/>
      <c r="AG882"/>
      <c r="AH882"/>
      <c r="AI882"/>
      <c r="AJ882"/>
      <c r="AK882"/>
      <c r="AL882"/>
      <c r="AM882"/>
      <c r="AN882"/>
      <c r="AO882"/>
      <c r="AP882"/>
      <c r="AQ882"/>
    </row>
    <row r="883" spans="1:43">
      <c r="A883" s="29"/>
      <c r="B883" s="29"/>
      <c r="C883" s="29"/>
      <c r="D883" s="29"/>
      <c r="E883" s="29"/>
      <c r="F883" s="29"/>
      <c r="G883" s="29"/>
      <c r="H883" s="29"/>
      <c r="I883" s="29"/>
      <c r="J883" s="29"/>
      <c r="K883" s="29"/>
      <c r="L883" s="29"/>
      <c r="M883" s="29"/>
      <c r="N883" s="29"/>
      <c r="O883" s="29"/>
      <c r="P883" s="29"/>
      <c r="Q883" s="29"/>
      <c r="R883" s="29"/>
      <c r="S883" s="29"/>
      <c r="T883"/>
      <c r="U883"/>
      <c r="V883"/>
      <c r="W883"/>
      <c r="X883"/>
      <c r="Y883"/>
      <c r="Z883"/>
      <c r="AA883"/>
      <c r="AB883"/>
      <c r="AC883"/>
      <c r="AD883"/>
      <c r="AE883"/>
      <c r="AF883"/>
      <c r="AG883"/>
      <c r="AH883"/>
      <c r="AI883"/>
      <c r="AJ883"/>
      <c r="AK883"/>
      <c r="AL883"/>
      <c r="AM883"/>
      <c r="AN883"/>
      <c r="AO883"/>
      <c r="AP883"/>
      <c r="AQ883"/>
    </row>
    <row r="884" spans="1:43">
      <c r="A884" s="29"/>
      <c r="B884" s="29"/>
      <c r="C884" s="29"/>
      <c r="D884" s="29"/>
      <c r="E884" s="29"/>
      <c r="F884" s="29"/>
      <c r="G884" s="29"/>
      <c r="H884" s="29"/>
      <c r="I884" s="29"/>
      <c r="J884" s="29"/>
      <c r="K884" s="29"/>
      <c r="L884" s="29"/>
      <c r="M884" s="29"/>
      <c r="N884" s="29"/>
      <c r="O884" s="29"/>
      <c r="P884" s="29"/>
      <c r="Q884" s="29"/>
      <c r="R884" s="29"/>
      <c r="S884" s="29"/>
      <c r="T884"/>
      <c r="U884"/>
      <c r="V884"/>
      <c r="W884"/>
      <c r="X884"/>
      <c r="Y884"/>
      <c r="Z884"/>
      <c r="AA884"/>
      <c r="AB884"/>
      <c r="AC884"/>
      <c r="AD884"/>
      <c r="AE884"/>
      <c r="AF884"/>
      <c r="AG884"/>
      <c r="AH884"/>
      <c r="AI884"/>
      <c r="AJ884"/>
      <c r="AK884"/>
      <c r="AL884"/>
      <c r="AM884"/>
      <c r="AN884"/>
      <c r="AO884"/>
      <c r="AP884"/>
      <c r="AQ884"/>
    </row>
    <row r="885" spans="1:43">
      <c r="A885" s="29"/>
      <c r="B885" s="29"/>
      <c r="C885" s="29"/>
      <c r="D885" s="29"/>
      <c r="E885" s="29"/>
      <c r="F885" s="29"/>
      <c r="G885" s="29"/>
      <c r="H885" s="29"/>
      <c r="I885" s="29"/>
      <c r="J885" s="29"/>
      <c r="K885" s="29"/>
      <c r="L885" s="29"/>
      <c r="M885" s="29"/>
      <c r="N885" s="29"/>
      <c r="O885" s="29"/>
      <c r="P885" s="29"/>
      <c r="Q885" s="29"/>
      <c r="R885" s="29"/>
      <c r="S885" s="29"/>
      <c r="T885"/>
      <c r="U885"/>
      <c r="V885"/>
      <c r="W885"/>
      <c r="X885"/>
      <c r="Y885"/>
      <c r="Z885"/>
      <c r="AA885"/>
      <c r="AB885"/>
      <c r="AC885"/>
      <c r="AD885"/>
      <c r="AE885"/>
      <c r="AF885"/>
      <c r="AG885"/>
      <c r="AH885"/>
      <c r="AI885"/>
      <c r="AJ885"/>
      <c r="AK885"/>
      <c r="AL885"/>
      <c r="AM885"/>
      <c r="AN885"/>
      <c r="AO885"/>
      <c r="AP885"/>
      <c r="AQ885"/>
    </row>
    <row r="886" spans="1:43">
      <c r="A886" s="29"/>
      <c r="B886" s="29"/>
      <c r="C886" s="29"/>
      <c r="D886" s="29"/>
      <c r="E886" s="29"/>
      <c r="F886" s="29"/>
      <c r="G886" s="29"/>
      <c r="H886" s="29"/>
      <c r="I886" s="29"/>
      <c r="J886" s="29"/>
      <c r="K886" s="29"/>
      <c r="L886" s="29"/>
      <c r="M886" s="29"/>
      <c r="N886" s="29"/>
      <c r="O886" s="29"/>
      <c r="P886" s="29"/>
      <c r="Q886" s="29"/>
      <c r="R886" s="29"/>
      <c r="S886" s="29"/>
      <c r="T886"/>
      <c r="U886"/>
      <c r="V886"/>
      <c r="W886"/>
      <c r="X886"/>
      <c r="Y886"/>
      <c r="Z886"/>
      <c r="AA886"/>
      <c r="AB886"/>
      <c r="AC886"/>
      <c r="AD886"/>
      <c r="AE886"/>
      <c r="AF886"/>
      <c r="AG886"/>
      <c r="AH886"/>
      <c r="AI886"/>
      <c r="AJ886"/>
      <c r="AK886"/>
      <c r="AL886"/>
      <c r="AM886"/>
      <c r="AN886"/>
      <c r="AO886"/>
      <c r="AP886"/>
      <c r="AQ886"/>
    </row>
    <row r="887" spans="1:43">
      <c r="A887" s="29"/>
      <c r="B887" s="29"/>
      <c r="C887" s="29"/>
      <c r="D887" s="29"/>
      <c r="E887" s="29"/>
      <c r="F887" s="29"/>
      <c r="G887" s="29"/>
      <c r="H887" s="29"/>
      <c r="I887" s="29"/>
      <c r="J887" s="29"/>
      <c r="K887" s="29"/>
      <c r="L887" s="29"/>
      <c r="M887" s="29"/>
      <c r="N887" s="29"/>
      <c r="O887" s="29"/>
      <c r="P887" s="29"/>
      <c r="Q887" s="29"/>
      <c r="R887" s="29"/>
      <c r="S887" s="29"/>
      <c r="T887"/>
      <c r="U887"/>
      <c r="V887"/>
      <c r="W887"/>
      <c r="X887"/>
      <c r="Y887"/>
      <c r="Z887"/>
      <c r="AA887"/>
      <c r="AB887"/>
      <c r="AC887"/>
      <c r="AD887"/>
      <c r="AE887"/>
      <c r="AF887"/>
      <c r="AG887"/>
      <c r="AH887"/>
      <c r="AI887"/>
      <c r="AJ887"/>
      <c r="AK887"/>
      <c r="AL887"/>
      <c r="AM887"/>
      <c r="AN887"/>
      <c r="AO887"/>
      <c r="AP887"/>
      <c r="AQ887"/>
    </row>
    <row r="888" spans="1:43">
      <c r="A888" s="29"/>
      <c r="B888" s="29"/>
      <c r="C888" s="29"/>
      <c r="D888" s="29"/>
      <c r="E888" s="29"/>
      <c r="F888" s="29"/>
      <c r="G888" s="29"/>
      <c r="H888" s="29"/>
      <c r="I888" s="29"/>
      <c r="J888" s="29"/>
      <c r="K888" s="29"/>
      <c r="L888" s="29"/>
      <c r="M888" s="29"/>
      <c r="N888" s="29"/>
      <c r="O888" s="29"/>
      <c r="P888" s="29"/>
      <c r="Q888" s="29"/>
      <c r="R888" s="29"/>
      <c r="S888" s="29"/>
      <c r="T888"/>
      <c r="U888"/>
      <c r="V888"/>
      <c r="W888"/>
      <c r="X888"/>
      <c r="Y888"/>
      <c r="Z888"/>
      <c r="AA888"/>
      <c r="AB888"/>
      <c r="AC888"/>
      <c r="AD888"/>
      <c r="AE888"/>
      <c r="AF888"/>
      <c r="AG888"/>
      <c r="AH888"/>
      <c r="AI888"/>
      <c r="AJ888"/>
      <c r="AK888"/>
      <c r="AL888"/>
      <c r="AM888"/>
      <c r="AN888"/>
      <c r="AO888"/>
      <c r="AP888"/>
      <c r="AQ888"/>
    </row>
    <row r="889" spans="1:43">
      <c r="A889" s="29"/>
      <c r="B889" s="29"/>
      <c r="C889" s="29"/>
      <c r="D889" s="29"/>
      <c r="E889" s="29"/>
      <c r="F889" s="29"/>
      <c r="G889" s="29"/>
      <c r="H889" s="29"/>
      <c r="I889" s="29"/>
      <c r="J889" s="29"/>
      <c r="K889" s="29"/>
      <c r="L889" s="29"/>
      <c r="M889" s="29"/>
      <c r="N889" s="29"/>
      <c r="O889" s="29"/>
      <c r="P889" s="29"/>
      <c r="Q889" s="29"/>
      <c r="R889" s="29"/>
      <c r="S889" s="29"/>
      <c r="T889"/>
      <c r="U889"/>
      <c r="V889"/>
      <c r="W889"/>
      <c r="X889"/>
      <c r="Y889"/>
      <c r="Z889"/>
      <c r="AA889"/>
      <c r="AB889"/>
      <c r="AC889"/>
      <c r="AD889"/>
      <c r="AE889"/>
      <c r="AF889"/>
      <c r="AG889"/>
      <c r="AH889"/>
      <c r="AI889"/>
      <c r="AJ889"/>
      <c r="AK889"/>
      <c r="AL889"/>
      <c r="AM889"/>
      <c r="AN889"/>
      <c r="AO889"/>
      <c r="AP889"/>
      <c r="AQ889"/>
    </row>
    <row r="890" spans="1:43">
      <c r="A890" s="29"/>
      <c r="B890" s="29"/>
      <c r="C890" s="29"/>
      <c r="D890" s="29"/>
      <c r="E890" s="29"/>
      <c r="F890" s="29"/>
      <c r="G890" s="29"/>
      <c r="H890" s="29"/>
      <c r="I890" s="29"/>
      <c r="J890" s="29"/>
      <c r="K890" s="29"/>
      <c r="L890" s="29"/>
      <c r="M890" s="29"/>
      <c r="N890" s="29"/>
      <c r="O890" s="29"/>
      <c r="P890" s="29"/>
      <c r="Q890" s="29"/>
      <c r="R890" s="29"/>
      <c r="S890" s="29"/>
      <c r="T890"/>
      <c r="U890"/>
      <c r="V890"/>
      <c r="W890"/>
      <c r="X890"/>
      <c r="Y890"/>
      <c r="Z890"/>
      <c r="AA890"/>
      <c r="AB890"/>
      <c r="AC890"/>
      <c r="AD890"/>
      <c r="AE890"/>
      <c r="AF890"/>
      <c r="AG890"/>
      <c r="AH890"/>
      <c r="AI890"/>
      <c r="AJ890"/>
      <c r="AK890"/>
      <c r="AL890"/>
      <c r="AM890"/>
      <c r="AN890"/>
      <c r="AO890"/>
      <c r="AP890"/>
      <c r="AQ890"/>
    </row>
    <row r="891" spans="1:43">
      <c r="A891" s="29"/>
      <c r="B891" s="29"/>
      <c r="C891" s="29"/>
      <c r="D891" s="29"/>
      <c r="E891" s="29"/>
      <c r="F891" s="29"/>
      <c r="G891" s="29"/>
      <c r="H891" s="29"/>
      <c r="I891" s="29"/>
      <c r="J891" s="29"/>
      <c r="K891" s="29"/>
      <c r="L891" s="29"/>
      <c r="M891" s="29"/>
      <c r="N891" s="29"/>
      <c r="O891" s="29"/>
      <c r="P891" s="29"/>
      <c r="Q891" s="29"/>
      <c r="R891" s="29"/>
      <c r="S891" s="29"/>
      <c r="T891"/>
      <c r="U891"/>
      <c r="V891"/>
      <c r="W891"/>
      <c r="X891"/>
      <c r="Y891"/>
      <c r="Z891"/>
      <c r="AA891"/>
      <c r="AB891"/>
      <c r="AC891"/>
      <c r="AD891"/>
      <c r="AE891"/>
      <c r="AF891"/>
      <c r="AG891"/>
      <c r="AH891"/>
      <c r="AI891"/>
      <c r="AJ891"/>
      <c r="AK891"/>
      <c r="AL891"/>
      <c r="AM891"/>
      <c r="AN891"/>
      <c r="AO891"/>
      <c r="AP891"/>
      <c r="AQ891"/>
    </row>
    <row r="892" spans="1:43">
      <c r="A892" s="29"/>
      <c r="B892" s="29"/>
      <c r="C892" s="29"/>
      <c r="D892" s="29"/>
      <c r="E892" s="29"/>
      <c r="F892" s="29"/>
      <c r="G892" s="29"/>
      <c r="H892" s="29"/>
      <c r="I892" s="29"/>
      <c r="J892" s="29"/>
      <c r="K892" s="29"/>
      <c r="L892" s="29"/>
      <c r="M892" s="29"/>
      <c r="N892" s="29"/>
      <c r="O892" s="29"/>
      <c r="P892" s="29"/>
      <c r="Q892" s="29"/>
      <c r="R892" s="29"/>
      <c r="S892" s="29"/>
      <c r="T892"/>
      <c r="U892"/>
      <c r="V892"/>
      <c r="W892"/>
      <c r="X892"/>
      <c r="Y892"/>
      <c r="Z892"/>
      <c r="AA892"/>
      <c r="AB892"/>
      <c r="AC892"/>
      <c r="AD892"/>
      <c r="AE892"/>
      <c r="AF892"/>
      <c r="AG892"/>
      <c r="AH892"/>
      <c r="AI892"/>
      <c r="AJ892"/>
      <c r="AK892"/>
      <c r="AL892"/>
      <c r="AM892"/>
      <c r="AN892"/>
      <c r="AO892"/>
      <c r="AP892"/>
      <c r="AQ892"/>
    </row>
    <row r="893" spans="1:43">
      <c r="A893" s="29"/>
      <c r="B893" s="29"/>
      <c r="C893" s="29"/>
      <c r="D893" s="29"/>
      <c r="E893" s="29"/>
      <c r="F893" s="29"/>
      <c r="G893" s="29"/>
      <c r="H893" s="29"/>
      <c r="I893" s="29"/>
      <c r="J893" s="29"/>
      <c r="K893" s="29"/>
      <c r="L893" s="29"/>
      <c r="M893" s="29"/>
      <c r="N893" s="29"/>
      <c r="O893" s="29"/>
      <c r="P893" s="29"/>
      <c r="Q893" s="29"/>
      <c r="R893" s="29"/>
      <c r="S893" s="29"/>
      <c r="T893"/>
      <c r="U893"/>
      <c r="V893"/>
      <c r="W893"/>
      <c r="X893"/>
      <c r="Y893"/>
      <c r="Z893"/>
      <c r="AA893"/>
      <c r="AB893"/>
      <c r="AC893"/>
      <c r="AD893"/>
      <c r="AE893"/>
      <c r="AF893"/>
      <c r="AG893"/>
      <c r="AH893"/>
      <c r="AI893"/>
      <c r="AJ893"/>
      <c r="AK893"/>
      <c r="AL893"/>
      <c r="AM893"/>
      <c r="AN893"/>
      <c r="AO893"/>
      <c r="AP893"/>
      <c r="AQ893"/>
    </row>
    <row r="894" spans="1:43">
      <c r="A894" s="29"/>
      <c r="B894" s="29"/>
      <c r="C894" s="29"/>
      <c r="D894" s="29"/>
      <c r="E894" s="29"/>
      <c r="F894" s="29"/>
      <c r="G894" s="29"/>
      <c r="H894" s="29"/>
      <c r="I894" s="29"/>
      <c r="J894" s="29"/>
      <c r="K894" s="29"/>
      <c r="L894" s="29"/>
      <c r="M894" s="29"/>
      <c r="N894" s="29"/>
      <c r="O894" s="29"/>
      <c r="P894" s="29"/>
      <c r="Q894" s="29"/>
      <c r="R894" s="29"/>
      <c r="S894" s="29"/>
      <c r="T894"/>
      <c r="U894"/>
      <c r="V894"/>
      <c r="W894"/>
      <c r="X894"/>
      <c r="Y894"/>
      <c r="Z894"/>
      <c r="AA894"/>
      <c r="AB894"/>
      <c r="AC894"/>
      <c r="AD894"/>
      <c r="AE894"/>
      <c r="AF894"/>
      <c r="AG894"/>
      <c r="AH894"/>
      <c r="AI894"/>
      <c r="AJ894"/>
      <c r="AK894"/>
      <c r="AL894"/>
      <c r="AM894"/>
      <c r="AN894"/>
      <c r="AO894"/>
      <c r="AP894"/>
      <c r="AQ894"/>
    </row>
    <row r="895" spans="1:43">
      <c r="A895" s="29"/>
      <c r="B895" s="29"/>
      <c r="C895" s="29"/>
      <c r="D895" s="29"/>
      <c r="E895" s="29"/>
      <c r="F895" s="29"/>
      <c r="G895" s="29"/>
      <c r="H895" s="29"/>
      <c r="I895" s="29"/>
      <c r="J895" s="29"/>
      <c r="K895" s="29"/>
      <c r="L895" s="29"/>
      <c r="M895" s="29"/>
      <c r="N895" s="29"/>
      <c r="O895" s="29"/>
      <c r="P895" s="29"/>
      <c r="Q895" s="29"/>
      <c r="R895" s="29"/>
      <c r="S895" s="29"/>
      <c r="T895"/>
      <c r="U895"/>
      <c r="V895"/>
      <c r="W895"/>
      <c r="X895"/>
      <c r="Y895"/>
      <c r="Z895"/>
      <c r="AA895"/>
      <c r="AB895"/>
      <c r="AC895"/>
      <c r="AD895"/>
      <c r="AE895"/>
      <c r="AF895"/>
      <c r="AG895"/>
      <c r="AH895"/>
      <c r="AI895"/>
      <c r="AJ895"/>
      <c r="AK895"/>
      <c r="AL895"/>
      <c r="AM895"/>
      <c r="AN895"/>
      <c r="AO895"/>
      <c r="AP895"/>
      <c r="AQ895"/>
    </row>
    <row r="896" spans="1:43">
      <c r="A896" s="29"/>
      <c r="B896" s="29"/>
      <c r="C896" s="29"/>
      <c r="D896" s="29"/>
      <c r="E896" s="29"/>
      <c r="F896" s="29"/>
      <c r="G896" s="29"/>
      <c r="H896" s="29"/>
      <c r="I896" s="29"/>
      <c r="J896" s="29"/>
      <c r="K896" s="29"/>
      <c r="L896" s="29"/>
      <c r="M896" s="29"/>
      <c r="N896" s="29"/>
      <c r="O896" s="29"/>
      <c r="P896" s="29"/>
      <c r="Q896" s="29"/>
      <c r="R896" s="29"/>
      <c r="S896" s="29"/>
      <c r="T896"/>
      <c r="U896"/>
      <c r="V896"/>
      <c r="W896"/>
      <c r="X896"/>
      <c r="Y896"/>
      <c r="Z896"/>
      <c r="AA896"/>
      <c r="AB896"/>
      <c r="AC896"/>
      <c r="AD896"/>
      <c r="AE896"/>
      <c r="AF896"/>
      <c r="AG896"/>
      <c r="AH896"/>
      <c r="AI896"/>
      <c r="AJ896"/>
      <c r="AK896"/>
      <c r="AL896"/>
      <c r="AM896"/>
      <c r="AN896"/>
      <c r="AO896"/>
      <c r="AP896"/>
      <c r="AQ896"/>
    </row>
    <row r="897" spans="1:43">
      <c r="A897" s="29"/>
      <c r="B897" s="29"/>
      <c r="C897" s="29"/>
      <c r="D897" s="29"/>
      <c r="E897" s="29"/>
      <c r="F897" s="29"/>
      <c r="G897" s="29"/>
      <c r="H897" s="29"/>
      <c r="I897" s="29"/>
      <c r="J897" s="29"/>
      <c r="K897" s="29"/>
      <c r="L897" s="29"/>
      <c r="M897" s="29"/>
      <c r="N897" s="29"/>
      <c r="O897" s="29"/>
      <c r="P897" s="29"/>
      <c r="Q897" s="29"/>
      <c r="R897" s="29"/>
      <c r="S897" s="29"/>
      <c r="T897"/>
      <c r="U897"/>
      <c r="V897"/>
      <c r="W897"/>
      <c r="X897"/>
      <c r="Y897"/>
      <c r="Z897"/>
      <c r="AA897"/>
      <c r="AB897"/>
      <c r="AC897"/>
      <c r="AD897"/>
      <c r="AE897"/>
      <c r="AF897"/>
      <c r="AG897"/>
      <c r="AH897"/>
      <c r="AI897"/>
      <c r="AJ897"/>
      <c r="AK897"/>
      <c r="AL897"/>
      <c r="AM897"/>
      <c r="AN897"/>
      <c r="AO897"/>
      <c r="AP897"/>
      <c r="AQ897"/>
    </row>
    <row r="898" spans="1:43">
      <c r="A898" s="29"/>
      <c r="B898" s="29"/>
      <c r="C898" s="29"/>
      <c r="D898" s="29"/>
      <c r="E898" s="29"/>
      <c r="F898" s="29"/>
      <c r="G898" s="29"/>
      <c r="H898" s="29"/>
      <c r="I898" s="29"/>
      <c r="J898" s="29"/>
      <c r="K898" s="29"/>
      <c r="L898" s="29"/>
      <c r="M898" s="29"/>
      <c r="N898" s="29"/>
      <c r="O898" s="29"/>
      <c r="P898" s="29"/>
      <c r="Q898" s="29"/>
      <c r="R898" s="29"/>
      <c r="S898" s="29"/>
      <c r="T898"/>
      <c r="U898"/>
      <c r="V898"/>
      <c r="W898"/>
      <c r="X898"/>
      <c r="Y898"/>
      <c r="Z898"/>
      <c r="AA898"/>
      <c r="AB898"/>
      <c r="AC898"/>
      <c r="AD898"/>
      <c r="AE898"/>
      <c r="AF898"/>
      <c r="AG898"/>
      <c r="AH898"/>
      <c r="AI898"/>
      <c r="AJ898"/>
      <c r="AK898"/>
      <c r="AL898"/>
      <c r="AM898"/>
      <c r="AN898"/>
      <c r="AO898"/>
      <c r="AP898"/>
      <c r="AQ898"/>
    </row>
    <row r="899" spans="1:43">
      <c r="A899" s="29"/>
      <c r="B899" s="29"/>
      <c r="C899" s="29"/>
      <c r="D899" s="29"/>
      <c r="E899" s="29"/>
      <c r="F899" s="29"/>
      <c r="G899" s="29"/>
      <c r="H899" s="29"/>
      <c r="I899" s="29"/>
      <c r="J899" s="29"/>
      <c r="K899" s="29"/>
      <c r="L899" s="29"/>
      <c r="M899" s="29"/>
      <c r="N899" s="29"/>
      <c r="O899" s="29"/>
      <c r="P899" s="29"/>
      <c r="Q899" s="29"/>
      <c r="R899" s="29"/>
      <c r="S899" s="29"/>
      <c r="T899"/>
      <c r="U899"/>
      <c r="V899"/>
      <c r="W899"/>
      <c r="X899"/>
      <c r="Y899"/>
      <c r="Z899"/>
      <c r="AA899"/>
      <c r="AB899"/>
      <c r="AC899"/>
      <c r="AD899"/>
      <c r="AE899"/>
      <c r="AF899"/>
      <c r="AG899"/>
      <c r="AH899"/>
      <c r="AI899"/>
      <c r="AJ899"/>
      <c r="AK899"/>
      <c r="AL899"/>
      <c r="AM899"/>
      <c r="AN899"/>
      <c r="AO899"/>
      <c r="AP899"/>
      <c r="AQ899"/>
    </row>
    <row r="900" spans="1:43">
      <c r="A900" s="29"/>
      <c r="B900" s="29"/>
      <c r="C900" s="29"/>
      <c r="D900" s="29"/>
      <c r="E900" s="29"/>
      <c r="F900" s="29"/>
      <c r="G900" s="29"/>
      <c r="H900" s="29"/>
      <c r="I900" s="29"/>
      <c r="J900" s="29"/>
      <c r="K900" s="29"/>
      <c r="L900" s="29"/>
      <c r="M900" s="29"/>
      <c r="N900" s="29"/>
      <c r="O900" s="29"/>
      <c r="P900" s="29"/>
      <c r="Q900" s="29"/>
      <c r="R900" s="29"/>
      <c r="S900" s="29"/>
      <c r="T900"/>
      <c r="U900"/>
      <c r="V900"/>
      <c r="W900"/>
      <c r="X900"/>
      <c r="Y900"/>
      <c r="Z900"/>
      <c r="AA900"/>
      <c r="AB900"/>
      <c r="AC900"/>
      <c r="AD900"/>
      <c r="AE900"/>
      <c r="AF900"/>
      <c r="AG900"/>
      <c r="AH900"/>
      <c r="AI900"/>
      <c r="AJ900"/>
      <c r="AK900"/>
      <c r="AL900"/>
      <c r="AM900"/>
      <c r="AN900"/>
      <c r="AO900"/>
      <c r="AP900"/>
      <c r="AQ900"/>
    </row>
    <row r="901" spans="1:43">
      <c r="A901" s="29"/>
      <c r="B901" s="29"/>
      <c r="C901" s="29"/>
      <c r="D901" s="29"/>
      <c r="E901" s="29"/>
      <c r="F901" s="29"/>
      <c r="G901" s="29"/>
      <c r="H901" s="29"/>
      <c r="I901" s="29"/>
      <c r="J901" s="29"/>
      <c r="K901" s="29"/>
      <c r="L901" s="29"/>
      <c r="M901" s="29"/>
      <c r="N901" s="29"/>
      <c r="O901" s="29"/>
      <c r="P901" s="29"/>
      <c r="Q901" s="29"/>
      <c r="R901" s="29"/>
      <c r="S901" s="29"/>
      <c r="T901"/>
      <c r="U901"/>
      <c r="V901"/>
      <c r="W901"/>
      <c r="X901"/>
      <c r="Y901"/>
      <c r="Z901"/>
      <c r="AA901"/>
      <c r="AB901"/>
      <c r="AC901"/>
      <c r="AD901"/>
      <c r="AE901"/>
      <c r="AF901"/>
      <c r="AG901"/>
      <c r="AH901"/>
      <c r="AI901"/>
      <c r="AJ901"/>
      <c r="AK901"/>
      <c r="AL901"/>
      <c r="AM901"/>
      <c r="AN901"/>
      <c r="AO901"/>
      <c r="AP901"/>
      <c r="AQ901"/>
    </row>
    <row r="902" spans="1:43">
      <c r="A902" s="29"/>
      <c r="B902" s="29"/>
      <c r="C902" s="29"/>
      <c r="D902" s="29"/>
      <c r="E902" s="29"/>
      <c r="F902" s="29"/>
      <c r="G902" s="29"/>
      <c r="H902" s="29"/>
      <c r="I902" s="29"/>
      <c r="J902" s="29"/>
      <c r="K902" s="29"/>
      <c r="L902" s="29"/>
      <c r="M902" s="29"/>
      <c r="N902" s="29"/>
      <c r="O902" s="29"/>
      <c r="P902" s="29"/>
      <c r="Q902" s="29"/>
      <c r="R902" s="29"/>
      <c r="S902" s="29"/>
      <c r="T902"/>
      <c r="U902"/>
      <c r="V902"/>
      <c r="W902"/>
      <c r="X902"/>
      <c r="Y902"/>
      <c r="Z902"/>
      <c r="AA902"/>
      <c r="AB902"/>
      <c r="AC902"/>
      <c r="AD902"/>
      <c r="AE902"/>
      <c r="AF902"/>
      <c r="AG902"/>
      <c r="AH902"/>
      <c r="AI902"/>
      <c r="AJ902"/>
      <c r="AK902"/>
      <c r="AL902"/>
      <c r="AM902"/>
      <c r="AN902"/>
      <c r="AO902"/>
      <c r="AP902"/>
      <c r="AQ902"/>
    </row>
    <row r="903" spans="1:43">
      <c r="A903" s="29"/>
      <c r="B903" s="29"/>
      <c r="C903" s="29"/>
      <c r="D903" s="29"/>
      <c r="E903" s="29"/>
      <c r="F903" s="29"/>
      <c r="G903" s="29"/>
      <c r="H903" s="29"/>
      <c r="I903" s="29"/>
      <c r="J903" s="29"/>
      <c r="K903" s="29"/>
      <c r="L903" s="29"/>
      <c r="M903" s="29"/>
      <c r="N903" s="29"/>
      <c r="O903" s="29"/>
      <c r="P903" s="29"/>
      <c r="Q903" s="29"/>
      <c r="R903" s="29"/>
      <c r="S903" s="29"/>
      <c r="T903"/>
      <c r="U903"/>
      <c r="V903"/>
      <c r="W903"/>
      <c r="X903"/>
      <c r="Y903"/>
      <c r="Z903"/>
      <c r="AA903"/>
      <c r="AB903"/>
      <c r="AC903"/>
      <c r="AD903"/>
      <c r="AE903"/>
      <c r="AF903"/>
      <c r="AG903"/>
      <c r="AH903"/>
      <c r="AI903"/>
      <c r="AJ903"/>
      <c r="AK903"/>
      <c r="AL903"/>
      <c r="AM903"/>
      <c r="AN903"/>
      <c r="AO903"/>
      <c r="AP903"/>
      <c r="AQ903"/>
    </row>
    <row r="904" spans="1:43">
      <c r="A904" s="29"/>
      <c r="B904" s="29"/>
      <c r="C904" s="29"/>
      <c r="D904" s="29"/>
      <c r="E904" s="29"/>
      <c r="F904" s="29"/>
      <c r="G904" s="29"/>
      <c r="H904" s="29"/>
      <c r="I904" s="29"/>
      <c r="J904" s="29"/>
      <c r="K904" s="29"/>
      <c r="L904" s="29"/>
      <c r="M904" s="29"/>
      <c r="N904" s="29"/>
      <c r="O904" s="29"/>
      <c r="P904" s="29"/>
      <c r="Q904" s="29"/>
      <c r="R904" s="29"/>
      <c r="S904" s="29"/>
      <c r="T904"/>
      <c r="U904"/>
      <c r="V904"/>
      <c r="W904"/>
      <c r="X904"/>
      <c r="Y904"/>
      <c r="Z904"/>
      <c r="AA904"/>
      <c r="AB904"/>
      <c r="AC904"/>
      <c r="AD904"/>
      <c r="AE904"/>
      <c r="AF904"/>
      <c r="AG904"/>
      <c r="AH904"/>
      <c r="AI904"/>
      <c r="AJ904"/>
      <c r="AK904"/>
      <c r="AL904"/>
      <c r="AM904"/>
      <c r="AN904"/>
      <c r="AO904"/>
      <c r="AP904"/>
      <c r="AQ904"/>
    </row>
    <row r="905" spans="1:43">
      <c r="A905" s="29"/>
      <c r="B905" s="29"/>
      <c r="C905" s="29"/>
      <c r="D905" s="29"/>
      <c r="E905" s="29"/>
      <c r="F905" s="29"/>
      <c r="G905" s="29"/>
      <c r="H905" s="29"/>
      <c r="I905" s="29"/>
      <c r="J905" s="29"/>
      <c r="K905" s="29"/>
      <c r="L905" s="29"/>
      <c r="M905" s="29"/>
      <c r="N905" s="29"/>
      <c r="O905" s="29"/>
      <c r="P905" s="29"/>
      <c r="Q905" s="29"/>
      <c r="R905" s="29"/>
      <c r="S905" s="29"/>
      <c r="T905"/>
      <c r="U905"/>
      <c r="V905"/>
      <c r="W905"/>
      <c r="X905"/>
      <c r="Y905"/>
      <c r="Z905"/>
      <c r="AA905"/>
      <c r="AB905"/>
      <c r="AC905"/>
      <c r="AD905"/>
      <c r="AE905"/>
      <c r="AF905"/>
      <c r="AG905"/>
      <c r="AH905"/>
      <c r="AI905"/>
      <c r="AJ905"/>
      <c r="AK905"/>
      <c r="AL905"/>
      <c r="AM905"/>
      <c r="AN905"/>
      <c r="AO905"/>
      <c r="AP905"/>
      <c r="AQ905"/>
    </row>
    <row r="906" spans="1:43">
      <c r="A906" s="29"/>
      <c r="B906" s="29"/>
      <c r="C906" s="29"/>
      <c r="D906" s="29"/>
      <c r="E906" s="29"/>
      <c r="F906" s="29"/>
      <c r="G906" s="29"/>
      <c r="H906" s="29"/>
      <c r="I906" s="29"/>
      <c r="J906" s="29"/>
      <c r="K906" s="29"/>
      <c r="L906" s="29"/>
      <c r="M906" s="29"/>
      <c r="N906" s="29"/>
      <c r="O906" s="29"/>
      <c r="P906" s="29"/>
      <c r="Q906" s="29"/>
      <c r="R906" s="29"/>
      <c r="S906" s="29"/>
      <c r="T906"/>
      <c r="U906"/>
      <c r="V906"/>
      <c r="W906"/>
      <c r="X906"/>
      <c r="Y906"/>
      <c r="Z906"/>
      <c r="AA906"/>
      <c r="AB906"/>
      <c r="AC906"/>
      <c r="AD906"/>
      <c r="AE906"/>
      <c r="AF906"/>
      <c r="AG906"/>
      <c r="AH906"/>
      <c r="AI906"/>
      <c r="AJ906"/>
      <c r="AK906"/>
      <c r="AL906"/>
      <c r="AM906"/>
      <c r="AN906"/>
      <c r="AO906"/>
      <c r="AP906"/>
      <c r="AQ906"/>
    </row>
    <row r="907" spans="1:43">
      <c r="A907" s="29"/>
      <c r="B907" s="29"/>
      <c r="C907" s="29"/>
      <c r="D907" s="29"/>
      <c r="E907" s="29"/>
      <c r="F907" s="29"/>
      <c r="G907" s="29"/>
      <c r="H907" s="29"/>
      <c r="I907" s="29"/>
      <c r="J907" s="29"/>
      <c r="K907" s="29"/>
      <c r="L907" s="29"/>
      <c r="M907" s="29"/>
      <c r="N907" s="29"/>
      <c r="O907" s="29"/>
      <c r="P907" s="29"/>
      <c r="Q907" s="29"/>
      <c r="R907" s="29"/>
      <c r="S907" s="29"/>
      <c r="T907"/>
      <c r="U907"/>
      <c r="V907"/>
      <c r="W907"/>
      <c r="X907"/>
      <c r="Y907"/>
      <c r="Z907"/>
      <c r="AA907"/>
      <c r="AB907"/>
      <c r="AC907"/>
      <c r="AD907"/>
      <c r="AE907"/>
      <c r="AF907"/>
      <c r="AG907"/>
      <c r="AH907"/>
      <c r="AI907"/>
      <c r="AJ907"/>
      <c r="AK907"/>
      <c r="AL907"/>
      <c r="AM907"/>
      <c r="AN907"/>
      <c r="AO907"/>
      <c r="AP907"/>
      <c r="AQ907"/>
    </row>
    <row r="908" spans="1:43">
      <c r="A908" s="29"/>
      <c r="B908" s="29"/>
      <c r="C908" s="29"/>
      <c r="D908" s="29"/>
      <c r="E908" s="29"/>
      <c r="F908" s="29"/>
      <c r="G908" s="29"/>
      <c r="H908" s="29"/>
      <c r="I908" s="29"/>
      <c r="J908" s="29"/>
      <c r="K908" s="29"/>
      <c r="L908" s="29"/>
      <c r="M908" s="29"/>
      <c r="N908" s="29"/>
      <c r="O908" s="29"/>
      <c r="P908" s="29"/>
      <c r="Q908" s="29"/>
      <c r="R908" s="29"/>
      <c r="S908" s="29"/>
      <c r="T908"/>
      <c r="U908"/>
      <c r="V908"/>
      <c r="W908"/>
      <c r="X908"/>
      <c r="Y908"/>
      <c r="Z908"/>
      <c r="AA908"/>
      <c r="AB908"/>
      <c r="AC908"/>
      <c r="AD908"/>
      <c r="AE908"/>
      <c r="AF908"/>
      <c r="AG908"/>
      <c r="AH908"/>
      <c r="AI908"/>
      <c r="AJ908"/>
      <c r="AK908"/>
      <c r="AL908"/>
      <c r="AM908"/>
      <c r="AN908"/>
      <c r="AO908"/>
      <c r="AP908"/>
      <c r="AQ908"/>
    </row>
    <row r="909" spans="1:43">
      <c r="A909" s="29"/>
      <c r="B909" s="29"/>
      <c r="C909" s="29"/>
      <c r="D909" s="29"/>
      <c r="E909" s="29"/>
      <c r="F909" s="29"/>
      <c r="G909" s="29"/>
      <c r="H909" s="29"/>
      <c r="I909" s="29"/>
      <c r="J909" s="29"/>
      <c r="K909" s="29"/>
      <c r="L909" s="29"/>
      <c r="M909" s="29"/>
      <c r="N909" s="29"/>
      <c r="O909" s="29"/>
      <c r="P909" s="29"/>
      <c r="Q909" s="29"/>
      <c r="R909" s="29"/>
      <c r="S909" s="29"/>
      <c r="T909"/>
      <c r="U909"/>
      <c r="V909"/>
      <c r="W909"/>
      <c r="X909"/>
      <c r="Y909"/>
      <c r="Z909"/>
      <c r="AA909"/>
      <c r="AB909"/>
      <c r="AC909"/>
      <c r="AD909"/>
      <c r="AE909"/>
      <c r="AF909"/>
      <c r="AG909"/>
      <c r="AH909"/>
      <c r="AI909"/>
      <c r="AJ909"/>
      <c r="AK909"/>
      <c r="AL909"/>
      <c r="AM909"/>
      <c r="AN909"/>
      <c r="AO909"/>
      <c r="AP909"/>
      <c r="AQ909"/>
    </row>
  </sheetData>
  <mergeCells count="6">
    <mergeCell ref="AO309:AQ309"/>
    <mergeCell ref="AF129:AF130"/>
    <mergeCell ref="AG129:AI129"/>
    <mergeCell ref="AJ129:AL129"/>
    <mergeCell ref="AK309:AK310"/>
    <mergeCell ref="AL309:AN309"/>
  </mergeCells>
  <conditionalFormatting sqref="BR333:BR338">
    <cfRule type="expression" dxfId="1" priority="2">
      <formula>FR333="-"</formula>
    </cfRule>
  </conditionalFormatting>
  <conditionalFormatting sqref="BU333:BU338">
    <cfRule type="expression" dxfId="0" priority="1">
      <formula>FT333="-"</formula>
    </cfRule>
  </conditionalFormatting>
  <hyperlinks>
    <hyperlink ref="A624" location="'Data b-medel'!A5" display="Data för Sverige" xr:uid="{00000000-0004-0000-0E00-000000000000}"/>
    <hyperlink ref="A625" location="'Data b-medel'!A55" display="Data för andra länder än Sverige" xr:uid="{00000000-0004-0000-0E00-000001000000}"/>
  </hyperlinks>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39997558519241921"/>
  </sheetPr>
  <dimension ref="A1:BD39"/>
  <sheetViews>
    <sheetView workbookViewId="0">
      <selection activeCell="A29" sqref="A29"/>
    </sheetView>
  </sheetViews>
  <sheetFormatPr defaultColWidth="8.7109375" defaultRowHeight="15"/>
  <cols>
    <col min="1" max="1" width="67.42578125" bestFit="1" customWidth="1"/>
    <col min="2" max="2" width="15.42578125" bestFit="1" customWidth="1"/>
    <col min="3" max="3" width="19.42578125" bestFit="1" customWidth="1"/>
    <col min="4" max="4" width="51" bestFit="1" customWidth="1"/>
    <col min="5" max="5" width="22.42578125" customWidth="1"/>
    <col min="6" max="6" width="14.28515625" customWidth="1"/>
    <col min="7" max="7" width="18.42578125" customWidth="1"/>
    <col min="8" max="8" width="14.42578125" bestFit="1" customWidth="1"/>
    <col min="9" max="9" width="18.7109375" customWidth="1"/>
    <col min="10" max="10" width="11.42578125" bestFit="1" customWidth="1"/>
    <col min="11" max="11" width="18.7109375" customWidth="1"/>
    <col min="13" max="13" width="12.42578125" bestFit="1" customWidth="1"/>
    <col min="14" max="14" width="11.28515625" bestFit="1" customWidth="1"/>
    <col min="16" max="16" width="13" bestFit="1" customWidth="1"/>
  </cols>
  <sheetData>
    <row r="1" spans="1:56" ht="23.25">
      <c r="A1" s="521" t="s">
        <v>1672</v>
      </c>
      <c r="H1" s="149"/>
      <c r="I1" s="149"/>
      <c r="J1" s="6"/>
      <c r="K1" s="149"/>
      <c r="L1" s="149"/>
      <c r="N1" s="149"/>
      <c r="O1" s="149"/>
      <c r="P1" s="149"/>
      <c r="Q1" s="149"/>
      <c r="R1" s="149"/>
      <c r="T1" s="149"/>
      <c r="U1" s="149"/>
      <c r="W1" s="149"/>
      <c r="X1" s="149"/>
      <c r="Z1" s="149"/>
      <c r="AA1" s="149"/>
      <c r="AC1" s="149"/>
      <c r="AD1" s="149"/>
      <c r="AF1" s="149"/>
      <c r="AG1" s="149"/>
    </row>
    <row r="2" spans="1:56">
      <c r="E2" s="23" t="s">
        <v>608</v>
      </c>
      <c r="F2" s="578"/>
      <c r="AU2" s="14"/>
      <c r="AV2" s="14"/>
      <c r="AW2" s="14"/>
      <c r="AX2" s="14"/>
      <c r="BA2" s="14"/>
      <c r="BB2" s="27"/>
      <c r="BC2" s="27"/>
      <c r="BD2" s="27"/>
    </row>
    <row r="3" spans="1:56" ht="75.599999999999994" customHeight="1">
      <c r="A3" s="131" t="s">
        <v>870</v>
      </c>
      <c r="B3" s="131" t="s">
        <v>871</v>
      </c>
      <c r="C3" s="131" t="s">
        <v>872</v>
      </c>
      <c r="D3" s="132" t="s">
        <v>1673</v>
      </c>
      <c r="E3" s="27" t="s">
        <v>888</v>
      </c>
      <c r="F3" s="27" t="s">
        <v>1674</v>
      </c>
      <c r="G3" s="114"/>
      <c r="AT3" s="27"/>
      <c r="AU3" s="27"/>
      <c r="AV3" s="1025"/>
      <c r="AW3" s="208"/>
      <c r="AX3" s="27"/>
      <c r="AY3" s="27"/>
      <c r="AZ3" s="27"/>
      <c r="BA3" s="27"/>
      <c r="BB3" s="1025"/>
      <c r="BC3" s="208"/>
    </row>
    <row r="4" spans="1:56">
      <c r="A4" s="686" t="s">
        <v>31</v>
      </c>
      <c r="B4" s="687" t="s">
        <v>122</v>
      </c>
      <c r="C4" s="688">
        <v>1</v>
      </c>
      <c r="D4" s="689">
        <v>1</v>
      </c>
      <c r="E4" s="578" t="s">
        <v>1675</v>
      </c>
      <c r="F4" s="578" t="s">
        <v>1676</v>
      </c>
      <c r="G4" s="114"/>
    </row>
    <row r="5" spans="1:56">
      <c r="A5" s="13"/>
      <c r="B5" s="14"/>
      <c r="C5" s="15"/>
      <c r="D5" s="690"/>
      <c r="E5" s="114"/>
      <c r="F5" s="114"/>
      <c r="G5" s="114"/>
    </row>
    <row r="6" spans="1:56">
      <c r="A6" s="9" t="s">
        <v>211</v>
      </c>
      <c r="B6" s="10" t="s">
        <v>122</v>
      </c>
      <c r="C6" s="11">
        <v>0.83900928789999996</v>
      </c>
      <c r="D6" s="691">
        <v>20.5</v>
      </c>
      <c r="E6" s="578" t="s">
        <v>1675</v>
      </c>
      <c r="F6" s="578" t="s">
        <v>1676</v>
      </c>
      <c r="G6" s="114"/>
    </row>
    <row r="7" spans="1:56">
      <c r="A7" s="13"/>
      <c r="B7" s="14" t="s">
        <v>176</v>
      </c>
      <c r="C7" s="15">
        <v>0</v>
      </c>
      <c r="D7" s="690">
        <v>20.5</v>
      </c>
      <c r="E7" s="14"/>
      <c r="F7" s="114"/>
      <c r="G7" s="114"/>
    </row>
    <row r="8" spans="1:56">
      <c r="A8" s="13"/>
      <c r="B8" s="14" t="s">
        <v>125</v>
      </c>
      <c r="C8" s="15">
        <v>0.16099071210000004</v>
      </c>
      <c r="D8" s="690">
        <v>20.5</v>
      </c>
      <c r="E8" s="14"/>
      <c r="F8" s="114"/>
      <c r="G8" s="114"/>
    </row>
    <row r="9" spans="1:56">
      <c r="A9" s="9" t="s">
        <v>1677</v>
      </c>
      <c r="B9" s="10" t="s">
        <v>122</v>
      </c>
      <c r="C9" s="692">
        <v>0.76800000000000002</v>
      </c>
      <c r="D9" s="691">
        <v>1</v>
      </c>
      <c r="E9" s="578" t="s">
        <v>1675</v>
      </c>
      <c r="F9" s="578" t="s">
        <v>1676</v>
      </c>
      <c r="G9" s="114"/>
    </row>
    <row r="10" spans="1:56">
      <c r="A10" s="13"/>
      <c r="B10" s="14" t="s">
        <v>125</v>
      </c>
      <c r="C10" s="25">
        <v>0.23199999999999998</v>
      </c>
      <c r="D10" s="690">
        <v>1</v>
      </c>
      <c r="E10" s="14"/>
      <c r="F10" s="114"/>
      <c r="G10" s="114"/>
    </row>
    <row r="11" spans="1:56">
      <c r="A11" s="9" t="s">
        <v>213</v>
      </c>
      <c r="B11" s="10" t="s">
        <v>122</v>
      </c>
      <c r="C11" s="11">
        <v>0.89683860230000001</v>
      </c>
      <c r="D11" s="691">
        <v>10</v>
      </c>
      <c r="E11" s="578" t="s">
        <v>1675</v>
      </c>
      <c r="F11" s="578" t="s">
        <v>1676</v>
      </c>
      <c r="G11" s="114"/>
    </row>
    <row r="12" spans="1:56">
      <c r="A12" s="13"/>
      <c r="B12" s="14" t="s">
        <v>125</v>
      </c>
      <c r="C12" s="15">
        <v>0.10316139769999999</v>
      </c>
      <c r="D12" s="690">
        <v>10</v>
      </c>
      <c r="E12" s="14"/>
      <c r="F12" s="14"/>
      <c r="G12" s="114"/>
    </row>
    <row r="13" spans="1:56">
      <c r="A13" s="9" t="s">
        <v>214</v>
      </c>
      <c r="B13" s="10" t="s">
        <v>122</v>
      </c>
      <c r="C13" s="11">
        <v>0.51200000000000012</v>
      </c>
      <c r="D13" s="691">
        <v>10</v>
      </c>
      <c r="E13" s="578" t="s">
        <v>1675</v>
      </c>
      <c r="F13" s="578" t="s">
        <v>1676</v>
      </c>
      <c r="G13" s="114"/>
    </row>
    <row r="14" spans="1:56">
      <c r="A14" s="13"/>
      <c r="B14" s="14" t="s">
        <v>176</v>
      </c>
      <c r="C14" s="15">
        <v>0.16</v>
      </c>
      <c r="D14" s="690">
        <v>10</v>
      </c>
      <c r="E14" s="14"/>
      <c r="F14" s="14"/>
      <c r="G14" s="114"/>
    </row>
    <row r="15" spans="1:56">
      <c r="A15" s="13"/>
      <c r="B15" s="14" t="s">
        <v>148</v>
      </c>
      <c r="C15" s="15">
        <v>0.11</v>
      </c>
      <c r="D15" s="690">
        <v>10</v>
      </c>
      <c r="E15" s="14"/>
      <c r="F15" s="14"/>
      <c r="G15" s="114"/>
    </row>
    <row r="16" spans="1:56">
      <c r="A16" s="13"/>
      <c r="B16" s="14" t="s">
        <v>125</v>
      </c>
      <c r="C16" s="15">
        <v>0.21799999999999986</v>
      </c>
      <c r="D16" s="690">
        <v>10</v>
      </c>
      <c r="E16" s="14"/>
      <c r="F16" s="14"/>
      <c r="G16" s="114"/>
    </row>
    <row r="17" spans="1:17">
      <c r="A17" s="9" t="s">
        <v>1678</v>
      </c>
      <c r="B17" s="10" t="s">
        <v>122</v>
      </c>
      <c r="C17" s="11">
        <v>0.51200000000000012</v>
      </c>
      <c r="D17" s="691">
        <v>6.5</v>
      </c>
      <c r="E17" s="578" t="s">
        <v>1675</v>
      </c>
      <c r="F17" s="44" t="s">
        <v>1679</v>
      </c>
      <c r="G17" s="114"/>
    </row>
    <row r="18" spans="1:17">
      <c r="A18" s="13"/>
      <c r="B18" s="14" t="s">
        <v>176</v>
      </c>
      <c r="C18" s="15">
        <v>0.16</v>
      </c>
      <c r="D18" s="690">
        <v>6.5</v>
      </c>
      <c r="E18" s="14"/>
      <c r="F18" s="14"/>
      <c r="G18" s="114"/>
    </row>
    <row r="19" spans="1:17">
      <c r="A19" s="13"/>
      <c r="B19" s="14" t="s">
        <v>148</v>
      </c>
      <c r="C19" s="15">
        <v>0.11</v>
      </c>
      <c r="D19" s="690">
        <v>6.5</v>
      </c>
      <c r="E19" s="14"/>
      <c r="F19" s="14"/>
      <c r="G19" s="114"/>
    </row>
    <row r="20" spans="1:17">
      <c r="A20" s="13"/>
      <c r="B20" s="14" t="s">
        <v>125</v>
      </c>
      <c r="C20" s="15">
        <v>0.21799999999999986</v>
      </c>
      <c r="D20" s="690">
        <v>6.5</v>
      </c>
      <c r="E20" s="14"/>
      <c r="F20" s="14"/>
      <c r="G20" s="114"/>
    </row>
    <row r="21" spans="1:17">
      <c r="A21" s="9" t="s">
        <v>1680</v>
      </c>
      <c r="B21" s="10" t="s">
        <v>122</v>
      </c>
      <c r="C21" s="692">
        <v>0.76800000000000002</v>
      </c>
      <c r="D21" s="691">
        <v>8.5</v>
      </c>
      <c r="E21" s="578" t="s">
        <v>1675</v>
      </c>
      <c r="F21" s="578" t="s">
        <v>1676</v>
      </c>
      <c r="G21" s="114"/>
    </row>
    <row r="22" spans="1:17">
      <c r="A22" s="13"/>
      <c r="B22" s="14" t="s">
        <v>125</v>
      </c>
      <c r="C22" s="25">
        <v>0.23199999999999998</v>
      </c>
      <c r="D22" s="690">
        <v>8.5</v>
      </c>
      <c r="E22" s="114"/>
      <c r="F22" s="114"/>
      <c r="G22" s="114"/>
    </row>
    <row r="23" spans="1:17">
      <c r="A23" s="10" t="s">
        <v>75</v>
      </c>
      <c r="B23" s="10" t="s">
        <v>122</v>
      </c>
      <c r="C23" s="693">
        <v>0.84000000000000008</v>
      </c>
      <c r="D23" s="694">
        <v>8.76650198277299</v>
      </c>
      <c r="E23" s="578" t="s">
        <v>1675</v>
      </c>
      <c r="F23" s="114" t="s">
        <v>1681</v>
      </c>
      <c r="G23" s="114"/>
    </row>
    <row r="24" spans="1:17">
      <c r="A24" s="22"/>
      <c r="B24" s="22" t="s">
        <v>125</v>
      </c>
      <c r="C24" s="35">
        <v>0.15999999999999992</v>
      </c>
      <c r="D24" s="561">
        <v>8.76650198277299</v>
      </c>
      <c r="E24" s="114"/>
      <c r="F24" s="114"/>
      <c r="G24" s="114"/>
    </row>
    <row r="25" spans="1:17">
      <c r="A25" s="114"/>
      <c r="B25" s="114"/>
      <c r="C25" s="114"/>
      <c r="D25" s="114"/>
      <c r="E25" s="114"/>
      <c r="F25" s="114"/>
      <c r="G25" s="695"/>
      <c r="H25" s="114"/>
      <c r="I25" s="114"/>
      <c r="J25" s="114"/>
      <c r="K25" s="114"/>
      <c r="L25" s="114"/>
      <c r="M25" s="114"/>
      <c r="N25" s="114"/>
      <c r="O25" s="114"/>
      <c r="P25" s="114"/>
      <c r="Q25" s="114"/>
    </row>
    <row r="26" spans="1:17">
      <c r="A26" s="14"/>
      <c r="B26" s="114"/>
      <c r="C26" s="114"/>
      <c r="D26" s="114"/>
      <c r="E26" s="114"/>
      <c r="F26" s="114"/>
      <c r="G26" s="114"/>
      <c r="H26" s="114"/>
      <c r="I26" s="114"/>
      <c r="J26" s="114"/>
      <c r="K26" s="114"/>
      <c r="L26" s="114"/>
      <c r="M26" s="114"/>
      <c r="N26" s="114"/>
      <c r="O26" s="114"/>
      <c r="P26" s="114"/>
      <c r="Q26" s="114"/>
    </row>
    <row r="27" spans="1:17">
      <c r="A27" s="175" t="s">
        <v>1682</v>
      </c>
      <c r="B27" s="114"/>
      <c r="C27" s="114"/>
      <c r="D27" s="114"/>
      <c r="E27" s="114"/>
      <c r="F27" s="114"/>
      <c r="G27" s="114"/>
      <c r="H27" s="114"/>
      <c r="I27" s="114"/>
      <c r="J27" s="114"/>
      <c r="K27" s="114"/>
      <c r="L27" s="114"/>
      <c r="M27" s="114"/>
      <c r="N27" s="114"/>
      <c r="O27" s="114"/>
      <c r="P27" s="114"/>
      <c r="Q27" s="114"/>
    </row>
    <row r="28" spans="1:17" ht="46.35" customHeight="1">
      <c r="A28" s="696"/>
      <c r="B28" s="61" t="s">
        <v>31</v>
      </c>
      <c r="C28" s="61" t="s">
        <v>211</v>
      </c>
      <c r="D28" s="61" t="s">
        <v>1677</v>
      </c>
      <c r="E28" s="61" t="s">
        <v>213</v>
      </c>
      <c r="F28" s="61" t="s">
        <v>214</v>
      </c>
      <c r="G28" s="61" t="s">
        <v>1683</v>
      </c>
      <c r="H28" s="61" t="s">
        <v>1684</v>
      </c>
      <c r="I28" s="61" t="s">
        <v>75</v>
      </c>
      <c r="J28" s="151"/>
      <c r="K28" s="27" t="s">
        <v>608</v>
      </c>
      <c r="L28" s="114"/>
      <c r="M28" s="114"/>
      <c r="N28" s="114"/>
      <c r="O28" s="114"/>
      <c r="P28" s="114"/>
      <c r="Q28" s="114"/>
    </row>
    <row r="29" spans="1:17" ht="38.25">
      <c r="A29" s="697" t="s">
        <v>366</v>
      </c>
      <c r="B29" s="15">
        <v>0.03</v>
      </c>
      <c r="C29" s="15">
        <v>0.1</v>
      </c>
      <c r="D29" s="15">
        <v>0.1</v>
      </c>
      <c r="E29" s="15">
        <v>0.02</v>
      </c>
      <c r="F29" s="15">
        <v>0.3</v>
      </c>
      <c r="G29" s="15">
        <v>0.3</v>
      </c>
      <c r="H29" s="15">
        <v>0.1</v>
      </c>
      <c r="I29" s="15">
        <v>0.2</v>
      </c>
      <c r="J29" s="525" t="s">
        <v>1685</v>
      </c>
      <c r="K29" s="44" t="s">
        <v>1686</v>
      </c>
      <c r="L29" s="114"/>
      <c r="M29" s="114"/>
      <c r="N29" s="114"/>
      <c r="O29" s="114"/>
      <c r="P29" s="114"/>
      <c r="Q29" s="114"/>
    </row>
    <row r="30" spans="1:17" ht="38.25">
      <c r="A30" s="698" t="s">
        <v>125</v>
      </c>
      <c r="B30" s="574">
        <v>0.06</v>
      </c>
      <c r="C30" s="574">
        <v>0.25</v>
      </c>
      <c r="D30" s="574">
        <v>0.25</v>
      </c>
      <c r="E30" s="574">
        <v>0.05</v>
      </c>
      <c r="F30" s="574">
        <v>0.7</v>
      </c>
      <c r="G30" s="574">
        <v>0.7</v>
      </c>
      <c r="H30" s="574">
        <v>0.25</v>
      </c>
      <c r="I30" s="574">
        <v>0.6</v>
      </c>
      <c r="J30" s="699" t="s">
        <v>1685</v>
      </c>
      <c r="K30" s="114"/>
      <c r="L30" s="114"/>
      <c r="M30" s="114"/>
      <c r="N30" s="114"/>
      <c r="O30" s="114"/>
      <c r="P30" s="114"/>
      <c r="Q30" s="114"/>
    </row>
    <row r="31" spans="1:17">
      <c r="A31" s="114" t="s">
        <v>1687</v>
      </c>
      <c r="B31" s="114"/>
      <c r="C31" s="114"/>
      <c r="D31" s="114"/>
      <c r="E31" s="114"/>
      <c r="F31" s="114"/>
      <c r="G31" s="114"/>
      <c r="H31" s="114"/>
      <c r="I31" s="114"/>
      <c r="J31" s="114"/>
      <c r="K31" s="114"/>
      <c r="L31" s="114"/>
      <c r="M31" s="114"/>
      <c r="N31" s="114"/>
      <c r="O31" s="114"/>
      <c r="P31" s="114"/>
      <c r="Q31" s="114"/>
    </row>
    <row r="32" spans="1:17">
      <c r="A32" s="114" t="s">
        <v>1688</v>
      </c>
      <c r="B32" s="114"/>
      <c r="C32" s="114"/>
      <c r="D32" s="114"/>
      <c r="E32" s="114"/>
      <c r="F32" s="114"/>
      <c r="G32" s="114"/>
      <c r="H32" s="114"/>
      <c r="I32" s="114"/>
      <c r="J32" s="114"/>
      <c r="K32" s="114"/>
      <c r="L32" s="114"/>
      <c r="M32" s="114"/>
      <c r="N32" s="114"/>
      <c r="O32" s="114"/>
      <c r="P32" s="114"/>
      <c r="Q32" s="114"/>
    </row>
    <row r="33" spans="1:17">
      <c r="A33" s="114"/>
      <c r="B33" s="114"/>
      <c r="C33" s="114"/>
      <c r="D33" s="114"/>
      <c r="E33" s="114"/>
      <c r="F33" s="114"/>
      <c r="G33" s="114"/>
      <c r="H33" s="114"/>
      <c r="I33" s="114"/>
      <c r="J33" s="114"/>
      <c r="K33" s="114"/>
      <c r="L33" s="114"/>
      <c r="M33" s="114"/>
      <c r="N33" s="114"/>
      <c r="O33" s="114"/>
      <c r="P33" s="114"/>
      <c r="Q33" s="114"/>
    </row>
    <row r="34" spans="1:17">
      <c r="A34" s="114"/>
      <c r="B34" s="114"/>
      <c r="C34" s="114"/>
      <c r="D34" s="114"/>
      <c r="E34" s="114"/>
      <c r="F34" s="114"/>
      <c r="G34" s="114"/>
      <c r="H34" s="114"/>
      <c r="I34" s="114"/>
      <c r="J34" s="114"/>
      <c r="K34" s="114"/>
      <c r="L34" s="114"/>
      <c r="M34" s="114"/>
      <c r="N34" s="114"/>
      <c r="O34" s="114"/>
      <c r="P34" s="114"/>
      <c r="Q34" s="114"/>
    </row>
    <row r="35" spans="1:17">
      <c r="A35" s="29"/>
      <c r="B35" s="29"/>
      <c r="C35" s="473"/>
      <c r="D35" s="114"/>
      <c r="E35" s="114"/>
      <c r="F35" s="114"/>
      <c r="G35" s="114"/>
      <c r="H35" s="114"/>
      <c r="I35" s="114"/>
      <c r="J35" s="114"/>
      <c r="K35" s="114"/>
      <c r="L35" s="114"/>
      <c r="M35" s="114"/>
      <c r="N35" s="114"/>
      <c r="O35" s="114"/>
      <c r="P35" s="114"/>
      <c r="Q35" s="114"/>
    </row>
    <row r="36" spans="1:17">
      <c r="A36" s="14"/>
      <c r="B36" s="29"/>
      <c r="C36" s="473"/>
      <c r="D36" s="114"/>
      <c r="E36" s="114"/>
      <c r="F36" s="114"/>
      <c r="G36" s="114"/>
      <c r="H36" s="114"/>
      <c r="I36" s="114"/>
      <c r="J36" s="114"/>
      <c r="K36" s="114"/>
      <c r="L36" s="114"/>
      <c r="M36" s="114"/>
      <c r="N36" s="114"/>
      <c r="O36" s="114"/>
      <c r="P36" s="114"/>
      <c r="Q36" s="114"/>
    </row>
    <row r="37" spans="1:17">
      <c r="A37" s="29"/>
      <c r="B37" s="29"/>
      <c r="C37" s="29"/>
      <c r="D37" s="114"/>
      <c r="E37" s="114"/>
      <c r="F37" s="114"/>
      <c r="G37" s="114"/>
      <c r="H37" s="114"/>
      <c r="I37" s="114"/>
      <c r="J37" s="114"/>
      <c r="K37" s="114"/>
      <c r="L37" s="114"/>
      <c r="M37" s="114"/>
      <c r="N37" s="114"/>
      <c r="O37" s="114"/>
      <c r="P37" s="114"/>
      <c r="Q37" s="114"/>
    </row>
    <row r="38" spans="1:17">
      <c r="A38" s="29"/>
      <c r="B38" s="29"/>
      <c r="C38" s="29"/>
      <c r="D38" s="114"/>
      <c r="E38" s="114"/>
      <c r="F38" s="114"/>
      <c r="G38" s="114"/>
      <c r="H38" s="114"/>
      <c r="I38" s="114"/>
      <c r="J38" s="114"/>
      <c r="K38" s="114"/>
      <c r="L38" s="114"/>
      <c r="M38" s="114"/>
      <c r="N38" s="114"/>
      <c r="O38" s="114"/>
      <c r="P38" s="114"/>
      <c r="Q38" s="114"/>
    </row>
    <row r="39" spans="1:17">
      <c r="A39" s="29"/>
      <c r="B39" s="29"/>
      <c r="C39" s="29"/>
      <c r="D39" s="114"/>
      <c r="E39" s="114"/>
      <c r="F39" s="114"/>
      <c r="G39" s="114"/>
      <c r="H39" s="114"/>
      <c r="I39" s="114"/>
      <c r="J39" s="114"/>
      <c r="K39" s="114"/>
      <c r="L39" s="114"/>
      <c r="M39" s="114"/>
      <c r="N39" s="114"/>
      <c r="O39" s="114"/>
      <c r="P39" s="114"/>
      <c r="Q39" s="114"/>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39997558519241921"/>
  </sheetPr>
  <dimension ref="A1:HZ142"/>
  <sheetViews>
    <sheetView workbookViewId="0">
      <selection activeCell="H22" sqref="H22"/>
    </sheetView>
  </sheetViews>
  <sheetFormatPr defaultColWidth="8.7109375" defaultRowHeight="12.75"/>
  <cols>
    <col min="1" max="1" width="55" style="28" bestFit="1" customWidth="1"/>
    <col min="2" max="2" width="39.42578125" style="29" bestFit="1" customWidth="1"/>
    <col min="3" max="3" width="22.42578125" style="29" customWidth="1"/>
    <col min="4" max="4" width="26.42578125" style="29" bestFit="1" customWidth="1"/>
    <col min="5" max="5" width="25.7109375" style="29" bestFit="1" customWidth="1"/>
    <col min="6" max="6" width="26.42578125" style="29" bestFit="1" customWidth="1"/>
    <col min="7" max="8" width="31.42578125" style="29" bestFit="1" customWidth="1"/>
    <col min="9" max="9" width="33.42578125" style="29" bestFit="1" customWidth="1"/>
    <col min="10" max="17" width="8.7109375" style="29"/>
    <col min="18" max="18" width="10.7109375" style="29" bestFit="1" customWidth="1"/>
    <col min="19" max="16384" width="8.7109375" style="29"/>
  </cols>
  <sheetData>
    <row r="1" spans="1:234" ht="23.25">
      <c r="A1" s="521" t="s">
        <v>1689</v>
      </c>
    </row>
    <row r="3" spans="1:234">
      <c r="A3" s="109" t="s">
        <v>1690</v>
      </c>
      <c r="C3" s="34"/>
    </row>
    <row r="4" spans="1:234">
      <c r="A4" s="580"/>
      <c r="B4" s="171" t="s">
        <v>1691</v>
      </c>
      <c r="C4" s="171" t="s">
        <v>107</v>
      </c>
      <c r="D4" s="700" t="s">
        <v>1692</v>
      </c>
      <c r="E4" s="544" t="s">
        <v>1693</v>
      </c>
      <c r="F4" s="700" t="s">
        <v>1694</v>
      </c>
      <c r="G4" s="171" t="s">
        <v>1695</v>
      </c>
      <c r="H4" s="171" t="s">
        <v>1696</v>
      </c>
      <c r="I4" s="262" t="s">
        <v>1697</v>
      </c>
      <c r="J4" s="23" t="s">
        <v>608</v>
      </c>
    </row>
    <row r="5" spans="1:234" s="75" customFormat="1">
      <c r="A5" s="147" t="s">
        <v>32</v>
      </c>
      <c r="B5" s="75">
        <v>0.35</v>
      </c>
      <c r="C5" s="75" t="s">
        <v>1698</v>
      </c>
      <c r="D5" s="75" t="s">
        <v>218</v>
      </c>
      <c r="E5" s="75">
        <v>1</v>
      </c>
      <c r="F5" s="75" t="s">
        <v>217</v>
      </c>
      <c r="G5" s="701">
        <v>0</v>
      </c>
      <c r="H5" s="75">
        <v>0.62</v>
      </c>
      <c r="I5" s="702">
        <v>1.2</v>
      </c>
      <c r="J5" s="44" t="s">
        <v>1699</v>
      </c>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row>
    <row r="6" spans="1:234">
      <c r="G6" s="630"/>
      <c r="I6" s="100"/>
      <c r="J6" s="44" t="s">
        <v>1700</v>
      </c>
    </row>
    <row r="7" spans="1:234" s="75" customFormat="1">
      <c r="A7" s="147" t="s">
        <v>39</v>
      </c>
      <c r="B7" s="75">
        <v>0.14000000000000001</v>
      </c>
      <c r="C7" s="75" t="s">
        <v>1701</v>
      </c>
      <c r="D7" s="481" t="s">
        <v>1702</v>
      </c>
      <c r="E7" s="481">
        <v>0.5</v>
      </c>
      <c r="F7" s="482" t="s">
        <v>219</v>
      </c>
      <c r="G7" s="75">
        <v>0.81</v>
      </c>
      <c r="H7" s="75">
        <v>0.47</v>
      </c>
      <c r="I7" s="702">
        <v>0</v>
      </c>
      <c r="J7" s="44" t="s">
        <v>1703</v>
      </c>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row>
    <row r="8" spans="1:234">
      <c r="C8" s="29" t="s">
        <v>1701</v>
      </c>
      <c r="D8" s="473" t="s">
        <v>1704</v>
      </c>
      <c r="E8" s="473">
        <v>0.5</v>
      </c>
      <c r="F8" s="475" t="s">
        <v>219</v>
      </c>
      <c r="G8" s="29">
        <v>0.41</v>
      </c>
      <c r="H8" s="29">
        <v>0.47</v>
      </c>
      <c r="I8" s="100">
        <v>0</v>
      </c>
      <c r="J8" s="44" t="s">
        <v>1705</v>
      </c>
    </row>
    <row r="9" spans="1:234" s="75" customFormat="1">
      <c r="A9" s="147" t="s">
        <v>46</v>
      </c>
      <c r="B9" s="75">
        <v>0.13</v>
      </c>
      <c r="C9" s="75" t="s">
        <v>1701</v>
      </c>
      <c r="D9" s="481" t="s">
        <v>1706</v>
      </c>
      <c r="E9" s="481">
        <v>0.5</v>
      </c>
      <c r="F9" s="482" t="s">
        <v>122</v>
      </c>
      <c r="G9" s="75">
        <v>0.12</v>
      </c>
      <c r="H9" s="75">
        <v>0.61</v>
      </c>
      <c r="I9" s="702">
        <v>0</v>
      </c>
      <c r="J9" s="44" t="s">
        <v>1707</v>
      </c>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row>
    <row r="10" spans="1:234">
      <c r="C10" s="29" t="s">
        <v>1701</v>
      </c>
      <c r="D10" s="473" t="s">
        <v>1708</v>
      </c>
      <c r="E10" s="473">
        <v>0.5</v>
      </c>
      <c r="F10" s="475" t="s">
        <v>122</v>
      </c>
      <c r="G10" s="29">
        <v>0.05</v>
      </c>
      <c r="H10" s="29">
        <v>0.61</v>
      </c>
      <c r="I10" s="100">
        <v>0</v>
      </c>
    </row>
    <row r="11" spans="1:234" s="75" customFormat="1">
      <c r="A11" s="147" t="s">
        <v>52</v>
      </c>
      <c r="B11" s="75">
        <v>0.06</v>
      </c>
      <c r="C11" s="75" t="s">
        <v>1701</v>
      </c>
      <c r="D11" s="481" t="s">
        <v>1706</v>
      </c>
      <c r="E11" s="481">
        <v>0.03</v>
      </c>
      <c r="F11" s="482" t="s">
        <v>224</v>
      </c>
      <c r="G11" s="75">
        <v>0.14000000000000001</v>
      </c>
      <c r="H11" s="75">
        <v>0.61</v>
      </c>
      <c r="I11" s="702">
        <v>0</v>
      </c>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row>
    <row r="12" spans="1:234">
      <c r="C12" s="29" t="s">
        <v>1701</v>
      </c>
      <c r="D12" s="473" t="s">
        <v>1708</v>
      </c>
      <c r="E12" s="473">
        <v>0.88</v>
      </c>
      <c r="F12" s="475" t="s">
        <v>224</v>
      </c>
      <c r="G12" s="29">
        <v>0.04</v>
      </c>
      <c r="H12" s="29">
        <v>0.61</v>
      </c>
      <c r="I12" s="100">
        <v>0</v>
      </c>
    </row>
    <row r="13" spans="1:234">
      <c r="C13" s="29" t="s">
        <v>1701</v>
      </c>
      <c r="D13" s="473" t="s">
        <v>1709</v>
      </c>
      <c r="E13" s="473">
        <v>0.09</v>
      </c>
      <c r="F13" s="475" t="s">
        <v>224</v>
      </c>
      <c r="G13" s="29">
        <v>0.06</v>
      </c>
      <c r="H13" s="29">
        <v>0.61</v>
      </c>
      <c r="I13" s="100">
        <v>0</v>
      </c>
    </row>
    <row r="14" spans="1:234" s="75" customFormat="1">
      <c r="A14" s="147" t="s">
        <v>58</v>
      </c>
      <c r="B14" s="75">
        <v>0.05</v>
      </c>
      <c r="C14" s="75" t="s">
        <v>1701</v>
      </c>
      <c r="D14" s="481" t="s">
        <v>1702</v>
      </c>
      <c r="E14" s="481">
        <v>0.4</v>
      </c>
      <c r="F14" s="482" t="s">
        <v>228</v>
      </c>
      <c r="G14" s="75">
        <v>0.45</v>
      </c>
      <c r="H14" s="75">
        <v>0.47</v>
      </c>
      <c r="I14" s="702">
        <v>0</v>
      </c>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row>
    <row r="15" spans="1:234">
      <c r="C15" s="29" t="s">
        <v>1701</v>
      </c>
      <c r="D15" s="473" t="s">
        <v>1706</v>
      </c>
      <c r="E15" s="473">
        <v>0.4</v>
      </c>
      <c r="F15" s="475" t="s">
        <v>228</v>
      </c>
      <c r="G15" s="29">
        <v>0.37</v>
      </c>
      <c r="H15" s="29">
        <v>0.47</v>
      </c>
      <c r="I15" s="100">
        <v>0</v>
      </c>
    </row>
    <row r="16" spans="1:234">
      <c r="C16" s="29" t="s">
        <v>1701</v>
      </c>
      <c r="D16" s="473" t="s">
        <v>1708</v>
      </c>
      <c r="E16" s="473">
        <v>0.1</v>
      </c>
      <c r="F16" s="475" t="s">
        <v>228</v>
      </c>
      <c r="G16" s="29">
        <v>0.28999999999999998</v>
      </c>
      <c r="H16" s="29">
        <v>0.47</v>
      </c>
      <c r="I16" s="100">
        <v>0</v>
      </c>
    </row>
    <row r="17" spans="1:234">
      <c r="C17" s="29" t="s">
        <v>1701</v>
      </c>
      <c r="D17" s="473" t="s">
        <v>1704</v>
      </c>
      <c r="E17" s="473">
        <v>0.1</v>
      </c>
      <c r="F17" s="475" t="s">
        <v>228</v>
      </c>
      <c r="G17" s="29">
        <v>0.4</v>
      </c>
      <c r="H17" s="29">
        <v>0.47</v>
      </c>
      <c r="I17" s="100">
        <v>0</v>
      </c>
    </row>
    <row r="18" spans="1:234" s="75" customFormat="1">
      <c r="A18" s="147" t="s">
        <v>64</v>
      </c>
      <c r="B18" s="75">
        <v>0.05</v>
      </c>
      <c r="C18" s="75" t="s">
        <v>1701</v>
      </c>
      <c r="D18" s="481" t="s">
        <v>1702</v>
      </c>
      <c r="E18" s="481">
        <v>1</v>
      </c>
      <c r="F18" s="482" t="s">
        <v>228</v>
      </c>
      <c r="G18" s="75">
        <v>1.1499999999999999</v>
      </c>
      <c r="H18" s="75">
        <v>0.36</v>
      </c>
      <c r="I18" s="702">
        <v>0</v>
      </c>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row>
    <row r="19" spans="1:234">
      <c r="D19" s="473"/>
      <c r="E19" s="473"/>
      <c r="F19" s="475"/>
      <c r="I19" s="100"/>
    </row>
    <row r="20" spans="1:234" s="75" customFormat="1">
      <c r="A20" s="147" t="s">
        <v>70</v>
      </c>
      <c r="B20" s="75">
        <v>0.04</v>
      </c>
      <c r="C20" s="75" t="s">
        <v>1701</v>
      </c>
      <c r="D20" s="481" t="s">
        <v>1706</v>
      </c>
      <c r="E20" s="481">
        <v>1</v>
      </c>
      <c r="F20" s="482" t="s">
        <v>1710</v>
      </c>
      <c r="G20" s="75">
        <v>0.09</v>
      </c>
      <c r="H20" s="75">
        <v>0.41</v>
      </c>
      <c r="I20" s="702">
        <v>0</v>
      </c>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row>
    <row r="21" spans="1:234">
      <c r="D21" s="473"/>
      <c r="E21" s="473"/>
      <c r="F21" s="475"/>
      <c r="I21" s="100"/>
    </row>
    <row r="22" spans="1:234" s="75" customFormat="1">
      <c r="A22" s="147" t="s">
        <v>76</v>
      </c>
      <c r="B22" s="75">
        <v>0.03</v>
      </c>
      <c r="C22" s="75" t="s">
        <v>1698</v>
      </c>
      <c r="D22" s="75" t="s">
        <v>218</v>
      </c>
      <c r="E22" s="290">
        <v>1</v>
      </c>
      <c r="F22" s="75" t="s">
        <v>122</v>
      </c>
      <c r="G22" s="75">
        <v>0</v>
      </c>
      <c r="H22" s="75">
        <v>0.61</v>
      </c>
      <c r="I22" s="702">
        <v>1.2</v>
      </c>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row>
    <row r="23" spans="1:234">
      <c r="E23" s="63"/>
      <c r="I23" s="100"/>
    </row>
    <row r="24" spans="1:234" s="75" customFormat="1">
      <c r="A24" s="147" t="s">
        <v>81</v>
      </c>
      <c r="B24" s="75">
        <v>0.02</v>
      </c>
      <c r="C24" s="75" t="s">
        <v>1701</v>
      </c>
      <c r="D24" s="481" t="s">
        <v>1702</v>
      </c>
      <c r="E24" s="481">
        <v>0.5</v>
      </c>
      <c r="F24" s="75" t="s">
        <v>1711</v>
      </c>
      <c r="G24" s="75">
        <v>0.81</v>
      </c>
      <c r="H24" s="75">
        <v>0.1</v>
      </c>
      <c r="I24" s="702">
        <v>0</v>
      </c>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row>
    <row r="25" spans="1:234">
      <c r="C25" s="29" t="s">
        <v>1701</v>
      </c>
      <c r="D25" s="473" t="s">
        <v>1704</v>
      </c>
      <c r="E25" s="473">
        <v>0.5</v>
      </c>
      <c r="F25" s="29" t="s">
        <v>1711</v>
      </c>
      <c r="G25" s="29">
        <v>0.41</v>
      </c>
      <c r="H25" s="29">
        <v>0.1</v>
      </c>
      <c r="I25" s="100">
        <v>0</v>
      </c>
    </row>
    <row r="26" spans="1:234" s="75" customFormat="1">
      <c r="A26" s="147" t="s">
        <v>232</v>
      </c>
      <c r="B26" s="75">
        <v>0.02</v>
      </c>
      <c r="C26" s="75" t="s">
        <v>1698</v>
      </c>
      <c r="D26" s="75" t="s">
        <v>218</v>
      </c>
      <c r="E26" s="290">
        <v>1</v>
      </c>
      <c r="F26" s="75" t="s">
        <v>233</v>
      </c>
      <c r="G26" s="75">
        <v>0</v>
      </c>
      <c r="H26" s="75">
        <v>0.34</v>
      </c>
      <c r="I26" s="702">
        <v>1.8</v>
      </c>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row>
    <row r="27" spans="1:234">
      <c r="E27" s="63"/>
      <c r="I27" s="100"/>
    </row>
    <row r="28" spans="1:234" s="75" customFormat="1">
      <c r="A28" s="147" t="s">
        <v>89</v>
      </c>
      <c r="B28" s="75">
        <v>0.02</v>
      </c>
      <c r="C28" s="75" t="s">
        <v>1701</v>
      </c>
      <c r="D28" s="481" t="s">
        <v>1702</v>
      </c>
      <c r="E28" s="290">
        <v>0.5</v>
      </c>
      <c r="F28" s="482" t="s">
        <v>235</v>
      </c>
      <c r="G28" s="75">
        <v>2.71</v>
      </c>
      <c r="H28" s="75">
        <v>0.49</v>
      </c>
      <c r="I28" s="702">
        <v>0</v>
      </c>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row>
    <row r="29" spans="1:234">
      <c r="C29" s="29" t="s">
        <v>1701</v>
      </c>
      <c r="D29" s="473" t="s">
        <v>1712</v>
      </c>
      <c r="E29" s="473">
        <v>0.5</v>
      </c>
      <c r="F29" s="475" t="s">
        <v>235</v>
      </c>
      <c r="G29" s="29">
        <v>2.71</v>
      </c>
      <c r="H29" s="29">
        <v>0.49</v>
      </c>
      <c r="I29" s="100">
        <v>0</v>
      </c>
    </row>
    <row r="30" spans="1:234" s="75" customFormat="1">
      <c r="A30" s="147" t="s">
        <v>1713</v>
      </c>
      <c r="B30" s="75">
        <v>0.01</v>
      </c>
      <c r="C30" s="75" t="s">
        <v>1701</v>
      </c>
      <c r="D30" s="481" t="s">
        <v>1702</v>
      </c>
      <c r="E30" s="481">
        <v>0.5</v>
      </c>
      <c r="F30" s="482" t="s">
        <v>414</v>
      </c>
      <c r="G30" s="75">
        <v>0.67</v>
      </c>
      <c r="H30" s="75">
        <v>0.53</v>
      </c>
      <c r="I30" s="702">
        <v>0</v>
      </c>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row>
    <row r="31" spans="1:234">
      <c r="C31" s="29" t="s">
        <v>1701</v>
      </c>
      <c r="D31" s="473" t="s">
        <v>1706</v>
      </c>
      <c r="E31" s="473">
        <v>0.5</v>
      </c>
      <c r="F31" s="475" t="s">
        <v>414</v>
      </c>
      <c r="G31" s="29">
        <v>0.68</v>
      </c>
      <c r="H31" s="29">
        <v>0.53</v>
      </c>
      <c r="I31" s="100">
        <v>0</v>
      </c>
    </row>
    <row r="32" spans="1:234" s="75" customFormat="1">
      <c r="A32" s="75" t="s">
        <v>1714</v>
      </c>
      <c r="B32" s="75">
        <v>0.06</v>
      </c>
      <c r="C32" s="75" t="s">
        <v>1701</v>
      </c>
      <c r="D32" s="481" t="s">
        <v>1715</v>
      </c>
      <c r="E32" s="75">
        <v>1</v>
      </c>
      <c r="F32" s="482" t="s">
        <v>134</v>
      </c>
      <c r="G32" s="481" t="s">
        <v>1715</v>
      </c>
      <c r="H32" s="481" t="s">
        <v>1715</v>
      </c>
      <c r="I32" s="703">
        <v>0</v>
      </c>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row>
    <row r="33" spans="1:234">
      <c r="A33" s="29"/>
      <c r="D33" s="473"/>
      <c r="F33" s="475"/>
      <c r="G33" s="473"/>
      <c r="H33" s="473"/>
      <c r="I33" s="704"/>
    </row>
    <row r="34" spans="1:234" s="75" customFormat="1">
      <c r="A34" s="705" t="s">
        <v>1714</v>
      </c>
      <c r="B34" s="705">
        <v>0.02</v>
      </c>
      <c r="C34" s="706" t="s">
        <v>1698</v>
      </c>
      <c r="D34" s="707" t="s">
        <v>1716</v>
      </c>
      <c r="E34" s="705">
        <v>1</v>
      </c>
      <c r="F34" s="708" t="s">
        <v>134</v>
      </c>
      <c r="G34" s="707" t="s">
        <v>1716</v>
      </c>
      <c r="H34" s="707" t="s">
        <v>1716</v>
      </c>
      <c r="I34" s="709" t="s">
        <v>1716</v>
      </c>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row>
    <row r="35" spans="1:234">
      <c r="A35" s="150" t="s">
        <v>1717</v>
      </c>
      <c r="I35" s="475"/>
    </row>
    <row r="36" spans="1:234">
      <c r="A36" s="150" t="s">
        <v>1718</v>
      </c>
      <c r="I36" s="475"/>
    </row>
    <row r="37" spans="1:234">
      <c r="A37" s="44" t="s">
        <v>1719</v>
      </c>
      <c r="I37" s="475"/>
    </row>
    <row r="38" spans="1:234">
      <c r="A38" s="44" t="s">
        <v>1720</v>
      </c>
      <c r="I38" s="475"/>
    </row>
    <row r="39" spans="1:234">
      <c r="A39" s="114" t="s">
        <v>1721</v>
      </c>
      <c r="I39" s="475"/>
    </row>
    <row r="40" spans="1:234" ht="15">
      <c r="A40" s="29"/>
      <c r="E40" s="54"/>
      <c r="I40" s="475"/>
    </row>
    <row r="41" spans="1:234">
      <c r="A41" s="23" t="s">
        <v>1722</v>
      </c>
    </row>
    <row r="42" spans="1:234">
      <c r="A42" s="580" t="s">
        <v>1723</v>
      </c>
      <c r="B42" s="710">
        <v>3.2255913184966292</v>
      </c>
      <c r="C42" s="23" t="s">
        <v>608</v>
      </c>
    </row>
    <row r="43" spans="1:234">
      <c r="A43" s="28" t="s">
        <v>1724</v>
      </c>
      <c r="B43" s="32">
        <v>1.4288281881064493E-3</v>
      </c>
      <c r="C43" s="114" t="s">
        <v>1725</v>
      </c>
    </row>
    <row r="44" spans="1:234">
      <c r="A44" s="33" t="s">
        <v>1726</v>
      </c>
      <c r="B44" s="162">
        <v>8.667289633473556E-5</v>
      </c>
    </row>
    <row r="45" spans="1:234">
      <c r="A45" s="114" t="s">
        <v>1727</v>
      </c>
      <c r="D45" s="155"/>
    </row>
    <row r="46" spans="1:234">
      <c r="A46" s="114"/>
      <c r="D46" s="155"/>
    </row>
    <row r="47" spans="1:234">
      <c r="A47" s="109" t="s">
        <v>1728</v>
      </c>
    </row>
    <row r="48" spans="1:234">
      <c r="A48" s="580"/>
      <c r="B48" s="61" t="s">
        <v>1729</v>
      </c>
      <c r="C48" s="98" t="s">
        <v>1730</v>
      </c>
      <c r="D48" s="23" t="s">
        <v>608</v>
      </c>
    </row>
    <row r="49" spans="1:6">
      <c r="A49" s="33" t="s">
        <v>1731</v>
      </c>
      <c r="B49" s="34">
        <f>0.023*10^-3</f>
        <v>2.3E-5</v>
      </c>
      <c r="C49" s="531">
        <f>0.24*10^-3</f>
        <v>2.4000000000000001E-4</v>
      </c>
      <c r="D49" s="114" t="s">
        <v>1732</v>
      </c>
    </row>
    <row r="50" spans="1:6">
      <c r="A50" s="150" t="s">
        <v>1733</v>
      </c>
    </row>
    <row r="51" spans="1:6">
      <c r="A51" s="150" t="s">
        <v>1734</v>
      </c>
    </row>
    <row r="52" spans="1:6">
      <c r="A52" s="150" t="s">
        <v>1735</v>
      </c>
    </row>
    <row r="53" spans="1:6">
      <c r="A53" s="29"/>
    </row>
    <row r="54" spans="1:6">
      <c r="A54" s="197" t="s">
        <v>1736</v>
      </c>
    </row>
    <row r="55" spans="1:6">
      <c r="A55" s="580"/>
      <c r="B55" s="61" t="s">
        <v>32</v>
      </c>
      <c r="C55" s="61" t="s">
        <v>1737</v>
      </c>
      <c r="D55" s="61" t="s">
        <v>232</v>
      </c>
      <c r="E55" s="582"/>
      <c r="F55" s="23" t="s">
        <v>608</v>
      </c>
    </row>
    <row r="56" spans="1:6">
      <c r="A56" s="109" t="s">
        <v>1738</v>
      </c>
      <c r="B56" s="14">
        <v>0.09</v>
      </c>
      <c r="C56" s="14">
        <v>0.09</v>
      </c>
      <c r="D56" s="14">
        <v>0.05</v>
      </c>
      <c r="E56" s="100" t="s">
        <v>1739</v>
      </c>
      <c r="F56" s="44" t="s">
        <v>1740</v>
      </c>
    </row>
    <row r="57" spans="1:6">
      <c r="A57" s="111" t="s">
        <v>1741</v>
      </c>
      <c r="B57" s="22">
        <v>0.11</v>
      </c>
      <c r="C57" s="22">
        <v>0.11</v>
      </c>
      <c r="D57" s="22">
        <v>0.05</v>
      </c>
      <c r="E57" s="699" t="s">
        <v>1739</v>
      </c>
    </row>
    <row r="58" spans="1:6">
      <c r="A58" s="44" t="s">
        <v>1742</v>
      </c>
      <c r="B58" s="30"/>
      <c r="C58" s="30"/>
    </row>
    <row r="59" spans="1:6">
      <c r="A59" s="44"/>
      <c r="B59" s="30"/>
      <c r="C59" s="30"/>
    </row>
    <row r="60" spans="1:6">
      <c r="A60" s="23" t="s">
        <v>1743</v>
      </c>
      <c r="B60" s="30"/>
      <c r="C60" s="30"/>
    </row>
    <row r="61" spans="1:6">
      <c r="A61" s="23"/>
      <c r="B61" s="30"/>
      <c r="C61" s="30"/>
    </row>
    <row r="62" spans="1:6">
      <c r="A62" s="105" t="s">
        <v>1744</v>
      </c>
      <c r="B62" s="30"/>
      <c r="C62" s="30"/>
    </row>
    <row r="63" spans="1:6">
      <c r="A63" s="580"/>
      <c r="B63" s="61" t="s">
        <v>32</v>
      </c>
      <c r="C63" s="61" t="s">
        <v>1737</v>
      </c>
      <c r="D63" s="61" t="s">
        <v>232</v>
      </c>
      <c r="E63" s="582"/>
      <c r="F63" s="23" t="s">
        <v>608</v>
      </c>
    </row>
    <row r="64" spans="1:6">
      <c r="A64" s="109" t="s">
        <v>1745</v>
      </c>
      <c r="B64" s="30"/>
      <c r="C64" s="30"/>
      <c r="E64" s="100"/>
      <c r="F64" s="44" t="s">
        <v>1746</v>
      </c>
    </row>
    <row r="65" spans="1:10">
      <c r="B65" s="31">
        <v>0.9888912653304982</v>
      </c>
      <c r="C65" s="31">
        <v>0.9888912653304982</v>
      </c>
      <c r="D65" s="31">
        <v>0.64277932246482383</v>
      </c>
      <c r="E65" s="100" t="s">
        <v>1747</v>
      </c>
      <c r="F65" s="44" t="s">
        <v>1748</v>
      </c>
    </row>
    <row r="66" spans="1:10">
      <c r="B66" s="31">
        <v>2.2632269631856647E-4</v>
      </c>
      <c r="C66" s="31">
        <v>2.2632269631856647E-4</v>
      </c>
      <c r="D66" s="31">
        <v>1.471097526070682E-4</v>
      </c>
      <c r="E66" s="100" t="s">
        <v>1749</v>
      </c>
    </row>
    <row r="67" spans="1:10">
      <c r="B67" s="31">
        <v>9.5451956118274017E-4</v>
      </c>
      <c r="C67" s="31">
        <v>9.5451956118274017E-4</v>
      </c>
      <c r="D67" s="31">
        <v>6.2043771476878111E-4</v>
      </c>
      <c r="E67" s="100" t="s">
        <v>1750</v>
      </c>
    </row>
    <row r="68" spans="1:10">
      <c r="A68" s="109" t="s">
        <v>298</v>
      </c>
      <c r="B68" s="31"/>
      <c r="D68" s="31"/>
      <c r="E68" s="100"/>
    </row>
    <row r="69" spans="1:10">
      <c r="B69" s="31">
        <v>0</v>
      </c>
      <c r="C69" s="31">
        <v>0</v>
      </c>
      <c r="D69" s="31">
        <v>0</v>
      </c>
      <c r="E69" s="100" t="s">
        <v>1747</v>
      </c>
    </row>
    <row r="70" spans="1:10">
      <c r="B70" s="31">
        <v>0</v>
      </c>
      <c r="C70" s="31">
        <v>0</v>
      </c>
      <c r="D70" s="31">
        <v>0</v>
      </c>
      <c r="E70" s="100" t="s">
        <v>1749</v>
      </c>
    </row>
    <row r="71" spans="1:10">
      <c r="A71" s="33"/>
      <c r="B71" s="35">
        <v>2.412640717322868E-3</v>
      </c>
      <c r="C71" s="35">
        <v>2.412640717322868E-3</v>
      </c>
      <c r="D71" s="35">
        <v>1.5682164662598644E-3</v>
      </c>
      <c r="E71" s="531" t="s">
        <v>1750</v>
      </c>
    </row>
    <row r="72" spans="1:10">
      <c r="A72" s="29"/>
    </row>
    <row r="73" spans="1:10">
      <c r="A73" s="105" t="s">
        <v>1751</v>
      </c>
    </row>
    <row r="74" spans="1:10" s="23" customFormat="1">
      <c r="A74" s="576"/>
      <c r="B74" s="171" t="s">
        <v>930</v>
      </c>
      <c r="C74" s="171" t="s">
        <v>932</v>
      </c>
      <c r="D74" s="171" t="s">
        <v>933</v>
      </c>
      <c r="E74" s="171" t="s">
        <v>934</v>
      </c>
      <c r="F74" s="171" t="s">
        <v>935</v>
      </c>
      <c r="G74" s="171"/>
      <c r="H74" s="171"/>
      <c r="I74" s="171" t="s">
        <v>990</v>
      </c>
      <c r="J74" s="262" t="s">
        <v>937</v>
      </c>
    </row>
    <row r="75" spans="1:10" s="23" customFormat="1">
      <c r="A75" s="109"/>
      <c r="F75" s="23" t="s">
        <v>122</v>
      </c>
      <c r="G75" s="23" t="s">
        <v>217</v>
      </c>
      <c r="H75" s="23" t="s">
        <v>233</v>
      </c>
      <c r="J75" s="626"/>
    </row>
    <row r="76" spans="1:10">
      <c r="A76" s="28" t="s">
        <v>1259</v>
      </c>
      <c r="B76" s="31">
        <v>0</v>
      </c>
      <c r="C76" s="31">
        <v>0</v>
      </c>
      <c r="D76" s="31">
        <v>0</v>
      </c>
      <c r="E76" s="31">
        <v>0</v>
      </c>
      <c r="F76" s="31">
        <v>0</v>
      </c>
      <c r="G76" s="29">
        <v>0</v>
      </c>
      <c r="H76" s="29">
        <v>0</v>
      </c>
      <c r="I76" s="31">
        <v>0</v>
      </c>
      <c r="J76" s="32">
        <v>0</v>
      </c>
    </row>
    <row r="77" spans="1:10">
      <c r="A77" s="28" t="s">
        <v>1260</v>
      </c>
      <c r="B77" s="31">
        <v>0</v>
      </c>
      <c r="C77" s="31">
        <v>0</v>
      </c>
      <c r="D77" s="31">
        <v>0</v>
      </c>
      <c r="E77" s="31">
        <v>0</v>
      </c>
      <c r="F77" s="31">
        <v>0</v>
      </c>
      <c r="G77" s="29">
        <v>0</v>
      </c>
      <c r="H77" s="29">
        <v>0</v>
      </c>
      <c r="I77" s="31">
        <v>0</v>
      </c>
      <c r="J77" s="32">
        <v>0</v>
      </c>
    </row>
    <row r="78" spans="1:10">
      <c r="A78" s="28" t="s">
        <v>1752</v>
      </c>
      <c r="B78" s="31">
        <v>3.2916947144928419</v>
      </c>
      <c r="C78" s="31">
        <v>6.4523947598083151E-2</v>
      </c>
      <c r="D78" s="31">
        <v>1.011426776710587E-2</v>
      </c>
      <c r="E78" s="31">
        <v>6.2369446038920209E-2</v>
      </c>
      <c r="F78" s="31">
        <v>7.7936133129481974E-10</v>
      </c>
      <c r="G78" s="29">
        <v>7.7936133129481974E-10</v>
      </c>
      <c r="H78" s="29">
        <v>7.7936133129481974E-10</v>
      </c>
      <c r="I78" s="31">
        <v>5.7023544135234832E-4</v>
      </c>
      <c r="J78" s="32">
        <v>9.6656269337992126E-5</v>
      </c>
    </row>
    <row r="79" spans="1:10">
      <c r="A79" s="28" t="s">
        <v>1248</v>
      </c>
      <c r="B79" s="31">
        <v>0.76526136857346172</v>
      </c>
      <c r="C79" s="31">
        <v>9.0702934938670689E-3</v>
      </c>
      <c r="D79" s="31">
        <v>8.3313355104028296E-4</v>
      </c>
      <c r="E79" s="31">
        <v>8.288087822804104E-6</v>
      </c>
      <c r="F79" s="31">
        <v>5.4133786212416719E-12</v>
      </c>
      <c r="G79" s="29">
        <v>8.6554909650463528E-12</v>
      </c>
      <c r="H79" s="29">
        <v>5.5838508783374779E-10</v>
      </c>
      <c r="I79" s="31">
        <v>4.7279912692499918E-5</v>
      </c>
      <c r="J79" s="32">
        <v>5.4710208348575178E-4</v>
      </c>
    </row>
    <row r="80" spans="1:10">
      <c r="A80" s="28" t="s">
        <v>679</v>
      </c>
      <c r="B80" s="31">
        <v>1.8863431406832123</v>
      </c>
      <c r="C80" s="31">
        <v>2.2386389075442131E-2</v>
      </c>
      <c r="D80" s="31">
        <v>3.1788672487127827E-3</v>
      </c>
      <c r="E80" s="31">
        <v>6.6714549479954671E-2</v>
      </c>
      <c r="F80" s="31">
        <v>5.2458315815917983E-10</v>
      </c>
      <c r="G80" s="29">
        <v>5.2458315815917983E-10</v>
      </c>
      <c r="H80" s="29">
        <v>5.2458315815917983E-10</v>
      </c>
      <c r="I80" s="31">
        <v>2.3057980747705396E-4</v>
      </c>
      <c r="J80" s="32">
        <v>5.4643010932411561E-4</v>
      </c>
    </row>
    <row r="81" spans="1:10">
      <c r="A81" s="28" t="s">
        <v>1255</v>
      </c>
      <c r="B81" s="31">
        <v>3.4079539036640161</v>
      </c>
      <c r="C81" s="31">
        <v>2.4649958528599483E-2</v>
      </c>
      <c r="D81" s="31">
        <v>7.1567031976944341E-3</v>
      </c>
      <c r="E81" s="31">
        <v>0</v>
      </c>
      <c r="F81" s="31">
        <v>2.4107508312698664E-11</v>
      </c>
      <c r="G81" s="29">
        <v>3.8545672673174686E-11</v>
      </c>
      <c r="H81" s="29">
        <v>2.4866675857140446E-9</v>
      </c>
      <c r="I81" s="31">
        <v>3.4112843521040374E-4</v>
      </c>
      <c r="J81" s="32">
        <v>4.1089245822623225E-3</v>
      </c>
    </row>
    <row r="82" spans="1:10">
      <c r="A82" s="28" t="s">
        <v>175</v>
      </c>
      <c r="B82" s="31">
        <v>6.4851519279849308</v>
      </c>
      <c r="C82" s="31">
        <v>8.4146932651498293E-2</v>
      </c>
      <c r="D82" s="31">
        <v>8.5901668142934536E-3</v>
      </c>
      <c r="E82" s="31">
        <v>0</v>
      </c>
      <c r="F82" s="31">
        <v>4.5875284241645021E-11</v>
      </c>
      <c r="G82" s="29">
        <v>7.3350329998054866E-11</v>
      </c>
      <c r="H82" s="29">
        <v>4.7319939012123857E-9</v>
      </c>
      <c r="I82" s="31">
        <v>4.7152647531118825E-4</v>
      </c>
      <c r="J82" s="32">
        <v>4.4699561307554314E-3</v>
      </c>
    </row>
    <row r="83" spans="1:10">
      <c r="A83" s="28" t="s">
        <v>1261</v>
      </c>
      <c r="B83" s="31">
        <v>0</v>
      </c>
      <c r="C83" s="31">
        <v>0</v>
      </c>
      <c r="D83" s="31">
        <v>0</v>
      </c>
      <c r="E83" s="31">
        <v>0</v>
      </c>
      <c r="F83" s="31">
        <v>0</v>
      </c>
      <c r="G83" s="29">
        <v>0</v>
      </c>
      <c r="H83" s="29">
        <v>0</v>
      </c>
      <c r="I83" s="31">
        <v>0</v>
      </c>
      <c r="J83" s="32">
        <v>0</v>
      </c>
    </row>
    <row r="84" spans="1:10">
      <c r="A84" s="28" t="s">
        <v>1262</v>
      </c>
      <c r="B84" s="31">
        <v>0.74128139630961076</v>
      </c>
      <c r="C84" s="31">
        <v>6.7821509175278565E-3</v>
      </c>
      <c r="D84" s="31">
        <v>2.2122346014104661E-3</v>
      </c>
      <c r="E84" s="31">
        <v>0.11636731674387604</v>
      </c>
      <c r="F84" s="31">
        <v>5.2437468137023914E-12</v>
      </c>
      <c r="G84" s="29">
        <v>8.3842654180691994E-12</v>
      </c>
      <c r="H84" s="29">
        <v>5.4088772096187514E-10</v>
      </c>
      <c r="I84" s="31">
        <v>1.4257561653714662E-4</v>
      </c>
      <c r="J84" s="32">
        <v>1.9148490289053028E-4</v>
      </c>
    </row>
    <row r="85" spans="1:10">
      <c r="A85" s="28" t="s">
        <v>1264</v>
      </c>
      <c r="B85" s="31">
        <v>1.8863431406832123</v>
      </c>
      <c r="C85" s="31">
        <v>2.2386389075442131E-2</v>
      </c>
      <c r="D85" s="31">
        <v>3.1788672487127827E-3</v>
      </c>
      <c r="E85" s="31">
        <v>6.6714549479954671E-2</v>
      </c>
      <c r="F85" s="31">
        <v>1.3343793440319357E-11</v>
      </c>
      <c r="G85" s="29">
        <v>2.1335489653158111E-11</v>
      </c>
      <c r="H85" s="29">
        <v>1.3764001732616801E-9</v>
      </c>
      <c r="I85" s="31">
        <v>2.3057980747705396E-4</v>
      </c>
      <c r="J85" s="32">
        <v>5.4643010932411561E-4</v>
      </c>
    </row>
    <row r="86" spans="1:10">
      <c r="A86" s="28" t="s">
        <v>875</v>
      </c>
      <c r="B86" s="31">
        <v>2.2148281284955926</v>
      </c>
      <c r="C86" s="31">
        <v>2.9161361825069759E-2</v>
      </c>
      <c r="D86" s="31">
        <v>2.5155023613896601E-3</v>
      </c>
      <c r="E86" s="31">
        <v>0</v>
      </c>
      <c r="F86" s="31">
        <v>1.5667461775671462E-11</v>
      </c>
      <c r="G86" s="29">
        <v>2.5050820076100385E-11</v>
      </c>
      <c r="H86" s="29">
        <v>1.616084451475805E-9</v>
      </c>
      <c r="I86" s="31">
        <v>1.2584653689008186E-4</v>
      </c>
      <c r="J86" s="32">
        <v>1.6343050175061046E-3</v>
      </c>
    </row>
    <row r="87" spans="1:10">
      <c r="A87" s="33" t="s">
        <v>1265</v>
      </c>
      <c r="B87" s="35">
        <v>1.8798961564442616</v>
      </c>
      <c r="C87" s="35">
        <v>2.3918856651411802E-2</v>
      </c>
      <c r="D87" s="35">
        <v>3.4345220718508844E-3</v>
      </c>
      <c r="E87" s="35">
        <v>2.8379468166411671E-2</v>
      </c>
      <c r="F87" s="35">
        <v>1.5706618473991981E-10</v>
      </c>
      <c r="G87" s="34">
        <v>1.6436295091528925E-10</v>
      </c>
      <c r="H87" s="34">
        <v>1.4015959344348375E-9</v>
      </c>
      <c r="I87" s="35">
        <v>1.9634109390434331E-4</v>
      </c>
      <c r="J87" s="162">
        <v>1.1037535640805785E-3</v>
      </c>
    </row>
    <row r="88" spans="1:10">
      <c r="A88" s="29"/>
    </row>
    <row r="89" spans="1:10">
      <c r="A89" s="23" t="s">
        <v>1753</v>
      </c>
    </row>
    <row r="90" spans="1:10">
      <c r="A90" s="580"/>
      <c r="B90" s="61" t="s">
        <v>32</v>
      </c>
      <c r="C90" s="61" t="s">
        <v>1737</v>
      </c>
      <c r="D90" s="98" t="s">
        <v>232</v>
      </c>
      <c r="E90" s="23" t="s">
        <v>608</v>
      </c>
    </row>
    <row r="91" spans="1:10">
      <c r="A91" s="28" t="s">
        <v>1259</v>
      </c>
      <c r="B91" s="31">
        <v>0.12</v>
      </c>
      <c r="C91" s="31">
        <v>0.12</v>
      </c>
      <c r="D91" s="32">
        <v>2.2000000000000001E-3</v>
      </c>
      <c r="E91" s="44" t="s">
        <v>1754</v>
      </c>
    </row>
    <row r="92" spans="1:10">
      <c r="A92" s="28" t="s">
        <v>1260</v>
      </c>
      <c r="B92" s="31">
        <v>0.19</v>
      </c>
      <c r="C92" s="31">
        <v>0.19</v>
      </c>
      <c r="D92" s="32">
        <v>7.2999999999999995E-2</v>
      </c>
    </row>
    <row r="93" spans="1:10">
      <c r="A93" s="28" t="s">
        <v>1752</v>
      </c>
      <c r="B93" s="31">
        <v>0.247</v>
      </c>
      <c r="C93" s="31">
        <v>0.247</v>
      </c>
      <c r="D93" s="32">
        <v>0.379</v>
      </c>
    </row>
    <row r="94" spans="1:10">
      <c r="A94" s="28" t="s">
        <v>1248</v>
      </c>
      <c r="B94" s="31">
        <v>0.127</v>
      </c>
      <c r="C94" s="31">
        <v>0.127</v>
      </c>
      <c r="D94" s="32">
        <v>0</v>
      </c>
    </row>
    <row r="95" spans="1:10">
      <c r="A95" s="28" t="s">
        <v>679</v>
      </c>
      <c r="B95" s="31">
        <v>6.2E-2</v>
      </c>
      <c r="C95" s="31">
        <v>6.2E-2</v>
      </c>
      <c r="D95" s="32">
        <v>0</v>
      </c>
    </row>
    <row r="96" spans="1:10">
      <c r="A96" s="28" t="s">
        <v>1255</v>
      </c>
      <c r="B96" s="31">
        <v>2.1000000000000001E-2</v>
      </c>
      <c r="C96" s="31">
        <v>2.1000000000000001E-2</v>
      </c>
      <c r="D96" s="32">
        <v>0</v>
      </c>
    </row>
    <row r="97" spans="1:9">
      <c r="A97" s="28" t="s">
        <v>175</v>
      </c>
      <c r="B97" s="31">
        <v>0.19</v>
      </c>
      <c r="C97" s="31">
        <v>0.19</v>
      </c>
      <c r="D97" s="32">
        <v>0</v>
      </c>
    </row>
    <row r="98" spans="1:9">
      <c r="A98" s="28" t="s">
        <v>1261</v>
      </c>
      <c r="B98" s="31">
        <v>2.6999999999999996E-2</v>
      </c>
      <c r="C98" s="31">
        <v>2.6999999999999996E-2</v>
      </c>
      <c r="D98" s="32">
        <v>0</v>
      </c>
    </row>
    <row r="99" spans="1:9">
      <c r="A99" s="28" t="s">
        <v>1262</v>
      </c>
      <c r="B99" s="31">
        <v>0</v>
      </c>
      <c r="C99" s="31">
        <v>0</v>
      </c>
      <c r="D99" s="32">
        <v>0.32</v>
      </c>
    </row>
    <row r="100" spans="1:9">
      <c r="A100" s="28" t="s">
        <v>1264</v>
      </c>
      <c r="B100" s="31">
        <v>0</v>
      </c>
      <c r="C100" s="31">
        <v>0</v>
      </c>
      <c r="D100" s="32">
        <v>0.13500000000000001</v>
      </c>
    </row>
    <row r="101" spans="1:9">
      <c r="A101" s="28" t="s">
        <v>875</v>
      </c>
      <c r="B101" s="31">
        <v>0</v>
      </c>
      <c r="C101" s="31">
        <v>0</v>
      </c>
      <c r="D101" s="32">
        <v>5.800000000000001E-2</v>
      </c>
    </row>
    <row r="102" spans="1:9">
      <c r="A102" s="33" t="s">
        <v>1265</v>
      </c>
      <c r="B102" s="35">
        <v>1.5999999999999945E-2</v>
      </c>
      <c r="C102" s="35">
        <v>1.5999999999999945E-2</v>
      </c>
      <c r="D102" s="162">
        <v>3.2799999999999954E-2</v>
      </c>
    </row>
    <row r="103" spans="1:9">
      <c r="A103" s="44" t="s">
        <v>1742</v>
      </c>
    </row>
    <row r="104" spans="1:9">
      <c r="A104" s="44" t="s">
        <v>1755</v>
      </c>
    </row>
    <row r="105" spans="1:9">
      <c r="A105" s="44"/>
    </row>
    <row r="106" spans="1:9">
      <c r="A106" s="109" t="s">
        <v>1756</v>
      </c>
    </row>
    <row r="107" spans="1:9">
      <c r="A107" s="711" t="s">
        <v>1757</v>
      </c>
      <c r="B107" s="712">
        <v>0.62</v>
      </c>
      <c r="C107" s="23" t="s">
        <v>608</v>
      </c>
    </row>
    <row r="108" spans="1:9">
      <c r="C108" s="29" t="s">
        <v>1732</v>
      </c>
    </row>
    <row r="109" spans="1:9">
      <c r="A109" s="179" t="s">
        <v>1758</v>
      </c>
    </row>
    <row r="110" spans="1:9">
      <c r="A110" s="580"/>
      <c r="B110" s="171" t="s">
        <v>738</v>
      </c>
      <c r="C110" s="171" t="s">
        <v>1759</v>
      </c>
      <c r="D110" s="171" t="s">
        <v>145</v>
      </c>
      <c r="E110" s="171" t="s">
        <v>414</v>
      </c>
      <c r="F110" s="171" t="s">
        <v>149</v>
      </c>
      <c r="G110" s="171" t="s">
        <v>233</v>
      </c>
      <c r="H110" s="262" t="s">
        <v>135</v>
      </c>
      <c r="I110" s="23" t="s">
        <v>608</v>
      </c>
    </row>
    <row r="111" spans="1:9">
      <c r="A111" s="28" t="s">
        <v>32</v>
      </c>
      <c r="B111" s="29">
        <v>1</v>
      </c>
      <c r="H111" s="100"/>
      <c r="I111" s="44" t="s">
        <v>1760</v>
      </c>
    </row>
    <row r="112" spans="1:9">
      <c r="A112" s="28" t="s">
        <v>39</v>
      </c>
      <c r="B112" s="29">
        <v>0.86</v>
      </c>
      <c r="C112" s="29">
        <v>0.01</v>
      </c>
      <c r="D112" s="29">
        <v>0.13</v>
      </c>
      <c r="H112" s="100"/>
    </row>
    <row r="113" spans="1:10">
      <c r="A113" s="28" t="s">
        <v>46</v>
      </c>
      <c r="B113" s="29">
        <v>1</v>
      </c>
      <c r="H113" s="100"/>
    </row>
    <row r="114" spans="1:10">
      <c r="A114" s="28" t="s">
        <v>52</v>
      </c>
      <c r="B114" s="29">
        <v>0.77</v>
      </c>
      <c r="C114" s="29">
        <v>0.23</v>
      </c>
      <c r="H114" s="100"/>
    </row>
    <row r="115" spans="1:10">
      <c r="A115" s="28" t="s">
        <v>58</v>
      </c>
      <c r="B115" s="29">
        <v>1</v>
      </c>
      <c r="H115" s="100"/>
    </row>
    <row r="116" spans="1:10">
      <c r="A116" s="28" t="s">
        <v>64</v>
      </c>
      <c r="B116" s="29">
        <v>1</v>
      </c>
      <c r="H116" s="100"/>
    </row>
    <row r="117" spans="1:10">
      <c r="A117" s="28" t="s">
        <v>70</v>
      </c>
      <c r="B117" s="29">
        <v>0.19</v>
      </c>
      <c r="C117" s="29">
        <v>0.2</v>
      </c>
      <c r="D117" s="29">
        <v>0.42</v>
      </c>
      <c r="F117" s="29">
        <v>0.18</v>
      </c>
      <c r="H117" s="100">
        <v>0.01</v>
      </c>
    </row>
    <row r="118" spans="1:10">
      <c r="A118" s="28" t="s">
        <v>76</v>
      </c>
      <c r="B118" s="29">
        <v>1</v>
      </c>
      <c r="H118" s="100"/>
    </row>
    <row r="119" spans="1:10">
      <c r="A119" s="28" t="s">
        <v>81</v>
      </c>
      <c r="B119" s="29">
        <v>1</v>
      </c>
      <c r="H119" s="100"/>
    </row>
    <row r="120" spans="1:10">
      <c r="A120" s="28" t="s">
        <v>232</v>
      </c>
      <c r="B120" s="29">
        <v>0.04</v>
      </c>
      <c r="C120" s="29">
        <v>0.09</v>
      </c>
      <c r="G120" s="29">
        <v>0.87</v>
      </c>
      <c r="H120" s="100"/>
    </row>
    <row r="121" spans="1:10">
      <c r="A121" s="28" t="s">
        <v>89</v>
      </c>
      <c r="B121" s="29">
        <v>0.48</v>
      </c>
      <c r="C121" s="29">
        <v>0.52</v>
      </c>
      <c r="H121" s="100"/>
    </row>
    <row r="122" spans="1:10">
      <c r="A122" s="33" t="s">
        <v>1713</v>
      </c>
      <c r="B122" s="35">
        <v>0.1</v>
      </c>
      <c r="C122" s="35">
        <v>2.4E-2</v>
      </c>
      <c r="D122" s="35">
        <v>0.52400000000000002</v>
      </c>
      <c r="E122" s="35">
        <v>0.314</v>
      </c>
      <c r="F122" s="35"/>
      <c r="G122" s="35"/>
      <c r="H122" s="162">
        <v>3.7999999999999999E-2</v>
      </c>
    </row>
    <row r="123" spans="1:10">
      <c r="A123" s="29"/>
    </row>
    <row r="124" spans="1:10">
      <c r="A124" s="713" t="s">
        <v>1761</v>
      </c>
      <c r="B124" s="171" t="s">
        <v>1762</v>
      </c>
      <c r="C124" s="171" t="s">
        <v>125</v>
      </c>
      <c r="D124" s="171" t="s">
        <v>145</v>
      </c>
      <c r="E124" s="171" t="s">
        <v>414</v>
      </c>
      <c r="F124" s="171" t="s">
        <v>149</v>
      </c>
      <c r="G124" s="171" t="s">
        <v>233</v>
      </c>
      <c r="H124" s="262" t="s">
        <v>134</v>
      </c>
      <c r="I124" s="23" t="s">
        <v>608</v>
      </c>
      <c r="J124" s="473"/>
    </row>
    <row r="125" spans="1:10">
      <c r="A125" s="28" t="s">
        <v>32</v>
      </c>
      <c r="B125" s="29">
        <v>1</v>
      </c>
      <c r="H125" s="100"/>
      <c r="I125" s="44" t="s">
        <v>1760</v>
      </c>
    </row>
    <row r="126" spans="1:10">
      <c r="A126" s="28" t="s">
        <v>39</v>
      </c>
      <c r="B126" s="29">
        <v>0.82</v>
      </c>
      <c r="C126" s="29">
        <v>0.05</v>
      </c>
      <c r="D126" s="29">
        <v>0.13</v>
      </c>
      <c r="H126" s="100"/>
    </row>
    <row r="127" spans="1:10">
      <c r="A127" s="28" t="s">
        <v>46</v>
      </c>
      <c r="B127" s="29">
        <v>1</v>
      </c>
      <c r="H127" s="100"/>
    </row>
    <row r="128" spans="1:10">
      <c r="A128" s="28" t="s">
        <v>52</v>
      </c>
      <c r="B128" s="29">
        <v>0.77</v>
      </c>
      <c r="C128" s="29">
        <v>0.23</v>
      </c>
      <c r="F128" s="714"/>
      <c r="H128" s="100"/>
      <c r="J128" s="473"/>
    </row>
    <row r="129" spans="1:10">
      <c r="A129" s="28" t="s">
        <v>58</v>
      </c>
      <c r="B129" s="29">
        <v>1</v>
      </c>
      <c r="H129" s="100"/>
      <c r="J129" s="63"/>
    </row>
    <row r="130" spans="1:10">
      <c r="A130" s="28" t="s">
        <v>64</v>
      </c>
      <c r="B130" s="29">
        <v>1</v>
      </c>
      <c r="H130" s="100"/>
      <c r="I130" s="30"/>
      <c r="J130" s="473"/>
    </row>
    <row r="131" spans="1:10">
      <c r="A131" s="28" t="s">
        <v>70</v>
      </c>
      <c r="D131" s="29">
        <v>0.42</v>
      </c>
      <c r="F131" s="29">
        <v>0.57999999999999996</v>
      </c>
      <c r="H131" s="100"/>
      <c r="J131" s="63"/>
    </row>
    <row r="132" spans="1:10">
      <c r="A132" s="28" t="s">
        <v>76</v>
      </c>
      <c r="B132" s="29">
        <v>1</v>
      </c>
      <c r="H132" s="100"/>
      <c r="I132" s="30"/>
      <c r="J132" s="473"/>
    </row>
    <row r="133" spans="1:10">
      <c r="A133" s="28" t="s">
        <v>81</v>
      </c>
      <c r="B133" s="29">
        <v>1</v>
      </c>
      <c r="H133" s="100"/>
      <c r="J133" s="63"/>
    </row>
    <row r="134" spans="1:10">
      <c r="A134" s="28" t="s">
        <v>232</v>
      </c>
      <c r="G134" s="29">
        <v>1</v>
      </c>
      <c r="H134" s="100"/>
      <c r="J134" s="63"/>
    </row>
    <row r="135" spans="1:10">
      <c r="A135" s="28" t="s">
        <v>89</v>
      </c>
      <c r="B135" s="29">
        <v>0.34</v>
      </c>
      <c r="C135" s="29">
        <v>0.66</v>
      </c>
      <c r="H135" s="100"/>
      <c r="J135" s="63"/>
    </row>
    <row r="136" spans="1:10">
      <c r="A136" s="33" t="s">
        <v>1713</v>
      </c>
      <c r="B136" s="34"/>
      <c r="C136" s="34"/>
      <c r="D136" s="34"/>
      <c r="E136" s="34">
        <v>1</v>
      </c>
      <c r="F136" s="34"/>
      <c r="G136" s="34"/>
      <c r="H136" s="531"/>
      <c r="J136" s="473"/>
    </row>
    <row r="137" spans="1:10">
      <c r="A137" s="150" t="s">
        <v>1763</v>
      </c>
      <c r="J137" s="473"/>
    </row>
    <row r="138" spans="1:10">
      <c r="A138" s="29"/>
      <c r="J138" s="473"/>
    </row>
    <row r="139" spans="1:10">
      <c r="A139" s="29"/>
      <c r="I139" s="30"/>
      <c r="J139" s="473"/>
    </row>
    <row r="140" spans="1:10">
      <c r="A140" s="29"/>
    </row>
    <row r="141" spans="1:10">
      <c r="A141" s="114"/>
      <c r="C141" s="473"/>
      <c r="D141" s="473"/>
      <c r="F141" s="114"/>
      <c r="I141" s="475"/>
    </row>
    <row r="142" spans="1:10">
      <c r="I142" s="155"/>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39997558519241921"/>
  </sheetPr>
  <dimension ref="A1:DH320"/>
  <sheetViews>
    <sheetView zoomScaleNormal="55" workbookViewId="0">
      <pane xSplit="2" ySplit="4" topLeftCell="C230" activePane="bottomRight" state="frozen"/>
      <selection pane="topRight" activeCell="C1" sqref="C1"/>
      <selection pane="bottomLeft" activeCell="A5" sqref="A5"/>
      <selection pane="bottomRight" activeCell="A230" sqref="A230"/>
    </sheetView>
  </sheetViews>
  <sheetFormatPr defaultColWidth="8.7109375" defaultRowHeight="15"/>
  <cols>
    <col min="1" max="1" width="24.28515625" style="55" customWidth="1"/>
    <col min="2" max="2" width="72.28515625" style="55" customWidth="1"/>
    <col min="3" max="3" width="23.7109375" style="54" customWidth="1"/>
    <col min="4" max="4" width="13.7109375" style="54" bestFit="1" customWidth="1"/>
    <col min="5" max="5" width="11.42578125" style="96" bestFit="1" customWidth="1"/>
    <col min="6" max="6" width="12.7109375" style="96" customWidth="1"/>
    <col min="7" max="7" width="11.28515625" style="96" customWidth="1"/>
    <col min="8" max="8" width="24.28515625" style="96" bestFit="1" customWidth="1"/>
    <col min="9" max="9" width="13.7109375" style="96" bestFit="1" customWidth="1"/>
    <col min="10" max="10" width="12.7109375" style="96" bestFit="1" customWidth="1"/>
    <col min="11" max="11" width="38.42578125" style="96" bestFit="1" customWidth="1"/>
    <col min="12" max="12" width="18" style="54" bestFit="1" customWidth="1"/>
    <col min="13" max="14" width="12.7109375" style="189" bestFit="1" customWidth="1"/>
    <col min="15" max="15" width="11.42578125" style="189" customWidth="1"/>
    <col min="16" max="16" width="20.7109375" style="189" customWidth="1"/>
    <col min="17" max="17" width="22.42578125" style="189" customWidth="1"/>
    <col min="18" max="18" width="19.42578125" style="54" customWidth="1"/>
    <col min="19" max="19" width="17.7109375" style="54" customWidth="1"/>
    <col min="20" max="20" width="16.28515625" style="54" customWidth="1"/>
    <col min="21" max="21" width="20" style="54" customWidth="1"/>
    <col min="22" max="22" width="21.7109375" style="750" customWidth="1"/>
    <col min="23" max="23" width="15.42578125" customWidth="1"/>
    <col min="24" max="24" width="26.7109375" customWidth="1"/>
    <col min="25" max="25" width="23.28515625" customWidth="1"/>
    <col min="26" max="26" width="21.7109375" customWidth="1"/>
    <col min="27" max="27" width="24.42578125" customWidth="1"/>
    <col min="28" max="28" width="23.28515625" customWidth="1"/>
    <col min="29" max="32" width="15.7109375" customWidth="1"/>
    <col min="33" max="38" width="14.28515625" style="54" bestFit="1" customWidth="1"/>
    <col min="39" max="39" width="9.28515625"/>
    <col min="41" max="46" width="14.28515625" style="189" bestFit="1" customWidth="1"/>
    <col min="47" max="47" width="9.28515625"/>
    <col min="48" max="48" width="14.7109375" style="189" bestFit="1" customWidth="1"/>
    <col min="49" max="53" width="14.28515625" style="189" bestFit="1" customWidth="1"/>
    <col min="54" max="54" width="12.7109375" style="189" customWidth="1"/>
    <col min="55" max="55" width="14.7109375" style="189" bestFit="1" customWidth="1"/>
    <col min="56" max="56" width="14.28515625" style="189" bestFit="1" customWidth="1"/>
    <col min="57" max="60" width="14.7109375" style="189" bestFit="1" customWidth="1"/>
    <col min="61" max="61" width="14.42578125" style="189" customWidth="1"/>
    <col min="62" max="64" width="14.7109375" style="189" bestFit="1" customWidth="1"/>
    <col min="65" max="65" width="14" style="189" bestFit="1" customWidth="1"/>
    <col min="66" max="67" width="14.7109375" style="189" bestFit="1" customWidth="1"/>
    <col min="68" max="69" width="9.28515625"/>
    <col min="70" max="70" width="19.7109375" customWidth="1"/>
    <col min="71" max="74" width="9.28515625"/>
    <col min="75" max="75" width="15.42578125" customWidth="1"/>
    <col min="76" max="76" width="9.28515625"/>
    <col min="77" max="77" width="14.7109375" customWidth="1"/>
    <col min="78" max="78" width="13.28515625" customWidth="1"/>
    <col min="79" max="79" width="11.28515625" customWidth="1"/>
    <col min="80" max="80" width="11.42578125" customWidth="1"/>
    <col min="81" max="81" width="12.7109375" customWidth="1"/>
    <col min="82" max="82" width="12.42578125" customWidth="1"/>
    <col min="83" max="83" width="9.28515625"/>
    <col min="84" max="87" width="9.42578125" bestFit="1" customWidth="1"/>
    <col min="88" max="88" width="10.28515625" bestFit="1" customWidth="1"/>
    <col min="89" max="90" width="9.42578125" bestFit="1" customWidth="1"/>
    <col min="91" max="91" width="10.28515625" bestFit="1" customWidth="1"/>
    <col min="92" max="93" width="9.42578125" bestFit="1" customWidth="1"/>
    <col min="94" max="94" width="22.28515625" customWidth="1"/>
    <col min="95" max="95" width="10.42578125" bestFit="1" customWidth="1"/>
  </cols>
  <sheetData>
    <row r="1" spans="1:105">
      <c r="P1" s="54"/>
      <c r="Q1" s="54"/>
      <c r="R1" s="96"/>
      <c r="T1" s="189"/>
      <c r="U1" s="189"/>
      <c r="V1" s="189"/>
      <c r="W1" s="189"/>
      <c r="X1" s="189"/>
      <c r="Y1" s="54"/>
      <c r="Z1" s="54"/>
      <c r="AA1" s="54"/>
      <c r="AB1" s="54"/>
      <c r="AC1" s="750"/>
      <c r="AG1"/>
      <c r="AH1"/>
      <c r="AI1"/>
      <c r="AJ1"/>
      <c r="AK1"/>
      <c r="AL1"/>
      <c r="AO1" s="54"/>
      <c r="AP1" s="54"/>
      <c r="AQ1" s="54"/>
      <c r="AR1" s="54"/>
      <c r="AS1" s="54"/>
      <c r="AT1" s="54"/>
      <c r="BB1"/>
      <c r="BP1" s="189"/>
      <c r="BQ1" s="189"/>
      <c r="BR1" s="189"/>
      <c r="BS1" s="189"/>
      <c r="BT1" s="189"/>
      <c r="BU1" s="189"/>
      <c r="BV1" s="189"/>
    </row>
    <row r="2" spans="1:105">
      <c r="A2" s="785" t="s">
        <v>1764</v>
      </c>
      <c r="P2" s="54"/>
      <c r="Q2" s="54"/>
      <c r="R2" s="96"/>
      <c r="T2" s="189"/>
      <c r="U2" s="189"/>
      <c r="V2" s="189"/>
      <c r="W2" s="189"/>
      <c r="X2" s="189"/>
      <c r="Y2" s="54"/>
      <c r="Z2" s="54"/>
      <c r="AA2" s="54"/>
      <c r="AB2" s="54"/>
      <c r="AC2" s="824"/>
      <c r="AG2" s="805"/>
      <c r="AH2" s="805"/>
      <c r="AI2" s="805"/>
      <c r="AJ2" s="1076"/>
      <c r="AK2" s="1076"/>
      <c r="AL2" s="1076"/>
      <c r="AM2" s="1076"/>
      <c r="AN2" s="1076"/>
      <c r="AO2" s="1076"/>
      <c r="AP2" s="1076"/>
      <c r="AQ2" s="1041"/>
      <c r="AR2" s="268"/>
      <c r="AS2" s="268"/>
      <c r="AT2" s="54"/>
      <c r="BB2"/>
      <c r="BP2" s="189"/>
      <c r="BQ2" s="189"/>
      <c r="BR2" s="189"/>
      <c r="BS2" s="189"/>
      <c r="BT2" s="189"/>
      <c r="BU2" s="189"/>
      <c r="BV2" s="189"/>
      <c r="CM2" s="6" t="s">
        <v>1765</v>
      </c>
    </row>
    <row r="3" spans="1:105" ht="45">
      <c r="B3" s="54"/>
      <c r="P3" s="54"/>
      <c r="Q3" s="54"/>
      <c r="R3" s="96"/>
      <c r="T3" s="189"/>
      <c r="U3" s="778" t="s">
        <v>1766</v>
      </c>
      <c r="V3" s="189"/>
      <c r="W3" s="189"/>
      <c r="X3" s="189"/>
      <c r="Y3" s="189"/>
      <c r="Z3" s="189"/>
      <c r="AA3" s="54"/>
      <c r="AB3" s="291" t="s">
        <v>1767</v>
      </c>
      <c r="AC3" s="804" t="s">
        <v>1768</v>
      </c>
      <c r="AD3" s="291" t="s">
        <v>1769</v>
      </c>
      <c r="AE3" s="149" t="s">
        <v>608</v>
      </c>
      <c r="AG3"/>
      <c r="AH3"/>
      <c r="AI3"/>
      <c r="AJ3"/>
      <c r="AK3"/>
      <c r="AL3"/>
      <c r="AO3"/>
      <c r="AP3"/>
      <c r="AQ3" s="1077" t="s">
        <v>325</v>
      </c>
      <c r="AR3" s="291"/>
      <c r="AS3" s="291"/>
      <c r="AT3" s="291"/>
      <c r="AU3" s="291"/>
      <c r="AV3" s="1078"/>
      <c r="AW3"/>
      <c r="AX3" s="987" t="s">
        <v>278</v>
      </c>
      <c r="AY3" s="988"/>
      <c r="AZ3" s="988"/>
      <c r="BA3" s="988"/>
      <c r="BB3" s="988"/>
      <c r="BC3" s="989"/>
      <c r="BD3"/>
      <c r="BE3" s="987" t="s">
        <v>279</v>
      </c>
      <c r="BF3" s="988"/>
      <c r="BG3" s="988"/>
      <c r="BH3" s="988"/>
      <c r="BI3" s="988"/>
      <c r="BJ3" s="989"/>
      <c r="BK3" s="292"/>
      <c r="BL3" s="987" t="s">
        <v>280</v>
      </c>
      <c r="BM3" s="988"/>
      <c r="BN3" s="988"/>
      <c r="BO3" s="988"/>
      <c r="BP3" s="988"/>
      <c r="BQ3" s="989"/>
      <c r="BR3" s="189"/>
      <c r="BS3" s="987" t="s">
        <v>281</v>
      </c>
      <c r="BT3" s="988"/>
      <c r="BU3" s="988"/>
      <c r="BV3" s="988"/>
      <c r="BW3" s="988"/>
      <c r="BX3" s="989"/>
      <c r="BY3" s="189"/>
      <c r="BZ3" s="987" t="s">
        <v>282</v>
      </c>
      <c r="CA3" s="988"/>
      <c r="CB3" s="988"/>
      <c r="CC3" s="988"/>
      <c r="CD3" s="988"/>
      <c r="CF3" s="189"/>
      <c r="CG3" s="987" t="s">
        <v>283</v>
      </c>
      <c r="CH3" s="988"/>
      <c r="CI3" s="988"/>
      <c r="CJ3" s="988"/>
      <c r="CK3" s="988"/>
      <c r="CM3" s="1006" t="s">
        <v>419</v>
      </c>
    </row>
    <row r="4" spans="1:105" ht="106.5" customHeight="1">
      <c r="A4" s="786" t="s">
        <v>870</v>
      </c>
      <c r="B4" s="787" t="s">
        <v>1577</v>
      </c>
      <c r="C4" s="787" t="s">
        <v>107</v>
      </c>
      <c r="D4" s="787" t="s">
        <v>872</v>
      </c>
      <c r="E4" s="788" t="s">
        <v>1770</v>
      </c>
      <c r="F4" s="788" t="s">
        <v>1771</v>
      </c>
      <c r="G4" s="788" t="s">
        <v>1772</v>
      </c>
      <c r="H4" s="788" t="s">
        <v>1773</v>
      </c>
      <c r="I4" s="789" t="s">
        <v>1774</v>
      </c>
      <c r="J4" s="789" t="s">
        <v>1775</v>
      </c>
      <c r="K4" s="789" t="s">
        <v>1776</v>
      </c>
      <c r="L4" s="789" t="s">
        <v>1777</v>
      </c>
      <c r="M4" s="789" t="s">
        <v>1778</v>
      </c>
      <c r="N4" s="8" t="s">
        <v>1779</v>
      </c>
      <c r="O4" s="1138" t="s">
        <v>1780</v>
      </c>
      <c r="P4" s="784" t="s">
        <v>1781</v>
      </c>
      <c r="Q4" s="784" t="s">
        <v>1229</v>
      </c>
      <c r="R4" s="784" t="s">
        <v>1782</v>
      </c>
      <c r="S4" s="779" t="s">
        <v>1783</v>
      </c>
      <c r="T4" s="1134" t="s">
        <v>1784</v>
      </c>
      <c r="U4" s="780" t="s">
        <v>1312</v>
      </c>
      <c r="V4" s="780" t="s">
        <v>1313</v>
      </c>
      <c r="W4" s="780" t="s">
        <v>1314</v>
      </c>
      <c r="X4" s="780" t="s">
        <v>1315</v>
      </c>
      <c r="Y4" s="780" t="s">
        <v>1316</v>
      </c>
      <c r="Z4" s="787" t="s">
        <v>1243</v>
      </c>
      <c r="AA4" s="787" t="s">
        <v>1244</v>
      </c>
      <c r="AB4" s="779" t="s">
        <v>1245</v>
      </c>
      <c r="AC4" s="779" t="s">
        <v>1246</v>
      </c>
      <c r="AD4" s="787" t="s">
        <v>1785</v>
      </c>
      <c r="AE4" s="789" t="s">
        <v>1786</v>
      </c>
      <c r="AF4" s="789" t="s">
        <v>1539</v>
      </c>
      <c r="AG4" s="789" t="s">
        <v>1787</v>
      </c>
      <c r="AH4" s="789" t="s">
        <v>1788</v>
      </c>
      <c r="AI4" s="790" t="s">
        <v>420</v>
      </c>
      <c r="AJ4" s="784" t="s">
        <v>1427</v>
      </c>
      <c r="AK4" s="779" t="s">
        <v>1789</v>
      </c>
      <c r="AL4" s="268" t="s">
        <v>331</v>
      </c>
      <c r="AM4" s="780" t="s">
        <v>1790</v>
      </c>
      <c r="AN4" s="268" t="s">
        <v>1791</v>
      </c>
      <c r="AO4"/>
      <c r="AP4" s="1040" t="s">
        <v>429</v>
      </c>
      <c r="AQ4" s="804" t="s">
        <v>426</v>
      </c>
      <c r="AR4" s="804" t="s">
        <v>427</v>
      </c>
      <c r="AS4" s="1041" t="s">
        <v>428</v>
      </c>
      <c r="AT4" s="1041" t="s">
        <v>291</v>
      </c>
      <c r="AU4" s="1042" t="s">
        <v>292</v>
      </c>
      <c r="AV4"/>
      <c r="AW4" s="1043" t="s">
        <v>429</v>
      </c>
      <c r="AX4" s="268" t="s">
        <v>426</v>
      </c>
      <c r="AY4" s="268" t="s">
        <v>427</v>
      </c>
      <c r="AZ4" s="1008" t="s">
        <v>428</v>
      </c>
      <c r="BA4" s="1008" t="s">
        <v>291</v>
      </c>
      <c r="BB4" s="1044" t="s">
        <v>292</v>
      </c>
      <c r="BC4" s="196"/>
      <c r="BD4" s="1043" t="s">
        <v>429</v>
      </c>
      <c r="BE4" s="268" t="s">
        <v>426</v>
      </c>
      <c r="BF4" s="268" t="s">
        <v>427</v>
      </c>
      <c r="BG4" s="1008" t="s">
        <v>428</v>
      </c>
      <c r="BH4" s="1008" t="s">
        <v>291</v>
      </c>
      <c r="BI4" s="1044" t="s">
        <v>292</v>
      </c>
      <c r="BJ4" s="268"/>
      <c r="BK4" s="1043" t="s">
        <v>429</v>
      </c>
      <c r="BL4" s="268" t="s">
        <v>426</v>
      </c>
      <c r="BM4" s="268" t="s">
        <v>427</v>
      </c>
      <c r="BN4" s="1008" t="s">
        <v>428</v>
      </c>
      <c r="BO4" s="1008" t="s">
        <v>291</v>
      </c>
      <c r="BP4" s="1044" t="s">
        <v>292</v>
      </c>
      <c r="BQ4" s="268"/>
      <c r="BR4" s="1043" t="s">
        <v>429</v>
      </c>
      <c r="BS4" s="268" t="s">
        <v>426</v>
      </c>
      <c r="BT4" s="268" t="s">
        <v>427</v>
      </c>
      <c r="BU4" s="1008" t="s">
        <v>428</v>
      </c>
      <c r="BV4" s="1008" t="s">
        <v>291</v>
      </c>
      <c r="BW4" s="1044" t="s">
        <v>292</v>
      </c>
      <c r="BX4" s="268"/>
      <c r="BY4" s="1043" t="s">
        <v>429</v>
      </c>
      <c r="BZ4" s="268" t="s">
        <v>426</v>
      </c>
      <c r="CA4" s="268" t="s">
        <v>427</v>
      </c>
      <c r="CB4" s="1008" t="s">
        <v>428</v>
      </c>
      <c r="CC4" s="1008" t="s">
        <v>291</v>
      </c>
      <c r="CD4" s="1044" t="s">
        <v>292</v>
      </c>
      <c r="CF4" s="1043" t="s">
        <v>429</v>
      </c>
      <c r="CG4" s="268" t="s">
        <v>426</v>
      </c>
      <c r="CH4" s="268" t="s">
        <v>427</v>
      </c>
      <c r="CI4" s="1008" t="s">
        <v>428</v>
      </c>
      <c r="CJ4" s="1008" t="s">
        <v>291</v>
      </c>
      <c r="CK4" s="1044" t="s">
        <v>292</v>
      </c>
      <c r="CM4" s="135" t="s">
        <v>987</v>
      </c>
      <c r="CN4" s="135" t="s">
        <v>988</v>
      </c>
      <c r="CO4" s="135" t="s">
        <v>989</v>
      </c>
      <c r="CP4" s="135" t="s">
        <v>1792</v>
      </c>
      <c r="CQ4" s="835" t="s">
        <v>302</v>
      </c>
      <c r="CR4" s="835" t="s">
        <v>303</v>
      </c>
      <c r="CS4" s="835" t="s">
        <v>424</v>
      </c>
      <c r="CT4" s="835" t="s">
        <v>306</v>
      </c>
      <c r="CU4" s="1007" t="s">
        <v>307</v>
      </c>
      <c r="CV4" s="1007" t="s">
        <v>308</v>
      </c>
      <c r="CW4" s="1004" t="s">
        <v>291</v>
      </c>
      <c r="CX4" s="1005" t="s">
        <v>292</v>
      </c>
      <c r="CY4" s="863"/>
      <c r="CZ4" s="863"/>
      <c r="DA4" s="863"/>
    </row>
    <row r="5" spans="1:105">
      <c r="A5" s="791" t="s">
        <v>624</v>
      </c>
      <c r="B5" s="792" t="s">
        <v>120</v>
      </c>
      <c r="C5" s="792" t="s">
        <v>121</v>
      </c>
      <c r="D5" s="793">
        <v>0.99999999999999978</v>
      </c>
      <c r="E5" s="794">
        <f>$D$6*E6+$D$7*E7+$D$8*E8+$D$9*E9+$D$10*E10+$D$11*E11</f>
        <v>5411.0048385590117</v>
      </c>
      <c r="F5" s="794">
        <f>$D$6*F6+$D$7*F7+$D$8*F8+$D$9*F9+$D$10*F10+$D$11*F11</f>
        <v>99.205150804256547</v>
      </c>
      <c r="G5" s="794">
        <f>$D$6*G6+$D$7*G7+$D$8*G8+$D$9*G9+$D$10*G10+$D$11*G11</f>
        <v>24.013347782379547</v>
      </c>
      <c r="H5" s="794">
        <f>$D$6*H6+$D$7*H7+$D$8*H8+$D$9*H9+$D$10*H10+$D$11*H11</f>
        <v>61.181299328728791</v>
      </c>
      <c r="P5" s="798">
        <f>$D$6*P6+$D$7*P7+$D$8*P8+$D$9*P9+$D$10*P10+$D$11*P11</f>
        <v>69.999999999999986</v>
      </c>
      <c r="Q5" s="794">
        <f>$D$6*Q6+$D$7*Q7+$D$8*Q8+$D$9*Q9+$D$10*Q10+$D$11*Q11</f>
        <v>0</v>
      </c>
      <c r="R5" s="794">
        <v>6.7955061465719879</v>
      </c>
      <c r="S5" s="1009">
        <f>$D$6*S6+$D$7*S7+$D$8*S8+$D$9*S9+$D$10*S10+$D$11*S11</f>
        <v>4.2857710404608152E-5</v>
      </c>
      <c r="U5" s="795">
        <v>4.9926191507892986E-13</v>
      </c>
      <c r="V5" s="795">
        <v>7.6196994155457491E-13</v>
      </c>
      <c r="W5" s="795">
        <v>6.9410319174027288E-14</v>
      </c>
      <c r="X5" s="795">
        <v>7.1402612381482677E-15</v>
      </c>
      <c r="Y5" s="795">
        <v>1.5342896997034298E-12</v>
      </c>
      <c r="Z5" s="793">
        <f>$D$6*Z6+$D$7*Z7+$D$8*Z8+$D$9*Z9+$D$10*Z10+$D$11*Z11</f>
        <v>0.99999999999999978</v>
      </c>
      <c r="AA5" s="793">
        <f>$D$6*AA6+$D$7*AA7+$D$8*AA8+$D$9*AA9+$D$10*AA10+$D$11*AA11</f>
        <v>1.2987012987012985</v>
      </c>
      <c r="AB5" s="793">
        <f>$D$6*AB6+$D$7*AB7+$D$8*AB8+$D$9*AB9+$D$10*AB10+$D$11*AB11</f>
        <v>1.1818181818181817</v>
      </c>
      <c r="AC5" s="793">
        <f>$D$6*AC6+$D$7*AC7+$D$8*AC8+$D$9*AC9+$D$10*AC10+$D$11*AC11</f>
        <v>1.4027741953082942</v>
      </c>
      <c r="AD5" s="793">
        <f>$D$6*AD6+$D$7*AD7+$D$8*AD8+$D$9*AD9+$D$10*AD10+$D$11*AD11</f>
        <v>1.8703655937443922</v>
      </c>
      <c r="AE5" s="992"/>
      <c r="AF5" s="796"/>
      <c r="AG5" s="95"/>
      <c r="AH5" s="95"/>
      <c r="AI5" s="751"/>
      <c r="AJ5"/>
      <c r="AK5"/>
      <c r="AL5"/>
      <c r="AO5"/>
      <c r="AP5" s="79" t="e">
        <f>SUMPRODUCT($D6:$D11,'Grains, oil crops, sugar'!Y50:Y50)</f>
        <v>#VALUE!</v>
      </c>
      <c r="AQ5" s="79" t="e">
        <f>SUMPRODUCT($D6:$D11,'Grains, oil crops, sugar'!Z50:Z50)</f>
        <v>#VALUE!</v>
      </c>
      <c r="AR5" s="79" t="e">
        <f>SUMPRODUCT($D6:$D11,'Grains, oil crops, sugar'!AA50:AA50)</f>
        <v>#VALUE!</v>
      </c>
      <c r="AS5" s="79" t="e">
        <f>SUMPRODUCT($D6:$D11,'Grains, oil crops, sugar'!AB50:AB50)</f>
        <v>#VALUE!</v>
      </c>
      <c r="AT5" s="79" t="e">
        <f>SUMPRODUCT($D6:$D11,'Grains, oil crops, sugar'!AC50:AC50)</f>
        <v>#VALUE!</v>
      </c>
      <c r="AU5" s="79" t="e">
        <f>SUMPRODUCT($D6:$D11,'Grains, oil crops, sugar'!AD50:AD50)</f>
        <v>#VALUE!</v>
      </c>
      <c r="AV5"/>
      <c r="AW5" s="211" t="e">
        <f>SUMPRODUCT($D6:$D11,'Grains, oil crops, sugar'!AF50:AF50)</f>
        <v>#VALUE!</v>
      </c>
      <c r="AX5" s="211" t="e">
        <f>SUMPRODUCT($D6:$D11,'Grains, oil crops, sugar'!AG50:AG50)</f>
        <v>#VALUE!</v>
      </c>
      <c r="AY5" s="211" t="e">
        <f>SUMPRODUCT($D6:$D11,'Grains, oil crops, sugar'!AH50:AH50)</f>
        <v>#VALUE!</v>
      </c>
      <c r="AZ5" s="211" t="e">
        <f>SUMPRODUCT($D6:$D11,'Grains, oil crops, sugar'!AI50:AI50)</f>
        <v>#VALUE!</v>
      </c>
      <c r="BA5" s="211" t="e">
        <f>SUMPRODUCT($D6:$D11,'Grains, oil crops, sugar'!AJ50:AJ50)</f>
        <v>#VALUE!</v>
      </c>
      <c r="BB5" s="211" t="e">
        <f>SUMPRODUCT($D6:$D11,'Grains, oil crops, sugar'!AK50:AK50)</f>
        <v>#VALUE!</v>
      </c>
      <c r="BC5"/>
      <c r="BD5" s="211" t="e">
        <f>SUMPRODUCT($D6:$D11,'Grains, oil crops, sugar'!AM50:AM50)</f>
        <v>#VALUE!</v>
      </c>
      <c r="BE5" s="211" t="e">
        <f>SUMPRODUCT($D6:$D11,'Grains, oil crops, sugar'!AN50:AN50)</f>
        <v>#VALUE!</v>
      </c>
      <c r="BF5" s="211" t="e">
        <f>SUMPRODUCT($D6:$D11,'Grains, oil crops, sugar'!AO50:AO50)</f>
        <v>#VALUE!</v>
      </c>
      <c r="BG5" s="211" t="e">
        <f>SUMPRODUCT($D6:$D11,'Grains, oil crops, sugar'!AP50:AP50)</f>
        <v>#VALUE!</v>
      </c>
      <c r="BH5" s="211" t="e">
        <f>SUMPRODUCT($D6:$D11,'Grains, oil crops, sugar'!AQ50:AQ50)</f>
        <v>#VALUE!</v>
      </c>
      <c r="BI5" s="211" t="e">
        <f>SUMPRODUCT($D6:$D11,'Grains, oil crops, sugar'!AR50:AR50)</f>
        <v>#VALUE!</v>
      </c>
      <c r="BJ5" s="266"/>
      <c r="BK5" s="211" t="e">
        <f>SUMPRODUCT($D6:$D11,'Grains, oil crops, sugar'!AT50:AT50)</f>
        <v>#VALUE!</v>
      </c>
      <c r="BL5" s="211" t="e">
        <f>SUMPRODUCT($D6:$D11,'Grains, oil crops, sugar'!AU50:AU50)</f>
        <v>#VALUE!</v>
      </c>
      <c r="BM5" s="211" t="e">
        <f>SUMPRODUCT($D6:$D11,'Grains, oil crops, sugar'!AV50:AV50)</f>
        <v>#VALUE!</v>
      </c>
      <c r="BN5" s="211" t="e">
        <f>SUMPRODUCT($D6:$D11,'Grains, oil crops, sugar'!AW50:AW50)</f>
        <v>#VALUE!</v>
      </c>
      <c r="BO5" s="211" t="e">
        <f>SUMPRODUCT($D6:$D11,'Grains, oil crops, sugar'!AX50:AX50)</f>
        <v>#VALUE!</v>
      </c>
      <c r="BP5" s="211" t="e">
        <f>SUMPRODUCT($D6:$D11,'Grains, oil crops, sugar'!AY50:AY50)</f>
        <v>#VALUE!</v>
      </c>
      <c r="BQ5" s="189"/>
      <c r="BR5" s="211" t="e">
        <f>SUMPRODUCT($D6:$D11,'Grains, oil crops, sugar'!BA50:BA50)</f>
        <v>#VALUE!</v>
      </c>
      <c r="BS5" s="211" t="e">
        <f>SUMPRODUCT($D6:$D11,'Grains, oil crops, sugar'!BB50:BB50)</f>
        <v>#VALUE!</v>
      </c>
      <c r="BT5" s="211" t="e">
        <f>SUMPRODUCT($D6:$D11,'Grains, oil crops, sugar'!BC50:BC50)</f>
        <v>#VALUE!</v>
      </c>
      <c r="BU5" s="211" t="e">
        <f>SUMPRODUCT($D6:$D11,'Grains, oil crops, sugar'!BD50:BD50)</f>
        <v>#VALUE!</v>
      </c>
      <c r="BV5" s="211" t="e">
        <f>SUMPRODUCT($D6:$D11,'Grains, oil crops, sugar'!BE50:BE50)</f>
        <v>#VALUE!</v>
      </c>
      <c r="BW5" s="211" t="e">
        <f>SUMPRODUCT($D6:$D11,'Grains, oil crops, sugar'!BF50:BF50)</f>
        <v>#VALUE!</v>
      </c>
      <c r="BY5" s="211" t="e">
        <f>SUMPRODUCT($D6:$D11,'Grains, oil crops, sugar'!BH50:BH50)</f>
        <v>#VALUE!</v>
      </c>
      <c r="BZ5" s="211" t="e">
        <f>SUMPRODUCT($D6:$D11,'Grains, oil crops, sugar'!BI50:BI50)</f>
        <v>#VALUE!</v>
      </c>
      <c r="CA5" s="211" t="e">
        <f>SUMPRODUCT($D6:$D11,'Grains, oil crops, sugar'!BJ50:BJ50)</f>
        <v>#VALUE!</v>
      </c>
      <c r="CB5" s="211" t="e">
        <f>SUMPRODUCT($D6:$D11,'Grains, oil crops, sugar'!BK50:BK50)</f>
        <v>#VALUE!</v>
      </c>
      <c r="CC5" s="211" t="e">
        <f>SUMPRODUCT($D6:$D11,'Grains, oil crops, sugar'!BL50:BL50)</f>
        <v>#VALUE!</v>
      </c>
      <c r="CD5" s="211" t="e">
        <f>SUMPRODUCT($D6:$D11,'Grains, oil crops, sugar'!BM50:BM50)</f>
        <v>#VALUE!</v>
      </c>
      <c r="CF5" s="211" t="e">
        <f>SUMPRODUCT($D6:$D11,'Grains, oil crops, sugar'!BO50:BO50)</f>
        <v>#VALUE!</v>
      </c>
      <c r="CG5" s="211" t="e">
        <f>SUMPRODUCT($D6:$D11,'Grains, oil crops, sugar'!BP50:BP50)</f>
        <v>#VALUE!</v>
      </c>
      <c r="CH5" s="211" t="e">
        <f>SUMPRODUCT($D6:$D11,'Grains, oil crops, sugar'!BQ50:BQ50)</f>
        <v>#VALUE!</v>
      </c>
      <c r="CI5" s="211" t="e">
        <f>SUMPRODUCT($D6:$D11,'Grains, oil crops, sugar'!BR50:BR50)</f>
        <v>#VALUE!</v>
      </c>
      <c r="CJ5" s="211" t="e">
        <f>SUMPRODUCT($D6:$D11,'Grains, oil crops, sugar'!BS50:BS50)</f>
        <v>#VALUE!</v>
      </c>
      <c r="CK5" s="211" t="e">
        <f>SUMPRODUCT($D6:$D11,'Grains, oil crops, sugar'!BT50:BT50)</f>
        <v>#VALUE!</v>
      </c>
    </row>
    <row r="6" spans="1:105" s="177" customFormat="1" ht="45">
      <c r="A6" s="1343" t="s">
        <v>165</v>
      </c>
      <c r="B6" s="1344" t="s">
        <v>122</v>
      </c>
      <c r="C6" s="1344" t="s">
        <v>121</v>
      </c>
      <c r="D6" s="996">
        <v>0.20899264366725692</v>
      </c>
      <c r="E6" s="1137">
        <v>6730</v>
      </c>
      <c r="F6" s="1137">
        <v>143.33333333333334</v>
      </c>
      <c r="G6" s="1137">
        <v>19.333333333333332</v>
      </c>
      <c r="H6" s="1345">
        <f t="shared" ref="H6:H11" si="0">((E6*N6*I6)*(1-J6)*K6)+((E6*N6+(E6*N6*I6))*L6*1/O6*M6)</f>
        <v>69.630262500000001</v>
      </c>
      <c r="I6" s="1344">
        <v>1.3</v>
      </c>
      <c r="J6" s="1344">
        <v>0.12</v>
      </c>
      <c r="K6" s="1346">
        <v>6.0000000000000001E-3</v>
      </c>
      <c r="L6" s="1344">
        <v>0.23</v>
      </c>
      <c r="M6" s="1346">
        <v>8.9999999999999993E-3</v>
      </c>
      <c r="N6" s="990">
        <v>0.89</v>
      </c>
      <c r="O6" s="990">
        <v>1</v>
      </c>
      <c r="P6" s="1137">
        <v>70</v>
      </c>
      <c r="Q6" s="1137">
        <v>0</v>
      </c>
      <c r="R6" s="1137">
        <v>8.6666666666666661</v>
      </c>
      <c r="S6" s="1347">
        <v>0</v>
      </c>
      <c r="T6" s="1135">
        <v>0.625</v>
      </c>
      <c r="U6" s="1348">
        <v>4.9926191507892996E-13</v>
      </c>
      <c r="V6" s="1348">
        <v>7.6196994155457501E-13</v>
      </c>
      <c r="W6" s="1348">
        <v>6.9410319174027301E-14</v>
      </c>
      <c r="X6" s="1348">
        <v>7.1402612381482693E-15</v>
      </c>
      <c r="Y6" s="1348">
        <v>1.53428969970343E-12</v>
      </c>
      <c r="Z6" s="1135">
        <v>1</v>
      </c>
      <c r="AA6" s="1135">
        <f>Z6/'Common input data'!$C$42</f>
        <v>1.2987012987012987</v>
      </c>
      <c r="AB6" s="996">
        <f>AA6*'Common input data'!$D$42</f>
        <v>1.1818181818181819</v>
      </c>
      <c r="AC6" s="996">
        <f>AB6/(1-'Common input data'!$B$141)</f>
        <v>1.4027741953082944</v>
      </c>
      <c r="AD6" s="996">
        <f>AC6/(1-'Common input data'!$B$175)</f>
        <v>1.8703655937443926</v>
      </c>
      <c r="AE6" s="177" t="s">
        <v>1793</v>
      </c>
      <c r="AF6" s="1349" t="s">
        <v>1794</v>
      </c>
      <c r="AG6" s="1070" t="s">
        <v>1795</v>
      </c>
      <c r="AH6" s="177" t="s">
        <v>1796</v>
      </c>
      <c r="AI6" s="1350" t="s">
        <v>1797</v>
      </c>
      <c r="AK6" s="1351" t="s">
        <v>1798</v>
      </c>
      <c r="AL6" s="1026" t="s">
        <v>1799</v>
      </c>
      <c r="AM6" s="177" t="s">
        <v>1800</v>
      </c>
      <c r="AP6" s="293"/>
      <c r="AQ6" s="293"/>
      <c r="AR6" s="293"/>
      <c r="AS6" s="293"/>
      <c r="AT6" s="293"/>
      <c r="AV6" s="293"/>
      <c r="AW6" s="293"/>
      <c r="AX6" s="293"/>
      <c r="AY6" s="293"/>
      <c r="AZ6" s="293"/>
      <c r="BA6" s="293"/>
      <c r="BB6" s="293"/>
      <c r="BD6" s="293"/>
      <c r="BE6" s="293"/>
      <c r="BF6" s="293"/>
      <c r="BG6" s="293"/>
      <c r="BH6" s="293"/>
      <c r="BI6" s="293"/>
      <c r="BJ6" s="293"/>
      <c r="BK6" s="293"/>
      <c r="BL6" s="293"/>
      <c r="BM6" s="293"/>
      <c r="BN6" s="293"/>
      <c r="BO6" s="293"/>
    </row>
    <row r="7" spans="1:105" ht="45">
      <c r="A7" s="140" t="s">
        <v>166</v>
      </c>
      <c r="B7" s="106" t="s">
        <v>122</v>
      </c>
      <c r="C7" s="106" t="s">
        <v>121</v>
      </c>
      <c r="D7" s="435">
        <v>0.13278376621585189</v>
      </c>
      <c r="E7" s="797">
        <v>4294</v>
      </c>
      <c r="F7" s="797">
        <v>93</v>
      </c>
      <c r="G7" s="797">
        <v>27.333333333333332</v>
      </c>
      <c r="H7" s="178">
        <f t="shared" si="0"/>
        <v>48.978394559999998</v>
      </c>
      <c r="I7" s="55">
        <v>1.3</v>
      </c>
      <c r="J7" s="55">
        <v>0.1</v>
      </c>
      <c r="K7" s="55">
        <v>6.0000000000000001E-3</v>
      </c>
      <c r="L7" s="55">
        <v>0.28000000000000003</v>
      </c>
      <c r="M7" s="55">
        <v>8.9999999999999993E-3</v>
      </c>
      <c r="N7" s="29">
        <v>0.89</v>
      </c>
      <c r="O7" s="29">
        <v>1</v>
      </c>
      <c r="P7" s="797">
        <v>70</v>
      </c>
      <c r="Q7" s="797">
        <v>0</v>
      </c>
      <c r="R7" s="797">
        <v>7.666666666666667</v>
      </c>
      <c r="S7" s="1010">
        <v>0</v>
      </c>
      <c r="T7" s="54">
        <v>0.38</v>
      </c>
      <c r="U7" s="266">
        <v>4.9926191507892996E-13</v>
      </c>
      <c r="V7" s="266">
        <v>7.6196994155457501E-13</v>
      </c>
      <c r="W7" s="266">
        <v>6.9410319174027301E-14</v>
      </c>
      <c r="X7" s="266">
        <v>7.1402612381482693E-15</v>
      </c>
      <c r="Y7" s="266">
        <v>1.53428969970343E-12</v>
      </c>
      <c r="Z7" s="54">
        <v>1</v>
      </c>
      <c r="AA7" s="54">
        <f>Z7/'Common input data'!$C$42</f>
        <v>1.2987012987012987</v>
      </c>
      <c r="AB7" s="435">
        <f>AA7*'Common input data'!$D$42</f>
        <v>1.1818181818181819</v>
      </c>
      <c r="AC7" s="435">
        <f>AB7/(1-'Common input data'!$B$141)</f>
        <v>1.4027741953082944</v>
      </c>
      <c r="AD7" s="435">
        <f>AC7/(1-'Common input data'!$B$175)</f>
        <v>1.8703655937443926</v>
      </c>
      <c r="AE7" t="s">
        <v>1793</v>
      </c>
      <c r="AF7" s="1123" t="s">
        <v>1794</v>
      </c>
      <c r="AG7" s="549" t="s">
        <v>1795</v>
      </c>
      <c r="AH7" t="s">
        <v>1796</v>
      </c>
      <c r="AI7" s="64" t="s">
        <v>1797</v>
      </c>
      <c r="AJ7"/>
      <c r="AK7" s="1118" t="s">
        <v>1798</v>
      </c>
      <c r="AL7" s="114" t="s">
        <v>1799</v>
      </c>
      <c r="AM7" t="s">
        <v>1800</v>
      </c>
      <c r="AO7"/>
      <c r="BC7"/>
    </row>
    <row r="8" spans="1:105" ht="45">
      <c r="A8" s="140" t="s">
        <v>40</v>
      </c>
      <c r="B8" s="106" t="s">
        <v>122</v>
      </c>
      <c r="C8" s="106" t="s">
        <v>121</v>
      </c>
      <c r="D8" s="435">
        <v>0.19348621637462843</v>
      </c>
      <c r="E8" s="797">
        <v>6016</v>
      </c>
      <c r="F8" s="797">
        <v>90</v>
      </c>
      <c r="G8" s="797">
        <v>18.5</v>
      </c>
      <c r="H8" s="178">
        <f t="shared" si="0"/>
        <v>66.345410560000005</v>
      </c>
      <c r="I8" s="55">
        <v>1.6</v>
      </c>
      <c r="J8" s="55">
        <v>0.22</v>
      </c>
      <c r="K8" s="55">
        <v>5.0000000000000001E-3</v>
      </c>
      <c r="L8" s="55">
        <v>0.22</v>
      </c>
      <c r="M8" s="55">
        <v>1.0999999999999999E-2</v>
      </c>
      <c r="N8" s="29">
        <v>0.88</v>
      </c>
      <c r="O8" s="29">
        <v>1</v>
      </c>
      <c r="P8" s="797">
        <v>70</v>
      </c>
      <c r="Q8" s="797">
        <v>0</v>
      </c>
      <c r="R8" s="797">
        <v>6.333333333333333</v>
      </c>
      <c r="S8" s="1010">
        <v>0</v>
      </c>
      <c r="T8" s="54">
        <v>1.2050000000000001</v>
      </c>
      <c r="U8" s="266">
        <v>4.9926191507892996E-13</v>
      </c>
      <c r="V8" s="266">
        <v>7.6196994155457501E-13</v>
      </c>
      <c r="W8" s="266">
        <v>6.9410319174027301E-14</v>
      </c>
      <c r="X8" s="266">
        <v>7.1402612381482693E-15</v>
      </c>
      <c r="Y8" s="266">
        <v>1.53428969970343E-12</v>
      </c>
      <c r="Z8" s="54">
        <v>1</v>
      </c>
      <c r="AA8" s="54">
        <f>Z8/'Common input data'!$C$42</f>
        <v>1.2987012987012987</v>
      </c>
      <c r="AB8" s="435">
        <f>AA8*'Common input data'!$D$42</f>
        <v>1.1818181818181819</v>
      </c>
      <c r="AC8" s="435">
        <f>AB8/(1-'Common input data'!$B$141)</f>
        <v>1.4027741953082944</v>
      </c>
      <c r="AD8" s="435">
        <f>AC8/(1-'Common input data'!$B$175)</f>
        <v>1.8703655937443926</v>
      </c>
      <c r="AE8" t="s">
        <v>1793</v>
      </c>
      <c r="AF8" s="1123" t="s">
        <v>1794</v>
      </c>
      <c r="AG8" s="549" t="s">
        <v>1795</v>
      </c>
      <c r="AH8" t="s">
        <v>1796</v>
      </c>
      <c r="AI8" s="64" t="s">
        <v>1797</v>
      </c>
      <c r="AJ8"/>
      <c r="AK8" s="1118" t="s">
        <v>1798</v>
      </c>
      <c r="AL8" s="114" t="s">
        <v>1799</v>
      </c>
      <c r="AM8" t="s">
        <v>1800</v>
      </c>
      <c r="AO8"/>
      <c r="BC8"/>
    </row>
    <row r="9" spans="1:105" ht="45">
      <c r="A9" s="140" t="s">
        <v>168</v>
      </c>
      <c r="B9" s="106" t="s">
        <v>122</v>
      </c>
      <c r="C9" s="106" t="s">
        <v>121</v>
      </c>
      <c r="D9" s="435">
        <v>0.18527174967850224</v>
      </c>
      <c r="E9" s="797">
        <v>5716</v>
      </c>
      <c r="F9" s="797">
        <v>106.33333333333333</v>
      </c>
      <c r="G9" s="797">
        <v>28.333333333333332</v>
      </c>
      <c r="H9" s="178">
        <f t="shared" si="0"/>
        <v>67.802734719999989</v>
      </c>
      <c r="I9" s="55">
        <v>1.2</v>
      </c>
      <c r="J9" s="29">
        <v>0.22</v>
      </c>
      <c r="K9" s="29">
        <v>7.0000000000000001E-3</v>
      </c>
      <c r="L9" s="55">
        <v>0.22</v>
      </c>
      <c r="M9" s="14">
        <v>1.4E-2</v>
      </c>
      <c r="N9" s="29">
        <v>0.89</v>
      </c>
      <c r="O9" s="29">
        <v>1</v>
      </c>
      <c r="P9" s="797">
        <v>70</v>
      </c>
      <c r="Q9" s="797">
        <v>0</v>
      </c>
      <c r="R9" s="797">
        <v>4</v>
      </c>
      <c r="S9" s="1010">
        <v>0</v>
      </c>
      <c r="T9" s="54">
        <v>0.85000000000000009</v>
      </c>
      <c r="U9" s="266">
        <v>4.9926191507892996E-13</v>
      </c>
      <c r="V9" s="266">
        <v>7.6196994155457501E-13</v>
      </c>
      <c r="W9" s="266">
        <v>6.9410319174027301E-14</v>
      </c>
      <c r="X9" s="266">
        <v>7.1402612381482693E-15</v>
      </c>
      <c r="Y9" s="266">
        <v>1.53428969970343E-12</v>
      </c>
      <c r="Z9" s="54">
        <v>1</v>
      </c>
      <c r="AA9" s="54">
        <f>Z9/'Common input data'!$C$42</f>
        <v>1.2987012987012987</v>
      </c>
      <c r="AB9" s="435">
        <f>AA9*'Common input data'!$D$42</f>
        <v>1.1818181818181819</v>
      </c>
      <c r="AC9" s="435">
        <f>AB9/(1-'Common input data'!$B$141)</f>
        <v>1.4027741953082944</v>
      </c>
      <c r="AD9" s="435">
        <f>AC9/(1-'Common input data'!$B$175)</f>
        <v>1.8703655937443926</v>
      </c>
      <c r="AE9" t="s">
        <v>1793</v>
      </c>
      <c r="AF9" s="1123" t="s">
        <v>1794</v>
      </c>
      <c r="AG9" s="549" t="s">
        <v>1795</v>
      </c>
      <c r="AH9" t="s">
        <v>1796</v>
      </c>
      <c r="AI9" s="64" t="s">
        <v>1797</v>
      </c>
      <c r="AJ9"/>
      <c r="AK9" s="1118" t="s">
        <v>1798</v>
      </c>
      <c r="AL9" s="114" t="s">
        <v>1799</v>
      </c>
      <c r="AM9" t="s">
        <v>1800</v>
      </c>
      <c r="AO9"/>
      <c r="BC9"/>
    </row>
    <row r="10" spans="1:105" ht="45">
      <c r="A10" s="140" t="s">
        <v>169</v>
      </c>
      <c r="B10" s="106" t="s">
        <v>122</v>
      </c>
      <c r="C10" s="106" t="s">
        <v>121</v>
      </c>
      <c r="D10" s="435">
        <v>0.14905975526000295</v>
      </c>
      <c r="E10" s="797">
        <v>4576</v>
      </c>
      <c r="F10" s="797">
        <v>77.333333333333329</v>
      </c>
      <c r="G10" s="797">
        <v>27.666666666666668</v>
      </c>
      <c r="H10" s="178">
        <f t="shared" si="0"/>
        <v>58.385367039999991</v>
      </c>
      <c r="I10" s="29">
        <v>1.2</v>
      </c>
      <c r="J10" s="29">
        <v>0.1</v>
      </c>
      <c r="K10" s="29">
        <v>7.0000000000000001E-3</v>
      </c>
      <c r="L10" s="55">
        <v>0.22</v>
      </c>
      <c r="M10" s="14">
        <v>1.4E-2</v>
      </c>
      <c r="N10" s="29">
        <v>0.89</v>
      </c>
      <c r="O10" s="29">
        <v>1</v>
      </c>
      <c r="P10" s="797">
        <v>70</v>
      </c>
      <c r="Q10" s="797">
        <v>0</v>
      </c>
      <c r="R10" s="797">
        <v>7</v>
      </c>
      <c r="S10" s="1010">
        <v>0</v>
      </c>
      <c r="T10" s="54">
        <v>0.45</v>
      </c>
      <c r="U10" s="266">
        <v>4.9926191507892996E-13</v>
      </c>
      <c r="V10" s="266">
        <v>7.6196994155457501E-13</v>
      </c>
      <c r="W10" s="266">
        <v>6.9410319174027301E-14</v>
      </c>
      <c r="X10" s="266">
        <v>7.1402612381482693E-15</v>
      </c>
      <c r="Y10" s="266">
        <v>1.53428969970343E-12</v>
      </c>
      <c r="Z10" s="54">
        <v>1</v>
      </c>
      <c r="AA10" s="54">
        <f>Z10/'Common input data'!$C$42</f>
        <v>1.2987012987012987</v>
      </c>
      <c r="AB10" s="435">
        <f>AA10*'Common input data'!$D$42</f>
        <v>1.1818181818181819</v>
      </c>
      <c r="AC10" s="435">
        <f>AB10/(1-'Common input data'!$B$141)</f>
        <v>1.4027741953082944</v>
      </c>
      <c r="AD10" s="435">
        <f>AC10/(1-'Common input data'!$B$175)</f>
        <v>1.8703655937443926</v>
      </c>
      <c r="AE10" t="s">
        <v>1793</v>
      </c>
      <c r="AF10" s="1123" t="s">
        <v>1794</v>
      </c>
      <c r="AG10" s="549" t="s">
        <v>1795</v>
      </c>
      <c r="AH10" t="s">
        <v>1796</v>
      </c>
      <c r="AI10" s="64" t="s">
        <v>1797</v>
      </c>
      <c r="AJ10"/>
      <c r="AK10" s="1118" t="s">
        <v>1798</v>
      </c>
      <c r="AL10" s="114" t="s">
        <v>1799</v>
      </c>
      <c r="AM10" t="s">
        <v>1800</v>
      </c>
      <c r="AO10"/>
      <c r="BC10"/>
    </row>
    <row r="11" spans="1:105" ht="45">
      <c r="A11" s="140" t="s">
        <v>53</v>
      </c>
      <c r="B11" s="106" t="s">
        <v>122</v>
      </c>
      <c r="C11" s="106" t="s">
        <v>121</v>
      </c>
      <c r="D11" s="435">
        <v>0.13040586880375737</v>
      </c>
      <c r="E11" s="797">
        <v>4058</v>
      </c>
      <c r="F11" s="797">
        <v>63.333333333333336</v>
      </c>
      <c r="G11" s="797">
        <v>26</v>
      </c>
      <c r="H11" s="178">
        <f t="shared" si="0"/>
        <v>46.192619800000003</v>
      </c>
      <c r="I11" s="55">
        <v>1.3</v>
      </c>
      <c r="J11" s="29">
        <v>0.1</v>
      </c>
      <c r="K11" s="29">
        <v>7.0000000000000001E-3</v>
      </c>
      <c r="L11" s="55">
        <v>0.25</v>
      </c>
      <c r="M11" s="29">
        <v>8.0000000000000002E-3</v>
      </c>
      <c r="N11" s="29">
        <v>0.89</v>
      </c>
      <c r="O11" s="29">
        <v>1</v>
      </c>
      <c r="P11" s="797">
        <v>70</v>
      </c>
      <c r="Q11" s="797">
        <v>0</v>
      </c>
      <c r="R11" s="797">
        <v>7.333333333333333</v>
      </c>
      <c r="S11" s="1010">
        <v>3.2864863213405697E-4</v>
      </c>
      <c r="T11" s="54">
        <v>0.35</v>
      </c>
      <c r="U11" s="266">
        <v>4.9926191507892996E-13</v>
      </c>
      <c r="V11" s="266">
        <v>7.6196994155457501E-13</v>
      </c>
      <c r="W11" s="266">
        <v>6.9410319174027301E-14</v>
      </c>
      <c r="X11" s="266">
        <v>7.1402612381482693E-15</v>
      </c>
      <c r="Y11" s="266">
        <v>1.53428969970343E-12</v>
      </c>
      <c r="Z11" s="54">
        <v>1</v>
      </c>
      <c r="AA11" s="54">
        <f>Z11/'Common input data'!$C$42</f>
        <v>1.2987012987012987</v>
      </c>
      <c r="AB11" s="435">
        <f>AA11*'Common input data'!$D$42</f>
        <v>1.1818181818181819</v>
      </c>
      <c r="AC11" s="435">
        <f>AB11/(1-'Common input data'!$B$141)</f>
        <v>1.4027741953082944</v>
      </c>
      <c r="AD11" s="435">
        <f>AC11/(1-'Common input data'!$B$175)</f>
        <v>1.8703655937443926</v>
      </c>
      <c r="AE11" t="s">
        <v>1793</v>
      </c>
      <c r="AF11" s="1123" t="s">
        <v>1794</v>
      </c>
      <c r="AG11" s="549" t="s">
        <v>1795</v>
      </c>
      <c r="AH11" t="s">
        <v>1796</v>
      </c>
      <c r="AI11" s="64" t="s">
        <v>1797</v>
      </c>
      <c r="AJ11"/>
      <c r="AK11" s="1118" t="s">
        <v>1798</v>
      </c>
      <c r="AL11" s="114" t="s">
        <v>1799</v>
      </c>
      <c r="AM11" t="s">
        <v>1800</v>
      </c>
      <c r="AO11"/>
      <c r="BC11"/>
    </row>
    <row r="12" spans="1:105">
      <c r="A12" s="139" t="s">
        <v>59</v>
      </c>
      <c r="B12" s="141" t="s">
        <v>120</v>
      </c>
      <c r="C12" s="141" t="s">
        <v>121</v>
      </c>
      <c r="D12" s="170">
        <v>1</v>
      </c>
      <c r="E12" s="798">
        <f>$D$13*E13+$D$14*E14+$D$15*E15</f>
        <v>4598.4709867223555</v>
      </c>
      <c r="F12" s="798">
        <f>$D$13*F13+$D$14*F14+$D$15*F15</f>
        <v>94.299500278210857</v>
      </c>
      <c r="G12" s="798">
        <f>$D$13*G13+$D$14*G14+$D$15*G15</f>
        <v>0</v>
      </c>
      <c r="H12" s="797">
        <f>$D$13*H13+$D$14*H14+$D$15*H15</f>
        <v>40.107863946192396</v>
      </c>
      <c r="P12" s="798">
        <f>$D$13*P13+$D$14*P14+$D$15*P15</f>
        <v>200</v>
      </c>
      <c r="Q12" s="798">
        <f>$D$13*Q13+$D$14*Q14+$D$15*Q15</f>
        <v>33</v>
      </c>
      <c r="R12" s="798">
        <v>28.63586967877167</v>
      </c>
      <c r="S12" s="1011">
        <f>$D$13*S13+$D$14*S14+$D$15*S15</f>
        <v>0.36007720296039342</v>
      </c>
      <c r="U12" s="212">
        <v>1.1237675886790489E-11</v>
      </c>
      <c r="V12" s="212">
        <v>8.0482924789577277E-12</v>
      </c>
      <c r="W12" s="212">
        <v>1.6750554142615415E-11</v>
      </c>
      <c r="X12" s="212">
        <v>7.7381246636630612E-12</v>
      </c>
      <c r="Y12" s="212">
        <v>2.5831120234791131E-10</v>
      </c>
      <c r="Z12" s="170">
        <f>$D$13*Z13+$D$14*Z14+$D$15*Z15</f>
        <v>1.1466666666666665</v>
      </c>
      <c r="AA12" s="170">
        <f>$D$13*AA13+$D$14*AA14+$D$15*AA15</f>
        <v>1.849462365591398</v>
      </c>
      <c r="AB12" s="170">
        <f>$D$13*AB13+$D$14*AB14+$D$15*AB15</f>
        <v>1.6783870967741936</v>
      </c>
      <c r="AC12" s="170">
        <f>$D$13*AC13+$D$14*AC14+$D$15*AC15</f>
        <v>1.9664037690398219</v>
      </c>
      <c r="AD12" s="170">
        <f>AC12/(1-'Common input data'!$B$175)</f>
        <v>2.6218716920530958</v>
      </c>
      <c r="AF12" s="1123"/>
      <c r="AG12"/>
      <c r="AH12"/>
      <c r="AI12" s="64"/>
      <c r="AJ12"/>
      <c r="AK12" s="1118"/>
      <c r="AL12"/>
      <c r="AO12"/>
      <c r="AP12" s="170">
        <f>$D$13*'Grains, oil crops, sugar'!Y59+$D$14*'Grains, oil crops, sugar'!Y63+$D$15*'Grains, oil crops, sugar'!Y67</f>
        <v>2.2786178840126294</v>
      </c>
      <c r="AQ12" s="170">
        <f>$D$13*'Grains, oil crops, sugar'!Z59+$D$14*'Grains, oil crops, sugar'!Z63+$D$15*'Grains, oil crops, sugar'!Z67</f>
        <v>2.6128151736678151</v>
      </c>
      <c r="AR12" s="170">
        <f>$D$13*'Grains, oil crops, sugar'!AA59+$D$14*'Grains, oil crops, sugar'!AA63+$D$15*'Grains, oil crops, sugar'!AA67</f>
        <v>4.2142180220448626</v>
      </c>
      <c r="AS12" s="170">
        <f>$D$13*'Grains, oil crops, sugar'!AB59+$D$14*'Grains, oil crops, sugar'!AB63+$D$15*'Grains, oil crops, sugar'!AB67</f>
        <v>3.8244028550057134</v>
      </c>
      <c r="AT12" s="170">
        <f>$D$13*'Grains, oil crops, sugar'!AC59+$D$14*'Grains, oil crops, sugar'!AC63+$D$15*'Grains, oil crops, sugar'!AC67</f>
        <v>4.4676993009655961</v>
      </c>
      <c r="AU12" s="170">
        <f>$D$13*'Grains, oil crops, sugar'!AD59+$D$14*'Grains, oil crops, sugar'!AD63+$D$15*'Grains, oil crops, sugar'!AD67</f>
        <v>5.956932401287462</v>
      </c>
      <c r="AV12" s="106"/>
      <c r="AW12" s="212">
        <f>$D$13*'Grains, oil crops, sugar'!AF59+$D$14*'Grains, oil crops, sugar'!AF63+$D$15*'Grains, oil crops, sugar'!AF67</f>
        <v>2.8410408215656026E-2</v>
      </c>
      <c r="AX12" s="212">
        <f>$D$13*'Grains, oil crops, sugar'!AG59+$D$14*'Grains, oil crops, sugar'!AG63+$D$15*'Grains, oil crops, sugar'!AG67</f>
        <v>3.2577268087285574E-2</v>
      </c>
      <c r="AY12" s="212">
        <f>$D$13*'Grains, oil crops, sugar'!AH59+$D$14*'Grains, oil crops, sugar'!AH63+$D$15*'Grains, oil crops, sugar'!AH67</f>
        <v>5.254398078594448E-2</v>
      </c>
      <c r="AZ12" s="212">
        <f>$D$13*'Grains, oil crops, sugar'!AI59+$D$14*'Grains, oil crops, sugar'!AI63+$D$15*'Grains, oil crops, sugar'!AI67</f>
        <v>4.7683662563244619E-2</v>
      </c>
      <c r="BA12" s="212">
        <f>$D$13*'Grains, oil crops, sugar'!AJ59+$D$14*'Grains, oil crops, sugar'!AJ63+$D$15*'Grains, oil crops, sugar'!AJ67</f>
        <v>5.5811595286739762E-2</v>
      </c>
      <c r="BB12" s="212">
        <f>$D$13*'Grains, oil crops, sugar'!AK59+$D$14*'Grains, oil crops, sugar'!AK63+$D$15*'Grains, oil crops, sugar'!AK67</f>
        <v>7.4415460382319693E-2</v>
      </c>
      <c r="BC12" s="106"/>
      <c r="BD12" s="212">
        <f>$D$13*'Grains, oil crops, sugar'!AM59+$D$14*'Grains, oil crops, sugar'!AM63+$D$15*'Grains, oil crops, sugar'!AM67</f>
        <v>6.7306961349408107E-3</v>
      </c>
      <c r="BE12" s="212">
        <f>$D$13*'Grains, oil crops, sugar'!AN59+$D$14*'Grains, oil crops, sugar'!AN63+$D$15*'Grains, oil crops, sugar'!AN67</f>
        <v>7.7178649013987972E-3</v>
      </c>
      <c r="BF12" s="212">
        <f>$D$13*'Grains, oil crops, sugar'!AO59+$D$14*'Grains, oil crops, sugar'!AO63+$D$15*'Grains, oil crops, sugar'!AO67</f>
        <v>1.244816919580451E-2</v>
      </c>
      <c r="BG12" s="212">
        <f>$D$13*'Grains, oil crops, sugar'!AP59+$D$14*'Grains, oil crops, sugar'!AP63+$D$15*'Grains, oil crops, sugar'!AP67</f>
        <v>1.1296713545192592E-2</v>
      </c>
      <c r="BH12" s="212">
        <f>$D$13*'Grains, oil crops, sugar'!AQ59+$D$14*'Grains, oil crops, sugar'!AQ63+$D$15*'Grains, oil crops, sugar'!AQ67</f>
        <v>1.3207642493584925E-2</v>
      </c>
      <c r="BI12" s="212">
        <f>$D$13*'Grains, oil crops, sugar'!AR59+$D$14*'Grains, oil crops, sugar'!AR63+$D$15*'Grains, oil crops, sugar'!AR67</f>
        <v>1.7610189991446566E-2</v>
      </c>
      <c r="BJ12" s="266"/>
      <c r="BK12" s="212">
        <f>$D$13*'Grains, oil crops, sugar'!AT59+$D$14*'Grains, oil crops, sugar'!AT63+$D$15*'Grains, oil crops, sugar'!AT67</f>
        <v>0.36007720296039342</v>
      </c>
      <c r="BL12" s="212">
        <f>$D$13*'Grains, oil crops, sugar'!AU59+$D$14*'Grains, oil crops, sugar'!AU63+$D$15*'Grains, oil crops, sugar'!AU67</f>
        <v>0.41288852606125115</v>
      </c>
      <c r="BM12" s="212">
        <f>$D$13*'Grains, oil crops, sugar'!AV59+$D$14*'Grains, oil crops, sugar'!AV63+$D$15*'Grains, oil crops, sugar'!AV67</f>
        <v>0.66594923558266328</v>
      </c>
      <c r="BN12" s="212">
        <f>$D$13*'Grains, oil crops, sugar'!AW59+$D$14*'Grains, oil crops, sugar'!AW63+$D$15*'Grains, oil crops, sugar'!AW67</f>
        <v>0.60434893129126688</v>
      </c>
      <c r="BO12" s="212">
        <f>$D$13*'Grains, oil crops, sugar'!AX59+$D$14*'Grains, oil crops, sugar'!AX63+$D$15*'Grains, oil crops, sugar'!AX67</f>
        <v>0.70808279378527605</v>
      </c>
      <c r="BP12" s="212">
        <f>$D$13*'Grains, oil crops, sugar'!AY59+$D$14*'Grains, oil crops, sugar'!AY63+$D$15*'Grains, oil crops, sugar'!AY67</f>
        <v>0.94411039171370148</v>
      </c>
      <c r="BQ12" s="266"/>
      <c r="BR12" s="212">
        <f>$D$13*'Grains, oil crops, sugar'!BA59+$D$14*'Grains, oil crops, sugar'!BA63+$D$15*'Grains, oil crops, sugar'!BA67</f>
        <v>1.6221643821245416E-9</v>
      </c>
      <c r="BS12" s="212">
        <f>$D$13*'Grains, oil crops, sugar'!BB59+$D$14*'Grains, oil crops, sugar'!BB63+$D$15*'Grains, oil crops, sugar'!BB67</f>
        <v>1.8600818248361411E-9</v>
      </c>
      <c r="BT12" s="212">
        <f>$D$13*'Grains, oil crops, sugar'!BC59+$D$14*'Grains, oil crops, sugar'!BC63+$D$15*'Grains, oil crops, sugar'!BC67</f>
        <v>3.0001319755421638E-9</v>
      </c>
      <c r="BU12" s="212">
        <f>$D$13*'Grains, oil crops, sugar'!BD59+$D$14*'Grains, oil crops, sugar'!BD63+$D$15*'Grains, oil crops, sugar'!BD67</f>
        <v>2.7226197678045132E-9</v>
      </c>
      <c r="BV12" s="212">
        <f>$D$13*'Grains, oil crops, sugar'!BE59+$D$14*'Grains, oil crops, sugar'!BE63+$D$15*'Grains, oil crops, sugar'!BE67</f>
        <v>3.1898588511692165E-9</v>
      </c>
      <c r="BW12" s="212">
        <f>$D$13*'Grains, oil crops, sugar'!BF59+$D$14*'Grains, oil crops, sugar'!BF63+$D$15*'Grains, oil crops, sugar'!BF67</f>
        <v>4.2531451348922898E-9</v>
      </c>
      <c r="BY12" s="189">
        <f>T12/E12</f>
        <v>0</v>
      </c>
      <c r="BZ12" s="189">
        <f>$BY12*Z12</f>
        <v>0</v>
      </c>
      <c r="CA12" s="189">
        <f>$BY12*AA12</f>
        <v>0</v>
      </c>
      <c r="CB12" s="189">
        <f>$BY12*AB12</f>
        <v>0</v>
      </c>
      <c r="CC12" s="189">
        <f>$BY12*AC12</f>
        <v>0</v>
      </c>
      <c r="CD12" s="189">
        <f>$BY12*AD12</f>
        <v>0</v>
      </c>
      <c r="CF12" s="189">
        <f>(F12/E12*'Common input data'!$B$195+G12/E12*'Common input data'!$B$196)/'Common input data'!$B$198</f>
        <v>5.2361280122725546E-4</v>
      </c>
      <c r="CG12" s="189">
        <f>$CF12*Z12</f>
        <v>6.0040934540725281E-4</v>
      </c>
      <c r="CH12" s="189">
        <f>$CF12*AA12</f>
        <v>9.6840217001169834E-4</v>
      </c>
      <c r="CI12" s="189">
        <f>$CF12*AB12</f>
        <v>8.7882496928561623E-4</v>
      </c>
      <c r="CJ12" s="189">
        <f>$CF12*AC12</f>
        <v>1.0296341858507742E-3</v>
      </c>
      <c r="CK12" s="189">
        <f>$CF12*AD12</f>
        <v>1.3728455811343656E-3</v>
      </c>
    </row>
    <row r="13" spans="1:105" ht="75">
      <c r="A13" s="140"/>
      <c r="B13" s="106" t="s">
        <v>170</v>
      </c>
      <c r="C13" s="106" t="s">
        <v>121</v>
      </c>
      <c r="D13" s="435">
        <v>0.16193741936094433</v>
      </c>
      <c r="E13" s="797">
        <v>3015.68</v>
      </c>
      <c r="F13" s="797">
        <v>62</v>
      </c>
      <c r="G13" s="797">
        <v>0</v>
      </c>
      <c r="H13" s="178">
        <f>((E13*N13*I13)*(1-J13)*K13)+((E13*N13+(E13*N13*I13))*L13*1/O13*M13)</f>
        <v>26.302760959999997</v>
      </c>
      <c r="I13" s="55">
        <v>1.4</v>
      </c>
      <c r="J13" s="29">
        <v>0</v>
      </c>
      <c r="K13" s="29">
        <v>7.0000000000000001E-3</v>
      </c>
      <c r="L13" s="55">
        <v>0.16</v>
      </c>
      <c r="M13" s="55">
        <v>0</v>
      </c>
      <c r="N13" s="29">
        <v>0.89</v>
      </c>
      <c r="O13" s="29">
        <v>1</v>
      </c>
      <c r="P13" s="797">
        <v>200</v>
      </c>
      <c r="Q13" s="797">
        <v>33</v>
      </c>
      <c r="R13" s="797">
        <v>33</v>
      </c>
      <c r="S13" s="1010">
        <v>0.37553238827474744</v>
      </c>
      <c r="T13" s="54">
        <v>1.5698181086631875</v>
      </c>
      <c r="U13" s="266">
        <v>1.5995737994142199E-11</v>
      </c>
      <c r="V13" s="266">
        <v>1.41688715419984E-11</v>
      </c>
      <c r="W13" s="266">
        <v>1.99939616392906E-11</v>
      </c>
      <c r="X13" s="266">
        <v>1.20058977278823E-11</v>
      </c>
      <c r="Y13" s="266">
        <v>1.33788822873306E-10</v>
      </c>
      <c r="Z13" s="54">
        <f>$O$269</f>
        <v>1.1466666666666667</v>
      </c>
      <c r="AA13" s="54">
        <f>Z13/'Common input data'!$C$41</f>
        <v>1.849462365591398</v>
      </c>
      <c r="AB13" s="54">
        <f>AA13*'Common input data'!$D$41</f>
        <v>1.6783870967741936</v>
      </c>
      <c r="AC13" s="435">
        <f>AB13/(1-'Common input data'!$D$141)</f>
        <v>1.9083401801410047</v>
      </c>
      <c r="AD13" s="435">
        <f>AC13/(1-'Common input data'!$B$175)</f>
        <v>2.5444535735213396</v>
      </c>
      <c r="AE13" t="s">
        <v>1801</v>
      </c>
      <c r="AF13" s="1123" t="s">
        <v>1802</v>
      </c>
      <c r="AG13" s="52" t="s">
        <v>1803</v>
      </c>
      <c r="AH13" t="s">
        <v>1804</v>
      </c>
      <c r="AI13" s="64" t="s">
        <v>1597</v>
      </c>
      <c r="AJ13" t="s">
        <v>1805</v>
      </c>
      <c r="AK13" s="1118" t="s">
        <v>1798</v>
      </c>
      <c r="AL13" s="145" t="s">
        <v>1806</v>
      </c>
      <c r="AM13" t="s">
        <v>1800</v>
      </c>
      <c r="AO13"/>
      <c r="BC13"/>
    </row>
    <row r="14" spans="1:105" ht="75">
      <c r="A14" s="140"/>
      <c r="B14" s="106" t="s">
        <v>123</v>
      </c>
      <c r="C14" s="106" t="s">
        <v>121</v>
      </c>
      <c r="D14" s="435">
        <v>0.13504774463010921</v>
      </c>
      <c r="E14" s="797">
        <v>6646.5</v>
      </c>
      <c r="F14" s="797">
        <v>95</v>
      </c>
      <c r="G14" s="797">
        <v>0</v>
      </c>
      <c r="H14" s="178">
        <f>((E14*N14*I14)*(1-J14)*K14)+((E14*N14+(E14*N14*I14))*L14*1/O14*M14)</f>
        <v>57.970773000000008</v>
      </c>
      <c r="I14" s="55">
        <v>1.4</v>
      </c>
      <c r="J14" s="29">
        <v>0</v>
      </c>
      <c r="K14" s="29">
        <v>7.0000000000000001E-3</v>
      </c>
      <c r="L14" s="55">
        <v>0.16</v>
      </c>
      <c r="M14" s="55">
        <v>0</v>
      </c>
      <c r="N14" s="29">
        <v>0.89</v>
      </c>
      <c r="O14" s="29">
        <v>1</v>
      </c>
      <c r="P14" s="797">
        <v>200</v>
      </c>
      <c r="Q14" s="797">
        <v>33</v>
      </c>
      <c r="R14" s="797">
        <v>95</v>
      </c>
      <c r="S14" s="1010">
        <v>0.442</v>
      </c>
      <c r="T14" s="54">
        <v>0.48</v>
      </c>
      <c r="U14" s="266">
        <v>6.2166574853918297E-12</v>
      </c>
      <c r="V14" s="266">
        <v>1.5894570519760001E-12</v>
      </c>
      <c r="W14" s="266">
        <v>1.33278983729738E-11</v>
      </c>
      <c r="X14" s="266">
        <v>3.2344913345964E-12</v>
      </c>
      <c r="Y14" s="266">
        <v>3.8971536324818501E-10</v>
      </c>
      <c r="Z14" s="54">
        <f>$O$269</f>
        <v>1.1466666666666667</v>
      </c>
      <c r="AA14" s="54">
        <f>Z14/'Common input data'!$C$41</f>
        <v>1.849462365591398</v>
      </c>
      <c r="AB14" s="54">
        <f>AA14*'Common input data'!$D$41</f>
        <v>1.6783870967741936</v>
      </c>
      <c r="AC14" s="435">
        <f>AB14/(1-'Common input data'!$B$141)</f>
        <v>1.9921830153865909</v>
      </c>
      <c r="AD14" s="435">
        <f>AC14/(1-'Common input data'!$B$175)</f>
        <v>2.6562440205154547</v>
      </c>
      <c r="AE14" t="s">
        <v>1801</v>
      </c>
      <c r="AF14" s="1123" t="s">
        <v>1802</v>
      </c>
      <c r="AG14" s="52" t="s">
        <v>1803</v>
      </c>
      <c r="AH14" t="s">
        <v>1804</v>
      </c>
      <c r="AI14" s="64" t="s">
        <v>1597</v>
      </c>
      <c r="AJ14" t="s">
        <v>1805</v>
      </c>
      <c r="AK14" s="1118" t="s">
        <v>1798</v>
      </c>
      <c r="AL14" s="114" t="s">
        <v>1807</v>
      </c>
      <c r="AM14" t="s">
        <v>1800</v>
      </c>
      <c r="AO14"/>
      <c r="BC14"/>
    </row>
    <row r="15" spans="1:105" ht="45">
      <c r="A15" s="140"/>
      <c r="B15" s="106" t="s">
        <v>134</v>
      </c>
      <c r="C15" s="106" t="s">
        <v>121</v>
      </c>
      <c r="D15" s="435">
        <v>0.70301483600894643</v>
      </c>
      <c r="E15" s="797">
        <v>4569.6400000000003</v>
      </c>
      <c r="F15" s="797">
        <v>101.60503147200001</v>
      </c>
      <c r="G15" s="797">
        <v>0</v>
      </c>
      <c r="H15" s="178">
        <f>((E15*N15*I15)*(1-J15)*K15)+((E15*N15+(E15*N15*I15))*L15*1/O15*M15)</f>
        <v>39.856400080000007</v>
      </c>
      <c r="I15" s="55">
        <v>1.4</v>
      </c>
      <c r="J15" s="29">
        <v>0</v>
      </c>
      <c r="K15" s="29">
        <v>7.0000000000000001E-3</v>
      </c>
      <c r="L15" s="55">
        <v>0.16</v>
      </c>
      <c r="M15" s="55">
        <v>0</v>
      </c>
      <c r="N15" s="29">
        <v>0.89</v>
      </c>
      <c r="O15" s="29">
        <v>1</v>
      </c>
      <c r="P15" s="797">
        <v>200</v>
      </c>
      <c r="Q15" s="797">
        <v>33</v>
      </c>
      <c r="R15" s="797">
        <v>19.684638228000004</v>
      </c>
      <c r="S15" s="1010">
        <v>0.34077994050636456</v>
      </c>
      <c r="T15" s="54">
        <v>2.2810397701978706</v>
      </c>
      <c r="U15" s="266">
        <v>1.1106197739767015E-11</v>
      </c>
      <c r="V15" s="266">
        <v>7.8791642969872E-12</v>
      </c>
      <c r="W15" s="266">
        <v>1.6660930006132201E-11</v>
      </c>
      <c r="X15" s="266">
        <v>7.6201945312393493E-12</v>
      </c>
      <c r="Y15" s="266">
        <v>2.617520930607455E-10</v>
      </c>
      <c r="Z15" s="54">
        <f>$O$269</f>
        <v>1.1466666666666667</v>
      </c>
      <c r="AA15" s="54">
        <f>Z15/'Common input data'!$C$41</f>
        <v>1.849462365591398</v>
      </c>
      <c r="AB15" s="54">
        <f>AA15*'Common input data'!$D$41</f>
        <v>1.6783870967741936</v>
      </c>
      <c r="AC15" s="435">
        <f>AB15/(1-'Common input data'!$I$141)</f>
        <v>1.9748264058952962</v>
      </c>
      <c r="AD15" s="435">
        <f>AC15/(1-'Common input data'!$B$175)</f>
        <v>2.6331018745270618</v>
      </c>
      <c r="AE15" t="s">
        <v>1801</v>
      </c>
      <c r="AF15" s="1123" t="s">
        <v>1802</v>
      </c>
      <c r="AG15" t="s">
        <v>1808</v>
      </c>
      <c r="AH15" t="s">
        <v>1804</v>
      </c>
      <c r="AI15" s="64" t="s">
        <v>1597</v>
      </c>
      <c r="AJ15" t="s">
        <v>1805</v>
      </c>
      <c r="AK15" s="1118" t="s">
        <v>1798</v>
      </c>
      <c r="AL15" s="145" t="s">
        <v>1806</v>
      </c>
      <c r="AM15" t="s">
        <v>1800</v>
      </c>
      <c r="AO15"/>
      <c r="BC15"/>
    </row>
    <row r="16" spans="1:105">
      <c r="A16" s="139" t="s">
        <v>54</v>
      </c>
      <c r="B16" s="141" t="s">
        <v>120</v>
      </c>
      <c r="C16" s="141" t="s">
        <v>121</v>
      </c>
      <c r="D16" s="170">
        <v>1</v>
      </c>
      <c r="E16" s="798">
        <f>$D$17*E17+$D$18*E18+$D$19*E19</f>
        <v>32122.833199190631</v>
      </c>
      <c r="F16" s="798">
        <f>$D$17*F17+$D$18*F18+$D$19*F19</f>
        <v>103.29288638056778</v>
      </c>
      <c r="G16" s="798">
        <f>$D$17*G17+$D$18*G18+$D$19*G19</f>
        <v>12.840737748800001</v>
      </c>
      <c r="H16" s="798">
        <f>$D$17*H17+$D$18*H18+$D$19*H19</f>
        <v>80.713886557611133</v>
      </c>
      <c r="P16" s="798">
        <f>$D$17*P17+$D$18*P18+$D$19*P19</f>
        <v>140</v>
      </c>
      <c r="Q16" s="798">
        <f>$D$17*Q17+$D$18*Q18+$D$19*Q19</f>
        <v>0</v>
      </c>
      <c r="R16" s="798">
        <v>44.390083471578528</v>
      </c>
      <c r="S16" s="1011">
        <f>$D$17*S17+$D$18*S18+$D$19*S19</f>
        <v>9.6173477065453154E-3</v>
      </c>
      <c r="U16" s="212">
        <v>5.2055906450409931E-13</v>
      </c>
      <c r="V16" s="212">
        <v>7.8059742857262351E-13</v>
      </c>
      <c r="W16" s="212">
        <v>9.9904839482513136E-14</v>
      </c>
      <c r="X16" s="212">
        <v>1.1027344755010373E-14</v>
      </c>
      <c r="Y16" s="212">
        <v>2.5124856261096392E-12</v>
      </c>
      <c r="Z16" s="170">
        <f>$D$17*Z17+$D$18*Z18+$D$19*Z19</f>
        <v>1</v>
      </c>
      <c r="AA16" s="170">
        <f>$D$17*AA17+$D$18*AA18+$D$19*AA19</f>
        <v>1</v>
      </c>
      <c r="AB16" s="170">
        <f>$D$17*AB17+$D$18*AB18+$D$19*AB19</f>
        <v>1</v>
      </c>
      <c r="AC16" s="170">
        <f>$D$17*AC17+$D$18*AC18+$D$19*AC19</f>
        <v>1.3901342174586957</v>
      </c>
      <c r="AD16" s="170">
        <f>AC16/(1-'Common input data'!$B$176)</f>
        <v>1.6748605029622841</v>
      </c>
      <c r="AF16" s="1123"/>
      <c r="AG16"/>
      <c r="AH16"/>
      <c r="AI16" s="64"/>
      <c r="AJ16"/>
      <c r="AK16" s="1118"/>
      <c r="AL16"/>
      <c r="AO16"/>
      <c r="AP16" s="170">
        <f>$D$17*'Vegetables, roots, legumes'!Y114+$D$18*AP18+$D$19*'Vegetables, roots, legumes'!Y118</f>
        <v>0.32063907159456095</v>
      </c>
      <c r="AQ16" s="170">
        <f>$D$17*'Vegetables, roots, legumes'!Z114+$D$18*AQ18+$D$19*'Vegetables, roots, legumes'!Z118</f>
        <v>0.32063907159456095</v>
      </c>
      <c r="AR16" s="170">
        <f>$D$17*'Vegetables, roots, legumes'!AA114+$D$18*AR18+$D$19*'Vegetables, roots, legumes'!AA118</f>
        <v>0.32063907159456095</v>
      </c>
      <c r="AS16" s="170">
        <f>$D$17*'Vegetables, roots, legumes'!AB114+$D$18*AS18+$D$19*'Vegetables, roots, legumes'!AB118</f>
        <v>0.32063907159456095</v>
      </c>
      <c r="AT16" s="170">
        <f>$D$17*'Vegetables, roots, legumes'!AC114+$D$18*AT18+$D$19*'Vegetables, roots, legumes'!AC118</f>
        <v>0.44573134487778771</v>
      </c>
      <c r="AU16" s="170">
        <f>$D$17*'Vegetables, roots, legumes'!AD114+$D$18*AU18+$D$19*'Vegetables, roots, legumes'!AD118</f>
        <v>0.53702571672022614</v>
      </c>
      <c r="AV16" s="106"/>
      <c r="AW16" s="212">
        <f>$D$17*'Vegetables, roots, legumes'!AF114+$D$18*AW18+$D$19*'Vegetables, roots, legumes'!AF118</f>
        <v>3.3839101253414446E-3</v>
      </c>
      <c r="AX16" s="212">
        <f>$D$17*'Vegetables, roots, legumes'!AG114+$D$18*AX18+$D$19*'Vegetables, roots, legumes'!AG118</f>
        <v>3.3839101253414446E-3</v>
      </c>
      <c r="AY16" s="212">
        <f>$D$17*'Vegetables, roots, legumes'!AH114+$D$18*AY18+$D$19*'Vegetables, roots, legumes'!AH118</f>
        <v>3.3839101253414446E-3</v>
      </c>
      <c r="AZ16" s="212">
        <f>$D$17*'Vegetables, roots, legumes'!AI114+$D$18*AZ18+$D$19*'Vegetables, roots, legumes'!AI118</f>
        <v>3.3839101253414446E-3</v>
      </c>
      <c r="BA16" s="212">
        <f>$D$17*'Vegetables, roots, legumes'!AJ114+$D$18*BA18+$D$19*'Vegetables, roots, legumes'!AJ118</f>
        <v>4.7040892540420867E-3</v>
      </c>
      <c r="BB16" s="212">
        <f>$D$17*'Vegetables, roots, legumes'!AK114+$D$18*BB18+$D$19*'Vegetables, roots, legumes'!AK118</f>
        <v>5.6675774145085386E-3</v>
      </c>
      <c r="BC16" s="106"/>
      <c r="BD16" s="212">
        <f>$D$17*'Vegetables, roots, legumes'!AM114+$D$18*BD18+$D$19*'Vegetables, roots, legumes'!AM118</f>
        <v>1.5401798968942967E-3</v>
      </c>
      <c r="BE16" s="212">
        <f>$D$17*'Vegetables, roots, legumes'!AN114+$D$18*BE18+$D$19*'Vegetables, roots, legumes'!AN118</f>
        <v>1.5401798968942967E-3</v>
      </c>
      <c r="BF16" s="212">
        <f>$D$17*'Vegetables, roots, legumes'!AO114+$D$18*BF18+$D$19*'Vegetables, roots, legumes'!AO118</f>
        <v>1.5401798968942967E-3</v>
      </c>
      <c r="BG16" s="212">
        <f>$D$17*'Vegetables, roots, legumes'!AP114+$D$18*BG18+$D$19*'Vegetables, roots, legumes'!AP118</f>
        <v>1.5401798968942967E-3</v>
      </c>
      <c r="BH16" s="212">
        <f>$D$17*'Vegetables, roots, legumes'!AQ114+$D$18*BH18+$D$19*'Vegetables, roots, legumes'!AQ118</f>
        <v>2.1410567757147677E-3</v>
      </c>
      <c r="BI16" s="212">
        <f>$D$17*'Vegetables, roots, legumes'!AR114+$D$18*BI18+$D$19*'Vegetables, roots, legumes'!AR118</f>
        <v>2.5795864767647805E-3</v>
      </c>
      <c r="BJ16" s="266"/>
      <c r="BK16" s="212">
        <f>$D$17*'Vegetables, roots, legumes'!AT114+$D$18*BK18+$D$19*'Vegetables, roots, legumes'!AT118</f>
        <v>9.6173477065453154E-3</v>
      </c>
      <c r="BL16" s="212">
        <f>$D$17*'Vegetables, roots, legumes'!AU114+$D$18*BL18+$D$19*'Vegetables, roots, legumes'!AU118</f>
        <v>9.6173477065453154E-3</v>
      </c>
      <c r="BM16" s="212">
        <f>$D$17*'Vegetables, roots, legumes'!AV114+$D$18*BM18+$D$19*'Vegetables, roots, legumes'!AV118</f>
        <v>9.6173477065453154E-3</v>
      </c>
      <c r="BN16" s="212">
        <f>$D$17*'Vegetables, roots, legumes'!AW114+$D$18*BN18+$D$19*'Vegetables, roots, legumes'!AW118</f>
        <v>9.6173477065453154E-3</v>
      </c>
      <c r="BO16" s="212">
        <f>$D$17*'Vegetables, roots, legumes'!AX114+$D$18*BO18+$D$19*'Vegetables, roots, legumes'!AX118</f>
        <v>1.3369404128066554E-2</v>
      </c>
      <c r="BP16" s="212">
        <f>$D$17*'Vegetables, roots, legumes'!AY114+$D$18*BP18+$D$19*'Vegetables, roots, legumes'!AY118</f>
        <v>1.6107715816947657E-2</v>
      </c>
      <c r="BQ16" s="266"/>
      <c r="BR16" s="212">
        <f>$D$17*'Vegetables, roots, legumes'!BA114+$D$18*BR18+$D$19*'Vegetables, roots, legumes'!BA118</f>
        <v>3.4753667885779441E-12</v>
      </c>
      <c r="BS16" s="212">
        <f>$D$17*'Vegetables, roots, legumes'!BB114+$D$18*BS18+$D$19*'Vegetables, roots, legumes'!BB118</f>
        <v>3.4753667885779441E-12</v>
      </c>
      <c r="BT16" s="212">
        <f>$D$17*'Vegetables, roots, legumes'!BC114+$D$18*BT18+$D$19*'Vegetables, roots, legumes'!BC118</f>
        <v>3.4753667885779441E-12</v>
      </c>
      <c r="BU16" s="212">
        <f>$D$17*'Vegetables, roots, legumes'!BD114+$D$18*BU18+$D$19*'Vegetables, roots, legumes'!BD118</f>
        <v>3.4753667885779441E-12</v>
      </c>
      <c r="BV16" s="212">
        <f>$D$17*'Vegetables, roots, legumes'!BE114+$D$18*BV18+$D$19*'Vegetables, roots, legumes'!BE118</f>
        <v>4.8312262910217409E-12</v>
      </c>
      <c r="BW16" s="212">
        <f>$D$17*'Vegetables, roots, legumes'!BF114+$D$18*BW18+$D$19*'Vegetables, roots, legumes'!BF118</f>
        <v>5.8207545674960736E-12</v>
      </c>
      <c r="BY16" s="189">
        <f>T16/E16</f>
        <v>0</v>
      </c>
      <c r="BZ16" s="189">
        <f>$BY16*Z16</f>
        <v>0</v>
      </c>
      <c r="CA16" s="189">
        <f>$BY16*AA16</f>
        <v>0</v>
      </c>
      <c r="CB16" s="189">
        <f>$BY16*AB16</f>
        <v>0</v>
      </c>
      <c r="CC16" s="189">
        <f>$BY16*AC16</f>
        <v>0</v>
      </c>
      <c r="CD16" s="189">
        <f>$BY16*AD16</f>
        <v>0</v>
      </c>
      <c r="CF16" s="189">
        <f>(F16/E16*'Common input data'!$B$195+G16/E16*'Common input data'!$B$196)/'Common input data'!$B$198</f>
        <v>1.5957986496352477E-4</v>
      </c>
      <c r="CG16" s="189">
        <f>$CF16*Z16</f>
        <v>1.5957986496352477E-4</v>
      </c>
      <c r="CH16" s="189">
        <f>$CF16*AA16</f>
        <v>1.5957986496352477E-4</v>
      </c>
      <c r="CI16" s="189">
        <f>$CF16*AB16</f>
        <v>1.5957986496352477E-4</v>
      </c>
      <c r="CJ16" s="189">
        <f>$CF16*AC16</f>
        <v>2.2183743070323383E-4</v>
      </c>
      <c r="CK16" s="189">
        <f>$CF16*AD16</f>
        <v>2.6727401289546244E-4</v>
      </c>
    </row>
    <row r="17" spans="1:89" ht="45">
      <c r="A17" s="18"/>
      <c r="B17" s="106" t="s">
        <v>122</v>
      </c>
      <c r="C17" s="106" t="s">
        <v>121</v>
      </c>
      <c r="D17" s="435">
        <v>0.83743941840000002</v>
      </c>
      <c r="E17" s="797">
        <v>34190</v>
      </c>
      <c r="F17" s="797">
        <v>98.333333333333329</v>
      </c>
      <c r="G17" s="797">
        <v>15.333333333333334</v>
      </c>
      <c r="H17" s="96">
        <f>((E17*N17*I17)*(1-J17)*K17)+((E17*N17+(E17*N17*I17))*L17*1/O17*M17)</f>
        <v>85.907982160000003</v>
      </c>
      <c r="I17" s="55">
        <v>0.4</v>
      </c>
      <c r="J17" s="55">
        <v>1.2999999999999999E-2</v>
      </c>
      <c r="K17" s="29">
        <v>1.9E-2</v>
      </c>
      <c r="L17" s="55">
        <v>0.2</v>
      </c>
      <c r="M17" s="14">
        <v>1.4E-2</v>
      </c>
      <c r="N17" s="29">
        <v>0.22</v>
      </c>
      <c r="O17" s="29">
        <v>1</v>
      </c>
      <c r="P17" s="797">
        <v>140</v>
      </c>
      <c r="Q17" s="797">
        <v>0</v>
      </c>
      <c r="R17" s="797">
        <v>36.333333333333336</v>
      </c>
      <c r="S17" s="1010">
        <v>9.0526664122482451E-3</v>
      </c>
      <c r="T17" s="54">
        <v>3.16</v>
      </c>
      <c r="U17" s="266">
        <v>4.9926191507892996E-13</v>
      </c>
      <c r="V17" s="266">
        <v>7.6196994155457501E-13</v>
      </c>
      <c r="W17" s="266">
        <v>6.9410319174027301E-14</v>
      </c>
      <c r="X17" s="266">
        <v>7.1402612381482693E-15</v>
      </c>
      <c r="Y17" s="266">
        <v>1.53428969970343E-12</v>
      </c>
      <c r="Z17" s="54">
        <v>1</v>
      </c>
      <c r="AA17" s="54">
        <f t="shared" ref="AA17:AB19" si="1">Z17</f>
        <v>1</v>
      </c>
      <c r="AB17" s="54">
        <f t="shared" si="1"/>
        <v>1</v>
      </c>
      <c r="AC17" s="435">
        <f>AB17/(1-'Common input data'!$B$142)</f>
        <v>1.3901342174586957</v>
      </c>
      <c r="AD17" s="435">
        <f>AC17/(1-'Common input data'!$B$176)</f>
        <v>1.6748605029622841</v>
      </c>
      <c r="AE17" t="s">
        <v>1802</v>
      </c>
      <c r="AF17" s="1123" t="s">
        <v>1794</v>
      </c>
      <c r="AG17" s="549" t="s">
        <v>1795</v>
      </c>
      <c r="AH17" t="s">
        <v>1796</v>
      </c>
      <c r="AI17" s="64" t="s">
        <v>1797</v>
      </c>
      <c r="AJ17"/>
      <c r="AK17" s="1118" t="s">
        <v>1798</v>
      </c>
      <c r="AL17" s="114" t="s">
        <v>1799</v>
      </c>
      <c r="AM17" t="s">
        <v>1800</v>
      </c>
      <c r="AO17"/>
    </row>
    <row r="18" spans="1:89" s="37" customFormat="1" ht="45">
      <c r="A18" s="994"/>
      <c r="B18" s="995" t="s">
        <v>176</v>
      </c>
      <c r="C18" s="995" t="s">
        <v>121</v>
      </c>
      <c r="D18" s="822">
        <v>0</v>
      </c>
      <c r="E18" s="799">
        <v>41442</v>
      </c>
      <c r="F18" s="799">
        <v>159.24717057296732</v>
      </c>
      <c r="G18" s="799">
        <v>0</v>
      </c>
      <c r="H18" s="96">
        <f>((E18*N18*I18)*(1-J18)*K18)+((E18*N18+(E18*N18*I18))*L18*1/O18*M18)</f>
        <v>104.129821488</v>
      </c>
      <c r="I18" s="55">
        <v>0.4</v>
      </c>
      <c r="J18" s="55">
        <v>1.2999999999999999E-2</v>
      </c>
      <c r="K18" s="29">
        <v>1.9E-2</v>
      </c>
      <c r="L18" s="55">
        <v>0.2</v>
      </c>
      <c r="M18" s="14">
        <v>1.4E-2</v>
      </c>
      <c r="N18" s="29">
        <v>0.22</v>
      </c>
      <c r="O18" s="29">
        <v>1</v>
      </c>
      <c r="P18" s="799">
        <v>140</v>
      </c>
      <c r="Q18" s="799">
        <v>0</v>
      </c>
      <c r="R18" s="799">
        <v>179.33196660000002</v>
      </c>
      <c r="S18" s="1012">
        <v>1.6E-2</v>
      </c>
      <c r="T18" s="26">
        <v>6.94</v>
      </c>
      <c r="U18" s="993">
        <v>7.6128299319703802E-13</v>
      </c>
      <c r="V18" s="993">
        <v>9.9114588119145104E-13</v>
      </c>
      <c r="W18" s="993">
        <v>4.44587622408846E-13</v>
      </c>
      <c r="X18" s="993">
        <v>5.4963460178550003E-14</v>
      </c>
      <c r="Y18" s="993">
        <v>1.35691374688038E-11</v>
      </c>
      <c r="Z18" s="50">
        <v>1</v>
      </c>
      <c r="AA18" s="50">
        <f t="shared" si="1"/>
        <v>1</v>
      </c>
      <c r="AB18" s="50">
        <f t="shared" si="1"/>
        <v>1</v>
      </c>
      <c r="AC18" s="822">
        <f>AB18/(1-'Common input data'!$B$142)</f>
        <v>1.3901342174586957</v>
      </c>
      <c r="AD18" s="822">
        <f>AC18/(1-'Common input data'!$B$176)</f>
        <v>1.6748605029622841</v>
      </c>
      <c r="AE18" t="s">
        <v>1801</v>
      </c>
      <c r="AF18" s="1123" t="s">
        <v>1802</v>
      </c>
      <c r="AG18" s="37" t="s">
        <v>1809</v>
      </c>
      <c r="AH18" t="s">
        <v>1810</v>
      </c>
      <c r="AI18" s="1119" t="s">
        <v>1797</v>
      </c>
      <c r="AK18" s="1118" t="s">
        <v>1798</v>
      </c>
      <c r="AL18" s="114" t="s">
        <v>1807</v>
      </c>
      <c r="AM18" t="s">
        <v>1800</v>
      </c>
      <c r="AN18"/>
      <c r="AP18" s="50">
        <f>1/E18*10^4</f>
        <v>0.2413010955069736</v>
      </c>
      <c r="AQ18" s="50">
        <f>$AP18*Z18</f>
        <v>0.2413010955069736</v>
      </c>
      <c r="AR18" s="50">
        <f>$AP18*AA18</f>
        <v>0.2413010955069736</v>
      </c>
      <c r="AS18" s="50">
        <f>$AP18*AB18</f>
        <v>0.2413010955069736</v>
      </c>
      <c r="AT18" s="50">
        <f>$AP18*AC18</f>
        <v>0.33544090957451272</v>
      </c>
      <c r="AU18" s="50">
        <f>$AP18*AD18</f>
        <v>0.40414567418615993</v>
      </c>
      <c r="AW18" s="295">
        <f>SUM(F18,Q18)/E18</f>
        <v>3.8426516715642902E-3</v>
      </c>
      <c r="AX18" s="295">
        <f>$AW18*Z18</f>
        <v>3.8426516715642902E-3</v>
      </c>
      <c r="AY18" s="295">
        <f>$AW18*AA18</f>
        <v>3.8426516715642902E-3</v>
      </c>
      <c r="AZ18" s="295">
        <f>$AW18*AB18</f>
        <v>3.8426516715642902E-3</v>
      </c>
      <c r="BA18" s="295">
        <f>$AW18*AC18</f>
        <v>5.3418015744163732E-3</v>
      </c>
      <c r="BB18" s="295">
        <f>$AW18*AD18</f>
        <v>6.4359055113450284E-3</v>
      </c>
      <c r="BD18" s="295">
        <f>R18/E18</f>
        <v>4.3273000000000001E-3</v>
      </c>
      <c r="BE18" s="295">
        <f>$BD18*Z18</f>
        <v>4.3273000000000001E-3</v>
      </c>
      <c r="BF18" s="295">
        <f>$BD18*AA18</f>
        <v>4.3273000000000001E-3</v>
      </c>
      <c r="BG18" s="295">
        <f>$BD18*AB18</f>
        <v>4.3273000000000001E-3</v>
      </c>
      <c r="BH18" s="295">
        <f>$BD18*AC18</f>
        <v>6.0155277992090138E-3</v>
      </c>
      <c r="BI18" s="295">
        <f>$BD18*AD18</f>
        <v>7.2476238544686919E-3</v>
      </c>
      <c r="BJ18" s="295"/>
      <c r="BK18" s="295">
        <f>S18</f>
        <v>1.6E-2</v>
      </c>
      <c r="BL18" s="295">
        <f>$BK18*Z18</f>
        <v>1.6E-2</v>
      </c>
      <c r="BM18" s="295">
        <f>$BK18*AA18</f>
        <v>1.6E-2</v>
      </c>
      <c r="BN18" s="295">
        <f>$BK18*AB18</f>
        <v>1.6E-2</v>
      </c>
      <c r="BO18" s="295">
        <f>$BK18*AC18</f>
        <v>2.2242147479339131E-2</v>
      </c>
      <c r="BP18" s="295">
        <f>$BK18*AD18</f>
        <v>2.6797768047396545E-2</v>
      </c>
      <c r="BQ18" s="295"/>
      <c r="BR18" s="295">
        <f>(SUM(U18:Y18)*AP18)/('Common input data'!$B$192/10^6)</f>
        <v>9.4028545281769134E-12</v>
      </c>
      <c r="BS18" s="295">
        <f>$BR18*Z18</f>
        <v>9.4028545281769134E-12</v>
      </c>
      <c r="BT18" s="295">
        <f>$BR18*AA18</f>
        <v>9.4028545281769134E-12</v>
      </c>
      <c r="BU18" s="295">
        <f>$BR18*AB18</f>
        <v>9.4028545281769134E-12</v>
      </c>
      <c r="BV18" s="295">
        <f>$BR18*AC18</f>
        <v>1.3071229821405166E-11</v>
      </c>
      <c r="BW18" s="295">
        <f>$BR18*AD18</f>
        <v>1.5748469664343574E-11</v>
      </c>
      <c r="BY18" s="189">
        <f>T18/E18</f>
        <v>1.674629602818397E-4</v>
      </c>
      <c r="BZ18" s="189">
        <f>$BY18*Z18</f>
        <v>1.674629602818397E-4</v>
      </c>
      <c r="CA18" s="189">
        <f>$BY18*AA18</f>
        <v>1.674629602818397E-4</v>
      </c>
      <c r="CB18" s="189">
        <f>$BY18*AB18</f>
        <v>1.674629602818397E-4</v>
      </c>
      <c r="CC18" s="189">
        <f>$BY18*AC18</f>
        <v>2.3279599124471188E-4</v>
      </c>
      <c r="CD18" s="189">
        <f>$BY18*AD18</f>
        <v>2.8047709788519502E-4</v>
      </c>
      <c r="CF18" s="189">
        <f>(F18/E18*'Common input data'!$B$195+G18/E18*'Common input data'!$B$196)/'Common input data'!$B$198</f>
        <v>9.8117242306463911E-5</v>
      </c>
      <c r="CG18" s="189">
        <f>$CF18*Z18</f>
        <v>9.8117242306463911E-5</v>
      </c>
      <c r="CH18" s="189">
        <f>$CF18*AA18</f>
        <v>9.8117242306463911E-5</v>
      </c>
      <c r="CI18" s="189">
        <f>$CF18*AB18</f>
        <v>9.8117242306463911E-5</v>
      </c>
      <c r="CJ18" s="189">
        <f>$CF18*AC18</f>
        <v>1.3639613585290144E-4</v>
      </c>
      <c r="CK18" s="189">
        <f>$CF18*AD18</f>
        <v>1.6433269379867644E-4</v>
      </c>
    </row>
    <row r="19" spans="1:89" ht="45">
      <c r="A19" s="140"/>
      <c r="B19" s="106" t="s">
        <v>125</v>
      </c>
      <c r="C19" s="106" t="s">
        <v>121</v>
      </c>
      <c r="D19" s="435">
        <v>0.16256058159999998</v>
      </c>
      <c r="E19" s="797">
        <v>21473.71429</v>
      </c>
      <c r="F19" s="797">
        <v>128.84228573999999</v>
      </c>
      <c r="G19" s="797">
        <v>0</v>
      </c>
      <c r="H19" s="96">
        <f>((E19*N19*I19)*(1-J19)*K19)+((E19*N19+(E19*N19*I19))*L19*1/O19*M19)</f>
        <v>53.956228842768553</v>
      </c>
      <c r="I19" s="55">
        <v>0.4</v>
      </c>
      <c r="J19" s="55">
        <v>1.2999999999999999E-2</v>
      </c>
      <c r="K19" s="29">
        <v>1.9E-2</v>
      </c>
      <c r="L19" s="55">
        <v>0.2</v>
      </c>
      <c r="M19" s="14">
        <v>1.4E-2</v>
      </c>
      <c r="N19" s="29">
        <v>0.22</v>
      </c>
      <c r="O19" s="29">
        <v>1</v>
      </c>
      <c r="P19" s="797">
        <v>140</v>
      </c>
      <c r="Q19" s="797">
        <v>0</v>
      </c>
      <c r="R19" s="797">
        <v>85.894857160000001</v>
      </c>
      <c r="S19" s="1010">
        <v>1.2526333206124122E-2</v>
      </c>
      <c r="T19" s="54">
        <v>6.1</v>
      </c>
      <c r="U19" s="266">
        <v>6.3027245413798404E-13</v>
      </c>
      <c r="V19" s="266">
        <v>8.7655791137301302E-13</v>
      </c>
      <c r="W19" s="266">
        <v>2.5699897079143664E-13</v>
      </c>
      <c r="X19" s="266">
        <v>3.1051860708349134E-14</v>
      </c>
      <c r="Y19" s="266">
        <v>7.551713584253615E-12</v>
      </c>
      <c r="Z19" s="54">
        <v>1</v>
      </c>
      <c r="AA19" s="54">
        <f t="shared" si="1"/>
        <v>1</v>
      </c>
      <c r="AB19" s="54">
        <f t="shared" si="1"/>
        <v>1</v>
      </c>
      <c r="AC19" s="435">
        <f>AB19/(1-'Common input data'!$B$142)</f>
        <v>1.3901342174586957</v>
      </c>
      <c r="AD19" s="435">
        <f>AC19/(1-'Common input data'!$B$176)</f>
        <v>1.6748605029622841</v>
      </c>
      <c r="AE19" t="s">
        <v>1801</v>
      </c>
      <c r="AF19" s="1123" t="s">
        <v>1802</v>
      </c>
      <c r="AG19" t="s">
        <v>1811</v>
      </c>
      <c r="AH19" t="s">
        <v>1810</v>
      </c>
      <c r="AI19" s="64" t="s">
        <v>1797</v>
      </c>
      <c r="AJ19"/>
      <c r="AK19" s="1118" t="s">
        <v>1798</v>
      </c>
      <c r="AL19" s="114" t="s">
        <v>1807</v>
      </c>
      <c r="AM19" t="s">
        <v>1800</v>
      </c>
      <c r="AO19"/>
    </row>
    <row r="20" spans="1:89">
      <c r="A20" s="139" t="s">
        <v>171</v>
      </c>
      <c r="B20" s="141" t="s">
        <v>120</v>
      </c>
      <c r="C20" s="141" t="s">
        <v>121</v>
      </c>
      <c r="D20" s="170">
        <v>1</v>
      </c>
      <c r="E20" s="798">
        <f>$D$21*E21+$D$22*E22+$D$23*E23</f>
        <v>3144.3380117631764</v>
      </c>
      <c r="F20" s="798">
        <f>$D$21*F21+$D$22*F22+$D$23*F23</f>
        <v>140.54381590972898</v>
      </c>
      <c r="G20" s="798">
        <f>$D$21*G21+$D$22*G22+$D$23*G23</f>
        <v>22.066666666666666</v>
      </c>
      <c r="H20" s="797">
        <f>$D$21*H21+$D$22*H22+$D$23*H23</f>
        <v>26.646378046885864</v>
      </c>
      <c r="P20" s="798">
        <f>$D$21*P21+$D$22*P22+$D$23*P23</f>
        <v>70.000000000000014</v>
      </c>
      <c r="Q20" s="798">
        <f>$D$21*Q21+$D$22*Q22+$D$23*Q23</f>
        <v>0</v>
      </c>
      <c r="R20" s="798">
        <v>9.7683602352635308</v>
      </c>
      <c r="S20" s="1011">
        <f>$D$21*S21+$D$22*S22+$D$23*S23</f>
        <v>2.3135178696408222E-3</v>
      </c>
      <c r="U20" s="212">
        <v>4.9926191507892996E-13</v>
      </c>
      <c r="V20" s="212">
        <v>7.6196994155457511E-13</v>
      </c>
      <c r="W20" s="212">
        <v>6.9410319174027301E-14</v>
      </c>
      <c r="X20" s="212">
        <v>7.1402612381482693E-15</v>
      </c>
      <c r="Y20" s="212">
        <v>1.5342896997034303E-12</v>
      </c>
      <c r="Z20" s="170">
        <f>$D$21*Z21+$D$22*Z22+$D$23*Z23</f>
        <v>1</v>
      </c>
      <c r="AA20" s="170">
        <f>$D$21*AA21+$D$22*AA22+$D$23*AA23</f>
        <v>1</v>
      </c>
      <c r="AB20" s="170">
        <f>$D$21*AB21+$D$22*AB22+$D$23*AB23</f>
        <v>1.0705882352941176</v>
      </c>
      <c r="AC20" s="170">
        <f>$D$21*AC21+$D$22*AC22+$D$23*AC23</f>
        <v>1.1498163294767103</v>
      </c>
      <c r="AD20" s="170">
        <f>AC20/(1-'Common input data'!$B$177)</f>
        <v>1.1977253432049066</v>
      </c>
      <c r="AF20" s="1123"/>
      <c r="AG20"/>
      <c r="AH20" t="s">
        <v>1812</v>
      </c>
      <c r="AI20" s="64"/>
      <c r="AJ20"/>
      <c r="AK20" s="1118"/>
      <c r="AL20"/>
      <c r="AO20"/>
      <c r="AP20" s="79">
        <f>1/E20*10^4</f>
        <v>3.1803196611144662</v>
      </c>
      <c r="AQ20" s="79">
        <f>$AP20*Z20</f>
        <v>3.1803196611144662</v>
      </c>
      <c r="AR20" s="79">
        <f>$AP20*AA20</f>
        <v>3.1803196611144662</v>
      </c>
      <c r="AS20" s="79">
        <f>$AP20*AB20</f>
        <v>3.4048128136637223</v>
      </c>
      <c r="AT20" s="79">
        <f>$AP20*AC20</f>
        <v>3.6567834793052505</v>
      </c>
      <c r="AU20" s="79">
        <f>$AP20*AD20</f>
        <v>3.8091494576096365</v>
      </c>
      <c r="AV20"/>
      <c r="AW20" s="211">
        <f>SUM(F20,Q20)/E20</f>
        <v>4.4697426098576319E-2</v>
      </c>
      <c r="AX20" s="211">
        <f>$AW20*Z20</f>
        <v>4.4697426098576319E-2</v>
      </c>
      <c r="AY20" s="211">
        <f>$AW20*AA20</f>
        <v>4.4697426098576319E-2</v>
      </c>
      <c r="AZ20" s="211">
        <f>$AW20*AB20</f>
        <v>4.7852538529064056E-2</v>
      </c>
      <c r="BA20" s="211">
        <f>$AW20*AC20</f>
        <v>5.1393830413721538E-2</v>
      </c>
      <c r="BB20" s="211">
        <f>$AW20*AD20</f>
        <v>5.3535240014293273E-2</v>
      </c>
      <c r="BC20"/>
      <c r="BD20" s="211">
        <f>R20/E20</f>
        <v>3.1066508113057343E-3</v>
      </c>
      <c r="BE20" s="211">
        <f>$BD20*Z20</f>
        <v>3.1066508113057343E-3</v>
      </c>
      <c r="BF20" s="211">
        <f>$BD20*AA20</f>
        <v>3.1066508113057343E-3</v>
      </c>
      <c r="BG20" s="211">
        <f>$BD20*AB20</f>
        <v>3.325943809750845E-3</v>
      </c>
      <c r="BH20" s="211">
        <f>$BD20*AC20</f>
        <v>3.5720778328214037E-3</v>
      </c>
      <c r="BI20" s="211">
        <f>$BD20*AD20</f>
        <v>3.7209144091889623E-3</v>
      </c>
      <c r="BK20" s="211">
        <f>S20</f>
        <v>2.3135178696408222E-3</v>
      </c>
      <c r="BL20" s="211">
        <f>$BK20*Z20</f>
        <v>2.3135178696408222E-3</v>
      </c>
      <c r="BM20" s="211">
        <f>$BK20*AA20</f>
        <v>2.3135178696408222E-3</v>
      </c>
      <c r="BN20" s="211">
        <f>$BK20*AB20</f>
        <v>2.4768250133801743E-3</v>
      </c>
      <c r="BO20" s="211">
        <f>$BK20*AC20</f>
        <v>2.6601206250491884E-3</v>
      </c>
      <c r="BP20" s="211">
        <f>$BK20*AD20</f>
        <v>2.7709589844262385E-3</v>
      </c>
      <c r="BQ20" s="189"/>
      <c r="BR20" s="211">
        <f>(SUM(U20:Y20)*AP20)/('Common input data'!$B$192/10^6)</f>
        <v>2.2497247566912725E-11</v>
      </c>
      <c r="BS20" s="211">
        <f>$BR20*Z20</f>
        <v>2.2497247566912725E-11</v>
      </c>
      <c r="BT20" s="211">
        <f>$BR20*AA20</f>
        <v>2.2497247566912725E-11</v>
      </c>
      <c r="BU20" s="211">
        <f>$BR20*AB20</f>
        <v>2.4085288571635975E-11</v>
      </c>
      <c r="BV20" s="211">
        <f>$BR20*AC20</f>
        <v>2.586770262071644E-11</v>
      </c>
      <c r="BW20" s="211">
        <f>$BR20*AD20</f>
        <v>2.6945523563246293E-11</v>
      </c>
      <c r="BY20" s="189">
        <f>T20/E20</f>
        <v>0</v>
      </c>
      <c r="BZ20" s="189">
        <f>$BY20*Z20</f>
        <v>0</v>
      </c>
      <c r="CA20" s="189">
        <f>$BY20*AA20</f>
        <v>0</v>
      </c>
      <c r="CB20" s="189">
        <f>$BY20*AB20</f>
        <v>0</v>
      </c>
      <c r="CC20" s="189">
        <f>$BY20*AC20</f>
        <v>0</v>
      </c>
      <c r="CD20" s="189">
        <f>$BY20*AD20</f>
        <v>0</v>
      </c>
      <c r="CF20" s="189">
        <f>(F20/E20*'Common input data'!$B$195+G20/E20*'Common input data'!$B$196)/'Common input data'!$B$198</f>
        <v>2.5014548035233878E-3</v>
      </c>
      <c r="CG20" s="189">
        <f>$CF20*Z20</f>
        <v>2.5014548035233878E-3</v>
      </c>
      <c r="CH20" s="189">
        <f>$CF20*AA20</f>
        <v>2.5014548035233878E-3</v>
      </c>
      <c r="CI20" s="189">
        <f>$CF20*AB20</f>
        <v>2.6780280837720976E-3</v>
      </c>
      <c r="CJ20" s="189">
        <f>$CF20*AC20</f>
        <v>2.8762135805391474E-3</v>
      </c>
      <c r="CK20" s="189">
        <f>$CF20*AD20</f>
        <v>2.996055813061612E-3</v>
      </c>
    </row>
    <row r="21" spans="1:89" ht="45">
      <c r="A21" s="140" t="s">
        <v>172</v>
      </c>
      <c r="B21" s="106" t="s">
        <v>122</v>
      </c>
      <c r="C21" s="106" t="s">
        <v>121</v>
      </c>
      <c r="D21" s="435">
        <v>0.89</v>
      </c>
      <c r="E21" s="797">
        <v>3288</v>
      </c>
      <c r="F21" s="797">
        <v>144.66666666666666</v>
      </c>
      <c r="G21" s="797">
        <v>23.333333333333332</v>
      </c>
      <c r="H21" s="96">
        <f>((E21*N21*I21)*(1-J21)*K21)+((E21*N21+(E21*N21*I21))*L21*1/O21*M21)</f>
        <v>27.863827199999999</v>
      </c>
      <c r="I21" s="55">
        <v>1</v>
      </c>
      <c r="J21" s="55">
        <v>5.5E-2</v>
      </c>
      <c r="K21" s="55">
        <v>6.0000000000000001E-3</v>
      </c>
      <c r="L21" s="55">
        <v>0.22</v>
      </c>
      <c r="M21" s="55">
        <v>8.9999999999999993E-3</v>
      </c>
      <c r="N21" s="29">
        <v>0.88</v>
      </c>
      <c r="O21" s="29">
        <v>1</v>
      </c>
      <c r="P21" s="797">
        <v>70</v>
      </c>
      <c r="Q21" s="797">
        <v>0</v>
      </c>
      <c r="R21" s="797">
        <v>9</v>
      </c>
      <c r="S21" s="1010">
        <v>0</v>
      </c>
      <c r="T21" s="54">
        <v>0.92500000000000004</v>
      </c>
      <c r="U21" s="266">
        <v>4.9926191507892996E-13</v>
      </c>
      <c r="V21" s="266">
        <v>7.6196994155457501E-13</v>
      </c>
      <c r="W21" s="266">
        <v>6.9410319174027301E-14</v>
      </c>
      <c r="X21" s="266">
        <v>7.1402612381482693E-15</v>
      </c>
      <c r="Y21" s="266">
        <v>1.53428969970343E-12</v>
      </c>
      <c r="Z21" s="54">
        <v>1</v>
      </c>
      <c r="AA21" s="54">
        <f>Z21</f>
        <v>1</v>
      </c>
      <c r="AB21" s="435">
        <v>1.0705882352941176</v>
      </c>
      <c r="AC21" s="435">
        <f>AB21/(1-'Common input data'!$B$143)</f>
        <v>1.1498163294767105</v>
      </c>
      <c r="AD21" s="435">
        <f>AC21/(1-'Common input data'!$B$177)</f>
        <v>1.1977253432049069</v>
      </c>
      <c r="AE21" t="s">
        <v>1813</v>
      </c>
      <c r="AF21" s="1123" t="s">
        <v>1794</v>
      </c>
      <c r="AG21" s="549" t="s">
        <v>1795</v>
      </c>
      <c r="AH21" t="s">
        <v>1814</v>
      </c>
      <c r="AI21" s="64" t="s">
        <v>1797</v>
      </c>
      <c r="AJ21"/>
      <c r="AK21" s="1118" t="s">
        <v>1798</v>
      </c>
      <c r="AL21" s="114" t="s">
        <v>1799</v>
      </c>
      <c r="AM21" t="s">
        <v>1800</v>
      </c>
      <c r="AO21"/>
      <c r="BC21"/>
    </row>
    <row r="22" spans="1:89" ht="45">
      <c r="A22" s="140" t="s">
        <v>173</v>
      </c>
      <c r="B22" s="106" t="s">
        <v>122</v>
      </c>
      <c r="C22" s="106" t="s">
        <v>121</v>
      </c>
      <c r="D22" s="435">
        <v>0.1</v>
      </c>
      <c r="E22" s="797">
        <v>1876</v>
      </c>
      <c r="F22" s="797">
        <v>103</v>
      </c>
      <c r="G22" s="797">
        <v>13</v>
      </c>
      <c r="H22" s="96">
        <f>((E22*N22*I22)*(1-J22)*K22)+((E22*N22+(E22*N22*I22))*L22*1/O22*M22)</f>
        <v>15.897974399999999</v>
      </c>
      <c r="I22" s="55">
        <v>1</v>
      </c>
      <c r="J22" s="55">
        <v>5.5E-2</v>
      </c>
      <c r="K22" s="55">
        <v>6.0000000000000001E-3</v>
      </c>
      <c r="L22" s="55">
        <v>0.22</v>
      </c>
      <c r="M22" s="55">
        <v>8.9999999999999993E-3</v>
      </c>
      <c r="N22" s="29">
        <v>0.88</v>
      </c>
      <c r="O22" s="29">
        <v>1</v>
      </c>
      <c r="P22" s="797">
        <v>70</v>
      </c>
      <c r="Q22" s="797">
        <v>0</v>
      </c>
      <c r="R22" s="797">
        <v>11.5</v>
      </c>
      <c r="S22" s="1010">
        <v>0</v>
      </c>
      <c r="T22" s="54">
        <v>0.33499999999999996</v>
      </c>
      <c r="U22" s="266">
        <v>4.9926191507892996E-13</v>
      </c>
      <c r="V22" s="266">
        <v>7.6196994155457501E-13</v>
      </c>
      <c r="W22" s="266">
        <v>6.9410319174027301E-14</v>
      </c>
      <c r="X22" s="266">
        <v>7.1402612381482693E-15</v>
      </c>
      <c r="Y22" s="266">
        <v>1.53428969970343E-12</v>
      </c>
      <c r="Z22" s="54">
        <v>1</v>
      </c>
      <c r="AA22" s="54">
        <f>Z22</f>
        <v>1</v>
      </c>
      <c r="AB22" s="435">
        <v>1.0705882352941176</v>
      </c>
      <c r="AC22" s="435">
        <f>AB22/(1-'Common input data'!$B$143)</f>
        <v>1.1498163294767105</v>
      </c>
      <c r="AD22" s="435">
        <f>AC22/(1-'Common input data'!$B$177)</f>
        <v>1.1977253432049069</v>
      </c>
      <c r="AE22" t="s">
        <v>1813</v>
      </c>
      <c r="AF22" s="1123" t="s">
        <v>1794</v>
      </c>
      <c r="AG22" s="549" t="s">
        <v>1795</v>
      </c>
      <c r="AH22" t="s">
        <v>1814</v>
      </c>
      <c r="AI22" s="64" t="s">
        <v>1797</v>
      </c>
      <c r="AJ22"/>
      <c r="AK22" s="1118" t="s">
        <v>1798</v>
      </c>
      <c r="AL22" s="114" t="s">
        <v>1799</v>
      </c>
      <c r="AM22" t="s">
        <v>1800</v>
      </c>
      <c r="AO22"/>
      <c r="BC22"/>
    </row>
    <row r="23" spans="1:89" ht="45">
      <c r="A23" s="140" t="s">
        <v>171</v>
      </c>
      <c r="B23" s="106" t="s">
        <v>125</v>
      </c>
      <c r="C23" s="106" t="s">
        <v>121</v>
      </c>
      <c r="D23" s="435">
        <v>1.0000000000000009E-2</v>
      </c>
      <c r="E23" s="797">
        <v>3041.8011763176473</v>
      </c>
      <c r="F23" s="797">
        <v>149.04825763956472</v>
      </c>
      <c r="G23" s="797">
        <v>0</v>
      </c>
      <c r="H23" s="96">
        <f>((E23*N23*I23)*(1-J23)*K23)+((E23*N23+(E23*N23*I23))*L23*1/O23*M23)</f>
        <v>25.777439888586272</v>
      </c>
      <c r="I23" s="55">
        <v>1</v>
      </c>
      <c r="J23" s="55">
        <v>5.5E-2</v>
      </c>
      <c r="K23" s="55">
        <v>6.0000000000000001E-3</v>
      </c>
      <c r="L23" s="55">
        <v>0.22</v>
      </c>
      <c r="M23" s="55">
        <v>8.9999999999999993E-3</v>
      </c>
      <c r="N23" s="29">
        <v>0.88</v>
      </c>
      <c r="O23" s="29">
        <v>1</v>
      </c>
      <c r="P23" s="797">
        <v>70</v>
      </c>
      <c r="Q23" s="797">
        <v>0</v>
      </c>
      <c r="R23" s="797">
        <v>60.836023526352946</v>
      </c>
      <c r="S23" s="1010">
        <v>0.23135178696408201</v>
      </c>
      <c r="T23" s="54">
        <v>1.1800000000000002</v>
      </c>
      <c r="U23" s="266">
        <v>4.9926191507892996E-13</v>
      </c>
      <c r="V23" s="266">
        <v>7.6196994155457501E-13</v>
      </c>
      <c r="W23" s="266">
        <v>6.9410319174027301E-14</v>
      </c>
      <c r="X23" s="266">
        <v>7.1402612381482693E-15</v>
      </c>
      <c r="Y23" s="266">
        <v>1.53428969970343E-12</v>
      </c>
      <c r="Z23" s="54">
        <v>1</v>
      </c>
      <c r="AA23" s="54">
        <f>Z23</f>
        <v>1</v>
      </c>
      <c r="AB23" s="435">
        <v>1.0705882352941176</v>
      </c>
      <c r="AC23" s="435">
        <f>AB23/(1-'Common input data'!$B$143)</f>
        <v>1.1498163294767105</v>
      </c>
      <c r="AD23" s="435">
        <f>AC23/(1-'Common input data'!$B$177)</f>
        <v>1.1977253432049069</v>
      </c>
      <c r="AE23" t="s">
        <v>1801</v>
      </c>
      <c r="AF23" s="1123" t="s">
        <v>1802</v>
      </c>
      <c r="AG23" t="s">
        <v>1815</v>
      </c>
      <c r="AH23" t="s">
        <v>1810</v>
      </c>
      <c r="AI23" s="64" t="s">
        <v>1797</v>
      </c>
      <c r="AJ23"/>
      <c r="AK23" s="1118" t="s">
        <v>1798</v>
      </c>
      <c r="AL23" s="114" t="s">
        <v>1807</v>
      </c>
      <c r="AM23" t="s">
        <v>1800</v>
      </c>
      <c r="AO23"/>
      <c r="BC23"/>
    </row>
    <row r="24" spans="1:89">
      <c r="A24" s="139" t="s">
        <v>175</v>
      </c>
      <c r="B24" s="141" t="s">
        <v>120</v>
      </c>
      <c r="C24" s="141" t="s">
        <v>121</v>
      </c>
      <c r="D24" s="170">
        <v>1</v>
      </c>
      <c r="E24" s="798">
        <f>$D25*E25+$D26*E26+$D27*E27+$D28*E28</f>
        <v>3691.5782677399739</v>
      </c>
      <c r="F24" s="798">
        <f>$D25*F25+$D26*F26+$D27*F27+$D28*F28</f>
        <v>137.26684113720063</v>
      </c>
      <c r="G24" s="798">
        <f>$D25*G25+$D26*G26+$D27*G27+$D28*G28</f>
        <v>28.429921514080647</v>
      </c>
      <c r="H24" s="797">
        <f>$D25*H25+$D26*H26+$D27*H27+$D28*H28</f>
        <v>36.311630301287543</v>
      </c>
      <c r="P24" s="798">
        <f>$D25*P25+$D26*P26+$D27*P27+$D28*P28</f>
        <v>60.648138974540664</v>
      </c>
      <c r="Q24" s="798">
        <f>$D25*Q25+$D26*Q26+$D27*Q27+$D28*Q28</f>
        <v>0</v>
      </c>
      <c r="R24" s="798">
        <v>29.416841706038973</v>
      </c>
      <c r="S24" s="1011">
        <f>$D25*S25+$D26*S26+$D27*S27+$D28*S28</f>
        <v>3.0908139423996721E-2</v>
      </c>
      <c r="U24" s="212">
        <v>8.6498766680937925E-13</v>
      </c>
      <c r="V24" s="212">
        <v>8.886381978904673E-13</v>
      </c>
      <c r="W24" s="212">
        <v>3.7529279015982057E-13</v>
      </c>
      <c r="X24" s="212">
        <v>6.5584080554710284E-14</v>
      </c>
      <c r="Y24" s="212">
        <v>5.8291563082048005E-12</v>
      </c>
      <c r="Z24" s="170">
        <f>$D25*Z25+$D26*Z26+$D27*Z27+$D28*Z28</f>
        <v>1</v>
      </c>
      <c r="AA24" s="170">
        <f>$D25*AA25+$D26*AA26+$D27*AA27+$D28*AA28</f>
        <v>2.5</v>
      </c>
      <c r="AB24" s="170">
        <f>$D25*AB25+$D26*AB26+$D27*AB27+$D28*AB28</f>
        <v>1.7999999999999998</v>
      </c>
      <c r="AC24" s="170">
        <f>$D25*AC25+$D26*AC26+$D27*AC27+$D28*AC28</f>
        <v>1.9332076748344691</v>
      </c>
      <c r="AD24" s="170">
        <f>$D25*AD25+$D26*AD26+$D27*AD27+$D28*AD28</f>
        <v>2.0137579946192385</v>
      </c>
      <c r="AF24" s="1123"/>
      <c r="AG24"/>
      <c r="AH24"/>
      <c r="AI24" s="64"/>
      <c r="AJ24"/>
      <c r="AK24" s="1118"/>
      <c r="AL24"/>
      <c r="AO24"/>
      <c r="AP24" s="170">
        <f>$D25*'Grains, oil crops, sugar'!Y96+$D26*'Grains, oil crops, sugar'!Y100+$D27*'Grains, oil crops, sugar'!Y104+$D28*'Grains, oil crops, sugar'!Y108</f>
        <v>2.7896782201902837</v>
      </c>
      <c r="AQ24" s="170">
        <f>$D25*'Grains, oil crops, sugar'!Z96+$D26*'Grains, oil crops, sugar'!Z100+$D27*'Grains, oil crops, sugar'!Z104+$D28*'Grains, oil crops, sugar'!Z108</f>
        <v>2.7896782201902837</v>
      </c>
      <c r="AR24" s="170">
        <f>$D25*'Grains, oil crops, sugar'!AA96+$D26*'Grains, oil crops, sugar'!AA100+$D27*'Grains, oil crops, sugar'!AA104+$D28*'Grains, oil crops, sugar'!AA108</f>
        <v>6.9741955504757094</v>
      </c>
      <c r="AS24" s="170">
        <f>$D25*'Grains, oil crops, sugar'!AB96+$D26*'Grains, oil crops, sugar'!AB100+$D27*'Grains, oil crops, sugar'!AB104+$D28*'Grains, oil crops, sugar'!AB108</f>
        <v>5.021420796342511</v>
      </c>
      <c r="AT24" s="170">
        <f>$D25*'Grains, oil crops, sugar'!AC96+$D26*'Grains, oil crops, sugar'!AC100+$D27*'Grains, oil crops, sugar'!AC104+$D28*'Grains, oil crops, sugar'!AC108</f>
        <v>5.3930273455904185</v>
      </c>
      <c r="AU24" s="170">
        <f>$D25*'Grains, oil crops, sugar'!AD96+$D26*'Grains, oil crops, sugar'!AD100+$D27*'Grains, oil crops, sugar'!AD104+$D28*'Grains, oil crops, sugar'!AD108</f>
        <v>5.6177368183233511</v>
      </c>
      <c r="AV24" s="106"/>
      <c r="AW24" s="212">
        <f>$D25*'Grains, oil crops, sugar'!AF96+$D26*'Grains, oil crops, sugar'!AF100+$D27*'Grains, oil crops, sugar'!AF104+$D28*'Grains, oil crops, sugar'!AF108</f>
        <v>3.8494491143385892E-2</v>
      </c>
      <c r="AX24" s="212">
        <f>$D25*'Grains, oil crops, sugar'!AG96+$D26*'Grains, oil crops, sugar'!AG100+$D27*'Grains, oil crops, sugar'!AG104+$D28*'Grains, oil crops, sugar'!AG108</f>
        <v>3.8494491143385892E-2</v>
      </c>
      <c r="AY24" s="212">
        <f>$D25*'Grains, oil crops, sugar'!AH96+$D26*'Grains, oil crops, sugar'!AH100+$D27*'Grains, oil crops, sugar'!AH104+$D28*'Grains, oil crops, sugar'!AH108</f>
        <v>9.6236227858464751E-2</v>
      </c>
      <c r="AZ24" s="212">
        <f>$D25*'Grains, oil crops, sugar'!AI96+$D26*'Grains, oil crops, sugar'!AI100+$D27*'Grains, oil crops, sugar'!AI104+$D28*'Grains, oil crops, sugar'!AI108</f>
        <v>6.9290084058094614E-2</v>
      </c>
      <c r="BA24" s="212">
        <f>$D25*'Grains, oil crops, sugar'!AJ96+$D26*'Grains, oil crops, sugar'!AJ100+$D27*'Grains, oil crops, sugar'!AJ104+$D28*'Grains, oil crops, sugar'!AJ108</f>
        <v>7.441784571724111E-2</v>
      </c>
      <c r="BB24" s="212">
        <f>$D25*'Grains, oil crops, sugar'!AK96+$D26*'Grains, oil crops, sugar'!AK100+$D27*'Grains, oil crops, sugar'!AK104+$D28*'Grains, oil crops, sugar'!AK108</f>
        <v>7.7518589288792808E-2</v>
      </c>
      <c r="BC24" s="106"/>
      <c r="BD24" s="212">
        <f>$D25*'Grains, oil crops, sugar'!AM96+$D26*'Grains, oil crops, sugar'!AM100+$D27*'Grains, oil crops, sugar'!AM104+$D28*'Grains, oil crops, sugar'!AM108</f>
        <v>7.8296323064190269E-3</v>
      </c>
      <c r="BE24" s="212">
        <f>$D25*'Grains, oil crops, sugar'!AN96+$D26*'Grains, oil crops, sugar'!AN100+$D27*'Grains, oil crops, sugar'!AN104+$D28*'Grains, oil crops, sugar'!AN108</f>
        <v>7.8296323064190269E-3</v>
      </c>
      <c r="BF24" s="212">
        <f>$D25*'Grains, oil crops, sugar'!AO96+$D26*'Grains, oil crops, sugar'!AO100+$D27*'Grains, oil crops, sugar'!AO104+$D28*'Grains, oil crops, sugar'!AO108</f>
        <v>1.9574080766047566E-2</v>
      </c>
      <c r="BG24" s="212">
        <f>$D25*'Grains, oil crops, sugar'!AP96+$D26*'Grains, oil crops, sugar'!AP100+$D27*'Grains, oil crops, sugar'!AP104+$D28*'Grains, oil crops, sugar'!AP108</f>
        <v>1.4093338151554245E-2</v>
      </c>
      <c r="BH24" s="212">
        <f>$D25*'Grains, oil crops, sugar'!AQ96+$D26*'Grains, oil crops, sugar'!AQ100+$D27*'Grains, oil crops, sugar'!AQ104+$D28*'Grains, oil crops, sugar'!AQ108</f>
        <v>1.5136305265901168E-2</v>
      </c>
      <c r="BI24" s="212">
        <f>$D25*'Grains, oil crops, sugar'!AR96+$D26*'Grains, oil crops, sugar'!AR100+$D27*'Grains, oil crops, sugar'!AR104+$D28*'Grains, oil crops, sugar'!AR108</f>
        <v>1.5766984651980381E-2</v>
      </c>
      <c r="BJ24" s="266"/>
      <c r="BK24" s="212">
        <f>$D25*'Grains, oil crops, sugar'!AT96+$D26*'Grains, oil crops, sugar'!AT100+$D27*'Grains, oil crops, sugar'!AT104+$D28*'Grains, oil crops, sugar'!AT108</f>
        <v>3.0908139423996721E-2</v>
      </c>
      <c r="BL24" s="212">
        <f>$D25*'Grains, oil crops, sugar'!AU96+$D26*'Grains, oil crops, sugar'!AU100+$D27*'Grains, oil crops, sugar'!AU104+$D28*'Grains, oil crops, sugar'!AU108</f>
        <v>3.0908139423996721E-2</v>
      </c>
      <c r="BM24" s="212">
        <f>$D25*'Grains, oil crops, sugar'!AV96+$D26*'Grains, oil crops, sugar'!AV100+$D27*'Grains, oil crops, sugar'!AV104+$D28*'Grains, oil crops, sugar'!AV108</f>
        <v>7.7270348559991806E-2</v>
      </c>
      <c r="BN24" s="212">
        <f>$D25*'Grains, oil crops, sugar'!AW96+$D26*'Grains, oil crops, sugar'!AW100+$D27*'Grains, oil crops, sugar'!AW104+$D28*'Grains, oil crops, sugar'!AW108</f>
        <v>5.5634650963194088E-2</v>
      </c>
      <c r="BO24" s="212">
        <f>$D25*'Grains, oil crops, sugar'!AX96+$D26*'Grains, oil crops, sugar'!AX100+$D27*'Grains, oil crops, sugar'!AX104+$D28*'Grains, oil crops, sugar'!AX108</f>
        <v>5.9751852349324286E-2</v>
      </c>
      <c r="BP24" s="212">
        <f>$D25*'Grains, oil crops, sugar'!AY96+$D26*'Grains, oil crops, sugar'!AY100+$D27*'Grains, oil crops, sugar'!AY104+$D28*'Grains, oil crops, sugar'!AY108</f>
        <v>6.224151286387946E-2</v>
      </c>
      <c r="BQ24" s="266"/>
      <c r="BR24" s="212">
        <f>$D25*'Grains, oil crops, sugar'!BA96+$D26*'Grains, oil crops, sugar'!BA100+$D27*'Grains, oil crops, sugar'!BA104+$D28*'Grains, oil crops, sugar'!BA108</f>
        <v>5.1119761779057776E-11</v>
      </c>
      <c r="BS24" s="212">
        <f>$D25*'Grains, oil crops, sugar'!BB96+$D26*'Grains, oil crops, sugar'!BB100+$D27*'Grains, oil crops, sugar'!BB104+$D28*'Grains, oil crops, sugar'!BB108</f>
        <v>5.1119761779057776E-11</v>
      </c>
      <c r="BT24" s="212">
        <f>$D25*'Grains, oil crops, sugar'!BC96+$D26*'Grains, oil crops, sugar'!BC100+$D27*'Grains, oil crops, sugar'!BC104+$D28*'Grains, oil crops, sugar'!BC108</f>
        <v>1.2779940444764446E-10</v>
      </c>
      <c r="BU24" s="212">
        <f>$D25*'Grains, oil crops, sugar'!BD96+$D26*'Grains, oil crops, sugar'!BD100+$D27*'Grains, oil crops, sugar'!BD104+$D28*'Grains, oil crops, sugar'!BD108</f>
        <v>9.2015571202303994E-11</v>
      </c>
      <c r="BV24" s="212">
        <f>$D25*'Grains, oil crops, sugar'!BE96+$D26*'Grains, oil crops, sugar'!BE100+$D27*'Grains, oil crops, sugar'!BE104+$D28*'Grains, oil crops, sugar'!BE108</f>
        <v>9.8825115806984262E-11</v>
      </c>
      <c r="BW24" s="212">
        <f>$D25*'Grains, oil crops, sugar'!BF96+$D26*'Grains, oil crops, sugar'!BF100+$D27*'Grains, oil crops, sugar'!BF104+$D28*'Grains, oil crops, sugar'!BF108</f>
        <v>1.029428289656086E-10</v>
      </c>
      <c r="BY24" s="189">
        <f>T24/E24</f>
        <v>0</v>
      </c>
      <c r="BZ24" s="189">
        <f>$BY24*Z24</f>
        <v>0</v>
      </c>
      <c r="CA24" s="189">
        <f>$BY24*AA24</f>
        <v>0</v>
      </c>
      <c r="CB24" s="189">
        <f>$BY24*AB24</f>
        <v>0</v>
      </c>
      <c r="CC24" s="189">
        <f>$BY24*AC24</f>
        <v>0</v>
      </c>
      <c r="CD24" s="189">
        <f>$BY24*AD24</f>
        <v>0</v>
      </c>
      <c r="CF24" s="189">
        <f>(F24/E24*'Common input data'!$B$195+G24/E24*'Common input data'!$B$196)/'Common input data'!$B$198</f>
        <v>2.4420527245206883E-3</v>
      </c>
      <c r="CG24" s="189">
        <f>$CF24*Z24</f>
        <v>2.4420527245206883E-3</v>
      </c>
      <c r="CH24" s="189">
        <f>$CF24*AA24</f>
        <v>6.1051318113017209E-3</v>
      </c>
      <c r="CI24" s="189">
        <f>$CF24*AB24</f>
        <v>4.3956949041372385E-3</v>
      </c>
      <c r="CJ24" s="189">
        <f>$CF24*AC24</f>
        <v>4.7209950693938201E-3</v>
      </c>
      <c r="CK24" s="189">
        <f>$CF24*AD24</f>
        <v>4.9177031972852288E-3</v>
      </c>
    </row>
    <row r="25" spans="1:89" ht="45">
      <c r="A25" s="18"/>
      <c r="B25" s="106" t="s">
        <v>122</v>
      </c>
      <c r="C25" s="106" t="s">
        <v>121</v>
      </c>
      <c r="D25" s="435">
        <v>0.4165535957</v>
      </c>
      <c r="E25" s="797">
        <f>$D21/($D21+$D22)*E21+$D22/($D21+$D22)*E22</f>
        <v>3145.3737373737376</v>
      </c>
      <c r="F25" s="797">
        <f>$D21/($D21+$D22)*F21+$D22/($D21+$D22)*F22</f>
        <v>140.45791245791247</v>
      </c>
      <c r="G25" s="797">
        <f>$D21/($D21+$D22)*G21+$D22/($D21+$D22)*G22</f>
        <v>22.289562289562291</v>
      </c>
      <c r="H25" s="797">
        <f t="shared" ref="H25:O25" si="2">((E15*N22*I22)*(1-J22)*K22)+((E15*N22+(E15*N22*I22))*L22*1/O22*M22)</f>
        <v>38.724957216</v>
      </c>
      <c r="I25" s="797">
        <f t="shared" si="2"/>
        <v>1.2341725126830108</v>
      </c>
      <c r="J25" s="797" t="e">
        <f t="shared" si="2"/>
        <v>#DIV/0!</v>
      </c>
      <c r="K25" s="797">
        <f t="shared" si="2"/>
        <v>0</v>
      </c>
      <c r="L25" s="797" t="e">
        <f t="shared" si="2"/>
        <v>#DIV/0!</v>
      </c>
      <c r="M25" s="797">
        <f t="shared" si="2"/>
        <v>0</v>
      </c>
      <c r="N25" s="797">
        <f t="shared" si="2"/>
        <v>0</v>
      </c>
      <c r="O25" s="797">
        <f t="shared" si="2"/>
        <v>6.4304934662166189E-11</v>
      </c>
      <c r="P25" s="797">
        <f>$D21/($D21+$D22)*P21+$D22/($D21+$D22)*P22</f>
        <v>70</v>
      </c>
      <c r="Q25" s="797">
        <f>$D21/($D21+$D22)*Q21+$D22/($D21+$D22)*Q22</f>
        <v>0</v>
      </c>
      <c r="R25" s="797">
        <v>9.2525252525252526</v>
      </c>
      <c r="S25" s="1010">
        <f>$D21/($D21+$D22)*S21+$D22/($D21+$D22)*S22</f>
        <v>0</v>
      </c>
      <c r="T25" s="435">
        <f>$D21/($D21+$D22)*T21+$D22/($D21+$D22)*T22</f>
        <v>0.86540404040404051</v>
      </c>
      <c r="U25" s="797">
        <v>4.9926191507892996E-13</v>
      </c>
      <c r="V25" s="797">
        <v>7.6196994155457501E-13</v>
      </c>
      <c r="W25" s="797">
        <v>6.9410319174027301E-14</v>
      </c>
      <c r="X25" s="797">
        <v>7.1402612381482693E-15</v>
      </c>
      <c r="Y25" s="797">
        <v>1.53428969970343E-12</v>
      </c>
      <c r="Z25" s="54">
        <v>1</v>
      </c>
      <c r="AA25" s="54">
        <f>Z25/'Common input data'!$C$40</f>
        <v>2.5</v>
      </c>
      <c r="AB25" s="54">
        <f>AA25*'Common input data'!$D$40</f>
        <v>1.7999999999999998</v>
      </c>
      <c r="AC25" s="435">
        <f>AB25/(1-'Common input data'!$B$143)</f>
        <v>1.9332076748344691</v>
      </c>
      <c r="AD25" s="435">
        <f>AC25/(1-'Common input data'!$B$177)</f>
        <v>2.0137579946192385</v>
      </c>
      <c r="AE25" t="s">
        <v>1793</v>
      </c>
      <c r="AF25" s="1123" t="s">
        <v>1794</v>
      </c>
      <c r="AG25" s="549" t="s">
        <v>1795</v>
      </c>
      <c r="AH25" t="s">
        <v>1814</v>
      </c>
      <c r="AI25" s="64" t="s">
        <v>1797</v>
      </c>
      <c r="AJ25"/>
      <c r="AK25" s="1118" t="s">
        <v>1798</v>
      </c>
      <c r="AL25" s="114" t="s">
        <v>1799</v>
      </c>
      <c r="AM25" t="s">
        <v>1800</v>
      </c>
      <c r="AO25"/>
      <c r="BC25"/>
    </row>
    <row r="26" spans="1:89" ht="75">
      <c r="A26" s="140"/>
      <c r="B26" s="106" t="s">
        <v>126</v>
      </c>
      <c r="C26" s="106" t="s">
        <v>121</v>
      </c>
      <c r="D26" s="435">
        <v>0.22803600359704471</v>
      </c>
      <c r="E26" s="797">
        <v>4555.7597647058819</v>
      </c>
      <c r="F26" s="797">
        <v>150</v>
      </c>
      <c r="G26" s="797">
        <v>0</v>
      </c>
      <c r="H26" s="96">
        <f>((E26*N26*I26)*(1-J26)*K26)+((E26*N26+(E26*N26*I26))*L26*1/O26*M26)</f>
        <v>38.607330550023526</v>
      </c>
      <c r="I26" s="55">
        <v>1</v>
      </c>
      <c r="J26" s="55">
        <v>5.5E-2</v>
      </c>
      <c r="K26" s="55">
        <v>6.0000000000000001E-3</v>
      </c>
      <c r="L26" s="55">
        <v>0.22</v>
      </c>
      <c r="M26" s="55">
        <v>8.9999999999999993E-3</v>
      </c>
      <c r="N26" s="29">
        <v>0.88</v>
      </c>
      <c r="O26" s="29">
        <v>1</v>
      </c>
      <c r="P26" s="14">
        <v>70</v>
      </c>
      <c r="Q26" s="797">
        <v>0</v>
      </c>
      <c r="R26" s="797">
        <v>50</v>
      </c>
      <c r="S26" s="1010">
        <v>0</v>
      </c>
      <c r="T26" s="1135"/>
      <c r="U26" s="266">
        <v>1.58499831683658E-12</v>
      </c>
      <c r="V26" s="266">
        <v>1.00274734364104E-12</v>
      </c>
      <c r="W26" s="266">
        <v>8.25021177367055E-13</v>
      </c>
      <c r="X26" s="266">
        <v>1.74827713273418E-13</v>
      </c>
      <c r="Y26" s="266">
        <v>5.5312434421168498E-12</v>
      </c>
      <c r="Z26" s="54">
        <v>1</v>
      </c>
      <c r="AA26" s="54">
        <f>Z26/'Common input data'!$C$40</f>
        <v>2.5</v>
      </c>
      <c r="AB26" s="54">
        <f>AA26*'Common input data'!$D$40</f>
        <v>1.7999999999999998</v>
      </c>
      <c r="AC26" s="435">
        <f>AB26/(1-'Common input data'!$B$143)</f>
        <v>1.9332076748344691</v>
      </c>
      <c r="AD26" s="435">
        <f>AC26/(1-'Common input data'!$B$177)</f>
        <v>2.0137579946192385</v>
      </c>
      <c r="AE26" t="s">
        <v>1801</v>
      </c>
      <c r="AF26" s="1123" t="s">
        <v>1802</v>
      </c>
      <c r="AG26" s="52" t="s">
        <v>1803</v>
      </c>
      <c r="AH26" t="s">
        <v>1810</v>
      </c>
      <c r="AI26" s="64" t="s">
        <v>1797</v>
      </c>
      <c r="AJ26"/>
      <c r="AK26" s="1118" t="s">
        <v>1798</v>
      </c>
      <c r="AL26"/>
      <c r="AM26" t="s">
        <v>1800</v>
      </c>
      <c r="AO26"/>
      <c r="BC26"/>
    </row>
    <row r="27" spans="1:89" ht="45">
      <c r="A27" s="140"/>
      <c r="B27" s="106" t="s">
        <v>176</v>
      </c>
      <c r="C27" s="106" t="s">
        <v>121</v>
      </c>
      <c r="D27" s="435">
        <v>0.2218123860535362</v>
      </c>
      <c r="E27" s="797">
        <v>4220.2588235294115</v>
      </c>
      <c r="F27" s="797">
        <v>111.08775866662596</v>
      </c>
      <c r="G27" s="797">
        <v>86.312241333374047</v>
      </c>
      <c r="H27" s="96">
        <f>((E27*N27*I27)*(1-J27)*K27)+((E27*N27+(E27*N27*I27))*L27*1/O27*M27)</f>
        <v>35.764161374117649</v>
      </c>
      <c r="I27" s="55">
        <v>1</v>
      </c>
      <c r="J27" s="55">
        <v>5.5E-2</v>
      </c>
      <c r="K27" s="55">
        <v>6.0000000000000001E-3</v>
      </c>
      <c r="L27" s="55">
        <v>0.22</v>
      </c>
      <c r="M27" s="55">
        <v>8.9999999999999993E-3</v>
      </c>
      <c r="N27" s="29">
        <v>0.88</v>
      </c>
      <c r="O27" s="29">
        <v>1</v>
      </c>
      <c r="P27" s="14">
        <v>70</v>
      </c>
      <c r="Q27" s="797">
        <v>0</v>
      </c>
      <c r="R27" s="797">
        <v>27.2</v>
      </c>
      <c r="S27" s="1010">
        <v>0</v>
      </c>
      <c r="T27" s="1135"/>
      <c r="U27" s="266">
        <v>7.6128299319703802E-13</v>
      </c>
      <c r="V27" s="266">
        <v>9.9114588119145104E-13</v>
      </c>
      <c r="W27" s="266">
        <v>4.44587622408846E-13</v>
      </c>
      <c r="X27" s="266">
        <v>5.4963460178550003E-14</v>
      </c>
      <c r="Y27" s="266">
        <v>1.35691374688038E-11</v>
      </c>
      <c r="Z27" s="54">
        <v>1</v>
      </c>
      <c r="AA27" s="54">
        <f>Z27/'Common input data'!$C$40</f>
        <v>2.5</v>
      </c>
      <c r="AB27" s="54">
        <f>AA27*'Common input data'!$D$40</f>
        <v>1.7999999999999998</v>
      </c>
      <c r="AC27" s="435">
        <f>AB27/(1-'Common input data'!$B$143)</f>
        <v>1.9332076748344691</v>
      </c>
      <c r="AD27" s="435">
        <f>AC27/(1-'Common input data'!$B$177)</f>
        <v>2.0137579946192385</v>
      </c>
      <c r="AE27" t="s">
        <v>1801</v>
      </c>
      <c r="AF27" s="1123" t="s">
        <v>1802</v>
      </c>
      <c r="AG27" t="s">
        <v>1816</v>
      </c>
      <c r="AH27" t="s">
        <v>1810</v>
      </c>
      <c r="AI27" s="64" t="s">
        <v>1797</v>
      </c>
      <c r="AJ27"/>
      <c r="AK27" s="1118" t="s">
        <v>1798</v>
      </c>
      <c r="AL27" s="114"/>
      <c r="AM27" t="s">
        <v>1800</v>
      </c>
      <c r="AO27"/>
      <c r="BC27"/>
    </row>
    <row r="28" spans="1:89" ht="45">
      <c r="A28" s="140"/>
      <c r="B28" s="106" t="s">
        <v>125</v>
      </c>
      <c r="C28" s="106" t="s">
        <v>121</v>
      </c>
      <c r="D28" s="435">
        <v>0.13359801464941912</v>
      </c>
      <c r="E28" s="797">
        <v>3041.8011763176473</v>
      </c>
      <c r="F28" s="797">
        <v>149.04825763956472</v>
      </c>
      <c r="G28" s="797">
        <v>0</v>
      </c>
      <c r="H28" s="96">
        <f>((E28*N28*I28)*(1-J28)*K28)+((E28*N28+(E28*N28*I28))*L28*1/O28*M28)</f>
        <v>25.777439888586272</v>
      </c>
      <c r="I28" s="55">
        <v>1</v>
      </c>
      <c r="J28" s="55">
        <v>5.5E-2</v>
      </c>
      <c r="K28" s="55">
        <v>6.0000000000000001E-3</v>
      </c>
      <c r="L28" s="55">
        <v>0.22</v>
      </c>
      <c r="M28" s="55">
        <v>8.9999999999999993E-3</v>
      </c>
      <c r="N28" s="29">
        <v>0.88</v>
      </c>
      <c r="O28" s="29">
        <v>1</v>
      </c>
      <c r="P28" s="14"/>
      <c r="Q28" s="797">
        <v>0</v>
      </c>
      <c r="R28" s="797">
        <v>60.836023526352946</v>
      </c>
      <c r="S28" s="1010">
        <v>0.23135178696408201</v>
      </c>
      <c r="T28" s="54">
        <v>1.1800000000000002</v>
      </c>
      <c r="U28" s="266">
        <v>9.4851440837084917E-13</v>
      </c>
      <c r="V28" s="266">
        <v>9.1862105546235541E-13</v>
      </c>
      <c r="W28" s="266">
        <v>4.4633970631664274E-13</v>
      </c>
      <c r="X28" s="266">
        <v>7.8977144896705428E-14</v>
      </c>
      <c r="Y28" s="266">
        <v>6.8782235368746932E-12</v>
      </c>
      <c r="Z28" s="54">
        <v>1</v>
      </c>
      <c r="AA28" s="54">
        <f>Z28/'Common input data'!$C$40</f>
        <v>2.5</v>
      </c>
      <c r="AB28" s="54">
        <f>AA28*'Common input data'!$D$40</f>
        <v>1.7999999999999998</v>
      </c>
      <c r="AC28" s="435">
        <f>AB28/(1-'Common input data'!$B$143)</f>
        <v>1.9332076748344691</v>
      </c>
      <c r="AD28" s="435">
        <f>AC28/(1-'Common input data'!$B$177)</f>
        <v>2.0137579946192385</v>
      </c>
      <c r="AE28" t="s">
        <v>1801</v>
      </c>
      <c r="AF28" s="1123" t="s">
        <v>1802</v>
      </c>
      <c r="AG28" t="s">
        <v>1815</v>
      </c>
      <c r="AH28" t="s">
        <v>1810</v>
      </c>
      <c r="AI28" s="64" t="s">
        <v>1797</v>
      </c>
      <c r="AJ28"/>
      <c r="AK28" s="1118" t="s">
        <v>1798</v>
      </c>
      <c r="AL28" s="114" t="s">
        <v>1807</v>
      </c>
      <c r="AM28" t="s">
        <v>1800</v>
      </c>
      <c r="AO28"/>
      <c r="BC28"/>
    </row>
    <row r="29" spans="1:89" ht="45">
      <c r="A29" s="139" t="s">
        <v>180</v>
      </c>
      <c r="B29" s="170" t="s">
        <v>122</v>
      </c>
      <c r="C29" s="170" t="s">
        <v>121</v>
      </c>
      <c r="D29" s="170">
        <v>1</v>
      </c>
      <c r="E29" s="798">
        <v>63560</v>
      </c>
      <c r="F29" s="798">
        <v>95.666666666666671</v>
      </c>
      <c r="G29" s="798">
        <v>29.333333333333332</v>
      </c>
      <c r="H29" s="96">
        <f>((E29*N29*I29)*(1-J29)*K29)+((E29*N29+(E29*N29*I29))*L29*1/O29*M29)</f>
        <v>160.34255776000003</v>
      </c>
      <c r="I29" s="55">
        <v>0.4</v>
      </c>
      <c r="J29" s="55">
        <v>7.0000000000000001E-3</v>
      </c>
      <c r="K29" s="29">
        <v>1.9E-2</v>
      </c>
      <c r="L29" s="55">
        <v>0.2</v>
      </c>
      <c r="M29" s="14">
        <v>1.4E-2</v>
      </c>
      <c r="N29" s="29">
        <v>0.22</v>
      </c>
      <c r="O29" s="55">
        <v>1</v>
      </c>
      <c r="P29" s="798">
        <v>140</v>
      </c>
      <c r="Q29" s="798">
        <v>0</v>
      </c>
      <c r="R29" s="798">
        <v>16.666666666666668</v>
      </c>
      <c r="S29" s="1011">
        <v>3.261101950258491E-3</v>
      </c>
      <c r="T29" s="54">
        <v>3.4299999999999997</v>
      </c>
      <c r="U29" s="212">
        <v>4.9926191507892996E-13</v>
      </c>
      <c r="V29" s="212">
        <v>7.6196994155457501E-13</v>
      </c>
      <c r="W29" s="212">
        <v>6.9410319174027301E-14</v>
      </c>
      <c r="X29" s="212">
        <v>7.1402612381482693E-15</v>
      </c>
      <c r="Y29" s="212">
        <v>1.53428969970343E-12</v>
      </c>
      <c r="Z29" s="79">
        <f>$O$273</f>
        <v>6.5</v>
      </c>
      <c r="AA29" s="79">
        <f>Z29/'Common input data'!$C$43</f>
        <v>9.2857142857142865</v>
      </c>
      <c r="AB29" s="79">
        <f>AA29*'Common input data'!$D$43</f>
        <v>7.4285714285714297</v>
      </c>
      <c r="AC29" s="170">
        <f>AB29/(1-'Common input data'!$B$142)</f>
        <v>10.32671132969317</v>
      </c>
      <c r="AD29" s="170">
        <f>AC29/(1-'Common input data'!$B$177)</f>
        <v>10.756990968430387</v>
      </c>
      <c r="AE29" t="s">
        <v>1802</v>
      </c>
      <c r="AF29" s="1123" t="s">
        <v>1794</v>
      </c>
      <c r="AG29" s="549" t="s">
        <v>1795</v>
      </c>
      <c r="AH29" t="s">
        <v>1814</v>
      </c>
      <c r="AI29" s="64" t="s">
        <v>1797</v>
      </c>
      <c r="AJ29"/>
      <c r="AK29" s="1118" t="s">
        <v>1798</v>
      </c>
      <c r="AL29" s="114" t="s">
        <v>1799</v>
      </c>
      <c r="AM29" t="s">
        <v>1800</v>
      </c>
      <c r="AO29"/>
      <c r="BC29"/>
    </row>
    <row r="30" spans="1:89">
      <c r="A30" s="139" t="s">
        <v>27</v>
      </c>
      <c r="B30" s="141" t="s">
        <v>120</v>
      </c>
      <c r="C30" s="170"/>
      <c r="D30" s="170">
        <f>SUM(D31:D36)</f>
        <v>0.9983146089730156</v>
      </c>
      <c r="E30" s="798">
        <f>$D$31*E31+$D$32*E32+$D$33*E33+$D$34*E34+$D$35*E35+$D$36*E36</f>
        <v>345789.99960629421</v>
      </c>
      <c r="F30" s="798">
        <f>$D$31*F31+$D$32*F32+$D$33*F33+$D$34*F34+$D$35*F35+$D$36*F36</f>
        <v>809.40369868984055</v>
      </c>
      <c r="G30" s="798">
        <f>$D$31*G31+$D$32*G32+$D$33*G33+$D$34*G34+$D$35*G35+$D$36*G36</f>
        <v>0</v>
      </c>
      <c r="H30" s="797">
        <f>$D$31*H31+$D$32*H32+$D$33*H33+$D$34*H34+$D$35*H35+$D$36*H36</f>
        <v>13.214127320569103</v>
      </c>
      <c r="P30" s="798">
        <f>$D$31*P31+$D$32*P32+$D$33*P33+$D$34*P34+$D$35*P35+$D$36*P36</f>
        <v>31.504577454</v>
      </c>
      <c r="Q30" s="798">
        <f>$D$31*Q31+$D$32*Q32+$D$33*Q33+$D$34*Q34+$D$35*Q35+$D$36*Q36</f>
        <v>0</v>
      </c>
      <c r="R30" s="798">
        <v>82.833603390901956</v>
      </c>
      <c r="S30" s="1011">
        <f>$D$31*S31+$D$32*S32+$D$33*S33+$D$34*S34+$D$35*S35+$D$36*S36</f>
        <v>6.7219224887835813E-3</v>
      </c>
      <c r="U30" s="212">
        <v>2.0589907673997562E-12</v>
      </c>
      <c r="V30" s="212">
        <v>1.4549274472616825E-12</v>
      </c>
      <c r="W30" s="212">
        <v>1.6357384269619023E-12</v>
      </c>
      <c r="X30" s="212">
        <v>2.193709759671526E-12</v>
      </c>
      <c r="Y30" s="212">
        <v>1.9258431923603665E-10</v>
      </c>
      <c r="Z30" s="170">
        <f>$D$31*Z31+$D$32*Z32+$D$33*Z33+$D$34*Z34+$D$35*Z35+$D$36*Z36</f>
        <v>0.9983146089730156</v>
      </c>
      <c r="AA30" s="170">
        <f>$D$31*AA31+$D$32*AA32+$D$33*AA33+$D$34*AA34+$D$35*AA35+$D$36*AA36</f>
        <v>0.9983146089730156</v>
      </c>
      <c r="AB30" s="170">
        <f>$D$31*AB31+$D$32*AB32+$D$33*AB33+$D$34*AB34+$D$35*AB35+$D$36*AB36</f>
        <v>0.9983146089730156</v>
      </c>
      <c r="AC30" s="170">
        <f>$D$31*AC31+$D$32*AC32+$D$33*AC33+$D$34*AC34+$D$35*AC35+$D$36*AC36</f>
        <v>1.1914483935708502</v>
      </c>
      <c r="AD30" s="170">
        <f>AC30/(1-'Common input data'!$B$178)</f>
        <v>1.4709239426800618</v>
      </c>
      <c r="AF30" s="52"/>
      <c r="AG30"/>
      <c r="AH30"/>
      <c r="AI30" s="64"/>
      <c r="AJ30"/>
      <c r="AK30" s="1118"/>
      <c r="AL30"/>
      <c r="AO30"/>
      <c r="AP30" s="170">
        <f>$D$31*'Vegetables, roots, legumes'!Y14+$D$32*'Vegetables, roots, legumes'!Y18+$D$33*'Vegetables, roots, legumes'!Y22+$D$34*'Vegetables, roots, legumes'!Y26+$D$35*'Vegetables, roots, legumes'!Y30+$D$36*'Vegetables, roots, legumes'!Y34</f>
        <v>6.0672612325083676E-2</v>
      </c>
      <c r="AQ30" s="170">
        <f>$D$31*'Vegetables, roots, legumes'!Z14+$D$32*'Vegetables, roots, legumes'!Z18+$D$33*'Vegetables, roots, legumes'!Z22+$D$34*'Vegetables, roots, legumes'!Z26+$D$35*'Vegetables, roots, legumes'!Z30+$D$36*'Vegetables, roots, legumes'!Z34</f>
        <v>6.0672612325083676E-2</v>
      </c>
      <c r="AR30" s="170">
        <f>$D$31*'Vegetables, roots, legumes'!AA14+$D$32*'Vegetables, roots, legumes'!AA18+$D$33*'Vegetables, roots, legumes'!AA22+$D$34*'Vegetables, roots, legumes'!AA26+$D$35*'Vegetables, roots, legumes'!AA30+$D$36*'Vegetables, roots, legumes'!AA34</f>
        <v>6.0672612325083676E-2</v>
      </c>
      <c r="AS30" s="170">
        <f>$D$31*'Vegetables, roots, legumes'!AB14+$D$32*'Vegetables, roots, legumes'!AB18+$D$33*'Vegetables, roots, legumes'!AB22+$D$34*'Vegetables, roots, legumes'!AB26+$D$35*'Vegetables, roots, legumes'!AB30+$D$36*'Vegetables, roots, legumes'!AB34</f>
        <v>6.0672612325083676E-2</v>
      </c>
      <c r="AT30" s="170">
        <f>$D$31*'Vegetables, roots, legumes'!AC14+$D$32*'Vegetables, roots, legumes'!AC18+$D$33*'Vegetables, roots, legumes'!AC22+$D$34*'Vegetables, roots, legumes'!AC26+$D$35*'Vegetables, roots, legumes'!AC30+$D$36*'Vegetables, roots, legumes'!AC34</f>
        <v>7.2410326202510644E-2</v>
      </c>
      <c r="AU30" s="170">
        <f>$D$31*'Vegetables, roots, legumes'!AD14+$D$32*'Vegetables, roots, legumes'!AD18+$D$33*'Vegetables, roots, legumes'!AD22+$D$34*'Vegetables, roots, legumes'!AD26+$D$35*'Vegetables, roots, legumes'!AD30+$D$36*'Vegetables, roots, legumes'!AD34</f>
        <v>8.939546444754401E-2</v>
      </c>
      <c r="AV30" s="106"/>
      <c r="AW30" s="212">
        <f>$D$31*'Vegetables, roots, legumes'!AF14+$D$32*'Vegetables, roots, legumes'!AF18+$D$33*'Vegetables, roots, legumes'!AF22+$D$34*'Vegetables, roots, legumes'!AF26+$D$35*'Vegetables, roots, legumes'!AF30+$D$36*'Vegetables, roots, legumes'!AF34</f>
        <v>2.5815342247004925E-3</v>
      </c>
      <c r="AX30" s="212">
        <f>$D$31*'Vegetables, roots, legumes'!AG14+$D$32*'Vegetables, roots, legumes'!AG18+$D$33*'Vegetables, roots, legumes'!AG22+$D$34*'Vegetables, roots, legumes'!AG26+$D$35*'Vegetables, roots, legumes'!AG30+$D$36*'Vegetables, roots, legumes'!AG34</f>
        <v>2.5815342247004925E-3</v>
      </c>
      <c r="AY30" s="212">
        <f>$D$31*'Vegetables, roots, legumes'!AH14+$D$32*'Vegetables, roots, legumes'!AH18+$D$33*'Vegetables, roots, legumes'!AH22+$D$34*'Vegetables, roots, legumes'!AH26+$D$35*'Vegetables, roots, legumes'!AH30+$D$36*'Vegetables, roots, legumes'!AH34</f>
        <v>2.5815342247004925E-3</v>
      </c>
      <c r="AZ30" s="212">
        <f>$D$31*'Vegetables, roots, legumes'!AI14+$D$32*'Vegetables, roots, legumes'!AI18+$D$33*'Vegetables, roots, legumes'!AI22+$D$34*'Vegetables, roots, legumes'!AI26+$D$35*'Vegetables, roots, legumes'!AI30+$D$36*'Vegetables, roots, legumes'!AI34</f>
        <v>2.5815342247004925E-3</v>
      </c>
      <c r="BA30" s="212">
        <f>$D$31*'Vegetables, roots, legumes'!AJ14+$D$32*'Vegetables, roots, legumes'!AJ18+$D$33*'Vegetables, roots, legumes'!AJ22+$D$34*'Vegetables, roots, legumes'!AJ26+$D$35*'Vegetables, roots, legumes'!AJ30+$D$36*'Vegetables, roots, legumes'!AJ34</f>
        <v>3.0809574229627547E-3</v>
      </c>
      <c r="BB30" s="212">
        <f>$D$31*'Vegetables, roots, legumes'!AK14+$D$32*'Vegetables, roots, legumes'!AK18+$D$33*'Vegetables, roots, legumes'!AK22+$D$34*'Vegetables, roots, legumes'!AK26+$D$35*'Vegetables, roots, legumes'!AK30+$D$36*'Vegetables, roots, legumes'!AK34</f>
        <v>3.8036511394601916E-3</v>
      </c>
      <c r="BC30" s="106"/>
      <c r="BD30" s="212">
        <f>$D$31*'Vegetables, roots, legumes'!AM14+$D$32*'Vegetables, roots, legumes'!AM18+$D$33*'Vegetables, roots, legumes'!AM22+$D$34*'Vegetables, roots, legumes'!AM26+$D$35*'Vegetables, roots, legumes'!AM30+$D$36*'Vegetables, roots, legumes'!AM34</f>
        <v>6.0326430711067636E-4</v>
      </c>
      <c r="BE30" s="212">
        <f>$D$31*'Vegetables, roots, legumes'!AN14+$D$32*'Vegetables, roots, legumes'!AN18+$D$33*'Vegetables, roots, legumes'!AN22+$D$34*'Vegetables, roots, legumes'!AN26+$D$35*'Vegetables, roots, legumes'!AN30+$D$36*'Vegetables, roots, legumes'!AN34</f>
        <v>6.0326430711067636E-4</v>
      </c>
      <c r="BF30" s="212">
        <f>$D$31*'Vegetables, roots, legumes'!AO14+$D$32*'Vegetables, roots, legumes'!AO18+$D$33*'Vegetables, roots, legumes'!AO22+$D$34*'Vegetables, roots, legumes'!AO26+$D$35*'Vegetables, roots, legumes'!AO30+$D$36*'Vegetables, roots, legumes'!AO34</f>
        <v>6.0326430711067636E-4</v>
      </c>
      <c r="BG30" s="212">
        <f>$D$31*'Vegetables, roots, legumes'!AP14+$D$32*'Vegetables, roots, legumes'!AP18+$D$33*'Vegetables, roots, legumes'!AP22+$D$34*'Vegetables, roots, legumes'!AP26+$D$35*'Vegetables, roots, legumes'!AP30+$D$36*'Vegetables, roots, legumes'!AP34</f>
        <v>6.0326430711067636E-4</v>
      </c>
      <c r="BH30" s="212">
        <f>$D$31*'Vegetables, roots, legumes'!AQ14+$D$32*'Vegetables, roots, legumes'!AQ18+$D$33*'Vegetables, roots, legumes'!AQ22+$D$34*'Vegetables, roots, legumes'!AQ26+$D$35*'Vegetables, roots, legumes'!AQ30+$D$36*'Vegetables, roots, legumes'!AQ34</f>
        <v>7.1997172348809682E-4</v>
      </c>
      <c r="BI30" s="212">
        <f>$D$31*'Vegetables, roots, legumes'!AR14+$D$32*'Vegetables, roots, legumes'!AR18+$D$33*'Vegetables, roots, legumes'!AR22+$D$34*'Vegetables, roots, legumes'!AR26+$D$35*'Vegetables, roots, legumes'!AR30+$D$36*'Vegetables, roots, legumes'!AR34</f>
        <v>8.8885397961493431E-4</v>
      </c>
      <c r="BJ30" s="266"/>
      <c r="BK30" s="212">
        <f>$D$31*'Vegetables, roots, legumes'!AT14+$D$32*'Vegetables, roots, legumes'!AT18+$D$33*'Vegetables, roots, legumes'!AT22+$D$34*'Vegetables, roots, legumes'!AT26+$D$35*'Vegetables, roots, legumes'!AT30+$D$36*'Vegetables, roots, legumes'!AT34</f>
        <v>6.7219224887835813E-3</v>
      </c>
      <c r="BL30" s="212">
        <f>$D$31*'Vegetables, roots, legumes'!AU14+$D$32*'Vegetables, roots, legumes'!AU18+$D$33*'Vegetables, roots, legumes'!AU22+$D$34*'Vegetables, roots, legumes'!AU26+$D$35*'Vegetables, roots, legumes'!AU30+$D$36*'Vegetables, roots, legumes'!AU34</f>
        <v>6.7219224887835813E-3</v>
      </c>
      <c r="BM30" s="212">
        <f>$D$31*'Vegetables, roots, legumes'!AV14+$D$32*'Vegetables, roots, legumes'!AV18+$D$33*'Vegetables, roots, legumes'!AV22+$D$34*'Vegetables, roots, legumes'!AV26+$D$35*'Vegetables, roots, legumes'!AV30+$D$36*'Vegetables, roots, legumes'!AV34</f>
        <v>6.7219224887835813E-3</v>
      </c>
      <c r="BN30" s="212">
        <f>$D$31*'Vegetables, roots, legumes'!AW14+$D$32*'Vegetables, roots, legumes'!AW18+$D$33*'Vegetables, roots, legumes'!AW22+$D$34*'Vegetables, roots, legumes'!AW26+$D$35*'Vegetables, roots, legumes'!AW30+$D$36*'Vegetables, roots, legumes'!AW34</f>
        <v>6.7219224887835813E-3</v>
      </c>
      <c r="BO30" s="212">
        <f>$D$31*'Vegetables, roots, legumes'!AX14+$D$32*'Vegetables, roots, legumes'!AX18+$D$33*'Vegetables, roots, legumes'!AX22+$D$34*'Vegetables, roots, legumes'!AX26+$D$35*'Vegetables, roots, legumes'!AX30+$D$36*'Vegetables, roots, legumes'!AX34</f>
        <v>8.022344538469485E-3</v>
      </c>
      <c r="BP30" s="212">
        <f>$D$31*'Vegetables, roots, legumes'!AY14+$D$32*'Vegetables, roots, legumes'!AY18+$D$33*'Vegetables, roots, legumes'!AY22+$D$34*'Vegetables, roots, legumes'!AY26+$D$35*'Vegetables, roots, legumes'!AY30+$D$36*'Vegetables, roots, legumes'!AY34</f>
        <v>9.9041290598388711E-3</v>
      </c>
      <c r="BQ30" s="266"/>
      <c r="BR30" s="212">
        <f>$D$31*'Vegetables, roots, legumes'!BA14+$D$32*'Vegetables, roots, legumes'!BA18+$D$33*'Vegetables, roots, legumes'!BA22+$D$34*'Vegetables, roots, legumes'!BA26+$D$35*'Vegetables, roots, legumes'!BA30+$D$36*'Vegetables, roots, legumes'!BA34</f>
        <v>6.0774339006463969E-11</v>
      </c>
      <c r="BS30" s="212">
        <f>$D$31*'Vegetables, roots, legumes'!BB14+$D$32*'Vegetables, roots, legumes'!BB18+$D$33*'Vegetables, roots, legumes'!BB22+$D$34*'Vegetables, roots, legumes'!BB26+$D$35*'Vegetables, roots, legumes'!BB30+$D$36*'Vegetables, roots, legumes'!BB34</f>
        <v>6.0774339006463969E-11</v>
      </c>
      <c r="BT30" s="212">
        <f>$D$31*'Vegetables, roots, legumes'!BC14+$D$32*'Vegetables, roots, legumes'!BC18+$D$33*'Vegetables, roots, legumes'!BC22+$D$34*'Vegetables, roots, legumes'!BC26+$D$35*'Vegetables, roots, legumes'!BC30+$D$36*'Vegetables, roots, legumes'!BC34</f>
        <v>6.0774339006463969E-11</v>
      </c>
      <c r="BU30" s="212">
        <f>$D$31*'Vegetables, roots, legumes'!BD14+$D$32*'Vegetables, roots, legumes'!BD18+$D$33*'Vegetables, roots, legumes'!BD22+$D$34*'Vegetables, roots, legumes'!BD26+$D$35*'Vegetables, roots, legumes'!BD30+$D$36*'Vegetables, roots, legumes'!BD34</f>
        <v>6.0774339006463969E-11</v>
      </c>
      <c r="BV30" s="212">
        <f>$D$31*'Vegetables, roots, legumes'!BE14+$D$32*'Vegetables, roots, legumes'!BE18+$D$33*'Vegetables, roots, legumes'!BE22+$D$34*'Vegetables, roots, legumes'!BE26+$D$35*'Vegetables, roots, legumes'!BE30+$D$36*'Vegetables, roots, legumes'!BE34</f>
        <v>7.253173291140228E-11</v>
      </c>
      <c r="BW30" s="212">
        <f>$D$31*'Vegetables, roots, legumes'!BF14+$D$32*'Vegetables, roots, legumes'!BF18+$D$33*'Vegetables, roots, legumes'!BF22+$D$34*'Vegetables, roots, legumes'!BF26+$D$35*'Vegetables, roots, legumes'!BF30+$D$36*'Vegetables, roots, legumes'!BF34</f>
        <v>8.9545349273336134E-11</v>
      </c>
      <c r="BY30" s="189">
        <f>T30/E30</f>
        <v>0</v>
      </c>
      <c r="BZ30" s="189">
        <f>$BY30*Z30</f>
        <v>0</v>
      </c>
      <c r="CA30" s="189">
        <f>$BY30*AA30</f>
        <v>0</v>
      </c>
      <c r="CB30" s="189">
        <f>$BY30*AB30</f>
        <v>0</v>
      </c>
      <c r="CC30" s="189">
        <f>$BY30*AC30</f>
        <v>0</v>
      </c>
      <c r="CD30" s="189">
        <f>$BY30*AD30</f>
        <v>0</v>
      </c>
      <c r="CF30" s="189">
        <f>(F30/E30*'Common input data'!$B$195+G30/E30*'Common input data'!$B$196)/'Common input data'!$B$198</f>
        <v>5.9767772529833573E-5</v>
      </c>
      <c r="CG30" s="189">
        <f>$CF30*Z30</f>
        <v>5.9667040462308949E-5</v>
      </c>
      <c r="CH30" s="189">
        <f>$CF30*AA30</f>
        <v>5.9667040462308949E-5</v>
      </c>
      <c r="CI30" s="189">
        <f>$CF30*AB30</f>
        <v>5.9667040462308949E-5</v>
      </c>
      <c r="CJ30" s="189">
        <f>$CF30*AC30</f>
        <v>7.1210216567978195E-5</v>
      </c>
      <c r="CK30" s="189">
        <f>$CF30*AD30</f>
        <v>8.7913847614787884E-5</v>
      </c>
    </row>
    <row r="31" spans="1:89" ht="45">
      <c r="A31" s="18"/>
      <c r="B31" s="435" t="s">
        <v>122</v>
      </c>
      <c r="C31" s="435" t="s">
        <v>129</v>
      </c>
      <c r="D31" s="435">
        <v>7.6865671641791034E-2</v>
      </c>
      <c r="E31" s="797">
        <v>396006.06632952858</v>
      </c>
      <c r="F31" s="797">
        <v>1181.0707241407003</v>
      </c>
      <c r="G31" s="797">
        <v>0</v>
      </c>
      <c r="H31" s="797">
        <v>0</v>
      </c>
      <c r="P31" s="96">
        <v>0</v>
      </c>
      <c r="Q31" s="96">
        <v>0</v>
      </c>
      <c r="R31" s="96">
        <v>326.53131785066392</v>
      </c>
      <c r="S31" s="130">
        <v>2E-3</v>
      </c>
      <c r="T31" s="54">
        <v>2.875</v>
      </c>
      <c r="U31" s="189">
        <v>4.9926191507892996E-13</v>
      </c>
      <c r="V31" s="189">
        <v>7.6196994155457501E-13</v>
      </c>
      <c r="W31" s="189">
        <v>6.9410319174027301E-14</v>
      </c>
      <c r="X31" s="189">
        <v>7.1402612381482693E-15</v>
      </c>
      <c r="Y31" s="189">
        <v>1.53428969970343E-12</v>
      </c>
      <c r="Z31" s="54">
        <v>1</v>
      </c>
      <c r="AA31" s="54">
        <f t="shared" ref="AA31:AB36" si="3">Z31</f>
        <v>1</v>
      </c>
      <c r="AB31" s="54">
        <f t="shared" si="3"/>
        <v>1</v>
      </c>
      <c r="AC31" s="435">
        <f>AB31/(1-'Common input data'!$B$140)</f>
        <v>1.1934598400763814</v>
      </c>
      <c r="AD31" s="435">
        <f>AC31/(1-'Common input data'!$B$178)</f>
        <v>1.4734072099708411</v>
      </c>
      <c r="AE31" t="s">
        <v>1793</v>
      </c>
      <c r="AF31" s="1123" t="s">
        <v>1794</v>
      </c>
      <c r="AG31" s="115" t="s">
        <v>1817</v>
      </c>
      <c r="AH31"/>
      <c r="AI31" s="64"/>
      <c r="AJ31"/>
      <c r="AK31" s="1118" t="s">
        <v>1798</v>
      </c>
      <c r="AL31" s="114" t="s">
        <v>1799</v>
      </c>
      <c r="AM31" t="s">
        <v>1800</v>
      </c>
      <c r="AO31"/>
    </row>
    <row r="32" spans="1:89" ht="75">
      <c r="A32" s="140"/>
      <c r="B32" s="435" t="s">
        <v>148</v>
      </c>
      <c r="C32" s="435" t="s">
        <v>129</v>
      </c>
      <c r="D32" s="435">
        <v>0.56413627883122452</v>
      </c>
      <c r="E32" s="797">
        <v>502352</v>
      </c>
      <c r="F32" s="797">
        <v>1066.067908902691</v>
      </c>
      <c r="G32" s="797">
        <v>0</v>
      </c>
      <c r="H32" s="14">
        <v>0</v>
      </c>
      <c r="P32" s="96">
        <v>0</v>
      </c>
      <c r="Q32" s="96">
        <v>0</v>
      </c>
      <c r="R32" s="96">
        <v>0</v>
      </c>
      <c r="S32" s="130">
        <v>0</v>
      </c>
      <c r="T32" s="54">
        <v>2.7399999999999998</v>
      </c>
      <c r="U32" s="189">
        <v>1.55658152159693E-12</v>
      </c>
      <c r="V32" s="189">
        <v>1.0618866300510301E-12</v>
      </c>
      <c r="W32" s="189">
        <v>8.8841658719714498E-13</v>
      </c>
      <c r="X32" s="189">
        <v>1.7910327872404899E-13</v>
      </c>
      <c r="Y32" s="189">
        <v>5.2982110291723597E-12</v>
      </c>
      <c r="Z32" s="54">
        <v>1</v>
      </c>
      <c r="AA32" s="54">
        <f t="shared" si="3"/>
        <v>1</v>
      </c>
      <c r="AB32" s="54">
        <f t="shared" si="3"/>
        <v>1</v>
      </c>
      <c r="AC32" s="435">
        <f>AB32/(1-'Common input data'!$B$140)</f>
        <v>1.1934598400763814</v>
      </c>
      <c r="AD32" s="435">
        <f>AC32/(1-'Common input data'!$B$178)</f>
        <v>1.4734072099708411</v>
      </c>
      <c r="AE32" t="s">
        <v>1801</v>
      </c>
      <c r="AF32" s="1123" t="s">
        <v>1818</v>
      </c>
      <c r="AG32" s="115" t="s">
        <v>1819</v>
      </c>
      <c r="AH32"/>
      <c r="AI32" s="64"/>
      <c r="AJ32"/>
      <c r="AK32" s="1118" t="s">
        <v>1798</v>
      </c>
      <c r="AL32" s="114" t="s">
        <v>1807</v>
      </c>
      <c r="AM32" t="s">
        <v>1800</v>
      </c>
      <c r="AO32"/>
    </row>
    <row r="33" spans="1:89" ht="75">
      <c r="A33" s="140"/>
      <c r="B33" s="435" t="s">
        <v>130</v>
      </c>
      <c r="C33" s="435" t="s">
        <v>1820</v>
      </c>
      <c r="D33" s="435">
        <v>8.2279962400000003E-2</v>
      </c>
      <c r="E33" s="797">
        <v>95612.460930000001</v>
      </c>
      <c r="F33" s="797">
        <v>343.33565515772716</v>
      </c>
      <c r="G33" s="797">
        <v>0</v>
      </c>
      <c r="H33" s="14">
        <v>0</v>
      </c>
      <c r="P33" s="96">
        <v>0</v>
      </c>
      <c r="Q33" s="96">
        <v>0</v>
      </c>
      <c r="R33" s="96">
        <v>147.76471234636406</v>
      </c>
      <c r="S33" s="54">
        <v>2.3E-2</v>
      </c>
      <c r="T33" s="54">
        <v>15.920000000000002</v>
      </c>
      <c r="U33" s="189">
        <v>3.7738174209626004E-12</v>
      </c>
      <c r="V33" s="189">
        <v>2.5819413353737599E-12</v>
      </c>
      <c r="W33" s="189">
        <v>3.8726446962259297E-12</v>
      </c>
      <c r="X33" s="189">
        <v>7.3859179387853007E-12</v>
      </c>
      <c r="Y33" s="189">
        <v>6.7025422877374503E-10</v>
      </c>
      <c r="Z33" s="54">
        <v>1</v>
      </c>
      <c r="AA33" s="54">
        <f t="shared" si="3"/>
        <v>1</v>
      </c>
      <c r="AB33" s="54">
        <f t="shared" si="3"/>
        <v>1</v>
      </c>
      <c r="AC33" s="435">
        <f>AB33/(1-'Common input data'!$B$140)</f>
        <v>1.1934598400763814</v>
      </c>
      <c r="AD33" s="435">
        <f>AC33/(1-'Common input data'!$B$178)</f>
        <v>1.4734072099708411</v>
      </c>
      <c r="AE33" t="s">
        <v>1801</v>
      </c>
      <c r="AF33" s="1123" t="s">
        <v>1818</v>
      </c>
      <c r="AG33" s="114" t="s">
        <v>1821</v>
      </c>
      <c r="AH33"/>
      <c r="AI33"/>
      <c r="AJ33"/>
      <c r="AK33" s="1118" t="s">
        <v>1798</v>
      </c>
      <c r="AL33" s="114" t="s">
        <v>1807</v>
      </c>
      <c r="AM33" t="s">
        <v>1800</v>
      </c>
      <c r="AO33"/>
    </row>
    <row r="34" spans="1:89" ht="45">
      <c r="A34" s="140"/>
      <c r="B34" s="435"/>
      <c r="C34" s="435" t="s">
        <v>121</v>
      </c>
      <c r="D34" s="435">
        <v>0.12503269610000001</v>
      </c>
      <c r="E34" s="797">
        <v>82684.706619999997</v>
      </c>
      <c r="F34" s="797">
        <v>303.17725760666696</v>
      </c>
      <c r="G34" s="797">
        <v>0</v>
      </c>
      <c r="H34" s="16">
        <f>52.5/60000*E34</f>
        <v>72.349118292499995</v>
      </c>
      <c r="P34" s="96">
        <v>140</v>
      </c>
      <c r="Q34" s="96">
        <v>0</v>
      </c>
      <c r="R34" s="96">
        <v>106.80107938416693</v>
      </c>
      <c r="S34" s="54">
        <v>2.3E-2</v>
      </c>
      <c r="T34" s="54">
        <v>15.920000000000002</v>
      </c>
      <c r="U34" s="189">
        <v>3.7738174209626004E-12</v>
      </c>
      <c r="V34" s="189">
        <v>2.5819413353737599E-12</v>
      </c>
      <c r="W34" s="189">
        <v>3.8726446962259297E-12</v>
      </c>
      <c r="X34" s="189">
        <v>7.3859179387853007E-12</v>
      </c>
      <c r="Y34" s="189">
        <v>6.7025422877374503E-10</v>
      </c>
      <c r="Z34" s="54">
        <v>1</v>
      </c>
      <c r="AA34" s="54">
        <f t="shared" si="3"/>
        <v>1</v>
      </c>
      <c r="AB34" s="54">
        <f t="shared" si="3"/>
        <v>1</v>
      </c>
      <c r="AC34" s="435">
        <f>AB34/(1-'Common input data'!$B$140)</f>
        <v>1.1934598400763814</v>
      </c>
      <c r="AD34" s="435">
        <f>AC34/(1-'Common input data'!$B$178)</f>
        <v>1.4734072099708411</v>
      </c>
      <c r="AE34" t="s">
        <v>1801</v>
      </c>
      <c r="AF34" s="1123" t="s">
        <v>1802</v>
      </c>
      <c r="AG34" s="114" t="s">
        <v>1821</v>
      </c>
      <c r="AH34" t="s">
        <v>1821</v>
      </c>
      <c r="AI34" s="64" t="s">
        <v>1797</v>
      </c>
      <c r="AJ34"/>
      <c r="AK34" s="1118" t="s">
        <v>1798</v>
      </c>
      <c r="AL34" s="114" t="s">
        <v>1807</v>
      </c>
      <c r="AM34" t="s">
        <v>1800</v>
      </c>
      <c r="AO34"/>
    </row>
    <row r="35" spans="1:89" ht="75">
      <c r="A35" s="140"/>
      <c r="B35" s="435" t="s">
        <v>125</v>
      </c>
      <c r="C35" s="435" t="s">
        <v>129</v>
      </c>
      <c r="D35" s="435">
        <v>0.05</v>
      </c>
      <c r="E35" s="797">
        <v>179737.79829999999</v>
      </c>
      <c r="F35" s="797">
        <v>869.27735177818249</v>
      </c>
      <c r="G35" s="797">
        <v>0</v>
      </c>
      <c r="H35" s="14">
        <v>0</v>
      </c>
      <c r="P35" s="96">
        <v>0</v>
      </c>
      <c r="Q35" s="96">
        <v>0</v>
      </c>
      <c r="R35" s="96">
        <v>551.19591478666723</v>
      </c>
      <c r="S35" s="54">
        <v>1.2E-2</v>
      </c>
      <c r="T35" s="54">
        <v>4.3600000000000003</v>
      </c>
      <c r="U35" s="189">
        <v>2.4008695696502649E-12</v>
      </c>
      <c r="V35" s="189">
        <v>1.7469348105882815E-12</v>
      </c>
      <c r="W35" s="189">
        <v>2.1757790747057577E-12</v>
      </c>
      <c r="X35" s="189">
        <v>3.7395198543831999E-12</v>
      </c>
      <c r="Y35" s="189">
        <v>3.3683523956909147E-10</v>
      </c>
      <c r="Z35" s="54">
        <v>1</v>
      </c>
      <c r="AA35" s="54">
        <f t="shared" si="3"/>
        <v>1</v>
      </c>
      <c r="AB35" s="54">
        <f t="shared" si="3"/>
        <v>1</v>
      </c>
      <c r="AC35" s="435">
        <f>AB35/(1-'Common input data'!$B$140)</f>
        <v>1.1934598400763814</v>
      </c>
      <c r="AD35" s="435">
        <f>AC35/(1-'Common input data'!$B$178)</f>
        <v>1.4734072099708411</v>
      </c>
      <c r="AE35" t="s">
        <v>1801</v>
      </c>
      <c r="AF35" s="1123" t="s">
        <v>1818</v>
      </c>
      <c r="AG35" s="115" t="s">
        <v>1822</v>
      </c>
      <c r="AH35"/>
      <c r="AI35" s="64"/>
      <c r="AJ35"/>
      <c r="AK35" s="1118" t="s">
        <v>1798</v>
      </c>
      <c r="AL35" s="114" t="s">
        <v>1807</v>
      </c>
      <c r="AM35" t="s">
        <v>1800</v>
      </c>
      <c r="AO35"/>
    </row>
    <row r="36" spans="1:89" ht="75">
      <c r="A36" s="140"/>
      <c r="B36" s="106"/>
      <c r="C36" s="435" t="s">
        <v>121</v>
      </c>
      <c r="D36" s="435">
        <v>0.1</v>
      </c>
      <c r="E36" s="797">
        <v>47635.68</v>
      </c>
      <c r="F36" s="797">
        <v>75.917388119280005</v>
      </c>
      <c r="G36" s="797">
        <v>0</v>
      </c>
      <c r="H36" s="16">
        <f>52.5/60000*E36</f>
        <v>41.681220000000003</v>
      </c>
      <c r="P36" s="96">
        <v>140</v>
      </c>
      <c r="Q36" s="96">
        <v>0</v>
      </c>
      <c r="R36" s="96">
        <v>46.630567151999998</v>
      </c>
      <c r="S36" s="54">
        <v>1.2E-2</v>
      </c>
      <c r="T36" s="54">
        <v>4.3600000000000003</v>
      </c>
      <c r="U36" s="189">
        <v>2.4008695696502649E-12</v>
      </c>
      <c r="V36" s="189">
        <v>1.7469348105882815E-12</v>
      </c>
      <c r="W36" s="189">
        <v>2.1757790747057577E-12</v>
      </c>
      <c r="X36" s="189">
        <v>3.7395198543831999E-12</v>
      </c>
      <c r="Y36" s="189">
        <v>3.3683523956909147E-10</v>
      </c>
      <c r="Z36" s="54">
        <v>1</v>
      </c>
      <c r="AA36" s="54">
        <f t="shared" si="3"/>
        <v>1</v>
      </c>
      <c r="AB36" s="54">
        <f t="shared" si="3"/>
        <v>1</v>
      </c>
      <c r="AC36" s="435">
        <f>AB36/(1-'Common input data'!$B$140)</f>
        <v>1.1934598400763814</v>
      </c>
      <c r="AD36" s="435">
        <f>AC36/(1-'Common input data'!$B$178)</f>
        <v>1.4734072099708411</v>
      </c>
      <c r="AE36" t="s">
        <v>1801</v>
      </c>
      <c r="AF36" s="1123" t="s">
        <v>1818</v>
      </c>
      <c r="AG36" s="115" t="s">
        <v>1823</v>
      </c>
      <c r="AH36" t="s">
        <v>1824</v>
      </c>
      <c r="AI36" s="64" t="s">
        <v>1797</v>
      </c>
      <c r="AJ36"/>
      <c r="AK36" s="1118" t="s">
        <v>1798</v>
      </c>
      <c r="AL36" s="114" t="s">
        <v>1807</v>
      </c>
      <c r="AM36" t="s">
        <v>1800</v>
      </c>
      <c r="AO36"/>
    </row>
    <row r="37" spans="1:89">
      <c r="A37" s="139" t="s">
        <v>34</v>
      </c>
      <c r="B37" s="141" t="s">
        <v>120</v>
      </c>
      <c r="C37" s="170"/>
      <c r="D37" s="170"/>
      <c r="E37" s="798">
        <f>$D38*E38+$D39*E39+$D40*E40+$D41*E41+$D42*E42+$D43*E43</f>
        <v>306083.05000000005</v>
      </c>
      <c r="F37" s="798">
        <f>$D38*F38+$D39*F39+$D40*F40+$D41*F41+$D42*F42+$D43*F43</f>
        <v>757.95832248462148</v>
      </c>
      <c r="G37" s="798">
        <f>$D38*G38+$D39*G39+$D40*G40+$D41*G41+$D42*G42+$D43*G43</f>
        <v>0</v>
      </c>
      <c r="H37" s="798">
        <f>$D38*H38+$D39*H39+$D40*H40+$D41*H41+$D42*H42+$D43*H43</f>
        <v>21.375601449999998</v>
      </c>
      <c r="P37" s="798">
        <f>$D38*P38+$D39*P39+$D40*P40+$D41*P41+$D42*P42+$D43*P43</f>
        <v>30.8</v>
      </c>
      <c r="Q37" s="798">
        <f>$D38*Q38+$D39*Q39+$D40*Q40+$D41*Q41+$D42*Q42+$D43*Q43</f>
        <v>0</v>
      </c>
      <c r="R37" s="798">
        <v>395.80277884615384</v>
      </c>
      <c r="S37" s="170">
        <f>$D38*S38+$D39*S39+$D40*S40+$D41*S41+$D42*S42+$D43*S43</f>
        <v>1.1540000000000002E-2</v>
      </c>
      <c r="U37" s="212">
        <v>1.5904384280857213E-12</v>
      </c>
      <c r="V37" s="212">
        <v>1.3655596683998707E-12</v>
      </c>
      <c r="W37" s="212">
        <v>1.3326677262813863E-12</v>
      </c>
      <c r="X37" s="212">
        <v>2.4438565250035677E-12</v>
      </c>
      <c r="Y37" s="212">
        <v>2.2224950880743186E-10</v>
      </c>
      <c r="Z37" s="170">
        <f>$D38*Z38+$D39*Z39+$D40*Z40+$D41*Z41+$D42*Z42+$D43*Z43</f>
        <v>1</v>
      </c>
      <c r="AA37" s="170">
        <f>$D38*AA38+$D39*AA39+$D40*AA40+$D41*AA41+$D42*AA42+$D43*AA43</f>
        <v>1</v>
      </c>
      <c r="AB37" s="170">
        <f>$D38*AB38+$D39*AB39+$D40*AB40+$D41*AB41+$D42*AB42+$D43*AB43</f>
        <v>1</v>
      </c>
      <c r="AC37" s="170">
        <f>$D38*AC38+$D39*AC39+$D40*AC40+$D41*AC41+$D42*AC42+$D43*AC43</f>
        <v>1.1934598400763814</v>
      </c>
      <c r="AD37" s="170">
        <f>AC37/(1-'Common input data'!$B$178)</f>
        <v>1.4734072099708411</v>
      </c>
      <c r="AF37" s="1123"/>
      <c r="AG37" s="2"/>
      <c r="AH37"/>
      <c r="AI37" s="64"/>
      <c r="AJ37"/>
      <c r="AK37" s="1118"/>
      <c r="AL37"/>
      <c r="AO37"/>
      <c r="AP37" s="170">
        <f>$D38*'Vegetables, roots, legumes'!Y43+$D39*'Vegetables, roots, legumes'!Y47+$D40*'Vegetables, roots, legumes'!Y51+$D41*'Vegetables, roots, legumes'!Y55+$D42*'Vegetables, roots, legumes'!Y59+$D43*'Vegetables, roots, legumes'!Y63</f>
        <v>8.1690413085423658E-2</v>
      </c>
      <c r="AQ37" s="170">
        <f>$D38*'Vegetables, roots, legumes'!Z43+$D39*'Vegetables, roots, legumes'!Z47+$D40*'Vegetables, roots, legumes'!Z51+$D41*'Vegetables, roots, legumes'!Z55+$D42*'Vegetables, roots, legumes'!Z59+$D43*'Vegetables, roots, legumes'!Z63</f>
        <v>8.1690413085423658E-2</v>
      </c>
      <c r="AR37" s="170">
        <f>$D38*'Vegetables, roots, legumes'!AA43+$D39*'Vegetables, roots, legumes'!AA47+$D40*'Vegetables, roots, legumes'!AA51+$D41*'Vegetables, roots, legumes'!AA55+$D42*'Vegetables, roots, legumes'!AA59+$D43*'Vegetables, roots, legumes'!AA63</f>
        <v>8.1690413085423658E-2</v>
      </c>
      <c r="AS37" s="170">
        <f>$D38*'Vegetables, roots, legumes'!AB43+$D39*'Vegetables, roots, legumes'!AB47+$D40*'Vegetables, roots, legumes'!AB51+$D41*'Vegetables, roots, legumes'!AB55+$D42*'Vegetables, roots, legumes'!AB59+$D43*'Vegetables, roots, legumes'!AB63</f>
        <v>8.1690413085423658E-2</v>
      </c>
      <c r="AT37" s="170">
        <f>$D38*'Vegetables, roots, legumes'!AC43+$D39*'Vegetables, roots, legumes'!AC47+$D40*'Vegetables, roots, legumes'!AC51+$D41*'Vegetables, roots, legumes'!AC55+$D42*'Vegetables, roots, legumes'!AC59+$D43*'Vegetables, roots, legumes'!AC63</f>
        <v>9.7494227336703237E-2</v>
      </c>
      <c r="AU37" s="170">
        <f>$D38*'Vegetables, roots, legumes'!AD43+$D39*'Vegetables, roots, legumes'!AD47+$D40*'Vegetables, roots, legumes'!AD51+$D41*'Vegetables, roots, legumes'!AD55+$D42*'Vegetables, roots, legumes'!AD59+$D43*'Vegetables, roots, legumes'!AD63</f>
        <v>0.12036324362555956</v>
      </c>
      <c r="AV37" s="106"/>
      <c r="AW37" s="212">
        <f>$D38*'Vegetables, roots, legumes'!AF43+$D39*'Vegetables, roots, legumes'!AF47+$D40*'Vegetables, roots, legumes'!AF51+$D41*'Vegetables, roots, legumes'!AF55+$D42*'Vegetables, roots, legumes'!AF59+$D43*'Vegetables, roots, legumes'!AF63</f>
        <v>2.7906223426833647E-3</v>
      </c>
      <c r="AX37" s="212">
        <f>$D38*'Vegetables, roots, legumes'!AG43+$D39*'Vegetables, roots, legumes'!AG47+$D40*'Vegetables, roots, legumes'!AG51+$D41*'Vegetables, roots, legumes'!AG55+$D42*'Vegetables, roots, legumes'!AG59+$D43*'Vegetables, roots, legumes'!AG63</f>
        <v>2.7906223426833647E-3</v>
      </c>
      <c r="AY37" s="212">
        <f>$D38*'Vegetables, roots, legumes'!AH43+$D39*'Vegetables, roots, legumes'!AH47+$D40*'Vegetables, roots, legumes'!AH51+$D41*'Vegetables, roots, legumes'!AH55+$D42*'Vegetables, roots, legumes'!AH59+$D43*'Vegetables, roots, legumes'!AH63</f>
        <v>2.7906223426833647E-3</v>
      </c>
      <c r="AZ37" s="212">
        <f>$D38*'Vegetables, roots, legumes'!AI43+$D39*'Vegetables, roots, legumes'!AI47+$D40*'Vegetables, roots, legumes'!AI51+$D41*'Vegetables, roots, legumes'!AI55+$D42*'Vegetables, roots, legumes'!AI59+$D43*'Vegetables, roots, legumes'!AI63</f>
        <v>2.7906223426833647E-3</v>
      </c>
      <c r="BA37" s="212">
        <f>$D38*'Vegetables, roots, legumes'!AJ43+$D39*'Vegetables, roots, legumes'!AJ47+$D40*'Vegetables, roots, legumes'!AJ51+$D41*'Vegetables, roots, legumes'!AJ55+$D42*'Vegetables, roots, legumes'!AJ59+$D43*'Vegetables, roots, legumes'!AJ63</f>
        <v>3.3304956948124651E-3</v>
      </c>
      <c r="BB37" s="212">
        <f>$D38*'Vegetables, roots, legumes'!AK43+$D39*'Vegetables, roots, legumes'!AK47+$D40*'Vegetables, roots, legumes'!AK51+$D41*'Vegetables, roots, legumes'!AK55+$D42*'Vegetables, roots, legumes'!AK59+$D43*'Vegetables, roots, legumes'!AK63</f>
        <v>4.1117230800153878E-3</v>
      </c>
      <c r="BC37" s="106"/>
      <c r="BD37" s="212">
        <f>$D38*'Vegetables, roots, legumes'!AM43+$D39*'Vegetables, roots, legumes'!AM47+$D40*'Vegetables, roots, legumes'!AM51+$D41*'Vegetables, roots, legumes'!AM55+$D42*'Vegetables, roots, legumes'!AM59+$D43*'Vegetables, roots, legumes'!AM63</f>
        <v>2.9455381567530239E-3</v>
      </c>
      <c r="BE37" s="212">
        <f>$D38*'Vegetables, roots, legumes'!AN43+$D39*'Vegetables, roots, legumes'!AN47+$D40*'Vegetables, roots, legumes'!AN51+$D41*'Vegetables, roots, legumes'!AN55+$D42*'Vegetables, roots, legumes'!AN59+$D43*'Vegetables, roots, legumes'!AN63</f>
        <v>2.9455381567530239E-3</v>
      </c>
      <c r="BF37" s="212">
        <f>$D38*'Vegetables, roots, legumes'!AO43+$D39*'Vegetables, roots, legumes'!AO47+$D40*'Vegetables, roots, legumes'!AO51+$D41*'Vegetables, roots, legumes'!AO55+$D42*'Vegetables, roots, legumes'!AO59+$D43*'Vegetables, roots, legumes'!AO63</f>
        <v>2.9455381567530239E-3</v>
      </c>
      <c r="BG37" s="212">
        <f>$D38*'Vegetables, roots, legumes'!AP43+$D39*'Vegetables, roots, legumes'!AP47+$D40*'Vegetables, roots, legumes'!AP51+$D41*'Vegetables, roots, legumes'!AP55+$D42*'Vegetables, roots, legumes'!AP59+$D43*'Vegetables, roots, legumes'!AP63</f>
        <v>2.9455381567530239E-3</v>
      </c>
      <c r="BH37" s="212">
        <f>$D38*'Vegetables, roots, legumes'!AQ43+$D39*'Vegetables, roots, legumes'!AQ47+$D40*'Vegetables, roots, legumes'!AQ51+$D41*'Vegetables, roots, legumes'!AQ55+$D42*'Vegetables, roots, legumes'!AQ59+$D43*'Vegetables, roots, legumes'!AQ63</f>
        <v>3.5153814974973434E-3</v>
      </c>
      <c r="BI37" s="212">
        <f>$D38*'Vegetables, roots, legumes'!AR43+$D39*'Vegetables, roots, legumes'!AR47+$D40*'Vegetables, roots, legumes'!AR51+$D41*'Vegetables, roots, legumes'!AR55+$D42*'Vegetables, roots, legumes'!AR59+$D43*'Vegetables, roots, legumes'!AR63</f>
        <v>4.3399771574041263E-3</v>
      </c>
      <c r="BJ37" s="266"/>
      <c r="BK37" s="212">
        <f>$D38*'Vegetables, roots, legumes'!AT43+$D39*'Vegetables, roots, legumes'!AT47+$D40*'Vegetables, roots, legumes'!AT51+$D41*'Vegetables, roots, legumes'!AT55+$D42*'Vegetables, roots, legumes'!AT59+$D43*'Vegetables, roots, legumes'!AT63</f>
        <v>1.1540000000000002E-2</v>
      </c>
      <c r="BL37" s="212">
        <f>$D38*'Vegetables, roots, legumes'!AU43+$D39*'Vegetables, roots, legumes'!AU47+$D40*'Vegetables, roots, legumes'!AU51+$D41*'Vegetables, roots, legumes'!AU55+$D42*'Vegetables, roots, legumes'!AU59+$D43*'Vegetables, roots, legumes'!AU63</f>
        <v>1.1540000000000002E-2</v>
      </c>
      <c r="BM37" s="212">
        <f>$D38*'Vegetables, roots, legumes'!AV43+$D39*'Vegetables, roots, legumes'!AV47+$D40*'Vegetables, roots, legumes'!AV51+$D41*'Vegetables, roots, legumes'!AV55+$D42*'Vegetables, roots, legumes'!AV59+$D43*'Vegetables, roots, legumes'!AV63</f>
        <v>1.1540000000000002E-2</v>
      </c>
      <c r="BN37" s="212">
        <f>$D38*'Vegetables, roots, legumes'!AW43+$D39*'Vegetables, roots, legumes'!AW47+$D40*'Vegetables, roots, legumes'!AW51+$D41*'Vegetables, roots, legumes'!AW55+$D42*'Vegetables, roots, legumes'!AW59+$D43*'Vegetables, roots, legumes'!AW63</f>
        <v>1.1540000000000002E-2</v>
      </c>
      <c r="BO37" s="212">
        <f>$D38*'Vegetables, roots, legumes'!AX43+$D39*'Vegetables, roots, legumes'!AX47+$D40*'Vegetables, roots, legumes'!AX51+$D41*'Vegetables, roots, legumes'!AX55+$D42*'Vegetables, roots, legumes'!AX59+$D43*'Vegetables, roots, legumes'!AX63</f>
        <v>1.3772526554481444E-2</v>
      </c>
      <c r="BP37" s="212">
        <f>$D38*'Vegetables, roots, legumes'!AY43+$D39*'Vegetables, roots, legumes'!AY47+$D40*'Vegetables, roots, legumes'!AY51+$D41*'Vegetables, roots, legumes'!AY55+$D42*'Vegetables, roots, legumes'!AY59+$D43*'Vegetables, roots, legumes'!AY63</f>
        <v>1.7003119203063511E-2</v>
      </c>
      <c r="BQ37" s="266"/>
      <c r="BR37" s="212">
        <f>$D38*'Vegetables, roots, legumes'!BA43+$D39*'Vegetables, roots, legumes'!BA47+$D40*'Vegetables, roots, legumes'!BA51+$D41*'Vegetables, roots, legumes'!BA55+$D42*'Vegetables, roots, legumes'!BA59+$D43*'Vegetables, roots, legumes'!BA63</f>
        <v>6.9558487408095102E-11</v>
      </c>
      <c r="BS37" s="212">
        <f>$D38*'Vegetables, roots, legumes'!BB43+$D39*'Vegetables, roots, legumes'!BB47+$D40*'Vegetables, roots, legumes'!BB51+$D41*'Vegetables, roots, legumes'!BB55+$D42*'Vegetables, roots, legumes'!BB59+$D43*'Vegetables, roots, legumes'!BB63</f>
        <v>6.9558487408095102E-11</v>
      </c>
      <c r="BT37" s="212">
        <f>$D38*'Vegetables, roots, legumes'!BC43+$D39*'Vegetables, roots, legumes'!BC47+$D40*'Vegetables, roots, legumes'!BC51+$D41*'Vegetables, roots, legumes'!BC55+$D42*'Vegetables, roots, legumes'!BC59+$D43*'Vegetables, roots, legumes'!BC63</f>
        <v>6.9558487408095102E-11</v>
      </c>
      <c r="BU37" s="212">
        <f>$D38*'Vegetables, roots, legumes'!BD43+$D39*'Vegetables, roots, legumes'!BD47+$D40*'Vegetables, roots, legumes'!BD51+$D41*'Vegetables, roots, legumes'!BD55+$D42*'Vegetables, roots, legumes'!BD59+$D43*'Vegetables, roots, legumes'!BD63</f>
        <v>6.9558487408095102E-11</v>
      </c>
      <c r="BV37" s="212">
        <f>$D38*'Vegetables, roots, legumes'!BE43+$D39*'Vegetables, roots, legumes'!BE47+$D40*'Vegetables, roots, legumes'!BE51+$D41*'Vegetables, roots, legumes'!BE55+$D42*'Vegetables, roots, legumes'!BE59+$D43*'Vegetables, roots, legumes'!BE63</f>
        <v>8.301526125802016E-11</v>
      </c>
      <c r="BW37" s="212">
        <f>$D38*'Vegetables, roots, legumes'!BF43+$D39*'Vegetables, roots, legumes'!BF47+$D40*'Vegetables, roots, legumes'!BF51+$D41*'Vegetables, roots, legumes'!BF55+$D42*'Vegetables, roots, legumes'!BF59+$D43*'Vegetables, roots, legumes'!BF63</f>
        <v>1.0248797686175328E-10</v>
      </c>
      <c r="BY37" s="189">
        <f>T37/E37</f>
        <v>0</v>
      </c>
      <c r="BZ37" s="189">
        <f>$BY37*Z37</f>
        <v>0</v>
      </c>
      <c r="CA37" s="189">
        <f>$BY37*AA37</f>
        <v>0</v>
      </c>
      <c r="CB37" s="189">
        <f>$BY37*AB37</f>
        <v>0</v>
      </c>
      <c r="CC37" s="189">
        <f>$BY37*AC37</f>
        <v>0</v>
      </c>
      <c r="CD37" s="189">
        <f>$BY37*AD37</f>
        <v>0</v>
      </c>
      <c r="CF37" s="189">
        <f>(F37/E37*'Common input data'!$B$195+G37/E37*'Common input data'!$B$196)/'Common input data'!$B$198</f>
        <v>6.3229589265354895E-5</v>
      </c>
      <c r="CG37" s="189">
        <f>$CF37*Z37</f>
        <v>6.3229589265354895E-5</v>
      </c>
      <c r="CH37" s="189">
        <f>$CF37*AA37</f>
        <v>6.3229589265354895E-5</v>
      </c>
      <c r="CI37" s="189">
        <f>$CF37*AB37</f>
        <v>6.3229589265354895E-5</v>
      </c>
      <c r="CJ37" s="189">
        <f>$CF37*AC37</f>
        <v>7.5461975492725742E-5</v>
      </c>
      <c r="CK37" s="189">
        <f>$CF37*AD37</f>
        <v>9.3162932707068792E-5</v>
      </c>
    </row>
    <row r="38" spans="1:89" ht="45">
      <c r="A38" s="18"/>
      <c r="B38" s="106" t="s">
        <v>122</v>
      </c>
      <c r="C38" s="435" t="s">
        <v>129</v>
      </c>
      <c r="D38" s="435">
        <v>0.35</v>
      </c>
      <c r="E38" s="797">
        <v>439826</v>
      </c>
      <c r="F38" s="797">
        <v>1451.4258</v>
      </c>
      <c r="G38" s="797">
        <v>0</v>
      </c>
      <c r="H38" s="797">
        <v>0</v>
      </c>
      <c r="P38" s="96">
        <v>0</v>
      </c>
      <c r="Q38" s="96">
        <v>0</v>
      </c>
      <c r="R38" s="96">
        <v>703.72160000000008</v>
      </c>
      <c r="S38" s="54">
        <v>2E-3</v>
      </c>
      <c r="T38" s="54">
        <v>2.875</v>
      </c>
      <c r="U38" s="189">
        <v>4.9926191507892996E-13</v>
      </c>
      <c r="V38" s="189">
        <v>7.6196994155457501E-13</v>
      </c>
      <c r="W38" s="189">
        <v>6.9410319174027301E-14</v>
      </c>
      <c r="X38" s="189">
        <v>7.1402612381482693E-15</v>
      </c>
      <c r="Y38" s="189">
        <v>1.53428969970343E-12</v>
      </c>
      <c r="Z38" s="54">
        <v>1</v>
      </c>
      <c r="AA38" s="54">
        <f t="shared" ref="AA38:AB43" si="4">Z38</f>
        <v>1</v>
      </c>
      <c r="AB38" s="54">
        <f t="shared" si="4"/>
        <v>1</v>
      </c>
      <c r="AC38" s="435">
        <f>AB38/(1-'Common input data'!$B$140)</f>
        <v>1.1934598400763814</v>
      </c>
      <c r="AD38" s="435">
        <f>AC38/(1-'Common input data'!$B$178)</f>
        <v>1.4734072099708411</v>
      </c>
      <c r="AE38" t="s">
        <v>1825</v>
      </c>
      <c r="AF38" s="1123" t="s">
        <v>1826</v>
      </c>
      <c r="AG38" s="115" t="s">
        <v>1827</v>
      </c>
      <c r="AH38"/>
      <c r="AI38" s="64"/>
      <c r="AJ38"/>
      <c r="AK38" s="1118" t="s">
        <v>1798</v>
      </c>
      <c r="AL38" s="114" t="s">
        <v>1799</v>
      </c>
      <c r="AM38" t="s">
        <v>1800</v>
      </c>
      <c r="AO38"/>
    </row>
    <row r="39" spans="1:89" ht="45">
      <c r="A39" s="140"/>
      <c r="B39" s="106"/>
      <c r="C39" s="435" t="s">
        <v>121</v>
      </c>
      <c r="D39" s="435">
        <v>0.12</v>
      </c>
      <c r="E39" s="797">
        <v>58800</v>
      </c>
      <c r="F39" s="797">
        <v>140</v>
      </c>
      <c r="G39" s="797">
        <v>0</v>
      </c>
      <c r="H39" s="16">
        <v>129.36000000000001</v>
      </c>
      <c r="P39" s="202">
        <v>140</v>
      </c>
      <c r="Q39" s="797">
        <v>0</v>
      </c>
      <c r="R39" s="96">
        <v>36.184615384615384</v>
      </c>
      <c r="S39" s="54">
        <v>2E-3</v>
      </c>
      <c r="T39" s="54">
        <v>2.875</v>
      </c>
      <c r="U39" s="186">
        <v>4.9926191507892996E-13</v>
      </c>
      <c r="V39" s="186">
        <v>7.6196994155457501E-13</v>
      </c>
      <c r="W39" s="186">
        <v>6.9410319174027301E-14</v>
      </c>
      <c r="X39" s="186">
        <v>7.1402612381482693E-15</v>
      </c>
      <c r="Y39" s="186">
        <v>1.53428969970343E-12</v>
      </c>
      <c r="Z39" s="54">
        <v>1</v>
      </c>
      <c r="AA39" s="54">
        <f t="shared" si="4"/>
        <v>1</v>
      </c>
      <c r="AB39" s="54">
        <f t="shared" si="4"/>
        <v>1</v>
      </c>
      <c r="AC39" s="435">
        <f>AB39/(1-'Common input data'!$B$140)</f>
        <v>1.1934598400763814</v>
      </c>
      <c r="AD39" s="435">
        <f>AC39/(1-'Common input data'!$B$178)</f>
        <v>1.4734072099708411</v>
      </c>
      <c r="AE39" t="s">
        <v>1825</v>
      </c>
      <c r="AF39" s="1123" t="s">
        <v>1826</v>
      </c>
      <c r="AG39" s="114" t="s">
        <v>1828</v>
      </c>
      <c r="AH39"/>
      <c r="AI39" s="64" t="s">
        <v>1797</v>
      </c>
      <c r="AJ39"/>
      <c r="AK39" s="1118" t="s">
        <v>1798</v>
      </c>
      <c r="AL39" s="114" t="s">
        <v>1799</v>
      </c>
      <c r="AM39" t="s">
        <v>1800</v>
      </c>
      <c r="AO39"/>
    </row>
    <row r="40" spans="1:89" ht="45">
      <c r="A40" s="140"/>
      <c r="B40" s="435" t="s">
        <v>148</v>
      </c>
      <c r="C40" s="435" t="s">
        <v>129</v>
      </c>
      <c r="D40" s="435">
        <v>0.17</v>
      </c>
      <c r="E40" s="797">
        <v>679276</v>
      </c>
      <c r="F40" s="797">
        <v>815</v>
      </c>
      <c r="G40" s="797">
        <v>0</v>
      </c>
      <c r="H40" s="14">
        <v>0</v>
      </c>
      <c r="P40" s="96">
        <v>0</v>
      </c>
      <c r="Q40" s="96">
        <v>0</v>
      </c>
      <c r="R40" s="96">
        <v>36.184615384615384</v>
      </c>
      <c r="S40" s="54">
        <v>0</v>
      </c>
      <c r="T40" s="54">
        <v>2.7399999999999998</v>
      </c>
      <c r="U40" s="189">
        <v>4.9926191507892996E-13</v>
      </c>
      <c r="V40" s="189">
        <v>7.6196994155457501E-13</v>
      </c>
      <c r="W40" s="189">
        <v>6.9410319174027301E-14</v>
      </c>
      <c r="X40" s="189">
        <v>7.1402612381482693E-15</v>
      </c>
      <c r="Y40" s="189">
        <v>1.53428969970343E-12</v>
      </c>
      <c r="Z40" s="54">
        <v>1</v>
      </c>
      <c r="AA40" s="54">
        <f t="shared" si="4"/>
        <v>1</v>
      </c>
      <c r="AB40" s="54">
        <f t="shared" si="4"/>
        <v>1</v>
      </c>
      <c r="AC40" s="435">
        <f>AB40/(1-'Common input data'!$B$140)</f>
        <v>1.1934598400763814</v>
      </c>
      <c r="AD40" s="435">
        <f>AC40/(1-'Common input data'!$B$178)</f>
        <v>1.4734072099708411</v>
      </c>
      <c r="AE40" t="s">
        <v>1829</v>
      </c>
      <c r="AF40" s="63" t="s">
        <v>1830</v>
      </c>
      <c r="AG40" s="115" t="s">
        <v>1831</v>
      </c>
      <c r="AH40"/>
      <c r="AI40" s="64"/>
      <c r="AJ40"/>
      <c r="AK40" s="1118" t="s">
        <v>1798</v>
      </c>
      <c r="AL40" s="114" t="s">
        <v>1807</v>
      </c>
      <c r="AM40" t="s">
        <v>1800</v>
      </c>
      <c r="AO40"/>
    </row>
    <row r="41" spans="1:89" ht="45">
      <c r="A41" s="140"/>
      <c r="B41" s="435" t="s">
        <v>130</v>
      </c>
      <c r="C41" s="435" t="s">
        <v>1820</v>
      </c>
      <c r="D41" s="435">
        <v>0.26</v>
      </c>
      <c r="E41" s="797">
        <v>91618</v>
      </c>
      <c r="F41" s="797">
        <v>286</v>
      </c>
      <c r="G41" s="797">
        <v>0</v>
      </c>
      <c r="H41" s="29">
        <v>0</v>
      </c>
      <c r="P41" s="96">
        <v>0</v>
      </c>
      <c r="Q41" s="96">
        <v>0</v>
      </c>
      <c r="R41" s="96">
        <v>160.33150000000001</v>
      </c>
      <c r="S41" s="54">
        <v>3.2000000000000001E-2</v>
      </c>
      <c r="T41" s="54">
        <v>15.920000000000002</v>
      </c>
      <c r="U41" s="189">
        <v>3.7738174209626004E-12</v>
      </c>
      <c r="V41" s="189">
        <v>2.5819413353737599E-12</v>
      </c>
      <c r="W41" s="189">
        <v>3.8726446962259297E-12</v>
      </c>
      <c r="X41" s="189">
        <v>7.3859179387853007E-12</v>
      </c>
      <c r="Y41" s="189">
        <v>6.7025422877374503E-10</v>
      </c>
      <c r="Z41" s="54">
        <v>1</v>
      </c>
      <c r="AA41" s="54">
        <f t="shared" si="4"/>
        <v>1</v>
      </c>
      <c r="AB41" s="54">
        <f t="shared" si="4"/>
        <v>1</v>
      </c>
      <c r="AC41" s="435">
        <f>AB41/(1-'Common input data'!$B$140)</f>
        <v>1.1934598400763814</v>
      </c>
      <c r="AD41" s="435">
        <f>AC41/(1-'Common input data'!$B$178)</f>
        <v>1.4734072099708411</v>
      </c>
      <c r="AE41" t="s">
        <v>1832</v>
      </c>
      <c r="AF41" s="63" t="s">
        <v>1833</v>
      </c>
      <c r="AG41" s="114" t="s">
        <v>1821</v>
      </c>
      <c r="AH41"/>
      <c r="AI41" s="64"/>
      <c r="AJ41"/>
      <c r="AK41" s="1118" t="s">
        <v>1798</v>
      </c>
      <c r="AL41" s="114" t="s">
        <v>1807</v>
      </c>
      <c r="AM41" t="s">
        <v>1800</v>
      </c>
      <c r="AO41"/>
    </row>
    <row r="42" spans="1:89" ht="45">
      <c r="A42" s="140"/>
      <c r="B42" s="435"/>
      <c r="C42" s="435" t="s">
        <v>121</v>
      </c>
      <c r="D42" s="435">
        <v>0.05</v>
      </c>
      <c r="E42" s="797">
        <v>85703</v>
      </c>
      <c r="F42" s="797">
        <v>314</v>
      </c>
      <c r="G42" s="797">
        <v>0</v>
      </c>
      <c r="H42" s="16">
        <v>71.390598999999995</v>
      </c>
      <c r="P42" s="96">
        <v>140</v>
      </c>
      <c r="Q42" s="96">
        <v>0</v>
      </c>
      <c r="R42" s="96">
        <v>1285.5449999999998</v>
      </c>
      <c r="S42" s="54">
        <v>3.2000000000000001E-2</v>
      </c>
      <c r="T42" s="54">
        <v>15.920000000000002</v>
      </c>
      <c r="U42" s="189">
        <v>3.7738174209626004E-12</v>
      </c>
      <c r="V42" s="189">
        <v>2.5819413353737599E-12</v>
      </c>
      <c r="W42" s="189">
        <v>3.8726446962259297E-12</v>
      </c>
      <c r="X42" s="189">
        <v>7.3859179387853007E-12</v>
      </c>
      <c r="Y42" s="189">
        <v>6.7025422877374503E-10</v>
      </c>
      <c r="Z42" s="54">
        <v>1</v>
      </c>
      <c r="AA42" s="54">
        <f t="shared" si="4"/>
        <v>1</v>
      </c>
      <c r="AB42" s="54">
        <f t="shared" si="4"/>
        <v>1</v>
      </c>
      <c r="AC42" s="435">
        <f>AB42/(1-'Common input data'!$B$140)</f>
        <v>1.1934598400763814</v>
      </c>
      <c r="AD42" s="435">
        <f>AC42/(1-'Common input data'!$B$178)</f>
        <v>1.4734072099708411</v>
      </c>
      <c r="AE42" t="s">
        <v>1832</v>
      </c>
      <c r="AF42" s="63" t="s">
        <v>1833</v>
      </c>
      <c r="AG42" s="114" t="s">
        <v>1821</v>
      </c>
      <c r="AH42" t="s">
        <v>1821</v>
      </c>
      <c r="AI42" s="64" t="s">
        <v>1797</v>
      </c>
      <c r="AJ42"/>
      <c r="AK42" s="1118" t="s">
        <v>1798</v>
      </c>
      <c r="AL42" s="114" t="s">
        <v>1807</v>
      </c>
      <c r="AM42" t="s">
        <v>1800</v>
      </c>
      <c r="AO42"/>
    </row>
    <row r="43" spans="1:89" ht="45">
      <c r="A43" s="140"/>
      <c r="B43" s="435" t="s">
        <v>125</v>
      </c>
      <c r="C43" s="435" t="s">
        <v>121</v>
      </c>
      <c r="D43" s="435">
        <v>0.05</v>
      </c>
      <c r="E43" s="797">
        <v>30104</v>
      </c>
      <c r="F43" s="797">
        <v>90.985849692431728</v>
      </c>
      <c r="G43" s="797">
        <v>0</v>
      </c>
      <c r="H43" s="16">
        <v>45.657429999999998</v>
      </c>
      <c r="P43" s="96">
        <v>140</v>
      </c>
      <c r="Q43" s="96">
        <v>0</v>
      </c>
      <c r="R43" s="96">
        <v>660.86480769230764</v>
      </c>
      <c r="S43" s="54">
        <v>1.3599999999999999E-2</v>
      </c>
      <c r="T43" s="54">
        <v>6.2200000000000006</v>
      </c>
      <c r="U43" s="189">
        <v>2.0205480387359981E-12</v>
      </c>
      <c r="V43" s="189">
        <v>1.5499418367815399E-12</v>
      </c>
      <c r="W43" s="189">
        <v>1.7545053235994119E-12</v>
      </c>
      <c r="X43" s="189">
        <v>2.9930439357541895E-12</v>
      </c>
      <c r="Y43" s="189">
        <v>2.6977504959521384E-10</v>
      </c>
      <c r="Z43" s="54">
        <v>1</v>
      </c>
      <c r="AA43" s="54">
        <f t="shared" si="4"/>
        <v>1</v>
      </c>
      <c r="AB43" s="54">
        <f t="shared" si="4"/>
        <v>1</v>
      </c>
      <c r="AC43" s="435">
        <f>AB43/(1-'Common input data'!$B$140)</f>
        <v>1.1934598400763814</v>
      </c>
      <c r="AD43" s="435">
        <f>AC43/(1-'Common input data'!$B$178)</f>
        <v>1.4734072099708411</v>
      </c>
      <c r="AE43" t="s">
        <v>1829</v>
      </c>
      <c r="AF43" s="63" t="s">
        <v>1830</v>
      </c>
      <c r="AG43" s="114" t="s">
        <v>1824</v>
      </c>
      <c r="AH43" t="s">
        <v>1824</v>
      </c>
      <c r="AI43" s="64" t="s">
        <v>1797</v>
      </c>
      <c r="AJ43"/>
      <c r="AK43" s="1118" t="s">
        <v>1798</v>
      </c>
      <c r="AL43" s="114" t="s">
        <v>1807</v>
      </c>
      <c r="AM43" t="s">
        <v>1800</v>
      </c>
      <c r="AO43"/>
    </row>
    <row r="44" spans="1:89" ht="15.75" customHeight="1">
      <c r="A44" s="139" t="s">
        <v>48</v>
      </c>
      <c r="B44" s="170" t="s">
        <v>120</v>
      </c>
      <c r="C44" s="170" t="s">
        <v>121</v>
      </c>
      <c r="D44" s="170">
        <v>1</v>
      </c>
      <c r="E44" s="798">
        <f>$D45*E45+$D46*E46+$D47*E47</f>
        <v>25036.899999999998</v>
      </c>
      <c r="F44" s="798">
        <f>$D45*F45+$D46*F46+$D47*F47</f>
        <v>102.14785291999999</v>
      </c>
      <c r="G44" s="798">
        <f>$D45*G45+$D46*G46+$D47*G47</f>
        <v>0</v>
      </c>
      <c r="H44" s="798">
        <f>$D45*H45+$D46*H46+$D47*H47</f>
        <v>21.530578469999998</v>
      </c>
      <c r="P44" s="798">
        <f>$D45*P45+$D46*P46+$D47*P47</f>
        <v>140</v>
      </c>
      <c r="Q44" s="798">
        <f>$D45*Q45+$D46*Q46+$D47*Q47</f>
        <v>0</v>
      </c>
      <c r="R44" s="798">
        <v>21.305006167619048</v>
      </c>
      <c r="S44" s="170">
        <f>$D45*S45+$D46*S46+$D47*S47</f>
        <v>1.2239238269733353E-2</v>
      </c>
      <c r="U44" s="212">
        <v>9.9044524096148042E-13</v>
      </c>
      <c r="V44" s="212">
        <v>1.0349656506274527E-12</v>
      </c>
      <c r="W44" s="212">
        <v>6.3989547573181265E-13</v>
      </c>
      <c r="X44" s="212">
        <v>1.1139569128702211E-12</v>
      </c>
      <c r="Y44" s="212">
        <v>1.0184228056080965E-10</v>
      </c>
      <c r="Z44" s="170">
        <f>$D45*Z45+$D46*Z46+$D47*Z47</f>
        <v>1</v>
      </c>
      <c r="AA44" s="170">
        <f>$D45*AA45+$D46*AA46+$D47*AA47</f>
        <v>1</v>
      </c>
      <c r="AB44" s="170">
        <f>$D45*AB45+$D46*AB46+$D47*AB47</f>
        <v>1</v>
      </c>
      <c r="AC44" s="170">
        <f>$D45*AC45+$D46*AC46+$D47*AC47</f>
        <v>1.1934598400763814</v>
      </c>
      <c r="AD44" s="170">
        <f>AC44/(1-'Common input data'!$B$178)</f>
        <v>1.4734072099708411</v>
      </c>
      <c r="AF44" s="1123"/>
      <c r="AG44"/>
      <c r="AH44"/>
      <c r="AI44" s="64"/>
      <c r="AJ44"/>
      <c r="AK44" s="1118"/>
      <c r="AL44"/>
      <c r="AO44"/>
      <c r="AP44" s="170">
        <f>$D45*'Vegetables, roots, legumes'!Y97+$D46*'Vegetables, roots, legumes'!Y101+$D47*'Vegetables, roots, legumes'!Y105</f>
        <v>0.39970123867820495</v>
      </c>
      <c r="AQ44" s="170">
        <f>$D45*'Vegetables, roots, legumes'!Z97+$D46*'Vegetables, roots, legumes'!Z101+$D47*'Vegetables, roots, legumes'!Z105</f>
        <v>0.39970123867820495</v>
      </c>
      <c r="AR44" s="170">
        <f>$D45*'Vegetables, roots, legumes'!AA97+$D46*'Vegetables, roots, legumes'!AA101+$D47*'Vegetables, roots, legumes'!AA105</f>
        <v>0.39970123867820495</v>
      </c>
      <c r="AS44" s="170">
        <f>$D45*'Vegetables, roots, legumes'!AB97+$D46*'Vegetables, roots, legumes'!AB101+$D47*'Vegetables, roots, legumes'!AB105</f>
        <v>0.39970123867820495</v>
      </c>
      <c r="AT44" s="170">
        <f>$D45*'Vegetables, roots, legumes'!AC97+$D46*'Vegetables, roots, legumes'!AC101+$D47*'Vegetables, roots, legumes'!AC105</f>
        <v>0.47702737639122195</v>
      </c>
      <c r="AU44" s="170">
        <f>$D45*'Vegetables, roots, legumes'!AD97+$D46*'Vegetables, roots, legumes'!AD101+$D47*'Vegetables, roots, legumes'!AD105</f>
        <v>0.58892268690274319</v>
      </c>
      <c r="AV44" s="106"/>
      <c r="AW44" s="212">
        <f>$D45*'Vegetables, roots, legumes'!AF97+$D46*'Vegetables, roots, legumes'!AF101+$D47*'Vegetables, roots, legumes'!AF105</f>
        <v>4.0810489323152305E-3</v>
      </c>
      <c r="AX44" s="212">
        <f>$D45*'Vegetables, roots, legumes'!AG97+$D46*'Vegetables, roots, legumes'!AG101+$D47*'Vegetables, roots, legumes'!AG105</f>
        <v>4.0810489323152305E-3</v>
      </c>
      <c r="AY44" s="212">
        <f>$D45*'Vegetables, roots, legumes'!AH97+$D46*'Vegetables, roots, legumes'!AH101+$D47*'Vegetables, roots, legumes'!AH105</f>
        <v>4.0810489323152305E-3</v>
      </c>
      <c r="AZ44" s="212">
        <f>$D45*'Vegetables, roots, legumes'!AI97+$D46*'Vegetables, roots, legumes'!AI101+$D47*'Vegetables, roots, legumes'!AI105</f>
        <v>4.0810489323152305E-3</v>
      </c>
      <c r="BA44" s="212">
        <f>$D45*'Vegetables, roots, legumes'!AJ97+$D46*'Vegetables, roots, legumes'!AJ101+$D47*'Vegetables, roots, legumes'!AJ105</f>
        <v>4.8705680061048228E-3</v>
      </c>
      <c r="BB44" s="212">
        <f>$D45*'Vegetables, roots, legumes'!AK97+$D46*'Vegetables, roots, legumes'!AK101+$D47*'Vegetables, roots, legumes'!AK105</f>
        <v>6.0130469211170648E-3</v>
      </c>
      <c r="BC44" s="106"/>
      <c r="BD44" s="212">
        <f>$D45*'Vegetables, roots, legumes'!AM97+$D46*'Vegetables, roots, legumes'!AM101+$D47*'Vegetables, roots, legumes'!AM105</f>
        <v>8.4711619047619046E-4</v>
      </c>
      <c r="BE44" s="212">
        <f>$D45*'Vegetables, roots, legumes'!AN97+$D46*'Vegetables, roots, legumes'!AN101+$D47*'Vegetables, roots, legumes'!AN105</f>
        <v>8.4711619047619046E-4</v>
      </c>
      <c r="BF44" s="212">
        <f>$D45*'Vegetables, roots, legumes'!AO97+$D46*'Vegetables, roots, legumes'!AO101+$D47*'Vegetables, roots, legumes'!AO105</f>
        <v>8.4711619047619046E-4</v>
      </c>
      <c r="BG44" s="212">
        <f>$D45*'Vegetables, roots, legumes'!AP97+$D46*'Vegetables, roots, legumes'!AP101+$D47*'Vegetables, roots, legumes'!AP105</f>
        <v>8.4711619047619046E-4</v>
      </c>
      <c r="BH44" s="212">
        <f>$D45*'Vegetables, roots, legumes'!AQ97+$D46*'Vegetables, roots, legumes'!AQ101+$D47*'Vegetables, roots, legumes'!AQ105</f>
        <v>1.0109991532118278E-3</v>
      </c>
      <c r="BI44" s="212">
        <f>$D45*'Vegetables, roots, legumes'!AR97+$D46*'Vegetables, roots, legumes'!AR101+$D47*'Vegetables, roots, legumes'!AR105</f>
        <v>1.2481471027306513E-3</v>
      </c>
      <c r="BJ44" s="266"/>
      <c r="BK44" s="212">
        <f>$D45*'Vegetables, roots, legumes'!AT97+$D46*'Vegetables, roots, legumes'!AT101+$D47*'Vegetables, roots, legumes'!AT105</f>
        <v>1.2239238269733353E-2</v>
      </c>
      <c r="BL44" s="212">
        <f>$D45*'Vegetables, roots, legumes'!AU97+$D46*'Vegetables, roots, legumes'!AU101+$D47*'Vegetables, roots, legumes'!AU105</f>
        <v>1.2239238269733353E-2</v>
      </c>
      <c r="BM44" s="212">
        <f>$D45*'Vegetables, roots, legumes'!AV97+$D46*'Vegetables, roots, legumes'!AV101+$D47*'Vegetables, roots, legumes'!AV105</f>
        <v>1.2239238269733353E-2</v>
      </c>
      <c r="BN44" s="212">
        <f>$D45*'Vegetables, roots, legumes'!AW97+$D46*'Vegetables, roots, legumes'!AW101+$D47*'Vegetables, roots, legumes'!AW105</f>
        <v>1.2239238269733353E-2</v>
      </c>
      <c r="BO44" s="212">
        <f>$D45*'Vegetables, roots, legumes'!AX97+$D46*'Vegetables, roots, legumes'!AX101+$D47*'Vegetables, roots, legumes'!AX105</f>
        <v>1.4607039348052697E-2</v>
      </c>
      <c r="BP44" s="212">
        <f>$D45*'Vegetables, roots, legumes'!AY97+$D46*'Vegetables, roots, legumes'!AY101+$D47*'Vegetables, roots, legumes'!AY105</f>
        <v>1.8033381911176163E-2</v>
      </c>
      <c r="BQ44" s="266"/>
      <c r="BR44" s="212">
        <f>$D45*'Vegetables, roots, legumes'!BA97+$D46*'Vegetables, roots, legumes'!BA101+$D47*'Vegetables, roots, legumes'!BA105</f>
        <v>1.0037840047081065E-10</v>
      </c>
      <c r="BS44" s="212">
        <f>$D45*'Vegetables, roots, legumes'!BB97+$D46*'Vegetables, roots, legumes'!BB101+$D47*'Vegetables, roots, legumes'!BB105</f>
        <v>1.0037840047081065E-10</v>
      </c>
      <c r="BT44" s="212">
        <f>$D45*'Vegetables, roots, legumes'!BC97+$D46*'Vegetables, roots, legumes'!BC101+$D47*'Vegetables, roots, legumes'!BC105</f>
        <v>1.0037840047081065E-10</v>
      </c>
      <c r="BU44" s="212">
        <f>$D45*'Vegetables, roots, legumes'!BD97+$D46*'Vegetables, roots, legumes'!BD101+$D47*'Vegetables, roots, legumes'!BD105</f>
        <v>1.0037840047081065E-10</v>
      </c>
      <c r="BV44" s="212">
        <f>$D45*'Vegetables, roots, legumes'!BE97+$D46*'Vegetables, roots, legumes'!BE101+$D47*'Vegetables, roots, legumes'!BE105</f>
        <v>1.1979758977301666E-10</v>
      </c>
      <c r="BW44" s="212">
        <f>$D45*'Vegetables, roots, legumes'!BF97+$D46*'Vegetables, roots, legumes'!BF101+$D47*'Vegetables, roots, legumes'!BF105</f>
        <v>1.4789825897903289E-10</v>
      </c>
      <c r="BY44" s="189">
        <f>T44/E44</f>
        <v>0</v>
      </c>
      <c r="BZ44" s="189">
        <f>$BY44*Z44</f>
        <v>0</v>
      </c>
      <c r="CA44" s="189">
        <f>$BY44*AA44</f>
        <v>0</v>
      </c>
      <c r="CB44" s="189">
        <f>$BY44*AB44</f>
        <v>0</v>
      </c>
      <c r="CC44" s="189">
        <f>$BY44*AC44</f>
        <v>0</v>
      </c>
      <c r="CD44" s="189">
        <f>$BY44*AD44</f>
        <v>0</v>
      </c>
      <c r="CF44" s="189">
        <f>(F44/E44*'Common input data'!$B$195+G44/E44*'Common input data'!$B$196)/'Common input data'!$B$198</f>
        <v>1.0417487854376834E-4</v>
      </c>
      <c r="CG44" s="189">
        <f>$CF44*Z44</f>
        <v>1.0417487854376834E-4</v>
      </c>
      <c r="CH44" s="189">
        <f>$CF44*AA44</f>
        <v>1.0417487854376834E-4</v>
      </c>
      <c r="CI44" s="189">
        <f>$CF44*AB44</f>
        <v>1.0417487854376834E-4</v>
      </c>
      <c r="CJ44" s="189">
        <f>$CF44*AC44</f>
        <v>1.2432853388682222E-4</v>
      </c>
      <c r="CK44" s="189">
        <f>$CF44*AD44</f>
        <v>1.5349201714422495E-4</v>
      </c>
    </row>
    <row r="45" spans="1:89" ht="45">
      <c r="A45" s="68"/>
      <c r="B45" s="435" t="s">
        <v>122</v>
      </c>
      <c r="C45" s="435" t="s">
        <v>121</v>
      </c>
      <c r="D45" s="435">
        <v>0.82</v>
      </c>
      <c r="E45" s="797">
        <v>24916</v>
      </c>
      <c r="F45" s="797">
        <v>104</v>
      </c>
      <c r="G45" s="797">
        <v>0</v>
      </c>
      <c r="H45" s="16">
        <v>22.424399999999999</v>
      </c>
      <c r="P45" s="96">
        <v>140</v>
      </c>
      <c r="Q45" s="96">
        <v>0</v>
      </c>
      <c r="R45" s="96">
        <v>20.763333333333335</v>
      </c>
      <c r="S45" s="54">
        <v>1.5167509055686529E-3</v>
      </c>
      <c r="T45" s="54">
        <v>2.875</v>
      </c>
      <c r="U45" s="189">
        <v>4.9926191507892996E-13</v>
      </c>
      <c r="V45" s="189">
        <v>7.6196994155457501E-13</v>
      </c>
      <c r="W45" s="189">
        <v>6.9410319174027301E-14</v>
      </c>
      <c r="X45" s="189">
        <v>7.1402612381482693E-15</v>
      </c>
      <c r="Y45" s="189">
        <v>1.53428969970343E-12</v>
      </c>
      <c r="Z45" s="54">
        <v>1</v>
      </c>
      <c r="AA45" s="54">
        <f t="shared" ref="AA45:AB48" si="5">Z45</f>
        <v>1</v>
      </c>
      <c r="AB45" s="54">
        <f t="shared" si="5"/>
        <v>1</v>
      </c>
      <c r="AC45" s="435">
        <f>AB45/(1-'Common input data'!$B$140)</f>
        <v>1.1934598400763814</v>
      </c>
      <c r="AD45" s="435">
        <f>AC45/(1-'Common input data'!$B$178)</f>
        <v>1.4734072099708411</v>
      </c>
      <c r="AE45" t="s">
        <v>1826</v>
      </c>
      <c r="AF45" s="1123" t="s">
        <v>1826</v>
      </c>
      <c r="AG45" t="s">
        <v>1834</v>
      </c>
      <c r="AH45" t="s">
        <v>1821</v>
      </c>
      <c r="AI45" s="64" t="s">
        <v>1797</v>
      </c>
      <c r="AJ45"/>
      <c r="AK45" s="1118" t="s">
        <v>1798</v>
      </c>
      <c r="AL45" s="114" t="s">
        <v>1799</v>
      </c>
      <c r="AM45" t="s">
        <v>1800</v>
      </c>
      <c r="AO45"/>
    </row>
    <row r="46" spans="1:89" ht="45">
      <c r="A46" s="140"/>
      <c r="B46" s="435" t="s">
        <v>130</v>
      </c>
      <c r="C46" s="435" t="s">
        <v>121</v>
      </c>
      <c r="D46" s="435">
        <v>0.12</v>
      </c>
      <c r="E46" s="797">
        <v>26640</v>
      </c>
      <c r="F46" s="797">
        <v>99</v>
      </c>
      <c r="G46" s="797">
        <v>0</v>
      </c>
      <c r="H46" s="178">
        <v>17.129519999999999</v>
      </c>
      <c r="P46" s="96">
        <v>140</v>
      </c>
      <c r="Q46" s="96">
        <v>0</v>
      </c>
      <c r="R46" s="96">
        <v>30.445714285714288</v>
      </c>
      <c r="S46" s="54">
        <v>7.2999999999999995E-2</v>
      </c>
      <c r="T46" s="54">
        <v>15.920000000000002</v>
      </c>
      <c r="U46" s="189">
        <v>3.7738174209626004E-12</v>
      </c>
      <c r="V46" s="189">
        <v>2.5819413353737599E-12</v>
      </c>
      <c r="W46" s="189">
        <v>3.8726446962259297E-12</v>
      </c>
      <c r="X46" s="189">
        <v>7.3859179387853007E-12</v>
      </c>
      <c r="Y46" s="189">
        <v>6.7025422877374503E-10</v>
      </c>
      <c r="Z46" s="54">
        <v>1</v>
      </c>
      <c r="AA46" s="54">
        <f t="shared" si="5"/>
        <v>1</v>
      </c>
      <c r="AB46" s="54">
        <f t="shared" si="5"/>
        <v>1</v>
      </c>
      <c r="AC46" s="435">
        <f>AB46/(1-'Common input data'!$B$140)</f>
        <v>1.1934598400763814</v>
      </c>
      <c r="AD46" s="435">
        <f>AC46/(1-'Common input data'!$B$178)</f>
        <v>1.4734072099708411</v>
      </c>
      <c r="AE46" t="s">
        <v>1829</v>
      </c>
      <c r="AF46" s="63" t="s">
        <v>1830</v>
      </c>
      <c r="AG46" s="2" t="s">
        <v>1821</v>
      </c>
      <c r="AH46" t="s">
        <v>1824</v>
      </c>
      <c r="AI46" s="64" t="s">
        <v>1797</v>
      </c>
      <c r="AJ46"/>
      <c r="AK46" s="1118" t="s">
        <v>1798</v>
      </c>
      <c r="AL46" s="114" t="s">
        <v>1807</v>
      </c>
      <c r="AM46" t="s">
        <v>1800</v>
      </c>
      <c r="AO46"/>
    </row>
    <row r="47" spans="1:89" ht="45">
      <c r="A47" s="140"/>
      <c r="B47" s="435" t="s">
        <v>125</v>
      </c>
      <c r="C47" s="435" t="s">
        <v>121</v>
      </c>
      <c r="D47" s="435">
        <v>0.06</v>
      </c>
      <c r="E47" s="797">
        <v>23483</v>
      </c>
      <c r="F47" s="797">
        <v>83.130882</v>
      </c>
      <c r="G47" s="797">
        <v>0</v>
      </c>
      <c r="H47" s="16">
        <v>18.117134500000002</v>
      </c>
      <c r="P47" s="96">
        <v>140</v>
      </c>
      <c r="Q47" s="96">
        <v>0</v>
      </c>
      <c r="R47" s="96">
        <v>10.426451999999999</v>
      </c>
      <c r="S47" s="54">
        <v>3.7258375452784327E-2</v>
      </c>
      <c r="T47" s="54">
        <v>50.620000000000005</v>
      </c>
      <c r="U47" s="189">
        <v>2.1365396680207653E-12</v>
      </c>
      <c r="V47" s="189">
        <v>1.6719556384641674E-12</v>
      </c>
      <c r="W47" s="189">
        <v>1.9710275076999785E-12</v>
      </c>
      <c r="X47" s="189">
        <v>3.6965291000117248E-12</v>
      </c>
      <c r="Y47" s="189">
        <v>3.3589425923672423E-10</v>
      </c>
      <c r="Z47" s="54">
        <v>1</v>
      </c>
      <c r="AA47" s="54">
        <f t="shared" si="5"/>
        <v>1</v>
      </c>
      <c r="AB47" s="54">
        <f t="shared" si="5"/>
        <v>1</v>
      </c>
      <c r="AC47" s="435">
        <f>AB47/(1-'Common input data'!$B$140)</f>
        <v>1.1934598400763814</v>
      </c>
      <c r="AD47" s="435">
        <f>AC47/(1-'Common input data'!$B$178)</f>
        <v>1.4734072099708411</v>
      </c>
      <c r="AE47" t="s">
        <v>1829</v>
      </c>
      <c r="AF47" s="63" t="s">
        <v>1830</v>
      </c>
      <c r="AG47" s="2" t="s">
        <v>1835</v>
      </c>
      <c r="AH47"/>
      <c r="AI47" s="64" t="s">
        <v>1797</v>
      </c>
      <c r="AJ47"/>
      <c r="AK47" s="1118" t="s">
        <v>1798</v>
      </c>
      <c r="AL47" s="114" t="s">
        <v>1807</v>
      </c>
      <c r="AM47" t="s">
        <v>1800</v>
      </c>
      <c r="AO47"/>
    </row>
    <row r="48" spans="1:89" ht="45">
      <c r="A48" s="139" t="s">
        <v>90</v>
      </c>
      <c r="B48" s="170" t="s">
        <v>122</v>
      </c>
      <c r="C48" s="170" t="s">
        <v>121</v>
      </c>
      <c r="D48" s="170">
        <v>1</v>
      </c>
      <c r="E48" s="798">
        <v>3480</v>
      </c>
      <c r="F48" s="798">
        <v>0</v>
      </c>
      <c r="G48" s="798">
        <v>0</v>
      </c>
      <c r="H48" s="96">
        <f t="shared" ref="H48:H53" si="6">((E48*N48*I48)*(1-J48)*K48)+((E48*N48+(E48*N48*I48))*L48*1/O48*M48)</f>
        <v>68.124201600000006</v>
      </c>
      <c r="I48" s="55">
        <v>2.1</v>
      </c>
      <c r="J48" s="55">
        <v>0</v>
      </c>
      <c r="K48" s="55">
        <v>8.0000000000000002E-3</v>
      </c>
      <c r="L48" s="55">
        <v>0.19</v>
      </c>
      <c r="M48" s="55">
        <v>8.0000000000000002E-3</v>
      </c>
      <c r="N48" s="55">
        <v>0.91</v>
      </c>
      <c r="O48" s="55">
        <v>1</v>
      </c>
      <c r="P48" s="107">
        <v>140</v>
      </c>
      <c r="Q48" s="107">
        <v>63</v>
      </c>
      <c r="R48" s="107">
        <v>11</v>
      </c>
      <c r="S48" s="79">
        <v>5.5031237216764898E-3</v>
      </c>
      <c r="T48" s="54">
        <v>0.99</v>
      </c>
      <c r="U48" s="211">
        <v>4.9926191507892996E-13</v>
      </c>
      <c r="V48" s="211">
        <v>7.6196994155457501E-13</v>
      </c>
      <c r="W48" s="211">
        <v>6.9410319174027301E-14</v>
      </c>
      <c r="X48" s="211">
        <v>7.1402612381482693E-15</v>
      </c>
      <c r="Y48" s="211">
        <v>1.53428969970343E-12</v>
      </c>
      <c r="Z48" s="79">
        <v>1</v>
      </c>
      <c r="AA48" s="79">
        <f t="shared" si="5"/>
        <v>1</v>
      </c>
      <c r="AB48" s="79">
        <f t="shared" si="5"/>
        <v>1</v>
      </c>
      <c r="AC48" s="170">
        <f>AB48/(1-'Common input data'!$B$143)</f>
        <v>1.0740042637969274</v>
      </c>
      <c r="AD48" s="170">
        <f>AC48/(1-'Common input data'!$B$176)</f>
        <v>1.2939810407191896</v>
      </c>
      <c r="AE48" t="s">
        <v>1802</v>
      </c>
      <c r="AF48" s="63" t="s">
        <v>1794</v>
      </c>
      <c r="AG48" s="43" t="s">
        <v>1836</v>
      </c>
      <c r="AH48" t="s">
        <v>1814</v>
      </c>
      <c r="AI48" s="64" t="s">
        <v>1797</v>
      </c>
      <c r="AJ48" t="s">
        <v>1805</v>
      </c>
      <c r="AK48" s="1118" t="s">
        <v>1798</v>
      </c>
      <c r="AL48" s="114" t="s">
        <v>1799</v>
      </c>
      <c r="AM48" t="s">
        <v>1800</v>
      </c>
      <c r="AO48"/>
    </row>
    <row r="49" spans="1:89">
      <c r="A49" s="139" t="s">
        <v>94</v>
      </c>
      <c r="B49" s="170" t="s">
        <v>120</v>
      </c>
      <c r="C49" s="170" t="s">
        <v>121</v>
      </c>
      <c r="D49" s="170">
        <v>1</v>
      </c>
      <c r="E49" s="798">
        <f>$D50*E50+$D51*E51+$D52*E52+$D53*E53</f>
        <v>3116.018718404026</v>
      </c>
      <c r="F49" s="798">
        <f>$D50*F50+$D51*F51+$D52*F52+$D53*F53</f>
        <v>22.894901147352059</v>
      </c>
      <c r="G49" s="798">
        <f>$D50*G50+$D51*G51+$D52*G52+$D53*G53</f>
        <v>1.9279177299810333</v>
      </c>
      <c r="H49" s="96">
        <f t="shared" si="6"/>
        <v>59.950903878306612</v>
      </c>
      <c r="I49" s="55">
        <v>2.1</v>
      </c>
      <c r="J49" s="55">
        <v>2.1999999999999999E-2</v>
      </c>
      <c r="K49" s="55">
        <v>8.0000000000000002E-3</v>
      </c>
      <c r="L49" s="55">
        <v>0.19</v>
      </c>
      <c r="M49" s="55">
        <v>8.0000000000000002E-3</v>
      </c>
      <c r="N49" s="55">
        <v>0.91</v>
      </c>
      <c r="O49" s="55">
        <v>1</v>
      </c>
      <c r="P49" s="798">
        <f>$D50*P50+$D51*P51+$D52*P52+$D53*P53</f>
        <v>70</v>
      </c>
      <c r="Q49" s="798">
        <f>$D50*Q50+$D51*Q51+$D52*Q52+$D53*Q53</f>
        <v>24</v>
      </c>
      <c r="R49" s="798">
        <v>42.953174529160322</v>
      </c>
      <c r="S49" s="170">
        <f>$D50*S50+$D51*S51+$D52*S52+$D53*S53</f>
        <v>1.7463275319873947E-2</v>
      </c>
      <c r="U49" s="212">
        <v>1.3273172256692316E-12</v>
      </c>
      <c r="V49" s="212">
        <v>9.6056219546019849E-13</v>
      </c>
      <c r="W49" s="212">
        <v>6.6470215679669582E-13</v>
      </c>
      <c r="X49" s="212">
        <v>1.3701055750254805E-13</v>
      </c>
      <c r="Y49" s="212">
        <v>4.5532784694641944E-12</v>
      </c>
      <c r="Z49" s="170">
        <f>$D50*Z50+$D51*Z51+$D52*Z52+$D53*Z53</f>
        <v>1</v>
      </c>
      <c r="AA49" s="170">
        <f>$D50*AA50+$D51*AA51+$D52*AA52+$D53*AA53</f>
        <v>1</v>
      </c>
      <c r="AB49" s="170">
        <f>$D50*AB50+$D51*AB51+$D52*AB52+$D53*AB53</f>
        <v>1</v>
      </c>
      <c r="AC49" s="170">
        <f>$D50*AC50+$D51*AC51+$D52*AC52+$D53*AC53</f>
        <v>1.0890360663480265</v>
      </c>
      <c r="AD49" s="170">
        <f>AC49/(1-'Common input data'!$B$176)</f>
        <v>1.3120916462024417</v>
      </c>
      <c r="AE49" s="1123"/>
      <c r="AF49" s="1123"/>
      <c r="AG49" s="43"/>
      <c r="AH49"/>
      <c r="AI49" s="64" t="s">
        <v>1797</v>
      </c>
      <c r="AJ49" t="s">
        <v>1805</v>
      </c>
      <c r="AK49" s="1118"/>
      <c r="AL49"/>
      <c r="AO49"/>
      <c r="AP49" s="170">
        <f>$D50*'Vegetables, roots, legumes'!Y234+$D51*'Vegetables, roots, legumes'!Y238+$D52*'Vegetables, roots, legumes'!Y242+$D53*'Vegetables, roots, legumes'!Y246</f>
        <v>5.0000317190592707</v>
      </c>
      <c r="AQ49" s="170">
        <f>$D50*'Vegetables, roots, legumes'!Z234+$D51*'Vegetables, roots, legumes'!Z238+$D52*'Vegetables, roots, legumes'!Z242+$D53*'Vegetables, roots, legumes'!Z246</f>
        <v>5.0000317190592707</v>
      </c>
      <c r="AR49" s="170">
        <f>$D50*'Vegetables, roots, legumes'!AA234+$D51*'Vegetables, roots, legumes'!AA238+$D52*'Vegetables, roots, legumes'!AA242+$D53*'Vegetables, roots, legumes'!AA246</f>
        <v>5.0000317190592707</v>
      </c>
      <c r="AS49" s="170">
        <f>$D50*'Vegetables, roots, legumes'!AB234+$D51*'Vegetables, roots, legumes'!AB238+$D52*'Vegetables, roots, legumes'!AB242+$D53*'Vegetables, roots, legumes'!AB246</f>
        <v>5.0000317190592707</v>
      </c>
      <c r="AT49" s="170">
        <f>$D50*'Vegetables, roots, legumes'!AC234+$D51*'Vegetables, roots, legumes'!AC238+$D52*'Vegetables, roots, legumes'!AC242+$D53*'Vegetables, roots, legumes'!AC246</f>
        <v>5.534027075416768</v>
      </c>
      <c r="AU49" s="170">
        <f>$D50*'Vegetables, roots, legumes'!AD234+$D51*'Vegetables, roots, legumes'!AD238+$D52*'Vegetables, roots, legumes'!AD242+$D53*'Vegetables, roots, legumes'!AD246</f>
        <v>6.6675025005021311</v>
      </c>
      <c r="AV49" s="106"/>
      <c r="AW49" s="212">
        <f>$D50*'Vegetables, roots, legumes'!AF234+$D51*'Vegetables, roots, legumes'!AF238+$D52*'Vegetables, roots, legumes'!AF242+$D53*'Vegetables, roots, legumes'!AF246</f>
        <v>2.6807193279015484E-2</v>
      </c>
      <c r="AX49" s="212">
        <f>$D50*'Vegetables, roots, legumes'!AG234+$D51*'Vegetables, roots, legumes'!AG238+$D52*'Vegetables, roots, legumes'!AG242+$D53*'Vegetables, roots, legumes'!AG246</f>
        <v>2.6807193279015484E-2</v>
      </c>
      <c r="AY49" s="212">
        <f>$D50*'Vegetables, roots, legumes'!AH234+$D51*'Vegetables, roots, legumes'!AH238+$D52*'Vegetables, roots, legumes'!AH242+$D53*'Vegetables, roots, legumes'!AH246</f>
        <v>2.6807193279015484E-2</v>
      </c>
      <c r="AZ49" s="212">
        <f>$D50*'Vegetables, roots, legumes'!AI234+$D51*'Vegetables, roots, legumes'!AI238+$D52*'Vegetables, roots, legumes'!AI242+$D53*'Vegetables, roots, legumes'!AI246</f>
        <v>2.6807193279015484E-2</v>
      </c>
      <c r="BA49" s="212">
        <f>$D50*'Vegetables, roots, legumes'!AJ234+$D51*'Vegetables, roots, legumes'!AJ238+$D52*'Vegetables, roots, legumes'!AJ242+$D53*'Vegetables, roots, legumes'!AJ246</f>
        <v>2.9867787313269778E-2</v>
      </c>
      <c r="BB49" s="212">
        <f>$D50*'Vegetables, roots, legumes'!AK234+$D51*'Vegetables, roots, legumes'!AK238+$D52*'Vegetables, roots, legumes'!AK242+$D53*'Vegetables, roots, legumes'!AK246</f>
        <v>3.5985285919602143E-2</v>
      </c>
      <c r="BC49" s="106"/>
      <c r="BD49" s="212">
        <f>$D50*'Vegetables, roots, legumes'!AM234+$D51*'Vegetables, roots, legumes'!AM238+$D52*'Vegetables, roots, legumes'!AM242+$D53*'Vegetables, roots, legumes'!AM246</f>
        <v>2.0683641995876495E-2</v>
      </c>
      <c r="BE49" s="212">
        <f>$D50*'Vegetables, roots, legumes'!AN234+$D51*'Vegetables, roots, legumes'!AN238+$D52*'Vegetables, roots, legumes'!AN242+$D53*'Vegetables, roots, legumes'!AN246</f>
        <v>2.0683641995876495E-2</v>
      </c>
      <c r="BF49" s="212">
        <f>$D50*'Vegetables, roots, legumes'!AO234+$D51*'Vegetables, roots, legumes'!AO238+$D52*'Vegetables, roots, legumes'!AO242+$D53*'Vegetables, roots, legumes'!AO246</f>
        <v>2.0683641995876495E-2</v>
      </c>
      <c r="BG49" s="212">
        <f>$D50*'Vegetables, roots, legumes'!AP234+$D51*'Vegetables, roots, legumes'!AP238+$D52*'Vegetables, roots, legumes'!AP242+$D53*'Vegetables, roots, legumes'!AP246</f>
        <v>2.0683641995876495E-2</v>
      </c>
      <c r="BH49" s="212">
        <f>$D50*'Vegetables, roots, legumes'!AQ234+$D51*'Vegetables, roots, legumes'!AQ238+$D52*'Vegetables, roots, legumes'!AQ242+$D53*'Vegetables, roots, legumes'!AQ246</f>
        <v>2.2973144237713232E-2</v>
      </c>
      <c r="BI49" s="212">
        <f>$D50*'Vegetables, roots, legumes'!AR234+$D51*'Vegetables, roots, legumes'!AR238+$D52*'Vegetables, roots, legumes'!AR242+$D53*'Vegetables, roots, legumes'!AR246</f>
        <v>2.7678487033389432E-2</v>
      </c>
      <c r="BJ49" s="266"/>
      <c r="BK49" s="212">
        <f>$D50*'Vegetables, roots, legumes'!AT234+$D51*'Vegetables, roots, legumes'!AT238+$D52*'Vegetables, roots, legumes'!AT242+$D53*'Vegetables, roots, legumes'!AT246</f>
        <v>1.7463275319873947E-2</v>
      </c>
      <c r="BL49" s="212">
        <f>$D50*'Vegetables, roots, legumes'!AU234+$D51*'Vegetables, roots, legumes'!AU238+$D52*'Vegetables, roots, legumes'!AU242+$D53*'Vegetables, roots, legumes'!AU246</f>
        <v>1.7463275319873947E-2</v>
      </c>
      <c r="BM49" s="212">
        <f>$D50*'Vegetables, roots, legumes'!AV234+$D51*'Vegetables, roots, legumes'!AV238+$D52*'Vegetables, roots, legumes'!AV242+$D53*'Vegetables, roots, legumes'!AV246</f>
        <v>1.7463275319873947E-2</v>
      </c>
      <c r="BN49" s="212">
        <f>$D50*'Vegetables, roots, legumes'!AW234+$D51*'Vegetables, roots, legumes'!AW238+$D52*'Vegetables, roots, legumes'!AW242+$D53*'Vegetables, roots, legumes'!AW246</f>
        <v>1.7463275319873947E-2</v>
      </c>
      <c r="BO49" s="212">
        <f>$D50*'Vegetables, roots, legumes'!AX234+$D51*'Vegetables, roots, legumes'!AX238+$D52*'Vegetables, roots, legumes'!AX242+$D53*'Vegetables, roots, legumes'!AX246</f>
        <v>1.9560144299250966E-2</v>
      </c>
      <c r="BP49" s="212">
        <f>$D50*'Vegetables, roots, legumes'!AY234+$D51*'Vegetables, roots, legumes'!AY238+$D52*'Vegetables, roots, legumes'!AY242+$D53*'Vegetables, roots, legumes'!AY246</f>
        <v>2.35664389147602E-2</v>
      </c>
      <c r="BQ49" s="266"/>
      <c r="BR49" s="212">
        <f>$D50*'Vegetables, roots, legumes'!BA234+$D51*'Vegetables, roots, legumes'!BA238+$D52*'Vegetables, roots, legumes'!BA242+$D53*'Vegetables, roots, legumes'!BA246</f>
        <v>8.5704317238658502E-11</v>
      </c>
      <c r="BS49" s="212">
        <f>$D50*'Vegetables, roots, legumes'!BB234+$D51*'Vegetables, roots, legumes'!BB238+$D52*'Vegetables, roots, legumes'!BB242+$D53*'Vegetables, roots, legumes'!BB246</f>
        <v>8.5704317238658502E-11</v>
      </c>
      <c r="BT49" s="212">
        <f>$D50*'Vegetables, roots, legumes'!BC234+$D51*'Vegetables, roots, legumes'!BC238+$D52*'Vegetables, roots, legumes'!BC242+$D53*'Vegetables, roots, legumes'!BC246</f>
        <v>8.5704317238658502E-11</v>
      </c>
      <c r="BU49" s="212">
        <f>$D50*'Vegetables, roots, legumes'!BD234+$D51*'Vegetables, roots, legumes'!BD238+$D52*'Vegetables, roots, legumes'!BD242+$D53*'Vegetables, roots, legumes'!BD246</f>
        <v>8.5704317238658502E-11</v>
      </c>
      <c r="BV49" s="212">
        <f>$D50*'Vegetables, roots, legumes'!BE234+$D51*'Vegetables, roots, legumes'!BE238+$D52*'Vegetables, roots, legumes'!BE242+$D53*'Vegetables, roots, legumes'!BE246</f>
        <v>9.4870479800126652E-11</v>
      </c>
      <c r="BW49" s="212">
        <f>$D50*'Vegetables, roots, legumes'!BF234+$D51*'Vegetables, roots, legumes'!BF238+$D52*'Vegetables, roots, legumes'!BF242+$D53*'Vegetables, roots, legumes'!BF246</f>
        <v>1.1430178289171888E-10</v>
      </c>
      <c r="BY49" s="189">
        <f>T49/E49</f>
        <v>0</v>
      </c>
      <c r="BZ49" s="189">
        <f>$BY49*Z49</f>
        <v>0</v>
      </c>
      <c r="CA49" s="189">
        <f>$BY49*AA49</f>
        <v>0</v>
      </c>
      <c r="CB49" s="189">
        <f>$BY49*AB49</f>
        <v>0</v>
      </c>
      <c r="CC49" s="189">
        <f>$BY49*AC49</f>
        <v>0</v>
      </c>
      <c r="CD49" s="189">
        <f>$BY49*AD49</f>
        <v>0</v>
      </c>
      <c r="CF49" s="189">
        <f>(F49/E49*'Common input data'!$B$195+G49/E49*'Common input data'!$B$196)/'Common input data'!$B$198</f>
        <v>3.0752324503688605E-4</v>
      </c>
      <c r="CG49" s="189">
        <f>$CF49*Z49</f>
        <v>3.0752324503688605E-4</v>
      </c>
      <c r="CH49" s="189">
        <f>$CF49*AA49</f>
        <v>3.0752324503688605E-4</v>
      </c>
      <c r="CI49" s="189">
        <f>$CF49*AB49</f>
        <v>3.0752324503688605E-4</v>
      </c>
      <c r="CJ49" s="189">
        <f>$CF49*AC49</f>
        <v>3.3490390508555067E-4</v>
      </c>
      <c r="CK49" s="189">
        <f>$CF49*AD49</f>
        <v>4.0349868082596469E-4</v>
      </c>
    </row>
    <row r="50" spans="1:89" ht="60">
      <c r="A50" s="18"/>
      <c r="B50" s="435" t="s">
        <v>122</v>
      </c>
      <c r="C50" s="435" t="s">
        <v>121</v>
      </c>
      <c r="D50" s="435">
        <v>0.14285714290000001</v>
      </c>
      <c r="E50" s="202">
        <v>1947</v>
      </c>
      <c r="F50" s="797">
        <v>0</v>
      </c>
      <c r="G50" s="797">
        <v>8.3333333333333339</v>
      </c>
      <c r="H50" s="96">
        <f t="shared" si="6"/>
        <v>37.459470048</v>
      </c>
      <c r="I50" s="55">
        <v>2.1</v>
      </c>
      <c r="J50" s="55">
        <v>2.1999999999999999E-2</v>
      </c>
      <c r="K50" s="55">
        <v>8.0000000000000002E-3</v>
      </c>
      <c r="L50" s="55">
        <v>0.19</v>
      </c>
      <c r="M50" s="55">
        <v>8.0000000000000002E-3</v>
      </c>
      <c r="N50" s="55">
        <v>0.91</v>
      </c>
      <c r="O50" s="55">
        <v>1</v>
      </c>
      <c r="P50" s="797">
        <v>70</v>
      </c>
      <c r="Q50" s="797">
        <v>24</v>
      </c>
      <c r="R50" s="797">
        <v>3.6666666666666665</v>
      </c>
      <c r="S50" s="435">
        <v>0</v>
      </c>
      <c r="T50" s="54">
        <v>1.0049999999999999</v>
      </c>
      <c r="U50" s="266">
        <v>4.9926191507892996E-13</v>
      </c>
      <c r="V50" s="266">
        <v>7.6196994155457501E-13</v>
      </c>
      <c r="W50" s="266">
        <v>6.9410319174027301E-14</v>
      </c>
      <c r="X50" s="266">
        <v>7.1402612381482693E-15</v>
      </c>
      <c r="Y50" s="266">
        <v>1.53428969970343E-12</v>
      </c>
      <c r="Z50" s="54">
        <v>1</v>
      </c>
      <c r="AA50" s="54">
        <f t="shared" ref="AA50:AB53" si="7">Z50</f>
        <v>1</v>
      </c>
      <c r="AB50" s="54">
        <f t="shared" si="7"/>
        <v>1</v>
      </c>
      <c r="AC50" s="435">
        <f>AB50/(1-'Common input data'!$B$143)</f>
        <v>1.0740042637969274</v>
      </c>
      <c r="AD50" s="435">
        <f>AC50/(1-'Common input data'!$B$176)</f>
        <v>1.2939810407191896</v>
      </c>
      <c r="AE50" t="s">
        <v>1802</v>
      </c>
      <c r="AF50" s="1123" t="s">
        <v>1837</v>
      </c>
      <c r="AG50" s="549" t="s">
        <v>1795</v>
      </c>
      <c r="AH50" t="s">
        <v>1814</v>
      </c>
      <c r="AI50" s="64" t="s">
        <v>1797</v>
      </c>
      <c r="AJ50" t="s">
        <v>1805</v>
      </c>
      <c r="AK50" s="1118" t="s">
        <v>1798</v>
      </c>
      <c r="AL50" s="114" t="s">
        <v>1799</v>
      </c>
      <c r="AM50" t="s">
        <v>1800</v>
      </c>
      <c r="AO50"/>
    </row>
    <row r="51" spans="1:89" ht="20.25" customHeight="1">
      <c r="A51" s="140"/>
      <c r="B51" s="435" t="s">
        <v>126</v>
      </c>
      <c r="C51" s="435" t="s">
        <v>121</v>
      </c>
      <c r="D51" s="435">
        <v>0.45156544984393371</v>
      </c>
      <c r="E51" s="202">
        <v>4665.8580529299361</v>
      </c>
      <c r="F51" s="797">
        <v>20</v>
      </c>
      <c r="G51" s="797">
        <v>0</v>
      </c>
      <c r="H51" s="96">
        <f t="shared" si="6"/>
        <v>89.769167941421941</v>
      </c>
      <c r="I51" s="55">
        <v>2.1</v>
      </c>
      <c r="J51" s="55">
        <v>2.1999999999999999E-2</v>
      </c>
      <c r="K51" s="55">
        <v>8.0000000000000002E-3</v>
      </c>
      <c r="L51" s="55">
        <v>0.19</v>
      </c>
      <c r="M51" s="55">
        <v>8.0000000000000002E-3</v>
      </c>
      <c r="N51" s="55">
        <v>0.91</v>
      </c>
      <c r="O51" s="55">
        <v>1</v>
      </c>
      <c r="P51" s="797">
        <v>70</v>
      </c>
      <c r="Q51" s="797">
        <v>24</v>
      </c>
      <c r="R51" s="797">
        <v>50</v>
      </c>
      <c r="S51" s="435">
        <v>4.8341525268922204E-3</v>
      </c>
      <c r="T51" s="1135"/>
      <c r="U51" s="266">
        <v>1.58499831683658E-12</v>
      </c>
      <c r="V51" s="266">
        <v>1.00274734364104E-12</v>
      </c>
      <c r="W51" s="266">
        <v>8.25021177367055E-13</v>
      </c>
      <c r="X51" s="266">
        <v>1.74827713273418E-13</v>
      </c>
      <c r="Y51" s="266">
        <v>5.5312434421168498E-12</v>
      </c>
      <c r="Z51" s="54">
        <v>1</v>
      </c>
      <c r="AA51" s="54">
        <f t="shared" si="7"/>
        <v>1</v>
      </c>
      <c r="AB51" s="54">
        <f t="shared" si="7"/>
        <v>1</v>
      </c>
      <c r="AC51" s="435">
        <f>AB51/(1-'Common input data'!$B$143)</f>
        <v>1.0740042637969274</v>
      </c>
      <c r="AD51" s="435">
        <f>AC51/(1-'Common input data'!$B$176)</f>
        <v>1.2939810407191896</v>
      </c>
      <c r="AE51" t="s">
        <v>1801</v>
      </c>
      <c r="AF51" s="63" t="s">
        <v>1802</v>
      </c>
      <c r="AG51" s="52" t="s">
        <v>1803</v>
      </c>
      <c r="AH51" t="s">
        <v>1810</v>
      </c>
      <c r="AI51" s="64" t="s">
        <v>1797</v>
      </c>
      <c r="AJ51" t="s">
        <v>1805</v>
      </c>
      <c r="AK51" s="1118" t="s">
        <v>1798</v>
      </c>
      <c r="AL51" s="114"/>
      <c r="AM51" t="s">
        <v>1800</v>
      </c>
      <c r="AO51"/>
    </row>
    <row r="52" spans="1:89" ht="20.25" customHeight="1">
      <c r="A52" s="140"/>
      <c r="B52" s="435" t="s">
        <v>148</v>
      </c>
      <c r="C52" s="435" t="s">
        <v>121</v>
      </c>
      <c r="D52" s="435">
        <v>0.1400984531628944</v>
      </c>
      <c r="E52" s="202">
        <v>3480.1428574522292</v>
      </c>
      <c r="F52" s="797">
        <v>20</v>
      </c>
      <c r="G52" s="797">
        <v>0</v>
      </c>
      <c r="H52" s="96">
        <f t="shared" si="6"/>
        <v>66.956500837952206</v>
      </c>
      <c r="I52" s="55">
        <v>2.1</v>
      </c>
      <c r="J52" s="55">
        <v>2.1999999999999999E-2</v>
      </c>
      <c r="K52" s="55">
        <v>8.0000000000000002E-3</v>
      </c>
      <c r="L52" s="55">
        <v>0.19</v>
      </c>
      <c r="M52" s="55">
        <v>8.0000000000000002E-3</v>
      </c>
      <c r="N52" s="55">
        <v>0.91</v>
      </c>
      <c r="O52" s="55">
        <v>1</v>
      </c>
      <c r="P52" s="797">
        <v>70</v>
      </c>
      <c r="Q52" s="797">
        <v>24</v>
      </c>
      <c r="R52" s="797">
        <v>54</v>
      </c>
      <c r="S52" s="435">
        <v>7.6498170100851E-3</v>
      </c>
      <c r="T52" s="1135"/>
      <c r="U52" s="266">
        <v>1.55658152159693E-12</v>
      </c>
      <c r="V52" s="266">
        <v>1.0618866300510301E-12</v>
      </c>
      <c r="W52" s="266">
        <v>8.8841658719714498E-13</v>
      </c>
      <c r="X52" s="266">
        <v>1.7910327872404899E-13</v>
      </c>
      <c r="Y52" s="266">
        <v>5.2982110291723597E-12</v>
      </c>
      <c r="Z52" s="54">
        <v>1</v>
      </c>
      <c r="AA52" s="54">
        <f t="shared" si="7"/>
        <v>1</v>
      </c>
      <c r="AB52" s="54">
        <f t="shared" si="7"/>
        <v>1</v>
      </c>
      <c r="AC52" s="435">
        <f>AB52/(1-'Common input data'!$B$143)</f>
        <v>1.0740042637969274</v>
      </c>
      <c r="AD52" s="435">
        <f>AC52/(1-'Common input data'!$B$176)</f>
        <v>1.2939810407191896</v>
      </c>
      <c r="AE52" t="s">
        <v>1801</v>
      </c>
      <c r="AF52" s="63" t="s">
        <v>1802</v>
      </c>
      <c r="AG52" s="52" t="s">
        <v>1803</v>
      </c>
      <c r="AH52" t="s">
        <v>1810</v>
      </c>
      <c r="AI52" s="64" t="s">
        <v>1797</v>
      </c>
      <c r="AJ52" t="s">
        <v>1805</v>
      </c>
      <c r="AK52" s="1118" t="s">
        <v>1798</v>
      </c>
      <c r="AL52" s="114"/>
      <c r="AM52" t="s">
        <v>1800</v>
      </c>
      <c r="AO52"/>
    </row>
    <row r="53" spans="1:89" ht="21" customHeight="1">
      <c r="A53" s="140"/>
      <c r="B53" s="435" t="s">
        <v>134</v>
      </c>
      <c r="C53" s="435" t="s">
        <v>121</v>
      </c>
      <c r="D53" s="435">
        <v>0.2654789540931719</v>
      </c>
      <c r="E53" s="202">
        <v>916.73157412738863</v>
      </c>
      <c r="F53" s="797">
        <v>41.666666666666664</v>
      </c>
      <c r="G53" s="797">
        <v>2.7777777777777781</v>
      </c>
      <c r="H53" s="96">
        <f t="shared" si="6"/>
        <v>17.637534125876122</v>
      </c>
      <c r="I53" s="55">
        <v>2.1</v>
      </c>
      <c r="J53" s="55">
        <v>2.1999999999999999E-2</v>
      </c>
      <c r="K53" s="55">
        <v>8.0000000000000002E-3</v>
      </c>
      <c r="L53" s="55">
        <v>0.19</v>
      </c>
      <c r="M53" s="55">
        <v>8.0000000000000002E-3</v>
      </c>
      <c r="N53" s="55">
        <v>0.91</v>
      </c>
      <c r="O53" s="55">
        <v>1</v>
      </c>
      <c r="P53" s="797">
        <v>70</v>
      </c>
      <c r="Q53" s="797">
        <v>24</v>
      </c>
      <c r="R53" s="797">
        <v>46.277777777777779</v>
      </c>
      <c r="S53" s="435">
        <v>5.3520670133327897E-2</v>
      </c>
      <c r="T53" s="1135"/>
      <c r="U53" s="266">
        <v>1.2136139178374798E-12</v>
      </c>
      <c r="V53" s="266">
        <v>9.4220130508221496E-13</v>
      </c>
      <c r="W53" s="266">
        <v>5.9428269457940912E-13</v>
      </c>
      <c r="X53" s="266">
        <v>1.2035708441187175E-13</v>
      </c>
      <c r="Y53" s="266">
        <v>4.1212480569975466E-12</v>
      </c>
      <c r="Z53" s="54">
        <v>1</v>
      </c>
      <c r="AA53" s="54">
        <f t="shared" si="7"/>
        <v>1</v>
      </c>
      <c r="AB53" s="54">
        <f t="shared" si="7"/>
        <v>1</v>
      </c>
      <c r="AC53" s="435">
        <f>AB53/(1-'Common input data'!$I$143)</f>
        <v>1.1306257108809157</v>
      </c>
      <c r="AD53" s="435">
        <f>AC53/(1-'Common input data'!$B$176)</f>
        <v>1.362199651663754</v>
      </c>
      <c r="AE53" t="s">
        <v>1801</v>
      </c>
      <c r="AF53" s="63" t="s">
        <v>1802</v>
      </c>
      <c r="AG53" t="s">
        <v>1838</v>
      </c>
      <c r="AH53" t="s">
        <v>1810</v>
      </c>
      <c r="AI53" s="64" t="s">
        <v>1797</v>
      </c>
      <c r="AJ53" t="s">
        <v>1805</v>
      </c>
      <c r="AK53" s="1118" t="s">
        <v>1798</v>
      </c>
      <c r="AL53" s="114"/>
      <c r="AM53" t="s">
        <v>1800</v>
      </c>
      <c r="AO53"/>
    </row>
    <row r="54" spans="1:89" ht="21" customHeight="1">
      <c r="A54" s="139" t="s">
        <v>60</v>
      </c>
      <c r="B54" s="170" t="s">
        <v>120</v>
      </c>
      <c r="C54" s="170" t="s">
        <v>121</v>
      </c>
      <c r="D54" s="170">
        <v>1</v>
      </c>
      <c r="E54" s="798">
        <f>$D55*E55+$D56*E56</f>
        <v>57604.310000000005</v>
      </c>
      <c r="F54" s="798">
        <f>$D55*F55+$D56*F56</f>
        <v>85.66</v>
      </c>
      <c r="G54" s="798">
        <f>$D55*G55+$D56*G56</f>
        <v>3.8500000000000005</v>
      </c>
      <c r="H54" s="798">
        <f>$D55*H55+$D56*H56</f>
        <v>69.125172000000006</v>
      </c>
      <c r="P54" s="798">
        <f>$D55*P55+$D56*P56</f>
        <v>140.00000000000003</v>
      </c>
      <c r="Q54" s="798">
        <f>$D55*Q55+$D56*Q56</f>
        <v>0</v>
      </c>
      <c r="R54" s="798">
        <v>30.265780000000003</v>
      </c>
      <c r="S54" s="170">
        <f>$D55*S55+$D56*S56</f>
        <v>1.9601894363389694E-5</v>
      </c>
      <c r="U54" s="212">
        <v>4.9926191507893006E-13</v>
      </c>
      <c r="V54" s="212">
        <v>7.6196994155457511E-13</v>
      </c>
      <c r="W54" s="212">
        <v>6.9410319174027314E-14</v>
      </c>
      <c r="X54" s="212">
        <v>7.1402612381482693E-15</v>
      </c>
      <c r="Y54" s="212">
        <v>1.53428969970343E-12</v>
      </c>
      <c r="Z54" s="170">
        <f>$D55*Z55+$D56*Z56</f>
        <v>1</v>
      </c>
      <c r="AA54" s="170">
        <f>$D55*AA55+$D56*AA56</f>
        <v>1</v>
      </c>
      <c r="AB54" s="170">
        <f>$D55*AB55+$D56*AB56</f>
        <v>1</v>
      </c>
      <c r="AC54" s="170">
        <f>$D55*AC55+$D56*AC56</f>
        <v>1.3901342174586957</v>
      </c>
      <c r="AD54" s="170">
        <f>AC54/(1-'Common input data'!$B$178)</f>
        <v>1.7162150832823402</v>
      </c>
      <c r="AF54" s="1123"/>
      <c r="AG54"/>
      <c r="AH54"/>
      <c r="AI54" s="64" t="s">
        <v>1797</v>
      </c>
      <c r="AJ54"/>
      <c r="AK54" s="1118"/>
      <c r="AL54"/>
      <c r="AO54"/>
      <c r="AP54" s="170">
        <f>$D55*'Vegetables, roots, legumes'!Y127+$D56*'Vegetables, roots, legumes'!Y131</f>
        <v>0.17784544552538162</v>
      </c>
      <c r="AQ54" s="170">
        <f>$D55*'Vegetables, roots, legumes'!Z127+$D56*'Vegetables, roots, legumes'!Z131</f>
        <v>0.17784544552538162</v>
      </c>
      <c r="AR54" s="170">
        <f>$D55*'Vegetables, roots, legumes'!AA127+$D56*'Vegetables, roots, legumes'!AA131</f>
        <v>0.17784544552538162</v>
      </c>
      <c r="AS54" s="170">
        <f>$D55*'Vegetables, roots, legumes'!AB127+$D56*'Vegetables, roots, legumes'!AB131</f>
        <v>0.17784544552538162</v>
      </c>
      <c r="AT54" s="170">
        <f>$D55*'Vegetables, roots, legumes'!AC127+$D56*'Vegetables, roots, legumes'!AC131</f>
        <v>0.24722903924401946</v>
      </c>
      <c r="AU54" s="170">
        <f>$D55*'Vegetables, roots, legumes'!AD127+$D56*'Vegetables, roots, legumes'!AD131</f>
        <v>0.30522103610372769</v>
      </c>
      <c r="AV54" s="106"/>
      <c r="AW54" s="212">
        <f>$D55*'Vegetables, roots, legumes'!AF127+$D56*'Vegetables, roots, legumes'!AF131</f>
        <v>1.5579004415193914E-3</v>
      </c>
      <c r="AX54" s="212">
        <f>$D55*'Vegetables, roots, legumes'!AG127+$D56*'Vegetables, roots, legumes'!AG131</f>
        <v>1.5579004415193914E-3</v>
      </c>
      <c r="AY54" s="212">
        <f>$D55*'Vegetables, roots, legumes'!AH127+$D56*'Vegetables, roots, legumes'!AH131</f>
        <v>1.5579004415193914E-3</v>
      </c>
      <c r="AZ54" s="212">
        <f>$D55*'Vegetables, roots, legumes'!AI127+$D56*'Vegetables, roots, legumes'!AI131</f>
        <v>1.5579004415193914E-3</v>
      </c>
      <c r="BA54" s="212">
        <f>$D55*'Vegetables, roots, legumes'!AJ127+$D56*'Vegetables, roots, legumes'!AJ131</f>
        <v>2.1656907111501159E-3</v>
      </c>
      <c r="BB54" s="212">
        <f>$D55*'Vegetables, roots, legumes'!AK127+$D56*'Vegetables, roots, legumes'!AK131</f>
        <v>2.6736922359877967E-3</v>
      </c>
      <c r="BC54" s="106"/>
      <c r="BD54" s="212">
        <f>$D55*'Vegetables, roots, legumes'!AM127+$D56*'Vegetables, roots, legumes'!AM131</f>
        <v>5.4500000000000002E-4</v>
      </c>
      <c r="BE54" s="212">
        <f>$D55*'Vegetables, roots, legumes'!AN127+$D56*'Vegetables, roots, legumes'!AN131</f>
        <v>5.4500000000000002E-4</v>
      </c>
      <c r="BF54" s="212">
        <f>$D55*'Vegetables, roots, legumes'!AO127+$D56*'Vegetables, roots, legumes'!AO131</f>
        <v>5.4500000000000002E-4</v>
      </c>
      <c r="BG54" s="212">
        <f>$D55*'Vegetables, roots, legumes'!AP127+$D56*'Vegetables, roots, legumes'!AP131</f>
        <v>5.4500000000000002E-4</v>
      </c>
      <c r="BH54" s="212">
        <f>$D55*'Vegetables, roots, legumes'!AQ127+$D56*'Vegetables, roots, legumes'!AQ131</f>
        <v>7.5762314851498928E-4</v>
      </c>
      <c r="BI54" s="212">
        <f>$D55*'Vegetables, roots, legumes'!AR127+$D56*'Vegetables, roots, legumes'!AR131</f>
        <v>9.353372203888754E-4</v>
      </c>
      <c r="BJ54" s="266"/>
      <c r="BK54" s="212">
        <f>$D55*'Vegetables, roots, legumes'!AT127+$D56*'Vegetables, roots, legumes'!AT131</f>
        <v>1.9601894363389694E-5</v>
      </c>
      <c r="BL54" s="212">
        <f>$D55*'Vegetables, roots, legumes'!AU127+$D56*'Vegetables, roots, legumes'!AU131</f>
        <v>1.9601894363389694E-5</v>
      </c>
      <c r="BM54" s="212">
        <f>$D55*'Vegetables, roots, legumes'!AV127+$D56*'Vegetables, roots, legumes'!AV131</f>
        <v>1.9601894363389694E-5</v>
      </c>
      <c r="BN54" s="212">
        <f>$D55*'Vegetables, roots, legumes'!AW127+$D56*'Vegetables, roots, legumes'!AW131</f>
        <v>1.9601894363389694E-5</v>
      </c>
      <c r="BO54" s="212">
        <f>$D55*'Vegetables, roots, legumes'!AX127+$D56*'Vegetables, roots, legumes'!AX131</f>
        <v>2.7249264081558751E-5</v>
      </c>
      <c r="BP54" s="212">
        <f>$D55*'Vegetables, roots, legumes'!AY127+$D56*'Vegetables, roots, legumes'!AY131</f>
        <v>3.3641066767356481E-5</v>
      </c>
      <c r="BQ54" s="266"/>
      <c r="BR54" s="212">
        <f>$D55*'Vegetables, roots, legumes'!BA127+$D56*'Vegetables, roots, legumes'!BA131</f>
        <v>1.2580600200516743E-12</v>
      </c>
      <c r="BS54" s="212">
        <f>$D55*'Vegetables, roots, legumes'!BB127+$D56*'Vegetables, roots, legumes'!BB131</f>
        <v>1.2580600200516743E-12</v>
      </c>
      <c r="BT54" s="212">
        <f>$D55*'Vegetables, roots, legumes'!BC127+$D56*'Vegetables, roots, legumes'!BC131</f>
        <v>1.2580600200516743E-12</v>
      </c>
      <c r="BU54" s="212">
        <f>$D55*'Vegetables, roots, legumes'!BD127+$D56*'Vegetables, roots, legumes'!BD131</f>
        <v>1.2580600200516743E-12</v>
      </c>
      <c r="BV54" s="212">
        <f>$D55*'Vegetables, roots, legumes'!BE127+$D56*'Vegetables, roots, legumes'!BE131</f>
        <v>1.7488722814906053E-12</v>
      </c>
      <c r="BW54" s="212">
        <f>$D55*'Vegetables, roots, legumes'!BF127+$D56*'Vegetables, roots, legumes'!BF131</f>
        <v>2.1591015820871668E-12</v>
      </c>
      <c r="BY54" s="189">
        <f>T54/E54</f>
        <v>0</v>
      </c>
      <c r="BZ54" s="189">
        <f>$BY54*Z54</f>
        <v>0</v>
      </c>
      <c r="CA54" s="189">
        <f>$BY54*AA54</f>
        <v>0</v>
      </c>
      <c r="CB54" s="189">
        <f>$BY54*AB54</f>
        <v>0</v>
      </c>
      <c r="CC54" s="189">
        <f>$BY54*AC54</f>
        <v>0</v>
      </c>
      <c r="CD54" s="189">
        <f>$BY54*AD54</f>
        <v>0</v>
      </c>
      <c r="CF54" s="189">
        <f>(F54/E54*'Common input data'!$B$195+G54/E54*'Common input data'!$B$196)/'Common input data'!$B$198</f>
        <v>5.0923279435385882E-5</v>
      </c>
      <c r="CG54" s="189">
        <f>$CF54*Z54</f>
        <v>5.0923279435385882E-5</v>
      </c>
      <c r="CH54" s="189">
        <f>$CF54*AA54</f>
        <v>5.0923279435385882E-5</v>
      </c>
      <c r="CI54" s="189">
        <f>$CF54*AB54</f>
        <v>5.0923279435385882E-5</v>
      </c>
      <c r="CJ54" s="189">
        <f>$CF54*AC54</f>
        <v>7.0790193208340648E-5</v>
      </c>
      <c r="CK54" s="189">
        <f>$CF54*AD54</f>
        <v>8.7395300257210668E-5</v>
      </c>
    </row>
    <row r="55" spans="1:89" ht="21" customHeight="1">
      <c r="A55" s="18"/>
      <c r="B55" s="435" t="s">
        <v>122</v>
      </c>
      <c r="C55" s="435" t="s">
        <v>121</v>
      </c>
      <c r="D55" s="435">
        <v>0.93</v>
      </c>
      <c r="E55" s="797">
        <v>59492</v>
      </c>
      <c r="F55" s="797">
        <v>83</v>
      </c>
      <c r="G55" s="797">
        <v>0</v>
      </c>
      <c r="H55" s="16">
        <v>71.3904</v>
      </c>
      <c r="P55" s="797">
        <v>140</v>
      </c>
      <c r="Q55" s="797">
        <v>0</v>
      </c>
      <c r="R55" s="797">
        <v>29.746000000000002</v>
      </c>
      <c r="S55" s="435">
        <v>1.9601894363389694E-5</v>
      </c>
      <c r="T55" s="54">
        <v>2.5049999999999999</v>
      </c>
      <c r="U55" s="266">
        <v>4.9926191507892996E-13</v>
      </c>
      <c r="V55" s="266">
        <v>7.6196994155457501E-13</v>
      </c>
      <c r="W55" s="266">
        <v>6.9410319174027301E-14</v>
      </c>
      <c r="X55" s="266">
        <v>7.1402612381482693E-15</v>
      </c>
      <c r="Y55" s="266">
        <v>1.53428969970343E-12</v>
      </c>
      <c r="Z55" s="54">
        <v>1</v>
      </c>
      <c r="AA55" s="54">
        <f>Z55</f>
        <v>1</v>
      </c>
      <c r="AB55" s="54">
        <f>AA55</f>
        <v>1</v>
      </c>
      <c r="AC55" s="435">
        <f>AB55/(1-'Common input data'!$B$142)</f>
        <v>1.3901342174586957</v>
      </c>
      <c r="AD55" s="435">
        <f>AC55/(1-'Common input data'!$B$178)</f>
        <v>1.7162150832823402</v>
      </c>
      <c r="AE55" s="114" t="s">
        <v>1839</v>
      </c>
      <c r="AF55" s="1123" t="s">
        <v>1826</v>
      </c>
      <c r="AG55" t="s">
        <v>1834</v>
      </c>
      <c r="AH55" t="s">
        <v>1840</v>
      </c>
      <c r="AI55" s="64" t="s">
        <v>1797</v>
      </c>
      <c r="AJ55"/>
      <c r="AK55" s="1118" t="s">
        <v>1798</v>
      </c>
      <c r="AL55" s="114" t="s">
        <v>1799</v>
      </c>
      <c r="AM55" t="s">
        <v>1800</v>
      </c>
      <c r="AO55"/>
    </row>
    <row r="56" spans="1:89" ht="45">
      <c r="A56" s="140"/>
      <c r="B56" s="435" t="s">
        <v>125</v>
      </c>
      <c r="C56" s="435" t="s">
        <v>121</v>
      </c>
      <c r="D56" s="435">
        <v>7.0000000000000007E-2</v>
      </c>
      <c r="E56" s="797">
        <v>32525</v>
      </c>
      <c r="F56" s="797">
        <v>121</v>
      </c>
      <c r="G56" s="797">
        <v>55</v>
      </c>
      <c r="H56" s="16">
        <v>39.029999999999994</v>
      </c>
      <c r="P56" s="797">
        <v>140</v>
      </c>
      <c r="Q56" s="797">
        <v>0</v>
      </c>
      <c r="R56" s="797">
        <v>37.171428571428571</v>
      </c>
      <c r="S56" s="435">
        <v>1.9601894363389694E-5</v>
      </c>
      <c r="T56" s="54">
        <v>50.620000000000005</v>
      </c>
      <c r="U56" s="266">
        <v>4.9926191507892996E-13</v>
      </c>
      <c r="V56" s="266">
        <v>7.6196994155457501E-13</v>
      </c>
      <c r="W56" s="266">
        <v>6.9410319174027301E-14</v>
      </c>
      <c r="X56" s="266">
        <v>7.1402612381482693E-15</v>
      </c>
      <c r="Y56" s="266">
        <v>1.53428969970343E-12</v>
      </c>
      <c r="Z56" s="54">
        <v>1</v>
      </c>
      <c r="AA56" s="54">
        <f>Z56</f>
        <v>1</v>
      </c>
      <c r="AB56" s="54">
        <f>AA56</f>
        <v>1</v>
      </c>
      <c r="AC56" s="435">
        <f>AB56/(1-'Common input data'!$B$142)</f>
        <v>1.3901342174586957</v>
      </c>
      <c r="AD56" s="435">
        <f>AC56/(1-'Common input data'!$B$178)</f>
        <v>1.7162150832823402</v>
      </c>
      <c r="AE56" t="s">
        <v>1829</v>
      </c>
      <c r="AF56" s="63" t="s">
        <v>1830</v>
      </c>
      <c r="AG56" t="s">
        <v>1841</v>
      </c>
      <c r="AH56" t="s">
        <v>1840</v>
      </c>
      <c r="AI56" s="64" t="s">
        <v>1797</v>
      </c>
      <c r="AJ56"/>
      <c r="AK56" s="1118" t="s">
        <v>1798</v>
      </c>
      <c r="AL56" s="114" t="s">
        <v>1807</v>
      </c>
      <c r="AM56" t="s">
        <v>1800</v>
      </c>
      <c r="AO56"/>
    </row>
    <row r="57" spans="1:89">
      <c r="A57" s="139" t="s">
        <v>66</v>
      </c>
      <c r="B57" s="170" t="s">
        <v>120</v>
      </c>
      <c r="C57" s="170" t="s">
        <v>121</v>
      </c>
      <c r="D57" s="170">
        <v>1</v>
      </c>
      <c r="E57" s="798">
        <f>$D58*E58+$D59*E59+$D60*E60</f>
        <v>44049.959713359713</v>
      </c>
      <c r="F57" s="798">
        <f>$D58*F58+$D59*F59+$D60*F60</f>
        <v>138.6954210242458</v>
      </c>
      <c r="G57" s="798">
        <f>$D58*G58+$D59*G59+$D60*G60</f>
        <v>0</v>
      </c>
      <c r="H57" s="798">
        <f>$D58*H58+$D59*H59+$D60*H60</f>
        <v>83.69492345538346</v>
      </c>
      <c r="P57" s="798">
        <f>$D58*P58+$D59*P59+$D60*P60</f>
        <v>140</v>
      </c>
      <c r="Q57" s="798">
        <f>$D58*Q58+$D59*Q59+$D60*Q60</f>
        <v>0</v>
      </c>
      <c r="R57" s="798">
        <v>60.188447684923474</v>
      </c>
      <c r="S57" s="170">
        <f>$D58*S58+$D59*S59+$D60*S60</f>
        <v>2.3200507906954895E-2</v>
      </c>
      <c r="U57" s="212">
        <v>7.562239821417877E-13</v>
      </c>
      <c r="V57" s="212">
        <v>8.3485917178127683E-13</v>
      </c>
      <c r="W57" s="212">
        <v>2.6845471622415839E-13</v>
      </c>
      <c r="X57" s="212">
        <v>4.8932707116518654E-14</v>
      </c>
      <c r="Y57" s="212">
        <v>2.4490414919902311E-12</v>
      </c>
      <c r="Z57" s="170">
        <f>$D58*Z58+$D59*Z59+$D60*Z60</f>
        <v>1</v>
      </c>
      <c r="AA57" s="170">
        <f>$D58*AA58+$D59*AA59+$D60*AA60</f>
        <v>1</v>
      </c>
      <c r="AB57" s="170">
        <f>$D58*AB58+$D59*AB59+$D60*AB60</f>
        <v>1</v>
      </c>
      <c r="AC57" s="170">
        <f>$D58*AC58+$D59*AC59+$D60*AC60</f>
        <v>1.1934598400763816</v>
      </c>
      <c r="AD57" s="170">
        <f>AC57/(1-'Common input data'!$B$178)</f>
        <v>1.4734072099708415</v>
      </c>
      <c r="AF57" s="1123"/>
      <c r="AG57"/>
      <c r="AH57"/>
      <c r="AI57" s="64"/>
      <c r="AJ57"/>
      <c r="AK57" s="1118"/>
      <c r="AL57"/>
      <c r="AO57"/>
      <c r="AP57" s="170">
        <f>$D58*'Vegetables, roots, legumes'!Y140+$D59*'Vegetables, roots, legumes'!Y144+$D60*'Vegetables, roots, legumes'!Y148</f>
        <v>0.2356497779080953</v>
      </c>
      <c r="AQ57" s="170">
        <f>$D58*'Vegetables, roots, legumes'!Z140+$D59*'Vegetables, roots, legumes'!Z144+$D60*'Vegetables, roots, legumes'!Z148</f>
        <v>0.2356497779080953</v>
      </c>
      <c r="AR57" s="170">
        <f>$D58*'Vegetables, roots, legumes'!AA140+$D59*'Vegetables, roots, legumes'!AA144+$D60*'Vegetables, roots, legumes'!AA148</f>
        <v>0.2356497779080953</v>
      </c>
      <c r="AS57" s="170">
        <f>$D58*'Vegetables, roots, legumes'!AB140+$D59*'Vegetables, roots, legumes'!AB144+$D60*'Vegetables, roots, legumes'!AB148</f>
        <v>0.2356497779080953</v>
      </c>
      <c r="AT57" s="170">
        <f>$D58*'Vegetables, roots, legumes'!AC140+$D59*'Vegetables, roots, legumes'!AC144+$D60*'Vegetables, roots, legumes'!AC148</f>
        <v>0.28123854625623024</v>
      </c>
      <c r="AU57" s="170">
        <f>$D58*'Vegetables, roots, legumes'!AD140+$D59*'Vegetables, roots, legumes'!AD144+$D60*'Vegetables, roots, legumes'!AD148</f>
        <v>0.34720808179781504</v>
      </c>
      <c r="AV57" s="106"/>
      <c r="AW57" s="212">
        <f>$D58*'Vegetables, roots, legumes'!AF140+$D59*'Vegetables, roots, legumes'!AF144+$D60*'Vegetables, roots, legumes'!AF148</f>
        <v>3.1607061822564063E-3</v>
      </c>
      <c r="AX57" s="212">
        <f>$D58*'Vegetables, roots, legumes'!AG140+$D59*'Vegetables, roots, legumes'!AG144+$D60*'Vegetables, roots, legumes'!AG148</f>
        <v>3.1607061822564063E-3</v>
      </c>
      <c r="AY57" s="212">
        <f>$D58*'Vegetables, roots, legumes'!AH140+$D59*'Vegetables, roots, legumes'!AH144+$D60*'Vegetables, roots, legumes'!AH148</f>
        <v>3.1607061822564063E-3</v>
      </c>
      <c r="AZ57" s="212">
        <f>$D58*'Vegetables, roots, legumes'!AI140+$D59*'Vegetables, roots, legumes'!AI144+$D60*'Vegetables, roots, legumes'!AI148</f>
        <v>3.1607061822564063E-3</v>
      </c>
      <c r="BA57" s="212">
        <f>$D58*'Vegetables, roots, legumes'!AJ140+$D59*'Vegetables, roots, legumes'!AJ144+$D60*'Vegetables, roots, legumes'!AJ148</f>
        <v>3.7721758948041609E-3</v>
      </c>
      <c r="BB57" s="212">
        <f>$D58*'Vegetables, roots, legumes'!AK140+$D59*'Vegetables, roots, legumes'!AK144+$D60*'Vegetables, roots, legumes'!AK148</f>
        <v>4.6570072775360006E-3</v>
      </c>
      <c r="BC57" s="106"/>
      <c r="BD57" s="212">
        <f>$D58*'Vegetables, roots, legumes'!AM140+$D59*'Vegetables, roots, legumes'!AM144+$D60*'Vegetables, roots, legumes'!AM148</f>
        <v>1.5359044762534805E-3</v>
      </c>
      <c r="BE57" s="212">
        <f>$D58*'Vegetables, roots, legumes'!AN140+$D59*'Vegetables, roots, legumes'!AN144+$D60*'Vegetables, roots, legumes'!AN148</f>
        <v>1.5359044762534805E-3</v>
      </c>
      <c r="BF57" s="212">
        <f>$D58*'Vegetables, roots, legumes'!AO140+$D59*'Vegetables, roots, legumes'!AO144+$D60*'Vegetables, roots, legumes'!AO148</f>
        <v>1.5359044762534805E-3</v>
      </c>
      <c r="BG57" s="212">
        <f>$D58*'Vegetables, roots, legumes'!AP140+$D59*'Vegetables, roots, legumes'!AP144+$D60*'Vegetables, roots, legumes'!AP148</f>
        <v>1.5359044762534805E-3</v>
      </c>
      <c r="BH57" s="212">
        <f>$D58*'Vegetables, roots, legumes'!AQ140+$D59*'Vegetables, roots, legumes'!AQ144+$D60*'Vegetables, roots, legumes'!AQ148</f>
        <v>1.8330403106020772E-3</v>
      </c>
      <c r="BI57" s="212">
        <f>$D58*'Vegetables, roots, legumes'!AR140+$D59*'Vegetables, roots, legumes'!AR144+$D60*'Vegetables, roots, legumes'!AR148</f>
        <v>2.2630127291383669E-3</v>
      </c>
      <c r="BJ57" s="266"/>
      <c r="BK57" s="212">
        <f>$D58*'Vegetables, roots, legumes'!AT140+$D59*'Vegetables, roots, legumes'!AT144+$D60*'Vegetables, roots, legumes'!AT148</f>
        <v>2.3200507906954895E-2</v>
      </c>
      <c r="BL57" s="212">
        <f>$D58*'Vegetables, roots, legumes'!AU140+$D59*'Vegetables, roots, legumes'!AU144+$D60*'Vegetables, roots, legumes'!AU148</f>
        <v>2.3200507906954895E-2</v>
      </c>
      <c r="BM57" s="212">
        <f>$D58*'Vegetables, roots, legumes'!AV140+$D59*'Vegetables, roots, legumes'!AV144+$D60*'Vegetables, roots, legumes'!AV148</f>
        <v>2.3200507906954895E-2</v>
      </c>
      <c r="BN57" s="212">
        <f>$D58*'Vegetables, roots, legumes'!AW140+$D59*'Vegetables, roots, legumes'!AW144+$D60*'Vegetables, roots, legumes'!AW148</f>
        <v>2.3200507906954895E-2</v>
      </c>
      <c r="BO57" s="212">
        <f>$D58*'Vegetables, roots, legumes'!AX140+$D59*'Vegetables, roots, legumes'!AX144+$D60*'Vegetables, roots, legumes'!AX148</f>
        <v>2.7688874456325212E-2</v>
      </c>
      <c r="BP57" s="212">
        <f>$D58*'Vegetables, roots, legumes'!AY140+$D59*'Vegetables, roots, legumes'!AY144+$D60*'Vegetables, roots, legumes'!AY148</f>
        <v>3.4183795625092848E-2</v>
      </c>
      <c r="BQ57" s="266"/>
      <c r="BR57" s="212">
        <f>$D58*'Vegetables, roots, legumes'!BA140+$D59*'Vegetables, roots, legumes'!BA144+$D60*'Vegetables, roots, legumes'!BA148</f>
        <v>2.6211738441480183E-12</v>
      </c>
      <c r="BS57" s="212">
        <f>$D58*'Vegetables, roots, legumes'!BB140+$D59*'Vegetables, roots, legumes'!BB144+$D60*'Vegetables, roots, legumes'!BB148</f>
        <v>2.6211738441480183E-12</v>
      </c>
      <c r="BT57" s="212">
        <f>$D58*'Vegetables, roots, legumes'!BC140+$D59*'Vegetables, roots, legumes'!BC144+$D60*'Vegetables, roots, legumes'!BC148</f>
        <v>2.6211738441480183E-12</v>
      </c>
      <c r="BU57" s="212">
        <f>$D58*'Vegetables, roots, legumes'!BD140+$D59*'Vegetables, roots, legumes'!BD144+$D60*'Vegetables, roots, legumes'!BD148</f>
        <v>2.6211738441480183E-12</v>
      </c>
      <c r="BV57" s="212">
        <f>$D58*'Vegetables, roots, legumes'!BE140+$D59*'Vegetables, roots, legumes'!BE144+$D60*'Vegetables, roots, legumes'!BE148</f>
        <v>3.1282657168492877E-12</v>
      </c>
      <c r="BW57" s="212">
        <f>$D58*'Vegetables, roots, legumes'!BF140+$D59*'Vegetables, roots, legumes'!BF144+$D60*'Vegetables, roots, legumes'!BF148</f>
        <v>3.8620564405546756E-12</v>
      </c>
      <c r="BY57" s="189">
        <f>T57/E57</f>
        <v>0</v>
      </c>
      <c r="BZ57" s="189">
        <f>$BY57*Z57</f>
        <v>0</v>
      </c>
      <c r="CA57" s="189">
        <f>$BY57*AA57</f>
        <v>0</v>
      </c>
      <c r="CB57" s="189">
        <f>$BY57*AB57</f>
        <v>0</v>
      </c>
      <c r="CC57" s="189">
        <f>$BY57*AC57</f>
        <v>0</v>
      </c>
      <c r="CD57" s="189">
        <f>$BY57*AD57</f>
        <v>0</v>
      </c>
      <c r="CF57" s="189">
        <f>(F57/E57*'Common input data'!$B$195+G57/E57*'Common input data'!$B$196)/'Common input data'!$B$198</f>
        <v>8.0395348606600555E-5</v>
      </c>
      <c r="CG57" s="189">
        <f>$CF57*Z57</f>
        <v>8.0395348606600555E-5</v>
      </c>
      <c r="CH57" s="189">
        <f>$CF57*AA57</f>
        <v>8.0395348606600555E-5</v>
      </c>
      <c r="CI57" s="189">
        <f>$CF57*AB57</f>
        <v>8.0395348606600555E-5</v>
      </c>
      <c r="CJ57" s="189">
        <f>$CF57*AC57</f>
        <v>9.5948619890918446E-5</v>
      </c>
      <c r="CK57" s="189">
        <f>$CF57*AD57</f>
        <v>1.1845508628508451E-4</v>
      </c>
    </row>
    <row r="58" spans="1:89" ht="45">
      <c r="A58" s="18"/>
      <c r="B58" s="435" t="s">
        <v>122</v>
      </c>
      <c r="C58" s="435" t="s">
        <v>121</v>
      </c>
      <c r="D58" s="435">
        <v>0.67915690870000001</v>
      </c>
      <c r="E58" s="797">
        <v>47120.5</v>
      </c>
      <c r="F58" s="797">
        <v>144.13329411764684</v>
      </c>
      <c r="G58" s="797">
        <v>0</v>
      </c>
      <c r="H58" s="16">
        <f>19*(E58/10000)</f>
        <v>89.528949999999995</v>
      </c>
      <c r="P58" s="797">
        <v>140</v>
      </c>
      <c r="Q58" s="797">
        <v>0</v>
      </c>
      <c r="R58" s="797">
        <v>44.348705882352924</v>
      </c>
      <c r="S58" s="435">
        <v>2.9201394321614567E-2</v>
      </c>
      <c r="T58" s="54">
        <v>6.0050000000000008</v>
      </c>
      <c r="U58" s="266">
        <v>4.9926191507892996E-13</v>
      </c>
      <c r="V58" s="266">
        <v>7.6196994155457501E-13</v>
      </c>
      <c r="W58" s="266">
        <v>6.9410319174027301E-14</v>
      </c>
      <c r="X58" s="266">
        <v>7.1402612381482693E-15</v>
      </c>
      <c r="Y58" s="266">
        <v>1.53428969970343E-12</v>
      </c>
      <c r="Z58" s="54">
        <v>1</v>
      </c>
      <c r="AA58" s="54">
        <f t="shared" ref="AA58:AB60" si="8">Z58</f>
        <v>1</v>
      </c>
      <c r="AB58" s="54">
        <f t="shared" si="8"/>
        <v>1</v>
      </c>
      <c r="AC58" s="435">
        <f>AB58/(1-'Common input data'!$B$140)</f>
        <v>1.1934598400763814</v>
      </c>
      <c r="AD58" s="435">
        <f>AC58/(1-'Common input data'!$B$178)</f>
        <v>1.4734072099708411</v>
      </c>
      <c r="AE58" t="s">
        <v>1802</v>
      </c>
      <c r="AF58" s="1123" t="s">
        <v>1794</v>
      </c>
      <c r="AG58" t="s">
        <v>1834</v>
      </c>
      <c r="AH58" t="s">
        <v>1840</v>
      </c>
      <c r="AI58" s="64" t="s">
        <v>1797</v>
      </c>
      <c r="AJ58"/>
      <c r="AK58" s="1118" t="s">
        <v>1798</v>
      </c>
      <c r="AL58" s="114" t="s">
        <v>1799</v>
      </c>
      <c r="AM58" t="s">
        <v>1800</v>
      </c>
      <c r="AO58"/>
    </row>
    <row r="59" spans="1:89" ht="45">
      <c r="A59" s="140"/>
      <c r="B59" s="435" t="s">
        <v>148</v>
      </c>
      <c r="C59" s="435" t="s">
        <v>121</v>
      </c>
      <c r="D59" s="435">
        <v>0.16522009239351659</v>
      </c>
      <c r="E59" s="797">
        <v>46867</v>
      </c>
      <c r="F59" s="797">
        <v>160.14018883182197</v>
      </c>
      <c r="G59" s="797">
        <v>0</v>
      </c>
      <c r="H59" s="16">
        <f>19*(E59/10000)</f>
        <v>89.047300000000007</v>
      </c>
      <c r="P59" s="797">
        <v>140</v>
      </c>
      <c r="Q59" s="797">
        <v>0</v>
      </c>
      <c r="R59" s="797">
        <v>77.782377432599404</v>
      </c>
      <c r="S59" s="435">
        <v>4.5095986210643034E-3</v>
      </c>
      <c r="T59" s="54">
        <v>37.654585838991267</v>
      </c>
      <c r="U59" s="266">
        <v>1.55658152159693E-12</v>
      </c>
      <c r="V59" s="266">
        <v>1.0618866300510301E-12</v>
      </c>
      <c r="W59" s="266">
        <v>8.8841658719714498E-13</v>
      </c>
      <c r="X59" s="266">
        <v>1.7910327872404899E-13</v>
      </c>
      <c r="Y59" s="266">
        <v>5.2982110291723597E-12</v>
      </c>
      <c r="Z59" s="54">
        <v>1</v>
      </c>
      <c r="AA59" s="54">
        <f t="shared" si="8"/>
        <v>1</v>
      </c>
      <c r="AB59" s="54">
        <f t="shared" si="8"/>
        <v>1</v>
      </c>
      <c r="AC59" s="435">
        <f>AB59/(1-'Common input data'!$B$140)</f>
        <v>1.1934598400763814</v>
      </c>
      <c r="AD59" s="435">
        <f>AC59/(1-'Common input data'!$B$178)</f>
        <v>1.4734072099708411</v>
      </c>
      <c r="AE59" t="s">
        <v>1801</v>
      </c>
      <c r="AF59" s="63" t="s">
        <v>1802</v>
      </c>
      <c r="AG59" t="s">
        <v>1603</v>
      </c>
      <c r="AH59" t="s">
        <v>1840</v>
      </c>
      <c r="AI59" s="64" t="s">
        <v>1797</v>
      </c>
      <c r="AJ59"/>
      <c r="AK59" s="1118" t="s">
        <v>1798</v>
      </c>
      <c r="AL59" t="s">
        <v>1603</v>
      </c>
      <c r="AM59" t="s">
        <v>1800</v>
      </c>
      <c r="AO59"/>
    </row>
    <row r="60" spans="1:89" ht="45">
      <c r="A60" s="140"/>
      <c r="B60" s="435" t="s">
        <v>125</v>
      </c>
      <c r="C60" s="435" t="s">
        <v>121</v>
      </c>
      <c r="D60" s="435">
        <v>0.15562299890648346</v>
      </c>
      <c r="E60" s="797">
        <v>27659</v>
      </c>
      <c r="F60" s="797">
        <v>92.196666666666573</v>
      </c>
      <c r="G60" s="797">
        <v>0</v>
      </c>
      <c r="H60" s="16">
        <f>19*(E60/10000)</f>
        <v>52.552099999999996</v>
      </c>
      <c r="P60" s="797">
        <v>140</v>
      </c>
      <c r="Q60" s="797">
        <v>0</v>
      </c>
      <c r="R60" s="797">
        <v>110.636</v>
      </c>
      <c r="S60" s="435">
        <v>1.6855496471339434E-2</v>
      </c>
      <c r="T60" s="54">
        <v>50.620000000000005</v>
      </c>
      <c r="U60" s="266">
        <v>1.0279217183379299E-12</v>
      </c>
      <c r="V60" s="266">
        <v>9.1192828580280265E-13</v>
      </c>
      <c r="W60" s="266">
        <v>4.7891345318558613E-13</v>
      </c>
      <c r="X60" s="266">
        <v>9.3121769981098636E-14</v>
      </c>
      <c r="Y60" s="266">
        <v>3.4162503644378947E-12</v>
      </c>
      <c r="Z60" s="54">
        <v>1</v>
      </c>
      <c r="AA60" s="54">
        <f t="shared" si="8"/>
        <v>1</v>
      </c>
      <c r="AB60" s="54">
        <f t="shared" si="8"/>
        <v>1</v>
      </c>
      <c r="AC60" s="435">
        <f>AB60/(1-'Common input data'!$B$140)</f>
        <v>1.1934598400763814</v>
      </c>
      <c r="AD60" s="435">
        <f>AC60/(1-'Common input data'!$B$178)</f>
        <v>1.4734072099708411</v>
      </c>
      <c r="AE60" t="s">
        <v>1801</v>
      </c>
      <c r="AF60" s="63" t="s">
        <v>1802</v>
      </c>
      <c r="AG60" t="s">
        <v>1842</v>
      </c>
      <c r="AH60" t="s">
        <v>1840</v>
      </c>
      <c r="AI60" s="64" t="s">
        <v>1797</v>
      </c>
      <c r="AJ60"/>
      <c r="AK60" s="1118" t="s">
        <v>1798</v>
      </c>
      <c r="AL60" s="114" t="s">
        <v>1807</v>
      </c>
      <c r="AM60" t="s">
        <v>1800</v>
      </c>
      <c r="AO60"/>
    </row>
    <row r="61" spans="1:89">
      <c r="A61" s="139" t="s">
        <v>72</v>
      </c>
      <c r="B61" s="170" t="s">
        <v>120</v>
      </c>
      <c r="C61" s="170" t="s">
        <v>121</v>
      </c>
      <c r="D61" s="170">
        <v>1</v>
      </c>
      <c r="E61" s="798">
        <f>$D62*E62+$D63*E63+$D64*E64</f>
        <v>32584.71</v>
      </c>
      <c r="F61" s="798">
        <f>$D62*F62+$D63*F63+$D64*F64</f>
        <v>187.19</v>
      </c>
      <c r="G61" s="798">
        <f>$D62*G62+$D63*G63+$D64*G64</f>
        <v>0</v>
      </c>
      <c r="H61" s="798">
        <f>$D62*H62+$D63*H63+$D64*H64</f>
        <v>39.101651999999994</v>
      </c>
      <c r="P61" s="798">
        <f>$D62*P62+$D63*P63+$D64*P64</f>
        <v>140</v>
      </c>
      <c r="Q61" s="798">
        <f>$D62*Q62+$D63*Q63+$D64*Q64</f>
        <v>0</v>
      </c>
      <c r="R61" s="798">
        <v>17.783347499999998</v>
      </c>
      <c r="S61" s="170">
        <f>$D62*S62+$D63*S63+$D64*S64</f>
        <v>1.4509775879787159E-2</v>
      </c>
      <c r="U61" s="212">
        <v>1.12836708095714E-12</v>
      </c>
      <c r="V61" s="212">
        <v>9.4042037120996583E-13</v>
      </c>
      <c r="W61" s="212">
        <v>5.5671904864778228E-13</v>
      </c>
      <c r="X61" s="212">
        <v>1.0945825664225922E-13</v>
      </c>
      <c r="Y61" s="212">
        <v>3.7738228907374434E-12</v>
      </c>
      <c r="Z61" s="170">
        <f>$D62*Z62+$D63*Z63+$D64*Z64</f>
        <v>1</v>
      </c>
      <c r="AA61" s="170">
        <f>$D62*AA62+$D63*AA63+$D64*AA64</f>
        <v>1</v>
      </c>
      <c r="AB61" s="170">
        <f>$D62*AB62+$D63*AB63+$D64*AB64</f>
        <v>1</v>
      </c>
      <c r="AC61" s="170">
        <f>$D62*AC62+$D63*AC63+$D64*AC64</f>
        <v>1.1934598400763814</v>
      </c>
      <c r="AD61" s="170">
        <f>AC61/(1-'Common input data'!$B$178)</f>
        <v>1.4734072099708411</v>
      </c>
      <c r="AF61" s="1123"/>
      <c r="AG61"/>
      <c r="AH61"/>
      <c r="AI61" s="64"/>
      <c r="AJ61"/>
      <c r="AK61" s="1118"/>
      <c r="AL61"/>
      <c r="AO61"/>
      <c r="AP61" s="170">
        <f>$D62*'Vegetables, roots, legumes'!Y157+$D63*'Vegetables, roots, legumes'!Y161+$D64*'Vegetables, roots, legumes'!Y165</f>
        <v>0.30979602132255485</v>
      </c>
      <c r="AQ61" s="170">
        <f>$D62*'Vegetables, roots, legumes'!Z157+$D63*'Vegetables, roots, legumes'!Z161+$D64*'Vegetables, roots, legumes'!Z165</f>
        <v>0.30979602132255485</v>
      </c>
      <c r="AR61" s="170">
        <f>$D62*'Vegetables, roots, legumes'!AA157+$D63*'Vegetables, roots, legumes'!AA161+$D64*'Vegetables, roots, legumes'!AA165</f>
        <v>0.30979602132255485</v>
      </c>
      <c r="AS61" s="170">
        <f>$D62*'Vegetables, roots, legumes'!AB157+$D63*'Vegetables, roots, legumes'!AB161+$D64*'Vegetables, roots, legumes'!AB165</f>
        <v>0.30979602132255485</v>
      </c>
      <c r="AT61" s="170">
        <f>$D62*'Vegetables, roots, legumes'!AC157+$D63*'Vegetables, roots, legumes'!AC161+$D64*'Vegetables, roots, legumes'!AC165</f>
        <v>0.36972911006391557</v>
      </c>
      <c r="AU61" s="170">
        <f>$D62*'Vegetables, roots, legumes'!AD157+$D63*'Vegetables, roots, legumes'!AD161+$D64*'Vegetables, roots, legumes'!AD165</f>
        <v>0.45645569143693276</v>
      </c>
      <c r="AV61" s="106"/>
      <c r="AW61" s="212">
        <f>$D62*'Vegetables, roots, legumes'!AF157+$D63*'Vegetables, roots, legumes'!AF161+$D64*'Vegetables, roots, legumes'!AF165</f>
        <v>5.8605057499415397E-3</v>
      </c>
      <c r="AX61" s="212">
        <f>$D62*'Vegetables, roots, legumes'!AG157+$D63*'Vegetables, roots, legumes'!AG161+$D64*'Vegetables, roots, legumes'!AG165</f>
        <v>5.8605057499415397E-3</v>
      </c>
      <c r="AY61" s="212">
        <f>$D62*'Vegetables, roots, legumes'!AH157+$D63*'Vegetables, roots, legumes'!AH161+$D64*'Vegetables, roots, legumes'!AH165</f>
        <v>5.8605057499415397E-3</v>
      </c>
      <c r="AZ61" s="212">
        <f>$D62*'Vegetables, roots, legumes'!AI157+$D63*'Vegetables, roots, legumes'!AI161+$D64*'Vegetables, roots, legumes'!AI165</f>
        <v>5.8605057499415397E-3</v>
      </c>
      <c r="BA61" s="212">
        <f>$D62*'Vegetables, roots, legumes'!AJ157+$D63*'Vegetables, roots, legumes'!AJ161+$D64*'Vegetables, roots, legumes'!AJ165</f>
        <v>6.9942782550919437E-3</v>
      </c>
      <c r="BB61" s="212">
        <f>$D62*'Vegetables, roots, legumes'!AK157+$D63*'Vegetables, roots, legumes'!AK161+$D64*'Vegetables, roots, legumes'!AK165</f>
        <v>8.634911426039435E-3</v>
      </c>
      <c r="BC61" s="106"/>
      <c r="BD61" s="212">
        <f>$D62*'Vegetables, roots, legumes'!AM157+$D63*'Vegetables, roots, legumes'!AM161+$D64*'Vegetables, roots, legumes'!AM165</f>
        <v>6.0842622979135003E-4</v>
      </c>
      <c r="BE61" s="212">
        <f>$D62*'Vegetables, roots, legumes'!AN157+$D63*'Vegetables, roots, legumes'!AN161+$D64*'Vegetables, roots, legumes'!AN165</f>
        <v>6.0842622979135003E-4</v>
      </c>
      <c r="BF61" s="212">
        <f>$D62*'Vegetables, roots, legumes'!AO157+$D63*'Vegetables, roots, legumes'!AO161+$D64*'Vegetables, roots, legumes'!AO165</f>
        <v>6.0842622979135003E-4</v>
      </c>
      <c r="BG61" s="212">
        <f>$D62*'Vegetables, roots, legumes'!AP157+$D63*'Vegetables, roots, legumes'!AP161+$D64*'Vegetables, roots, legumes'!AP165</f>
        <v>6.0842622979135003E-4</v>
      </c>
      <c r="BH61" s="212">
        <f>$D62*'Vegetables, roots, legumes'!AQ157+$D63*'Vegetables, roots, legumes'!AQ161+$D64*'Vegetables, roots, legumes'!AQ165</f>
        <v>7.261322709050602E-4</v>
      </c>
      <c r="BI61" s="212">
        <f>$D62*'Vegetables, roots, legumes'!AR157+$D63*'Vegetables, roots, legumes'!AR161+$D64*'Vegetables, roots, legumes'!AR165</f>
        <v>8.9645959370995083E-4</v>
      </c>
      <c r="BJ61" s="266"/>
      <c r="BK61" s="212">
        <f>$D62*'Vegetables, roots, legumes'!AT157+$D63*'Vegetables, roots, legumes'!AT161+$D64*'Vegetables, roots, legumes'!AT165</f>
        <v>1.4509775879787159E-2</v>
      </c>
      <c r="BL61" s="212">
        <f>$D62*'Vegetables, roots, legumes'!AU157+$D63*'Vegetables, roots, legumes'!AU161+$D64*'Vegetables, roots, legumes'!AU165</f>
        <v>1.4509775879787159E-2</v>
      </c>
      <c r="BM61" s="212">
        <f>$D62*'Vegetables, roots, legumes'!AV157+$D63*'Vegetables, roots, legumes'!AV161+$D64*'Vegetables, roots, legumes'!AV165</f>
        <v>1.4509775879787159E-2</v>
      </c>
      <c r="BN61" s="212">
        <f>$D62*'Vegetables, roots, legumes'!AW157+$D63*'Vegetables, roots, legumes'!AW161+$D64*'Vegetables, roots, legumes'!AW165</f>
        <v>1.4509775879787159E-2</v>
      </c>
      <c r="BO61" s="212">
        <f>$D62*'Vegetables, roots, legumes'!AX157+$D63*'Vegetables, roots, legumes'!AX161+$D64*'Vegetables, roots, legumes'!AX165</f>
        <v>1.7316834801034919E-2</v>
      </c>
      <c r="BP61" s="212">
        <f>$D62*'Vegetables, roots, legumes'!AY157+$D63*'Vegetables, roots, legumes'!AY161+$D64*'Vegetables, roots, legumes'!AY165</f>
        <v>2.1378808396339405E-2</v>
      </c>
      <c r="BQ61" s="266"/>
      <c r="BR61" s="212">
        <f>$D62*'Vegetables, roots, legumes'!BA157+$D63*'Vegetables, roots, legumes'!BA161+$D64*'Vegetables, roots, legumes'!BA165</f>
        <v>4.7692181664362463E-12</v>
      </c>
      <c r="BS61" s="212">
        <f>$D62*'Vegetables, roots, legumes'!BB157+$D63*'Vegetables, roots, legumes'!BB161+$D64*'Vegetables, roots, legumes'!BB165</f>
        <v>4.7692181664362463E-12</v>
      </c>
      <c r="BT61" s="212">
        <f>$D62*'Vegetables, roots, legumes'!BC157+$D63*'Vegetables, roots, legumes'!BC161+$D64*'Vegetables, roots, legumes'!BC165</f>
        <v>4.7692181664362463E-12</v>
      </c>
      <c r="BU61" s="212">
        <f>$D62*'Vegetables, roots, legumes'!BD157+$D63*'Vegetables, roots, legumes'!BD161+$D64*'Vegetables, roots, legumes'!BD165</f>
        <v>4.7692181664362463E-12</v>
      </c>
      <c r="BV61" s="212">
        <f>$D62*'Vegetables, roots, legumes'!BE157+$D63*'Vegetables, roots, legumes'!BE161+$D64*'Vegetables, roots, legumes'!BE165</f>
        <v>5.6918703502043757E-12</v>
      </c>
      <c r="BW61" s="212">
        <f>$D62*'Vegetables, roots, legumes'!BF157+$D63*'Vegetables, roots, legumes'!BF161+$D64*'Vegetables, roots, legumes'!BF165</f>
        <v>7.0270004323510807E-12</v>
      </c>
      <c r="BX61" s="106"/>
      <c r="BY61" s="189">
        <f>T61/E61</f>
        <v>0</v>
      </c>
      <c r="BZ61" s="189">
        <f>$BY61*Z61</f>
        <v>0</v>
      </c>
      <c r="CA61" s="189">
        <f>$BY61*AA61</f>
        <v>0</v>
      </c>
      <c r="CB61" s="189">
        <f>$BY61*AB61</f>
        <v>0</v>
      </c>
      <c r="CC61" s="189">
        <f>$BY61*AC61</f>
        <v>0</v>
      </c>
      <c r="CD61" s="189">
        <f>$BY61*AD61</f>
        <v>0</v>
      </c>
      <c r="CF61" s="189">
        <f>(F61/E61*'Common input data'!$B$195+G61/E61*'Common input data'!$B$196)/'Common input data'!$B$198</f>
        <v>1.4668411979874537E-4</v>
      </c>
      <c r="CG61" s="189">
        <f>$CF61*Z61</f>
        <v>1.4668411979874537E-4</v>
      </c>
      <c r="CH61" s="189">
        <f>$CF61*AA61</f>
        <v>1.4668411979874537E-4</v>
      </c>
      <c r="CI61" s="189">
        <f>$CF61*AB61</f>
        <v>1.4668411979874537E-4</v>
      </c>
      <c r="CJ61" s="189">
        <f>$CF61*AC61</f>
        <v>1.7506160615675541E-4</v>
      </c>
      <c r="CK61" s="189">
        <f>$CF61*AD61</f>
        <v>2.1612543969969802E-4</v>
      </c>
    </row>
    <row r="62" spans="1:89" ht="45">
      <c r="A62" s="18"/>
      <c r="B62" s="435" t="s">
        <v>122</v>
      </c>
      <c r="C62" s="435" t="s">
        <v>121</v>
      </c>
      <c r="D62" s="435">
        <v>0.35</v>
      </c>
      <c r="E62" s="797">
        <v>29273</v>
      </c>
      <c r="F62" s="797">
        <v>220</v>
      </c>
      <c r="G62" s="797">
        <v>0</v>
      </c>
      <c r="H62" s="16">
        <v>35.127599999999994</v>
      </c>
      <c r="P62" s="797">
        <v>140</v>
      </c>
      <c r="Q62" s="797">
        <v>0</v>
      </c>
      <c r="R62" s="797">
        <v>43.909500000000001</v>
      </c>
      <c r="S62" s="435">
        <v>2.9201394321614567E-2</v>
      </c>
      <c r="T62" s="54">
        <v>2.875</v>
      </c>
      <c r="U62" s="266">
        <v>4.9926191507892996E-13</v>
      </c>
      <c r="V62" s="266">
        <v>7.6196994155457501E-13</v>
      </c>
      <c r="W62" s="266">
        <v>6.9410319174027301E-14</v>
      </c>
      <c r="X62" s="266">
        <v>7.1402612381482693E-15</v>
      </c>
      <c r="Y62" s="266">
        <v>1.53428969970343E-12</v>
      </c>
      <c r="Z62" s="54">
        <v>1</v>
      </c>
      <c r="AA62" s="54">
        <f t="shared" ref="AA62:AB64" si="9">Z62</f>
        <v>1</v>
      </c>
      <c r="AB62" s="54">
        <f t="shared" si="9"/>
        <v>1</v>
      </c>
      <c r="AC62" s="435">
        <f>AB62/(1-'Common input data'!$B$140)</f>
        <v>1.1934598400763814</v>
      </c>
      <c r="AD62" s="435">
        <f>AC62/(1-'Common input data'!$B$178)</f>
        <v>1.4734072099708411</v>
      </c>
      <c r="AE62" t="s">
        <v>1826</v>
      </c>
      <c r="AF62" s="1123" t="s">
        <v>1826</v>
      </c>
      <c r="AG62" t="s">
        <v>1834</v>
      </c>
      <c r="AH62" t="s">
        <v>1840</v>
      </c>
      <c r="AI62" s="64" t="s">
        <v>1797</v>
      </c>
      <c r="AJ62"/>
      <c r="AK62" s="1118" t="s">
        <v>1798</v>
      </c>
      <c r="AL62" s="114" t="s">
        <v>1799</v>
      </c>
      <c r="AM62" t="s">
        <v>1800</v>
      </c>
      <c r="AO62"/>
    </row>
    <row r="63" spans="1:89" ht="45">
      <c r="A63" s="140"/>
      <c r="B63" s="435" t="s">
        <v>148</v>
      </c>
      <c r="C63" s="435" t="s">
        <v>121</v>
      </c>
      <c r="D63" s="435">
        <v>0.54</v>
      </c>
      <c r="E63" s="797">
        <v>35472</v>
      </c>
      <c r="F63" s="797">
        <v>168</v>
      </c>
      <c r="G63" s="797">
        <v>0</v>
      </c>
      <c r="H63" s="16">
        <v>42.566399999999994</v>
      </c>
      <c r="P63" s="797">
        <v>140</v>
      </c>
      <c r="Q63" s="797">
        <v>0</v>
      </c>
      <c r="R63" s="797">
        <v>0</v>
      </c>
      <c r="S63" s="435">
        <v>4.5095986210643034E-3</v>
      </c>
      <c r="T63" s="54">
        <v>10.883006666666667</v>
      </c>
      <c r="U63" s="266">
        <v>1.55658152159693E-12</v>
      </c>
      <c r="V63" s="266">
        <v>1.0618866300510301E-12</v>
      </c>
      <c r="W63" s="266">
        <v>8.8841658719714498E-13</v>
      </c>
      <c r="X63" s="266">
        <v>1.7910327872404899E-13</v>
      </c>
      <c r="Y63" s="266">
        <v>5.2982110291723597E-12</v>
      </c>
      <c r="Z63" s="54">
        <v>1</v>
      </c>
      <c r="AA63" s="54">
        <f t="shared" si="9"/>
        <v>1</v>
      </c>
      <c r="AB63" s="54">
        <f t="shared" si="9"/>
        <v>1</v>
      </c>
      <c r="AC63" s="435">
        <f>AB63/(1-'Common input data'!$B$140)</f>
        <v>1.1934598400763814</v>
      </c>
      <c r="AD63" s="435">
        <f>AC63/(1-'Common input data'!$B$178)</f>
        <v>1.4734072099708411</v>
      </c>
      <c r="AE63" t="s">
        <v>1829</v>
      </c>
      <c r="AF63" s="63" t="s">
        <v>1830</v>
      </c>
      <c r="AG63" t="s">
        <v>1603</v>
      </c>
      <c r="AH63" t="s">
        <v>1840</v>
      </c>
      <c r="AI63" s="64" t="s">
        <v>1797</v>
      </c>
      <c r="AJ63"/>
      <c r="AK63" s="1118" t="s">
        <v>1798</v>
      </c>
      <c r="AL63" t="s">
        <v>1603</v>
      </c>
      <c r="AM63" t="s">
        <v>1800</v>
      </c>
      <c r="AO63"/>
    </row>
    <row r="64" spans="1:89" ht="45">
      <c r="A64" s="140"/>
      <c r="B64" s="435" t="s">
        <v>125</v>
      </c>
      <c r="C64" s="435" t="s">
        <v>121</v>
      </c>
      <c r="D64" s="435">
        <v>0.11</v>
      </c>
      <c r="E64" s="797">
        <v>28948</v>
      </c>
      <c r="F64" s="797">
        <v>177</v>
      </c>
      <c r="G64" s="797">
        <v>0</v>
      </c>
      <c r="H64" s="16">
        <v>34.7376</v>
      </c>
      <c r="P64" s="797">
        <v>140</v>
      </c>
      <c r="Q64" s="797">
        <v>0</v>
      </c>
      <c r="R64" s="797">
        <v>21.954750000000001</v>
      </c>
      <c r="S64" s="435">
        <v>1.6855496471339434E-2</v>
      </c>
      <c r="T64" s="54">
        <v>50.620000000000005</v>
      </c>
      <c r="U64" s="266">
        <v>1.0279217183379299E-12</v>
      </c>
      <c r="V64" s="266">
        <v>9.1192828580280265E-13</v>
      </c>
      <c r="W64" s="266">
        <v>4.7891345318558613E-13</v>
      </c>
      <c r="X64" s="266">
        <v>9.3121769981098636E-14</v>
      </c>
      <c r="Y64" s="266">
        <v>3.4162503644378947E-12</v>
      </c>
      <c r="Z64" s="54">
        <v>1</v>
      </c>
      <c r="AA64" s="54">
        <f t="shared" si="9"/>
        <v>1</v>
      </c>
      <c r="AB64" s="54">
        <f t="shared" si="9"/>
        <v>1</v>
      </c>
      <c r="AC64" s="435">
        <f>AB64/(1-'Common input data'!$B$140)</f>
        <v>1.1934598400763814</v>
      </c>
      <c r="AD64" s="435">
        <f>AC64/(1-'Common input data'!$B$178)</f>
        <v>1.4734072099708411</v>
      </c>
      <c r="AE64" t="s">
        <v>1829</v>
      </c>
      <c r="AF64" s="63" t="s">
        <v>1830</v>
      </c>
      <c r="AG64" t="s">
        <v>1838</v>
      </c>
      <c r="AH64" t="s">
        <v>1840</v>
      </c>
      <c r="AI64" s="64" t="s">
        <v>1797</v>
      </c>
      <c r="AJ64"/>
      <c r="AK64" s="1118" t="s">
        <v>1798</v>
      </c>
      <c r="AL64" s="114" t="s">
        <v>1807</v>
      </c>
      <c r="AM64" t="s">
        <v>1800</v>
      </c>
      <c r="AO64"/>
    </row>
    <row r="65" spans="1:89">
      <c r="A65" s="139" t="s">
        <v>82</v>
      </c>
      <c r="B65" s="170" t="s">
        <v>120</v>
      </c>
      <c r="C65" s="170" t="s">
        <v>121</v>
      </c>
      <c r="D65" s="170">
        <v>1</v>
      </c>
      <c r="E65" s="798">
        <f>$D66*E66+$D67*E67+$D68*E68</f>
        <v>49655.16</v>
      </c>
      <c r="F65" s="798">
        <f>$D66*F66+$D67*F67+$D68*F68</f>
        <v>201.70944319999998</v>
      </c>
      <c r="G65" s="798">
        <f>$D66*G66+$D67*G67+$D68*G68</f>
        <v>0</v>
      </c>
      <c r="H65" s="798">
        <f>$D66*H66+$D67*H67+$D68*H68</f>
        <v>124.1379</v>
      </c>
      <c r="P65" s="798">
        <f>$D66*P66+$D67*P67+$D68*P68</f>
        <v>140</v>
      </c>
      <c r="Q65" s="798">
        <f>$D66*Q66+$D67*Q67+$D68*Q68</f>
        <v>0</v>
      </c>
      <c r="R65" s="798">
        <v>31.981725599999997</v>
      </c>
      <c r="S65" s="170">
        <f>$D66*S66+$D67*S67+$D68*S68</f>
        <v>9.8788039467638516E-3</v>
      </c>
      <c r="U65" s="212">
        <v>1.0852784052756508E-12</v>
      </c>
      <c r="V65" s="212">
        <v>8.4260171018836163E-13</v>
      </c>
      <c r="W65" s="212">
        <v>3.7939821276957274E-13</v>
      </c>
      <c r="X65" s="212">
        <v>7.8926351488826538E-14</v>
      </c>
      <c r="Y65" s="212">
        <v>5.2757272328912511E-12</v>
      </c>
      <c r="Z65" s="170">
        <f>$D66*Z66+$D67*Z67+$D68*Z68</f>
        <v>1</v>
      </c>
      <c r="AA65" s="170">
        <f>$D66*AA66+$D67*AA67+$D68*AA68</f>
        <v>1</v>
      </c>
      <c r="AB65" s="170">
        <f>$D66*AB66+$D67*AB67+$D68*AB68</f>
        <v>1</v>
      </c>
      <c r="AC65" s="170">
        <f>$D66*AC66+$D67*AC67+$D68*AC68</f>
        <v>1.1934598400763814</v>
      </c>
      <c r="AD65" s="170">
        <f>AC65/(1-'Common input data'!$B$178)</f>
        <v>1.4734072099708411</v>
      </c>
      <c r="AF65" s="1123"/>
      <c r="AG65"/>
      <c r="AH65"/>
      <c r="AI65" s="64"/>
      <c r="AJ65"/>
      <c r="AK65" s="1118"/>
      <c r="AL65"/>
      <c r="AO65"/>
      <c r="AP65" s="170">
        <f>$D66*'Vegetables, roots, legumes'!Y191+$D67*'Vegetables, roots, legumes'!Y195+$D68*'Vegetables, roots, legumes'!Y199</f>
        <v>0.20795777125095191</v>
      </c>
      <c r="AQ65" s="170">
        <f>$D66*'Vegetables, roots, legumes'!Z191+$D67*'Vegetables, roots, legumes'!Z195+$D68*'Vegetables, roots, legumes'!Z199</f>
        <v>0.20795777125095191</v>
      </c>
      <c r="AR65" s="170">
        <f>$D66*'Vegetables, roots, legumes'!AA191+$D67*'Vegetables, roots, legumes'!AA195+$D68*'Vegetables, roots, legumes'!AA199</f>
        <v>0.20795777125095191</v>
      </c>
      <c r="AS65" s="170">
        <f>$D66*'Vegetables, roots, legumes'!AB191+$D67*'Vegetables, roots, legumes'!AB195+$D68*'Vegetables, roots, legumes'!AB199</f>
        <v>0.20795777125095191</v>
      </c>
      <c r="AT65" s="170">
        <f>$D66*'Vegetables, roots, legumes'!AC191+$D67*'Vegetables, roots, legumes'!AC195+$D68*'Vegetables, roots, legumes'!AC199</f>
        <v>0.24818924841980175</v>
      </c>
      <c r="AU65" s="170">
        <f>$D66*'Vegetables, roots, legumes'!AD191+$D67*'Vegetables, roots, legumes'!AD195+$D68*'Vegetables, roots, legumes'!AD199</f>
        <v>0.30640647953061939</v>
      </c>
      <c r="AV65" s="106"/>
      <c r="AW65" s="212">
        <f>$D66*'Vegetables, roots, legumes'!AF191+$D67*'Vegetables, roots, legumes'!AF195+$D68*'Vegetables, roots, legumes'!AF199</f>
        <v>4.0990133786848078E-3</v>
      </c>
      <c r="AX65" s="212">
        <f>$D66*'Vegetables, roots, legumes'!AG191+$D67*'Vegetables, roots, legumes'!AG195+$D68*'Vegetables, roots, legumes'!AG199</f>
        <v>4.0990133786848078E-3</v>
      </c>
      <c r="AY65" s="212">
        <f>$D66*'Vegetables, roots, legumes'!AH191+$D67*'Vegetables, roots, legumes'!AH195+$D68*'Vegetables, roots, legumes'!AH199</f>
        <v>4.0990133786848078E-3</v>
      </c>
      <c r="AZ65" s="212">
        <f>$D66*'Vegetables, roots, legumes'!AI191+$D67*'Vegetables, roots, legumes'!AI195+$D68*'Vegetables, roots, legumes'!AI199</f>
        <v>4.0990133786848078E-3</v>
      </c>
      <c r="BA65" s="212">
        <f>$D66*'Vegetables, roots, legumes'!AJ191+$D67*'Vegetables, roots, legumes'!AJ195+$D68*'Vegetables, roots, legumes'!AJ199</f>
        <v>4.892007851396118E-3</v>
      </c>
      <c r="BB65" s="212">
        <f>$D66*'Vegetables, roots, legumes'!AK191+$D67*'Vegetables, roots, legumes'!AK195+$D68*'Vegetables, roots, legumes'!AK199</f>
        <v>6.0395158659211313E-3</v>
      </c>
      <c r="BC65" s="106"/>
      <c r="BD65" s="212">
        <f>$D66*'Vegetables, roots, legumes'!AM191+$D67*'Vegetables, roots, legumes'!AM195+$D68*'Vegetables, roots, legumes'!AM199</f>
        <v>6.2812677111442265E-4</v>
      </c>
      <c r="BE65" s="212">
        <f>$D66*'Vegetables, roots, legumes'!AN191+$D67*'Vegetables, roots, legumes'!AN195+$D68*'Vegetables, roots, legumes'!AN199</f>
        <v>6.2812677111442265E-4</v>
      </c>
      <c r="BF65" s="212">
        <f>$D66*'Vegetables, roots, legumes'!AO191+$D67*'Vegetables, roots, legumes'!AO195+$D68*'Vegetables, roots, legumes'!AO199</f>
        <v>6.2812677111442265E-4</v>
      </c>
      <c r="BG65" s="212">
        <f>$D66*'Vegetables, roots, legumes'!AP191+$D67*'Vegetables, roots, legumes'!AP195+$D68*'Vegetables, roots, legumes'!AP199</f>
        <v>6.2812677111442265E-4</v>
      </c>
      <c r="BH65" s="212">
        <f>$D66*'Vegetables, roots, legumes'!AQ191+$D67*'Vegetables, roots, legumes'!AQ195+$D68*'Vegetables, roots, legumes'!AQ199</f>
        <v>7.4964407580191254E-4</v>
      </c>
      <c r="BI65" s="212">
        <f>$D66*'Vegetables, roots, legumes'!AR191+$D67*'Vegetables, roots, legumes'!AR195+$D68*'Vegetables, roots, legumes'!AR199</f>
        <v>9.2548651333569459E-4</v>
      </c>
      <c r="BJ65" s="266"/>
      <c r="BK65" s="212">
        <f>$D66*'Vegetables, roots, legumes'!AT191+$D67*'Vegetables, roots, legumes'!AT195+$D68*'Vegetables, roots, legumes'!AT199</f>
        <v>9.8788039467638516E-3</v>
      </c>
      <c r="BL65" s="212">
        <f>$D66*'Vegetables, roots, legumes'!AU191+$D67*'Vegetables, roots, legumes'!AU195+$D68*'Vegetables, roots, legumes'!AU199</f>
        <v>9.8788039467638516E-3</v>
      </c>
      <c r="BM65" s="212">
        <f>$D66*'Vegetables, roots, legumes'!AV191+$D67*'Vegetables, roots, legumes'!AV195+$D68*'Vegetables, roots, legumes'!AV199</f>
        <v>9.8788039467638516E-3</v>
      </c>
      <c r="BN65" s="212">
        <f>$D66*'Vegetables, roots, legumes'!AW191+$D67*'Vegetables, roots, legumes'!AW195+$D68*'Vegetables, roots, legumes'!AW199</f>
        <v>9.8788039467638516E-3</v>
      </c>
      <c r="BO65" s="212">
        <f>$D66*'Vegetables, roots, legumes'!AX191+$D67*'Vegetables, roots, legumes'!AX195+$D68*'Vegetables, roots, legumes'!AX199</f>
        <v>1.1789955778450711E-2</v>
      </c>
      <c r="BP65" s="212">
        <f>$D66*'Vegetables, roots, legumes'!AY191+$D67*'Vegetables, roots, legumes'!AY195+$D68*'Vegetables, roots, legumes'!AY199</f>
        <v>1.4555500961050257E-2</v>
      </c>
      <c r="BQ65" s="266"/>
      <c r="BR65" s="212">
        <f>$D66*'Vegetables, roots, legumes'!BA191+$D67*'Vegetables, roots, legumes'!BA195+$D68*'Vegetables, roots, legumes'!BA199</f>
        <v>3.6592342853264589E-12</v>
      </c>
      <c r="BS65" s="212">
        <f>$D66*'Vegetables, roots, legumes'!BB191+$D67*'Vegetables, roots, legumes'!BB195+$D68*'Vegetables, roots, legumes'!BB199</f>
        <v>3.6592342853264589E-12</v>
      </c>
      <c r="BT65" s="212">
        <f>$D66*'Vegetables, roots, legumes'!BC191+$D67*'Vegetables, roots, legumes'!BC195+$D68*'Vegetables, roots, legumes'!BC199</f>
        <v>3.6592342853264589E-12</v>
      </c>
      <c r="BU65" s="212">
        <f>$D66*'Vegetables, roots, legumes'!BD191+$D67*'Vegetables, roots, legumes'!BD195+$D68*'Vegetables, roots, legumes'!BD199</f>
        <v>3.6592342853264589E-12</v>
      </c>
      <c r="BV65" s="212">
        <f>$D66*'Vegetables, roots, legumes'!BE191+$D67*'Vegetables, roots, legumes'!BE195+$D68*'Vegetables, roots, legumes'!BE199</f>
        <v>4.3671491649677273E-12</v>
      </c>
      <c r="BW65" s="212">
        <f>$D66*'Vegetables, roots, legumes'!BF191+$D67*'Vegetables, roots, legumes'!BF195+$D68*'Vegetables, roots, legumes'!BF199</f>
        <v>5.3915421789725029E-12</v>
      </c>
      <c r="BY65" s="189">
        <f>T65/E65</f>
        <v>0</v>
      </c>
      <c r="BZ65" s="189">
        <f>$BY65*Z65</f>
        <v>0</v>
      </c>
      <c r="CA65" s="189">
        <f>$BY65*AA65</f>
        <v>0</v>
      </c>
      <c r="CB65" s="189">
        <f>$BY65*AB65</f>
        <v>0</v>
      </c>
      <c r="CC65" s="189">
        <f>$BY65*AC65</f>
        <v>0</v>
      </c>
      <c r="CD65" s="189">
        <f>$BY65*AD65</f>
        <v>0</v>
      </c>
      <c r="CF65" s="189">
        <f>(F65/E65*'Common input data'!$B$195+G65/E65*'Common input data'!$B$196)/'Common input data'!$B$198</f>
        <v>1.0372326044588758E-4</v>
      </c>
      <c r="CG65" s="189">
        <f>$CF65*Z65</f>
        <v>1.0372326044588758E-4</v>
      </c>
      <c r="CH65" s="189">
        <f>$CF65*AA65</f>
        <v>1.0372326044588758E-4</v>
      </c>
      <c r="CI65" s="189">
        <f>$CF65*AB65</f>
        <v>1.0372326044588758E-4</v>
      </c>
      <c r="CJ65" s="189">
        <f>$CF65*AC65</f>
        <v>1.2378954582394983E-4</v>
      </c>
      <c r="CK65" s="189">
        <f>$CF65*AD65</f>
        <v>1.528265997826541E-4</v>
      </c>
    </row>
    <row r="66" spans="1:89" ht="45">
      <c r="A66" s="18"/>
      <c r="B66" s="435" t="s">
        <v>122</v>
      </c>
      <c r="C66" s="435" t="s">
        <v>121</v>
      </c>
      <c r="D66" s="435">
        <v>0.43</v>
      </c>
      <c r="E66" s="797">
        <v>44100</v>
      </c>
      <c r="F66" s="797">
        <v>200</v>
      </c>
      <c r="G66" s="797">
        <v>0</v>
      </c>
      <c r="H66" s="16">
        <v>110.25</v>
      </c>
      <c r="P66" s="797">
        <v>140</v>
      </c>
      <c r="Q66" s="797">
        <v>0</v>
      </c>
      <c r="R66" s="797">
        <v>15.75</v>
      </c>
      <c r="S66" s="435">
        <v>9.7365303190518494E-3</v>
      </c>
      <c r="T66" s="54">
        <v>2.875</v>
      </c>
      <c r="U66" s="266">
        <v>4.9926191507892996E-13</v>
      </c>
      <c r="V66" s="266">
        <v>7.6196994155457501E-13</v>
      </c>
      <c r="W66" s="266">
        <v>6.9410319174027301E-14</v>
      </c>
      <c r="X66" s="266">
        <v>7.1402612381482693E-15</v>
      </c>
      <c r="Y66" s="266">
        <v>1.53428969970343E-12</v>
      </c>
      <c r="Z66" s="54">
        <v>1</v>
      </c>
      <c r="AA66" s="54">
        <f t="shared" ref="AA66:AB68" si="10">Z66</f>
        <v>1</v>
      </c>
      <c r="AB66" s="54">
        <f t="shared" si="10"/>
        <v>1</v>
      </c>
      <c r="AC66" s="435">
        <f>AB66/(1-'Common input data'!$B$140)</f>
        <v>1.1934598400763814</v>
      </c>
      <c r="AD66" s="435">
        <f>AC66/(1-'Common input data'!$B$178)</f>
        <v>1.4734072099708411</v>
      </c>
      <c r="AE66" t="s">
        <v>1839</v>
      </c>
      <c r="AF66" s="1123" t="s">
        <v>1826</v>
      </c>
      <c r="AG66" t="s">
        <v>1828</v>
      </c>
      <c r="AH66" t="s">
        <v>1840</v>
      </c>
      <c r="AI66" s="64" t="s">
        <v>1797</v>
      </c>
      <c r="AJ66"/>
      <c r="AK66" s="1118" t="s">
        <v>1798</v>
      </c>
      <c r="AL66" s="114" t="s">
        <v>1799</v>
      </c>
      <c r="AM66" t="s">
        <v>1800</v>
      </c>
      <c r="AO66"/>
    </row>
    <row r="67" spans="1:89" ht="45">
      <c r="A67" s="140"/>
      <c r="B67" s="435" t="s">
        <v>199</v>
      </c>
      <c r="C67" s="435" t="s">
        <v>121</v>
      </c>
      <c r="D67" s="435">
        <v>0.51</v>
      </c>
      <c r="E67" s="797">
        <v>56752</v>
      </c>
      <c r="F67" s="797">
        <v>213.95504</v>
      </c>
      <c r="G67" s="797">
        <v>0</v>
      </c>
      <c r="H67" s="16">
        <v>141.88</v>
      </c>
      <c r="P67" s="797">
        <v>140</v>
      </c>
      <c r="Q67" s="797">
        <v>0</v>
      </c>
      <c r="R67" s="797">
        <v>45.863999999999997</v>
      </c>
      <c r="S67" s="435">
        <v>0.01</v>
      </c>
      <c r="T67" s="54">
        <v>2.16</v>
      </c>
      <c r="U67" s="266">
        <v>1.58447763766545E-12</v>
      </c>
      <c r="V67" s="266">
        <v>9.1128803161714291E-13</v>
      </c>
      <c r="W67" s="266">
        <v>6.4346197398059299E-13</v>
      </c>
      <c r="X67" s="266">
        <v>1.40077465406071E-13</v>
      </c>
      <c r="Y67" s="266">
        <v>8.4628777241253198E-12</v>
      </c>
      <c r="Z67" s="54">
        <v>1</v>
      </c>
      <c r="AA67" s="54">
        <f t="shared" si="10"/>
        <v>1</v>
      </c>
      <c r="AB67" s="54">
        <f t="shared" si="10"/>
        <v>1</v>
      </c>
      <c r="AC67" s="435">
        <f>AB67/(1-'Common input data'!$B$140)</f>
        <v>1.1934598400763814</v>
      </c>
      <c r="AD67" s="435">
        <f>AC67/(1-'Common input data'!$B$178)</f>
        <v>1.4734072099708411</v>
      </c>
      <c r="AE67" t="s">
        <v>1829</v>
      </c>
      <c r="AF67" s="63" t="s">
        <v>1830</v>
      </c>
      <c r="AG67" t="s">
        <v>1843</v>
      </c>
      <c r="AH67" t="s">
        <v>1840</v>
      </c>
      <c r="AI67" s="64" t="s">
        <v>1797</v>
      </c>
      <c r="AJ67"/>
      <c r="AK67" s="1118" t="s">
        <v>1798</v>
      </c>
      <c r="AL67" s="114" t="s">
        <v>1807</v>
      </c>
      <c r="AM67" t="s">
        <v>1800</v>
      </c>
      <c r="AO67"/>
    </row>
    <row r="68" spans="1:89" ht="45">
      <c r="A68" s="140"/>
      <c r="B68" s="435" t="s">
        <v>125</v>
      </c>
      <c r="C68" s="435" t="s">
        <v>121</v>
      </c>
      <c r="D68" s="435">
        <v>0.06</v>
      </c>
      <c r="E68" s="797">
        <v>29144</v>
      </c>
      <c r="F68" s="96">
        <v>109.87287999999999</v>
      </c>
      <c r="G68" s="797">
        <v>0</v>
      </c>
      <c r="H68" s="16">
        <v>72.86</v>
      </c>
      <c r="P68" s="797">
        <v>140</v>
      </c>
      <c r="Q68" s="797">
        <v>0</v>
      </c>
      <c r="R68" s="797">
        <v>30.309759999999997</v>
      </c>
      <c r="S68" s="435">
        <v>9.8682651595259265E-3</v>
      </c>
      <c r="T68" s="54">
        <v>1.5399999999999998</v>
      </c>
      <c r="U68" s="266">
        <v>1.04186977637219E-12</v>
      </c>
      <c r="V68" s="266">
        <v>8.3662898658585896E-13</v>
      </c>
      <c r="W68" s="266">
        <v>3.5643614657731014E-13</v>
      </c>
      <c r="X68" s="266">
        <v>7.3608863322109639E-14</v>
      </c>
      <c r="Y68" s="266">
        <v>4.9985837119143747E-12</v>
      </c>
      <c r="Z68" s="54">
        <v>1</v>
      </c>
      <c r="AA68" s="54">
        <f t="shared" si="10"/>
        <v>1</v>
      </c>
      <c r="AB68" s="54">
        <f t="shared" si="10"/>
        <v>1</v>
      </c>
      <c r="AC68" s="435">
        <f>AB68/(1-'Common input data'!$B$140)</f>
        <v>1.1934598400763814</v>
      </c>
      <c r="AD68" s="435">
        <f>AC68/(1-'Common input data'!$B$178)</f>
        <v>1.4734072099708411</v>
      </c>
      <c r="AE68" t="s">
        <v>1829</v>
      </c>
      <c r="AF68" s="63" t="s">
        <v>1830</v>
      </c>
      <c r="AG68" t="s">
        <v>1843</v>
      </c>
      <c r="AH68" t="s">
        <v>1840</v>
      </c>
      <c r="AI68" s="64" t="s">
        <v>1797</v>
      </c>
      <c r="AJ68"/>
      <c r="AK68" s="1118" t="s">
        <v>1798</v>
      </c>
      <c r="AL68" s="114" t="s">
        <v>1807</v>
      </c>
      <c r="AM68" t="s">
        <v>1800</v>
      </c>
      <c r="AO68"/>
    </row>
    <row r="69" spans="1:89">
      <c r="A69" s="139" t="s">
        <v>86</v>
      </c>
      <c r="B69" s="170" t="s">
        <v>120</v>
      </c>
      <c r="C69" s="170" t="s">
        <v>121</v>
      </c>
      <c r="D69" s="170">
        <v>1</v>
      </c>
      <c r="E69" s="798">
        <f>$D70*E70+$D71*E71+$D72*E72+$D73*E73</f>
        <v>17588.629999999997</v>
      </c>
      <c r="F69" s="798">
        <f>$D70*F70+$D71*F71+$D72*F72+$D73*F73</f>
        <v>194.7</v>
      </c>
      <c r="G69" s="798">
        <f>$D70*G70+$D71*G71+$D72*G72+$D73*G73</f>
        <v>0</v>
      </c>
      <c r="H69" s="798">
        <f>$D70*H70+$D71*H71+$D72*H72+$D73*H73</f>
        <v>84.245765000000006</v>
      </c>
      <c r="P69" s="798">
        <f>$D70*P70+$D71*P71+$D72*P72+$D73*P73</f>
        <v>140</v>
      </c>
      <c r="Q69" s="798">
        <f>$D70*Q70+$D71*Q71+$D72*Q72+$D73*Q73</f>
        <v>0</v>
      </c>
      <c r="R69" s="798">
        <v>27.382062799999996</v>
      </c>
      <c r="S69" s="170">
        <f>$D70*S70+$D71*S71+$D72*S72+$D73*S73</f>
        <v>4.4514412785414723E-2</v>
      </c>
      <c r="U69" s="212">
        <v>1.870408577255967E-12</v>
      </c>
      <c r="V69" s="212">
        <v>1.4538618649779384E-12</v>
      </c>
      <c r="W69" s="212">
        <v>1.8333700056137156E-12</v>
      </c>
      <c r="X69" s="212">
        <v>2.6608428724719424E-12</v>
      </c>
      <c r="Y69" s="212">
        <v>2.412758726426936E-10</v>
      </c>
      <c r="Z69" s="170">
        <f>$D70*Z70+$D71*Z71+$D72*Z72+$D73*Z73</f>
        <v>1</v>
      </c>
      <c r="AA69" s="170">
        <f>$D70*AA70+$D71*AA71+$D72*AA72+$D73*AA73</f>
        <v>1</v>
      </c>
      <c r="AB69" s="170">
        <f>$D70*AB70+$D71*AB71+$D72*AB72+$D73*AB73</f>
        <v>1</v>
      </c>
      <c r="AC69" s="170">
        <f>$D70*AC70+$D71*AC71+$D72*AC72+$D73*AC73</f>
        <v>1.1934598400763814</v>
      </c>
      <c r="AD69" s="170">
        <f>AC69/(1-'Common input data'!$B$178)</f>
        <v>1.4734072099708411</v>
      </c>
      <c r="AF69" s="1123"/>
      <c r="AG69"/>
      <c r="AH69"/>
      <c r="AI69" s="64"/>
      <c r="AJ69"/>
      <c r="AK69" s="1118"/>
      <c r="AL69"/>
      <c r="AO69"/>
      <c r="AP69" s="170">
        <f>$D70*'Vegetables, roots, legumes'!Y208+$D71*'Vegetables, roots, legumes'!Y212+$D72*'Vegetables, roots, legumes'!Y216+$D73*'Vegetables, roots, legumes'!Y220</f>
        <v>0.56862908883061458</v>
      </c>
      <c r="AQ69" s="170">
        <f>$D70*'Vegetables, roots, legumes'!Z208+$D71*'Vegetables, roots, legumes'!Z212+$D72*'Vegetables, roots, legumes'!Z216+$D73*'Vegetables, roots, legumes'!Z220</f>
        <v>0.56862908883061458</v>
      </c>
      <c r="AR69" s="170">
        <f>$D70*'Vegetables, roots, legumes'!AA208+$D71*'Vegetables, roots, legumes'!AA212+$D72*'Vegetables, roots, legumes'!AA216+$D73*'Vegetables, roots, legumes'!AA220</f>
        <v>0.56862908883061458</v>
      </c>
      <c r="AS69" s="170">
        <f>$D70*'Vegetables, roots, legumes'!AB208+$D71*'Vegetables, roots, legumes'!AB212+$D72*'Vegetables, roots, legumes'!AB216+$D73*'Vegetables, roots, legumes'!AB220</f>
        <v>0.56862908883061458</v>
      </c>
      <c r="AT69" s="170">
        <f>$D70*'Vegetables, roots, legumes'!AC208+$D71*'Vegetables, roots, legumes'!AC212+$D72*'Vegetables, roots, legumes'!AC216+$D73*'Vegetables, roots, legumes'!AC220</f>
        <v>0.67863598141856374</v>
      </c>
      <c r="AU69" s="170">
        <f>$D70*'Vegetables, roots, legumes'!AD208+$D71*'Vegetables, roots, legumes'!AD212+$D72*'Vegetables, roots, legumes'!AD216+$D73*'Vegetables, roots, legumes'!AD220</f>
        <v>0.83782219928217738</v>
      </c>
      <c r="AV69" s="106"/>
      <c r="AW69" s="212">
        <f>$D70*'Vegetables, roots, legumes'!AF208+$D71*'Vegetables, roots, legumes'!AF212+$D72*'Vegetables, roots, legumes'!AF216+$D73*'Vegetables, roots, legumes'!AF220</f>
        <v>1.1055823624830173E-2</v>
      </c>
      <c r="AX69" s="212">
        <f>$D70*'Vegetables, roots, legumes'!AG208+$D71*'Vegetables, roots, legumes'!AG212+$D72*'Vegetables, roots, legumes'!AG216+$D73*'Vegetables, roots, legumes'!AG220</f>
        <v>1.1055823624830173E-2</v>
      </c>
      <c r="AY69" s="212">
        <f>$D70*'Vegetables, roots, legumes'!AH208+$D71*'Vegetables, roots, legumes'!AH212+$D72*'Vegetables, roots, legumes'!AH216+$D73*'Vegetables, roots, legumes'!AH220</f>
        <v>1.1055823624830173E-2</v>
      </c>
      <c r="AZ69" s="212">
        <f>$D70*'Vegetables, roots, legumes'!AI208+$D71*'Vegetables, roots, legumes'!AI212+$D72*'Vegetables, roots, legumes'!AI216+$D73*'Vegetables, roots, legumes'!AI220</f>
        <v>1.1055823624830173E-2</v>
      </c>
      <c r="BA69" s="212">
        <f>$D70*'Vegetables, roots, legumes'!AJ208+$D71*'Vegetables, roots, legumes'!AJ212+$D72*'Vegetables, roots, legumes'!AJ216+$D73*'Vegetables, roots, legumes'!AJ220</f>
        <v>1.3194681495202499E-2</v>
      </c>
      <c r="BB69" s="212">
        <f>$D70*'Vegetables, roots, legumes'!AK208+$D71*'Vegetables, roots, legumes'!AK212+$D72*'Vegetables, roots, legumes'!AK216+$D73*'Vegetables, roots, legumes'!AK220</f>
        <v>1.6289730240990737E-2</v>
      </c>
      <c r="BC69" s="106"/>
      <c r="BD69" s="212">
        <f>$D70*'Vegetables, roots, legumes'!AM208+$D71*'Vegetables, roots, legumes'!AM212+$D72*'Vegetables, roots, legumes'!AM216+$D73*'Vegetables, roots, legumes'!AM220</f>
        <v>1.5619E-3</v>
      </c>
      <c r="BE69" s="212">
        <f>$D70*'Vegetables, roots, legumes'!AN208+$D71*'Vegetables, roots, legumes'!AN212+$D72*'Vegetables, roots, legumes'!AN216+$D73*'Vegetables, roots, legumes'!AN220</f>
        <v>1.5619E-3</v>
      </c>
      <c r="BF69" s="212">
        <f>$D70*'Vegetables, roots, legumes'!AO208+$D71*'Vegetables, roots, legumes'!AO212+$D72*'Vegetables, roots, legumes'!AO216+$D73*'Vegetables, roots, legumes'!AO220</f>
        <v>1.5619E-3</v>
      </c>
      <c r="BG69" s="212">
        <f>$D70*'Vegetables, roots, legumes'!AP208+$D71*'Vegetables, roots, legumes'!AP212+$D72*'Vegetables, roots, legumes'!AP216+$D73*'Vegetables, roots, legumes'!AP220</f>
        <v>1.5619E-3</v>
      </c>
      <c r="BH69" s="212">
        <f>$D70*'Vegetables, roots, legumes'!AQ208+$D71*'Vegetables, roots, legumes'!AQ212+$D72*'Vegetables, roots, legumes'!AQ216+$D73*'Vegetables, roots, legumes'!AQ220</f>
        <v>1.8640649242153003E-3</v>
      </c>
      <c r="BI69" s="212">
        <f>$D70*'Vegetables, roots, legumes'!AR208+$D71*'Vegetables, roots, legumes'!AR212+$D72*'Vegetables, roots, legumes'!AR216+$D73*'Vegetables, roots, legumes'!AR220</f>
        <v>2.3013147212534567E-3</v>
      </c>
      <c r="BJ69" s="266"/>
      <c r="BK69" s="212">
        <f>$D70*'Vegetables, roots, legumes'!AT208+$D71*'Vegetables, roots, legumes'!AT212+$D72*'Vegetables, roots, legumes'!AT216+$D73*'Vegetables, roots, legumes'!AT220</f>
        <v>4.4514412785414723E-2</v>
      </c>
      <c r="BL69" s="212">
        <f>$D70*'Vegetables, roots, legumes'!AU208+$D71*'Vegetables, roots, legumes'!AU212+$D72*'Vegetables, roots, legumes'!AU216+$D73*'Vegetables, roots, legumes'!AU220</f>
        <v>4.4514412785414723E-2</v>
      </c>
      <c r="BM69" s="212">
        <f>$D70*'Vegetables, roots, legumes'!AV208+$D71*'Vegetables, roots, legumes'!AV212+$D72*'Vegetables, roots, legumes'!AV216+$D73*'Vegetables, roots, legumes'!AV220</f>
        <v>4.4514412785414723E-2</v>
      </c>
      <c r="BN69" s="212">
        <f>$D70*'Vegetables, roots, legumes'!AW208+$D71*'Vegetables, roots, legumes'!AW212+$D72*'Vegetables, roots, legumes'!AW216+$D73*'Vegetables, roots, legumes'!AW220</f>
        <v>4.4514412785414723E-2</v>
      </c>
      <c r="BO69" s="212">
        <f>$D70*'Vegetables, roots, legumes'!AX208+$D71*'Vegetables, roots, legumes'!AX212+$D72*'Vegetables, roots, legumes'!AX216+$D73*'Vegetables, roots, legumes'!AX220</f>
        <v>5.312616396397507E-2</v>
      </c>
      <c r="BP69" s="212">
        <f>$D70*'Vegetables, roots, legumes'!AY208+$D71*'Vegetables, roots, legumes'!AY212+$D72*'Vegetables, roots, legumes'!AY216+$D73*'Vegetables, roots, legumes'!AY220</f>
        <v>6.5587856745648224E-2</v>
      </c>
      <c r="BQ69" s="266"/>
      <c r="BR69" s="212">
        <f>$D70*'Vegetables, roots, legumes'!BA208+$D71*'Vegetables, roots, legumes'!BA212+$D72*'Vegetables, roots, legumes'!BA216+$D73*'Vegetables, roots, legumes'!BA220</f>
        <v>3.5303332001933475E-10</v>
      </c>
      <c r="BS69" s="212">
        <f>$D70*'Vegetables, roots, legumes'!BB208+$D71*'Vegetables, roots, legumes'!BB212+$D72*'Vegetables, roots, legumes'!BB216+$D73*'Vegetables, roots, legumes'!BB220</f>
        <v>3.5303332001933475E-10</v>
      </c>
      <c r="BT69" s="212">
        <f>$D70*'Vegetables, roots, legumes'!BC208+$D71*'Vegetables, roots, legumes'!BC212+$D72*'Vegetables, roots, legumes'!BC216+$D73*'Vegetables, roots, legumes'!BC220</f>
        <v>3.5303332001933475E-10</v>
      </c>
      <c r="BU69" s="212">
        <f>$D70*'Vegetables, roots, legumes'!BD208+$D71*'Vegetables, roots, legumes'!BD212+$D72*'Vegetables, roots, legumes'!BD216+$D73*'Vegetables, roots, legumes'!BD220</f>
        <v>3.5303332001933475E-10</v>
      </c>
      <c r="BV69" s="212">
        <f>$D70*'Vegetables, roots, legumes'!BE208+$D71*'Vegetables, roots, legumes'!BE212+$D72*'Vegetables, roots, legumes'!BE216+$D73*'Vegetables, roots, legumes'!BE220</f>
        <v>4.213310896519093E-10</v>
      </c>
      <c r="BW69" s="212">
        <f>$D70*'Vegetables, roots, legumes'!BF208+$D71*'Vegetables, roots, legumes'!BF212+$D72*'Vegetables, roots, legumes'!BF216+$D73*'Vegetables, roots, legumes'!BF220</f>
        <v>5.2016183907643115E-10</v>
      </c>
      <c r="BY69" s="189">
        <f>T69/E69</f>
        <v>0</v>
      </c>
      <c r="BZ69" s="189">
        <f>$BY69*Z69</f>
        <v>0</v>
      </c>
      <c r="CA69" s="189">
        <f>$BY69*AA69</f>
        <v>0</v>
      </c>
      <c r="CB69" s="189">
        <f>$BY69*AB69</f>
        <v>0</v>
      </c>
      <c r="CC69" s="189">
        <f>$BY69*AC69</f>
        <v>0</v>
      </c>
      <c r="CD69" s="189">
        <f>$BY69*AD69</f>
        <v>0</v>
      </c>
      <c r="CF69" s="189">
        <f>(F69/E69*'Common input data'!$B$195+G69/E69*'Common input data'!$B$196)/'Common input data'!$B$198</f>
        <v>2.8264952080289712E-4</v>
      </c>
      <c r="CG69" s="189">
        <f>$CF69*Z69</f>
        <v>2.8264952080289712E-4</v>
      </c>
      <c r="CH69" s="189">
        <f>$CF69*AA69</f>
        <v>2.8264952080289712E-4</v>
      </c>
      <c r="CI69" s="189">
        <f>$CF69*AB69</f>
        <v>2.8264952080289712E-4</v>
      </c>
      <c r="CJ69" s="189">
        <f>$CF69*AC69</f>
        <v>3.3733085189509141E-4</v>
      </c>
      <c r="CK69" s="189">
        <f>$CF69*AD69</f>
        <v>4.1645784184579182E-4</v>
      </c>
    </row>
    <row r="70" spans="1:89" ht="45">
      <c r="A70" s="18"/>
      <c r="B70" s="435" t="s">
        <v>122</v>
      </c>
      <c r="C70" s="435" t="s">
        <v>121</v>
      </c>
      <c r="D70" s="435">
        <v>0.42</v>
      </c>
      <c r="E70" s="797">
        <v>17820</v>
      </c>
      <c r="F70" s="797">
        <v>220</v>
      </c>
      <c r="G70" s="797">
        <v>0</v>
      </c>
      <c r="H70" s="16">
        <v>89.100000000000009</v>
      </c>
      <c r="P70" s="797">
        <v>140</v>
      </c>
      <c r="Q70" s="797">
        <v>0</v>
      </c>
      <c r="R70" s="797">
        <v>21.383999999999997</v>
      </c>
      <c r="S70" s="435">
        <v>9.7365303190518494E-3</v>
      </c>
      <c r="T70" s="54">
        <v>2.875</v>
      </c>
      <c r="U70" s="266">
        <v>4.9926191507892996E-13</v>
      </c>
      <c r="V70" s="266">
        <v>7.6196994155457501E-13</v>
      </c>
      <c r="W70" s="266">
        <v>6.9410319174027301E-14</v>
      </c>
      <c r="X70" s="266">
        <v>7.1402612381482693E-15</v>
      </c>
      <c r="Y70" s="266">
        <v>1.53428969970343E-12</v>
      </c>
      <c r="Z70" s="54">
        <v>1</v>
      </c>
      <c r="AA70" s="54">
        <f t="shared" ref="AA70:AB73" si="11">Z70</f>
        <v>1</v>
      </c>
      <c r="AB70" s="54">
        <f t="shared" si="11"/>
        <v>1</v>
      </c>
      <c r="AC70" s="435">
        <f>AB70/(1-'Common input data'!$B$140)</f>
        <v>1.1934598400763814</v>
      </c>
      <c r="AD70" s="435">
        <f>AC70/(1-'Common input data'!$B$178)</f>
        <v>1.4734072099708411</v>
      </c>
      <c r="AE70" t="s">
        <v>1826</v>
      </c>
      <c r="AF70" s="1123" t="s">
        <v>1826</v>
      </c>
      <c r="AG70" t="s">
        <v>1828</v>
      </c>
      <c r="AH70" t="s">
        <v>1840</v>
      </c>
      <c r="AI70" s="64" t="s">
        <v>1797</v>
      </c>
      <c r="AJ70"/>
      <c r="AK70" s="1118" t="s">
        <v>1798</v>
      </c>
      <c r="AL70" s="114" t="s">
        <v>1799</v>
      </c>
      <c r="AM70" t="s">
        <v>1800</v>
      </c>
      <c r="AO70"/>
    </row>
    <row r="71" spans="1:89" ht="45">
      <c r="A71" s="140"/>
      <c r="B71" s="435" t="s">
        <v>130</v>
      </c>
      <c r="C71" s="435" t="s">
        <v>121</v>
      </c>
      <c r="D71" s="435">
        <v>0.27</v>
      </c>
      <c r="E71" s="797">
        <v>17353</v>
      </c>
      <c r="F71" s="797">
        <v>162</v>
      </c>
      <c r="G71" s="797">
        <v>0</v>
      </c>
      <c r="H71" s="16">
        <v>78.088499999999996</v>
      </c>
      <c r="P71" s="797">
        <v>140</v>
      </c>
      <c r="Q71" s="797">
        <v>0</v>
      </c>
      <c r="R71" s="797">
        <v>46.274666666666668</v>
      </c>
      <c r="S71" s="435">
        <v>0.104</v>
      </c>
      <c r="T71" s="54">
        <v>15.920000000000002</v>
      </c>
      <c r="U71" s="266">
        <v>3.7738174209626004E-12</v>
      </c>
      <c r="V71" s="266">
        <v>2.5819413353737599E-12</v>
      </c>
      <c r="W71" s="266">
        <v>3.8726446962259297E-12</v>
      </c>
      <c r="X71" s="266">
        <v>7.3859179387853007E-12</v>
      </c>
      <c r="Y71" s="266">
        <v>6.7025422877374503E-10</v>
      </c>
      <c r="Z71" s="54">
        <v>1</v>
      </c>
      <c r="AA71" s="54">
        <f t="shared" si="11"/>
        <v>1</v>
      </c>
      <c r="AB71" s="54">
        <f t="shared" si="11"/>
        <v>1</v>
      </c>
      <c r="AC71" s="435">
        <f>AB71/(1-'Common input data'!$B$140)</f>
        <v>1.1934598400763814</v>
      </c>
      <c r="AD71" s="435">
        <f>AC71/(1-'Common input data'!$B$178)</f>
        <v>1.4734072099708411</v>
      </c>
      <c r="AE71" t="s">
        <v>1829</v>
      </c>
      <c r="AF71" s="63" t="s">
        <v>1830</v>
      </c>
      <c r="AG71" t="s">
        <v>1821</v>
      </c>
      <c r="AH71" t="s">
        <v>1821</v>
      </c>
      <c r="AI71" s="64" t="s">
        <v>1797</v>
      </c>
      <c r="AJ71"/>
      <c r="AK71" s="1118" t="s">
        <v>1798</v>
      </c>
      <c r="AL71" s="114" t="s">
        <v>1807</v>
      </c>
      <c r="AM71" t="s">
        <v>1800</v>
      </c>
      <c r="AO71"/>
    </row>
    <row r="72" spans="1:89" ht="45">
      <c r="A72" s="140"/>
      <c r="B72" s="435" t="s">
        <v>161</v>
      </c>
      <c r="C72" s="435" t="s">
        <v>121</v>
      </c>
      <c r="D72" s="435">
        <v>0.14000000000000001</v>
      </c>
      <c r="E72" s="797">
        <v>17578</v>
      </c>
      <c r="F72" s="797">
        <v>190</v>
      </c>
      <c r="G72" s="797">
        <v>0</v>
      </c>
      <c r="H72" s="16">
        <v>83.495499999999993</v>
      </c>
      <c r="P72" s="797">
        <v>140</v>
      </c>
      <c r="Q72" s="797">
        <v>0</v>
      </c>
      <c r="R72" s="797">
        <v>19.160019999999999</v>
      </c>
      <c r="S72" s="435">
        <v>0.03</v>
      </c>
      <c r="T72" s="54">
        <v>7.8199999999999985</v>
      </c>
      <c r="U72" s="266">
        <v>2.0321018994265801E-12</v>
      </c>
      <c r="V72" s="266">
        <v>1.25706113532964E-12</v>
      </c>
      <c r="W72" s="266">
        <v>2.7214600985099602E-12</v>
      </c>
      <c r="X72" s="266">
        <v>1.24426858277234E-12</v>
      </c>
      <c r="Y72" s="266">
        <v>1.0980413467666901E-10</v>
      </c>
      <c r="Z72" s="54">
        <v>1</v>
      </c>
      <c r="AA72" s="54">
        <f t="shared" si="11"/>
        <v>1</v>
      </c>
      <c r="AB72" s="54">
        <f t="shared" si="11"/>
        <v>1</v>
      </c>
      <c r="AC72" s="435">
        <f>AB72/(1-'Common input data'!$B$140)</f>
        <v>1.1934598400763814</v>
      </c>
      <c r="AD72" s="435">
        <f>AC72/(1-'Common input data'!$B$178)</f>
        <v>1.4734072099708411</v>
      </c>
      <c r="AE72" t="s">
        <v>1829</v>
      </c>
      <c r="AF72" s="63" t="s">
        <v>1830</v>
      </c>
      <c r="AG72" t="s">
        <v>1844</v>
      </c>
      <c r="AH72" t="s">
        <v>1824</v>
      </c>
      <c r="AI72" s="64" t="s">
        <v>1797</v>
      </c>
      <c r="AJ72"/>
      <c r="AK72" s="1118" t="s">
        <v>1798</v>
      </c>
      <c r="AL72" s="114" t="s">
        <v>1807</v>
      </c>
      <c r="AM72" t="s">
        <v>1800</v>
      </c>
      <c r="AO72"/>
    </row>
    <row r="73" spans="1:89" ht="45">
      <c r="A73" s="140"/>
      <c r="B73" s="435" t="s">
        <v>125</v>
      </c>
      <c r="C73" s="435" t="s">
        <v>121</v>
      </c>
      <c r="D73" s="435">
        <v>0.17</v>
      </c>
      <c r="E73" s="797">
        <v>17400</v>
      </c>
      <c r="F73" s="797">
        <v>188</v>
      </c>
      <c r="G73" s="797">
        <v>0</v>
      </c>
      <c r="H73" s="16">
        <v>82.649999999999991</v>
      </c>
      <c r="P73" s="797">
        <v>140</v>
      </c>
      <c r="Q73" s="797">
        <v>0</v>
      </c>
      <c r="R73" s="797">
        <v>18.966000000000001</v>
      </c>
      <c r="S73" s="435">
        <v>4.7912176773017276E-2</v>
      </c>
      <c r="T73" s="54">
        <v>1.5399999999999998</v>
      </c>
      <c r="U73" s="266">
        <v>2.1017270784893702E-12</v>
      </c>
      <c r="V73" s="266">
        <v>1.5336574707526583E-12</v>
      </c>
      <c r="W73" s="266">
        <v>2.221171704636639E-12</v>
      </c>
      <c r="X73" s="266">
        <v>2.8791089275985968E-12</v>
      </c>
      <c r="Y73" s="266">
        <v>2.6053088438337252E-10</v>
      </c>
      <c r="Z73" s="54">
        <v>1</v>
      </c>
      <c r="AA73" s="54">
        <f t="shared" si="11"/>
        <v>1</v>
      </c>
      <c r="AB73" s="54">
        <f t="shared" si="11"/>
        <v>1</v>
      </c>
      <c r="AC73" s="435">
        <f>AB73/(1-'Common input data'!$B$140)</f>
        <v>1.1934598400763814</v>
      </c>
      <c r="AD73" s="435">
        <f>AC73/(1-'Common input data'!$B$178)</f>
        <v>1.4734072099708411</v>
      </c>
      <c r="AE73" t="s">
        <v>1829</v>
      </c>
      <c r="AF73" s="63" t="s">
        <v>1830</v>
      </c>
      <c r="AG73" t="s">
        <v>1844</v>
      </c>
      <c r="AH73" t="s">
        <v>1824</v>
      </c>
      <c r="AI73" s="64" t="s">
        <v>1797</v>
      </c>
      <c r="AJ73"/>
      <c r="AK73" s="1118" t="s">
        <v>1798</v>
      </c>
      <c r="AL73" s="114" t="s">
        <v>1807</v>
      </c>
      <c r="AM73" t="s">
        <v>1800</v>
      </c>
      <c r="AO73"/>
    </row>
    <row r="74" spans="1:89">
      <c r="A74" s="139" t="s">
        <v>78</v>
      </c>
      <c r="B74" s="170" t="s">
        <v>120</v>
      </c>
      <c r="C74" s="170" t="s">
        <v>121</v>
      </c>
      <c r="D74" s="170">
        <v>1</v>
      </c>
      <c r="E74" s="798">
        <f>$D75*E75+$D76*E76+$D77*E77</f>
        <v>11472.376090870492</v>
      </c>
      <c r="F74" s="798">
        <f>$D75*F75+$D76*F76+$D77*F77</f>
        <v>182.52</v>
      </c>
      <c r="G74" s="798">
        <f>$D75*G75+$D76*G76+$D77*G77</f>
        <v>0</v>
      </c>
      <c r="H74" s="798">
        <f>$D75*H75+$D76*H76+$D77*H77</f>
        <v>145.10205160000001</v>
      </c>
      <c r="P74" s="798">
        <f>$D75*P75+$D76*P76+$D77*P77</f>
        <v>140</v>
      </c>
      <c r="Q74" s="798">
        <f>$D75*Q75+$D76*Q76+$D77*Q77</f>
        <v>0</v>
      </c>
      <c r="R74" s="798">
        <v>24.89105181180777</v>
      </c>
      <c r="S74" s="170">
        <f>$D75*S75+$D76*S76+$D77*S77</f>
        <v>3.2359763042479409E-2</v>
      </c>
      <c r="U74" s="212">
        <v>1.2851552364910109E-12</v>
      </c>
      <c r="V74" s="212">
        <v>1.1987630760711795E-12</v>
      </c>
      <c r="W74" s="212">
        <v>9.8218656966648392E-13</v>
      </c>
      <c r="X74" s="212">
        <v>1.778046903849465E-12</v>
      </c>
      <c r="Y74" s="212">
        <v>1.6202707507747343E-10</v>
      </c>
      <c r="Z74" s="170">
        <f>$D75*Z75+$D76*Z76+$D77*Z77</f>
        <v>1</v>
      </c>
      <c r="AA74" s="170">
        <f>$D75*AA75+$D76*AA76+$D77*AA77</f>
        <v>1</v>
      </c>
      <c r="AB74" s="170">
        <f>$D75*AB75+$D76*AB76+$D77*AB77</f>
        <v>1</v>
      </c>
      <c r="AC74" s="170">
        <f>$D75*AC75+$D76*AC76+$D77*AC77</f>
        <v>1.1934598400763814</v>
      </c>
      <c r="AD74" s="170">
        <f>AC74/(1-'Common input data'!$B$178)</f>
        <v>1.4734072099708411</v>
      </c>
      <c r="AF74" s="1123"/>
      <c r="AG74"/>
      <c r="AH74"/>
      <c r="AI74" s="64"/>
      <c r="AJ74"/>
      <c r="AK74" s="1118"/>
      <c r="AL74"/>
      <c r="AO74"/>
      <c r="AP74" s="170">
        <f>$D75*'Vegetables, roots, legumes'!Y174+$D76*'Vegetables, roots, legumes'!Y178+$D77*'Vegetables, roots, legumes'!Y182</f>
        <v>0.97865714072617471</v>
      </c>
      <c r="AQ74" s="170">
        <f>$D75*'Vegetables, roots, legumes'!Z174+$D76*'Vegetables, roots, legumes'!Z178+$D77*'Vegetables, roots, legumes'!Z182</f>
        <v>0.97865714072617471</v>
      </c>
      <c r="AR74" s="170">
        <f>$D75*'Vegetables, roots, legumes'!AA174+$D76*'Vegetables, roots, legumes'!AA178+$D77*'Vegetables, roots, legumes'!AA182</f>
        <v>0.97865714072617471</v>
      </c>
      <c r="AS74" s="170">
        <f>$D75*'Vegetables, roots, legumes'!AB174+$D76*'Vegetables, roots, legumes'!AB178+$D77*'Vegetables, roots, legumes'!AB182</f>
        <v>0.97865714072617471</v>
      </c>
      <c r="AT74" s="170">
        <f>$D75*'Vegetables, roots, legumes'!AC174+$D76*'Vegetables, roots, legumes'!AC178+$D77*'Vegetables, roots, legumes'!AC182</f>
        <v>1.1679879946606693</v>
      </c>
      <c r="AU74" s="170">
        <f>$D75*'Vegetables, roots, legumes'!AD174+$D76*'Vegetables, roots, legumes'!AD178+$D77*'Vegetables, roots, legumes'!AD182</f>
        <v>1.4419604872353937</v>
      </c>
      <c r="AV74" s="106"/>
      <c r="AW74" s="212">
        <f>$D75*'Vegetables, roots, legumes'!AF174+$D76*'Vegetables, roots, legumes'!AF178+$D77*'Vegetables, roots, legumes'!AF182</f>
        <v>1.655204788117912E-2</v>
      </c>
      <c r="AX74" s="212">
        <f>$D75*'Vegetables, roots, legumes'!AG174+$D76*'Vegetables, roots, legumes'!AG178+$D77*'Vegetables, roots, legumes'!AG182</f>
        <v>1.655204788117912E-2</v>
      </c>
      <c r="AY74" s="212">
        <f>$D75*'Vegetables, roots, legumes'!AH174+$D76*'Vegetables, roots, legumes'!AH178+$D77*'Vegetables, roots, legumes'!AH182</f>
        <v>1.655204788117912E-2</v>
      </c>
      <c r="AZ74" s="212">
        <f>$D75*'Vegetables, roots, legumes'!AI174+$D76*'Vegetables, roots, legumes'!AI178+$D77*'Vegetables, roots, legumes'!AI182</f>
        <v>1.655204788117912E-2</v>
      </c>
      <c r="BA74" s="212">
        <f>$D75*'Vegetables, roots, legumes'!AJ174+$D76*'Vegetables, roots, legumes'!AJ178+$D77*'Vegetables, roots, legumes'!AJ182</f>
        <v>1.975420441720864E-2</v>
      </c>
      <c r="BB74" s="212">
        <f>$D75*'Vegetables, roots, legumes'!AK174+$D76*'Vegetables, roots, legumes'!AK178+$D77*'Vegetables, roots, legumes'!AK182</f>
        <v>2.4387906687911895E-2</v>
      </c>
      <c r="BC74" s="106"/>
      <c r="BD74" s="212">
        <f>$D75*'Vegetables, roots, legumes'!AM174+$D76*'Vegetables, roots, legumes'!AM178+$D77*'Vegetables, roots, legumes'!AM182</f>
        <v>2.3578054834232343E-3</v>
      </c>
      <c r="BE74" s="212">
        <f>$D75*'Vegetables, roots, legumes'!AN174+$D76*'Vegetables, roots, legumes'!AN178+$D77*'Vegetables, roots, legumes'!AN182</f>
        <v>2.3578054834232343E-3</v>
      </c>
      <c r="BF74" s="212">
        <f>$D75*'Vegetables, roots, legumes'!AO174+$D76*'Vegetables, roots, legumes'!AO178+$D77*'Vegetables, roots, legumes'!AO182</f>
        <v>2.3578054834232343E-3</v>
      </c>
      <c r="BG74" s="212">
        <f>$D75*'Vegetables, roots, legumes'!AP174+$D76*'Vegetables, roots, legumes'!AP178+$D77*'Vegetables, roots, legumes'!AP182</f>
        <v>2.3578054834232343E-3</v>
      </c>
      <c r="BH74" s="212">
        <f>$D75*'Vegetables, roots, legumes'!AQ174+$D76*'Vegetables, roots, legumes'!AQ178+$D77*'Vegetables, roots, legumes'!AQ182</f>
        <v>2.8139461551775088E-3</v>
      </c>
      <c r="BI74" s="212">
        <f>$D75*'Vegetables, roots, legumes'!AR174+$D76*'Vegetables, roots, legumes'!AR178+$D77*'Vegetables, roots, legumes'!AR182</f>
        <v>3.474007598984578E-3</v>
      </c>
      <c r="BJ74" s="266"/>
      <c r="BK74" s="212">
        <f>$D75*'Vegetables, roots, legumes'!AT174+$D76*'Vegetables, roots, legumes'!AT178+$D77*'Vegetables, roots, legumes'!AT182</f>
        <v>3.2359763042479409E-2</v>
      </c>
      <c r="BL74" s="212">
        <f>$D75*'Vegetables, roots, legumes'!AU174+$D76*'Vegetables, roots, legumes'!AU178+$D77*'Vegetables, roots, legumes'!AU182</f>
        <v>3.2359763042479409E-2</v>
      </c>
      <c r="BM74" s="212">
        <f>$D75*'Vegetables, roots, legumes'!AV174+$D76*'Vegetables, roots, legumes'!AV178+$D77*'Vegetables, roots, legumes'!AV182</f>
        <v>3.2359763042479409E-2</v>
      </c>
      <c r="BN74" s="212">
        <f>$D75*'Vegetables, roots, legumes'!AW174+$D76*'Vegetables, roots, legumes'!AW178+$D77*'Vegetables, roots, legumes'!AW182</f>
        <v>3.2359763042479409E-2</v>
      </c>
      <c r="BO74" s="212">
        <f>$D75*'Vegetables, roots, legumes'!AX174+$D76*'Vegetables, roots, legumes'!AX178+$D77*'Vegetables, roots, legumes'!AX182</f>
        <v>3.8620077625587071E-2</v>
      </c>
      <c r="BP74" s="212">
        <f>$D75*'Vegetables, roots, legumes'!AY174+$D76*'Vegetables, roots, legumes'!AY178+$D77*'Vegetables, roots, legumes'!AY182</f>
        <v>4.7679108179737119E-2</v>
      </c>
      <c r="BQ74" s="266"/>
      <c r="BR74" s="212">
        <f>$D75*'Vegetables, roots, legumes'!BA174+$D76*'Vegetables, roots, legumes'!BA178+$D77*'Vegetables, roots, legumes'!BA182</f>
        <v>2.399998100634893E-10</v>
      </c>
      <c r="BS74" s="212">
        <f>$D75*'Vegetables, roots, legumes'!BB174+$D76*'Vegetables, roots, legumes'!BB178+$D77*'Vegetables, roots, legumes'!BB182</f>
        <v>2.399998100634893E-10</v>
      </c>
      <c r="BT74" s="212">
        <f>$D75*'Vegetables, roots, legumes'!BC174+$D76*'Vegetables, roots, legumes'!BC178+$D77*'Vegetables, roots, legumes'!BC182</f>
        <v>2.399998100634893E-10</v>
      </c>
      <c r="BU74" s="212">
        <f>$D75*'Vegetables, roots, legumes'!BD174+$D76*'Vegetables, roots, legumes'!BD178+$D77*'Vegetables, roots, legumes'!BD182</f>
        <v>2.399998100634893E-10</v>
      </c>
      <c r="BV74" s="212">
        <f>$D75*'Vegetables, roots, legumes'!BE174+$D76*'Vegetables, roots, legumes'!BE178+$D77*'Vegetables, roots, legumes'!BE182</f>
        <v>2.8643013493673381E-10</v>
      </c>
      <c r="BW74" s="212">
        <f>$D75*'Vegetables, roots, legumes'!BF174+$D76*'Vegetables, roots, legumes'!BF178+$D77*'Vegetables, roots, legumes'!BF182</f>
        <v>3.536174505391775E-10</v>
      </c>
      <c r="BY74" s="189">
        <f>T74/E74</f>
        <v>0</v>
      </c>
      <c r="BZ74" s="189">
        <f>$BY74*Z74</f>
        <v>0</v>
      </c>
      <c r="CA74" s="189">
        <f>$BY74*AA74</f>
        <v>0</v>
      </c>
      <c r="CB74" s="189">
        <f>$BY74*AB74</f>
        <v>0</v>
      </c>
      <c r="CC74" s="189">
        <f>$BY74*AC74</f>
        <v>0</v>
      </c>
      <c r="CD74" s="189">
        <f>$BY74*AD74</f>
        <v>0</v>
      </c>
      <c r="CF74" s="189">
        <f>(F74/E74*'Common input data'!$B$195+G74/E74*'Common input data'!$B$196)/'Common input data'!$B$198</f>
        <v>4.0622944493799479E-4</v>
      </c>
      <c r="CG74" s="189">
        <f>$CF74*Z74</f>
        <v>4.0622944493799479E-4</v>
      </c>
      <c r="CH74" s="189">
        <f>$CF74*AA74</f>
        <v>4.0622944493799479E-4</v>
      </c>
      <c r="CI74" s="189">
        <f>$CF74*AB74</f>
        <v>4.0622944493799479E-4</v>
      </c>
      <c r="CJ74" s="189">
        <f>$CF74*AC74</f>
        <v>4.8481852839001645E-4</v>
      </c>
      <c r="CK74" s="189">
        <f>$CF74*AD74</f>
        <v>5.9854139307409428E-4</v>
      </c>
    </row>
    <row r="75" spans="1:89" ht="45">
      <c r="A75" s="18"/>
      <c r="B75" s="435" t="s">
        <v>122</v>
      </c>
      <c r="C75" s="435" t="s">
        <v>121</v>
      </c>
      <c r="D75" s="435">
        <v>0.66</v>
      </c>
      <c r="E75" s="797">
        <v>8428.7213498037745</v>
      </c>
      <c r="F75" s="797">
        <v>150</v>
      </c>
      <c r="G75" s="797">
        <v>0</v>
      </c>
      <c r="H75" s="797">
        <v>113.36959999999999</v>
      </c>
      <c r="P75" s="797">
        <v>140</v>
      </c>
      <c r="Q75" s="797">
        <v>0</v>
      </c>
      <c r="R75" s="797">
        <v>22.944752181740984</v>
      </c>
      <c r="S75" s="435">
        <v>9.7365303190518494E-3</v>
      </c>
      <c r="T75" s="54">
        <v>2.875</v>
      </c>
      <c r="U75" s="266">
        <v>4.9926191507892996E-13</v>
      </c>
      <c r="V75" s="266">
        <v>7.6196994155457501E-13</v>
      </c>
      <c r="W75" s="266">
        <v>6.9410319174027301E-14</v>
      </c>
      <c r="X75" s="266">
        <v>7.1402612381482693E-15</v>
      </c>
      <c r="Y75" s="266">
        <v>1.53428969970343E-12</v>
      </c>
      <c r="Z75" s="54">
        <v>1</v>
      </c>
      <c r="AA75" s="54">
        <f t="shared" ref="AA75:AB77" si="12">Z75</f>
        <v>1</v>
      </c>
      <c r="AB75" s="54">
        <f t="shared" si="12"/>
        <v>1</v>
      </c>
      <c r="AC75" s="435">
        <f>AB75/(1-'Common input data'!$B$140)</f>
        <v>1.1934598400763814</v>
      </c>
      <c r="AD75" s="435">
        <f>AC75/(1-'Common input data'!$B$178)</f>
        <v>1.4734072099708411</v>
      </c>
      <c r="AE75" t="s">
        <v>1826</v>
      </c>
      <c r="AF75" s="1123" t="s">
        <v>1826</v>
      </c>
      <c r="AG75" t="s">
        <v>1828</v>
      </c>
      <c r="AH75" t="s">
        <v>1845</v>
      </c>
      <c r="AI75" s="64" t="s">
        <v>1797</v>
      </c>
      <c r="AJ75"/>
      <c r="AK75" s="1118" t="s">
        <v>1798</v>
      </c>
      <c r="AL75" s="114" t="s">
        <v>1799</v>
      </c>
      <c r="AM75" t="s">
        <v>1800</v>
      </c>
      <c r="AO75"/>
    </row>
    <row r="76" spans="1:89" ht="45">
      <c r="A76" s="140"/>
      <c r="B76" s="435" t="s">
        <v>130</v>
      </c>
      <c r="C76" s="435" t="s">
        <v>121</v>
      </c>
      <c r="D76" s="435">
        <v>0.14000000000000001</v>
      </c>
      <c r="E76" s="797">
        <v>17353</v>
      </c>
      <c r="F76" s="797">
        <v>298</v>
      </c>
      <c r="G76" s="797">
        <v>0</v>
      </c>
      <c r="H76" s="797">
        <v>194.00654</v>
      </c>
      <c r="P76" s="797">
        <v>140</v>
      </c>
      <c r="Q76" s="797">
        <v>0</v>
      </c>
      <c r="R76" s="797">
        <v>43.347709798990842</v>
      </c>
      <c r="S76" s="435">
        <v>0.104</v>
      </c>
      <c r="T76" s="54">
        <v>15.920000000000002</v>
      </c>
      <c r="U76" s="266">
        <v>3.7738174209626004E-12</v>
      </c>
      <c r="V76" s="266">
        <v>2.5819413353737599E-12</v>
      </c>
      <c r="W76" s="266">
        <v>3.8726446962259297E-12</v>
      </c>
      <c r="X76" s="266">
        <v>7.3859179387853007E-12</v>
      </c>
      <c r="Y76" s="266">
        <v>6.7025422877374503E-10</v>
      </c>
      <c r="Z76" s="54">
        <v>1</v>
      </c>
      <c r="AA76" s="54">
        <f t="shared" si="12"/>
        <v>1</v>
      </c>
      <c r="AB76" s="54">
        <f t="shared" si="12"/>
        <v>1</v>
      </c>
      <c r="AC76" s="435">
        <f>AB76/(1-'Common input data'!$B$140)</f>
        <v>1.1934598400763814</v>
      </c>
      <c r="AD76" s="435">
        <f>AC76/(1-'Common input data'!$B$178)</f>
        <v>1.4734072099708411</v>
      </c>
      <c r="AE76" t="s">
        <v>1829</v>
      </c>
      <c r="AF76" s="63" t="s">
        <v>1830</v>
      </c>
      <c r="AG76" t="s">
        <v>1821</v>
      </c>
      <c r="AH76" t="s">
        <v>1821</v>
      </c>
      <c r="AI76" s="64" t="s">
        <v>1797</v>
      </c>
      <c r="AJ76"/>
      <c r="AK76" s="1118" t="s">
        <v>1798</v>
      </c>
      <c r="AL76" s="114" t="s">
        <v>1807</v>
      </c>
      <c r="AM76" t="s">
        <v>1800</v>
      </c>
      <c r="AO76"/>
    </row>
    <row r="77" spans="1:89" ht="45">
      <c r="A77" s="140"/>
      <c r="B77" s="435" t="s">
        <v>125</v>
      </c>
      <c r="C77" s="435" t="s">
        <v>121</v>
      </c>
      <c r="D77" s="435">
        <v>0.2</v>
      </c>
      <c r="E77" s="797">
        <v>17400</v>
      </c>
      <c r="F77" s="797">
        <v>209</v>
      </c>
      <c r="G77" s="797">
        <v>0</v>
      </c>
      <c r="H77" s="797">
        <v>215.58600000000001</v>
      </c>
      <c r="P77" s="797">
        <v>140</v>
      </c>
      <c r="Q77" s="797">
        <v>0</v>
      </c>
      <c r="R77" s="797">
        <v>18.394179999999999</v>
      </c>
      <c r="S77" s="435">
        <v>5.6868265159525928E-2</v>
      </c>
      <c r="T77" s="54">
        <v>1.5399999999999998</v>
      </c>
      <c r="U77" s="266">
        <v>2.1365396680207653E-12</v>
      </c>
      <c r="V77" s="266">
        <v>1.6719556384641674E-12</v>
      </c>
      <c r="W77" s="266">
        <v>1.9710275076999785E-12</v>
      </c>
      <c r="X77" s="266">
        <v>3.6965291000117248E-12</v>
      </c>
      <c r="Y77" s="266">
        <v>3.3589425923672423E-10</v>
      </c>
      <c r="Z77" s="54">
        <v>1</v>
      </c>
      <c r="AA77" s="54">
        <f t="shared" si="12"/>
        <v>1</v>
      </c>
      <c r="AB77" s="54">
        <f t="shared" si="12"/>
        <v>1</v>
      </c>
      <c r="AC77" s="435">
        <f>AB77/(1-'Common input data'!$B$140)</f>
        <v>1.1934598400763814</v>
      </c>
      <c r="AD77" s="435">
        <f>AC77/(1-'Common input data'!$B$178)</f>
        <v>1.4734072099708411</v>
      </c>
      <c r="AE77" t="s">
        <v>1829</v>
      </c>
      <c r="AF77" s="63" t="s">
        <v>1830</v>
      </c>
      <c r="AG77" t="s">
        <v>1846</v>
      </c>
      <c r="AH77" t="s">
        <v>1824</v>
      </c>
      <c r="AI77" s="64" t="s">
        <v>1797</v>
      </c>
      <c r="AJ77"/>
      <c r="AK77" s="1118" t="s">
        <v>1798</v>
      </c>
      <c r="AL77" s="114" t="s">
        <v>1807</v>
      </c>
      <c r="AM77" t="s">
        <v>1800</v>
      </c>
      <c r="AO77"/>
    </row>
    <row r="78" spans="1:89">
      <c r="A78" s="139" t="s">
        <v>41</v>
      </c>
      <c r="B78" s="170" t="s">
        <v>120</v>
      </c>
      <c r="C78" s="170"/>
      <c r="D78" s="170">
        <v>1</v>
      </c>
      <c r="E78" s="798">
        <f>$D79*E79+$D80*E80+$D81*E81+$D82*E82+$D83*E83</f>
        <v>186033.35011852271</v>
      </c>
      <c r="F78" s="798">
        <f>$D79*F79+$D80*F80+$D81*F81+$D82*F82+$D83*F83</f>
        <v>431.71452468616673</v>
      </c>
      <c r="G78" s="798">
        <f>$D79*G79+$D80*G80+$D81*G81+$D82*G82+$D83*G83</f>
        <v>0</v>
      </c>
      <c r="H78" s="798">
        <f>$D79*H79+$D80*H80+$D81*H81+$D82*H82+$D83*H83</f>
        <v>26.462381585188897</v>
      </c>
      <c r="P78" s="798">
        <f>$D79*P79+$D80*P80+$D81*P81+$D82*P82+$D83*P83</f>
        <v>33.545542163548738</v>
      </c>
      <c r="Q78" s="798">
        <f>$D79*Q79+$D80*Q80+$D81*Q81+$D82*Q82+$D83*Q83</f>
        <v>0</v>
      </c>
      <c r="R78" s="798">
        <v>0</v>
      </c>
      <c r="S78" s="170">
        <f>$D79*S79+$D80*S80+$D81*S81+$D82*S82+$D83*S83</f>
        <v>0</v>
      </c>
      <c r="U78" s="212">
        <v>2.334644333088554E-12</v>
      </c>
      <c r="V78" s="212">
        <v>1.5952976387681603E-12</v>
      </c>
      <c r="W78" s="212">
        <v>1.9356289804781427E-12</v>
      </c>
      <c r="X78" s="212">
        <v>2.7080874422541993E-12</v>
      </c>
      <c r="Y78" s="212">
        <v>2.3864169461277894E-10</v>
      </c>
      <c r="Z78" s="170">
        <f>$D79*Z79+$D80*Z80+$D81*Z81+$D82*Z82+$D83*Z83</f>
        <v>1</v>
      </c>
      <c r="AA78" s="170">
        <f>$D79*AA79+$D80*AA80+$D81*AA81+$D82*AA82+$D83*AA83</f>
        <v>1</v>
      </c>
      <c r="AB78" s="170">
        <f>$D79*AB79+$D80*AB80+$D81*AB81+$D82*AB82+$D83*AB83</f>
        <v>1</v>
      </c>
      <c r="AC78" s="170">
        <f>$D79*AC79+$D80*AC80+$D81*AC81+$D82*AC82+$D83*AC83</f>
        <v>1.1934598400763814</v>
      </c>
      <c r="AD78" s="170">
        <f>AC78/(1-'Common input data'!$B$178)</f>
        <v>1.4734072099708411</v>
      </c>
      <c r="AF78" s="1123"/>
      <c r="AG78"/>
      <c r="AH78"/>
      <c r="AI78" s="64"/>
      <c r="AJ78"/>
      <c r="AK78" s="1118"/>
      <c r="AL78"/>
      <c r="AO78"/>
      <c r="AP78" s="170">
        <f>$D79*'Vegetables, roots, legumes'!Y72+$D80*'Vegetables, roots, legumes'!Y76+$D81*'Vegetables, roots, legumes'!Y80+$D82*'Vegetables, roots, legumes'!Y84+$D83*'Vegetables, roots, legumes'!Y88</f>
        <v>9.902893521003707E-2</v>
      </c>
      <c r="AQ78" s="170">
        <f>$D79*'Vegetables, roots, legumes'!Z72+$D80*'Vegetables, roots, legumes'!Z76+$D81*'Vegetables, roots, legumes'!Z80+$D82*'Vegetables, roots, legumes'!Z84+$D83*'Vegetables, roots, legumes'!Z88</f>
        <v>9.902893521003707E-2</v>
      </c>
      <c r="AR78" s="170">
        <f>$D79*'Vegetables, roots, legumes'!AA72+$D80*'Vegetables, roots, legumes'!AA76+$D81*'Vegetables, roots, legumes'!AA80+$D82*'Vegetables, roots, legumes'!AA84+$D83*'Vegetables, roots, legumes'!AA88</f>
        <v>9.902893521003707E-2</v>
      </c>
      <c r="AS78" s="170">
        <f>$D79*'Vegetables, roots, legumes'!AB72+$D80*'Vegetables, roots, legumes'!AB76+$D81*'Vegetables, roots, legumes'!AB80+$D82*'Vegetables, roots, legumes'!AB84+$D83*'Vegetables, roots, legumes'!AB88</f>
        <v>9.902893521003707E-2</v>
      </c>
      <c r="AT78" s="170">
        <f>$D79*'Vegetables, roots, legumes'!AC72+$D80*'Vegetables, roots, legumes'!AC76+$D81*'Vegetables, roots, legumes'!AC80+$D82*'Vegetables, roots, legumes'!AC84+$D83*'Vegetables, roots, legumes'!AC88</f>
        <v>0.11818705717870517</v>
      </c>
      <c r="AU78" s="170">
        <f>$D79*'Vegetables, roots, legumes'!AD72+$D80*'Vegetables, roots, legumes'!AD76+$D81*'Vegetables, roots, legumes'!AD80+$D82*'Vegetables, roots, legumes'!AD84+$D83*'Vegetables, roots, legumes'!AD88</f>
        <v>0.14590994713420391</v>
      </c>
      <c r="AV78" s="106"/>
      <c r="AW78" s="212">
        <f>$D79*'Vegetables, roots, legumes'!AF72+$D80*'Vegetables, roots, legumes'!AF76+$D81*'Vegetables, roots, legumes'!AF80+$D82*'Vegetables, roots, legumes'!AF84+$D83*'Vegetables, roots, legumes'!AF88</f>
        <v>2.7388460617891208E-3</v>
      </c>
      <c r="AX78" s="212">
        <f>$D79*'Vegetables, roots, legumes'!AG72+$D80*'Vegetables, roots, legumes'!AG76+$D81*'Vegetables, roots, legumes'!AG80+$D82*'Vegetables, roots, legumes'!AG84+$D83*'Vegetables, roots, legumes'!AG88</f>
        <v>2.7388460617891208E-3</v>
      </c>
      <c r="AY78" s="212">
        <f>$D79*'Vegetables, roots, legumes'!AH72+$D80*'Vegetables, roots, legumes'!AH76+$D81*'Vegetables, roots, legumes'!AH80+$D82*'Vegetables, roots, legumes'!AH84+$D83*'Vegetables, roots, legumes'!AH88</f>
        <v>2.7388460617891208E-3</v>
      </c>
      <c r="AZ78" s="212">
        <f>$D79*'Vegetables, roots, legumes'!AI72+$D80*'Vegetables, roots, legumes'!AI76+$D81*'Vegetables, roots, legumes'!AI80+$D82*'Vegetables, roots, legumes'!AI84+$D83*'Vegetables, roots, legumes'!AI88</f>
        <v>2.7388460617891208E-3</v>
      </c>
      <c r="BA78" s="212">
        <f>$D79*'Vegetables, roots, legumes'!AJ72+$D80*'Vegetables, roots, legumes'!AJ76+$D81*'Vegetables, roots, legumes'!AJ80+$D82*'Vegetables, roots, legumes'!AJ84+$D83*'Vegetables, roots, legumes'!AJ88</f>
        <v>3.268702782896672E-3</v>
      </c>
      <c r="BB78" s="212">
        <f>$D79*'Vegetables, roots, legumes'!AK72+$D80*'Vegetables, roots, legumes'!AK76+$D81*'Vegetables, roots, legumes'!AK80+$D82*'Vegetables, roots, legumes'!AK84+$D83*'Vegetables, roots, legumes'!AK88</f>
        <v>4.0354355344403344E-3</v>
      </c>
      <c r="BC78" s="106"/>
      <c r="BD78" s="212">
        <f>$D79*'Vegetables, roots, legumes'!AM72+$D80*'Vegetables, roots, legumes'!AM76+$D81*'Vegetables, roots, legumes'!AM80+$D82*'Vegetables, roots, legumes'!AM84+$D83*'Vegetables, roots, legumes'!AM88</f>
        <v>0</v>
      </c>
      <c r="BE78" s="212">
        <f>$D79*'Vegetables, roots, legumes'!AN72+$D80*'Vegetables, roots, legumes'!AN76+$D81*'Vegetables, roots, legumes'!AN80+$D82*'Vegetables, roots, legumes'!AN84+$D83*'Vegetables, roots, legumes'!AN88</f>
        <v>0</v>
      </c>
      <c r="BF78" s="212">
        <f>$D79*'Vegetables, roots, legumes'!AO72+$D80*'Vegetables, roots, legumes'!AO76+$D81*'Vegetables, roots, legumes'!AO80+$D82*'Vegetables, roots, legumes'!AO84+$D83*'Vegetables, roots, legumes'!AO88</f>
        <v>0</v>
      </c>
      <c r="BG78" s="212">
        <f>$D79*'Vegetables, roots, legumes'!AP72+$D80*'Vegetables, roots, legumes'!AP76+$D81*'Vegetables, roots, legumes'!AP80+$D82*'Vegetables, roots, legumes'!AP84+$D83*'Vegetables, roots, legumes'!AP88</f>
        <v>0</v>
      </c>
      <c r="BH78" s="212">
        <f>$D79*'Vegetables, roots, legumes'!AQ72+$D80*'Vegetables, roots, legumes'!AQ76+$D81*'Vegetables, roots, legumes'!AQ80+$D82*'Vegetables, roots, legumes'!AQ84+$D83*'Vegetables, roots, legumes'!AQ88</f>
        <v>0</v>
      </c>
      <c r="BI78" s="212">
        <f>$D79*'Vegetables, roots, legumes'!AR72+$D80*'Vegetables, roots, legumes'!AR76+$D81*'Vegetables, roots, legumes'!AR80+$D82*'Vegetables, roots, legumes'!AR84+$D83*'Vegetables, roots, legumes'!AR88</f>
        <v>0</v>
      </c>
      <c r="BJ78" s="266"/>
      <c r="BK78" s="212">
        <f>$D79*'Vegetables, roots, legumes'!AT72+$D80*'Vegetables, roots, legumes'!AT76+$D81*'Vegetables, roots, legumes'!AT80+$D82*'Vegetables, roots, legumes'!AT84+$D83*'Vegetables, roots, legumes'!AT88</f>
        <v>0</v>
      </c>
      <c r="BL78" s="212">
        <f>$D79*'Vegetables, roots, legumes'!AU72+$D80*'Vegetables, roots, legumes'!AU76+$D81*'Vegetables, roots, legumes'!AU80+$D82*'Vegetables, roots, legumes'!AU84+$D83*'Vegetables, roots, legumes'!AU88</f>
        <v>0</v>
      </c>
      <c r="BM78" s="212">
        <f>$D79*'Vegetables, roots, legumes'!AV72+$D80*'Vegetables, roots, legumes'!AV76+$D81*'Vegetables, roots, legumes'!AV80+$D82*'Vegetables, roots, legumes'!AV84+$D83*'Vegetables, roots, legumes'!AV88</f>
        <v>0</v>
      </c>
      <c r="BN78" s="212">
        <f>$D79*'Vegetables, roots, legumes'!AW72+$D80*'Vegetables, roots, legumes'!AW76+$D81*'Vegetables, roots, legumes'!AW80+$D82*'Vegetables, roots, legumes'!AW84+$D83*'Vegetables, roots, legumes'!AW88</f>
        <v>0</v>
      </c>
      <c r="BO78" s="212">
        <f>$D79*'Vegetables, roots, legumes'!AX72+$D80*'Vegetables, roots, legumes'!AX76+$D81*'Vegetables, roots, legumes'!AX80+$D82*'Vegetables, roots, legumes'!AX84+$D83*'Vegetables, roots, legumes'!AX88</f>
        <v>0</v>
      </c>
      <c r="BP78" s="212">
        <f>$D79*'Vegetables, roots, legumes'!AY72+$D80*'Vegetables, roots, legumes'!AY76+$D81*'Vegetables, roots, legumes'!AY80+$D82*'Vegetables, roots, legumes'!AY84+$D83*'Vegetables, roots, legumes'!AY88</f>
        <v>0</v>
      </c>
      <c r="BQ78" s="266"/>
      <c r="BR78" s="212">
        <f>$D79*'Vegetables, roots, legumes'!BA72+$D80*'Vegetables, roots, legumes'!BA76+$D81*'Vegetables, roots, legumes'!BA80+$D82*'Vegetables, roots, legumes'!BA84+$D83*'Vegetables, roots, legumes'!BA88</f>
        <v>1.1044628497154875E-10</v>
      </c>
      <c r="BS78" s="212">
        <f>$D79*'Vegetables, roots, legumes'!BB72+$D80*'Vegetables, roots, legumes'!BB76+$D81*'Vegetables, roots, legumes'!BB80+$D82*'Vegetables, roots, legumes'!BB84+$D83*'Vegetables, roots, legumes'!BB88</f>
        <v>1.1044628497154875E-10</v>
      </c>
      <c r="BT78" s="212">
        <f>$D79*'Vegetables, roots, legumes'!BC72+$D80*'Vegetables, roots, legumes'!BC76+$D81*'Vegetables, roots, legumes'!BC80+$D82*'Vegetables, roots, legumes'!BC84+$D83*'Vegetables, roots, legumes'!BC88</f>
        <v>1.1044628497154875E-10</v>
      </c>
      <c r="BU78" s="212">
        <f>$D79*'Vegetables, roots, legumes'!BD72+$D80*'Vegetables, roots, legumes'!BD76+$D81*'Vegetables, roots, legumes'!BD80+$D82*'Vegetables, roots, legumes'!BD84+$D83*'Vegetables, roots, legumes'!BD88</f>
        <v>1.1044628497154875E-10</v>
      </c>
      <c r="BV78" s="212">
        <f>$D79*'Vegetables, roots, legumes'!BE72+$D80*'Vegetables, roots, legumes'!BE76+$D81*'Vegetables, roots, legumes'!BE80+$D82*'Vegetables, roots, legumes'!BE84+$D83*'Vegetables, roots, legumes'!BE88</f>
        <v>1.3181320559917501E-10</v>
      </c>
      <c r="BW78" s="212">
        <f>$D79*'Vegetables, roots, legumes'!BF72+$D80*'Vegetables, roots, legumes'!BF76+$D81*'Vegetables, roots, legumes'!BF80+$D82*'Vegetables, roots, legumes'!BF84+$D83*'Vegetables, roots, legumes'!BF88</f>
        <v>1.6273235259157406E-10</v>
      </c>
      <c r="BY78" s="189">
        <f>T78/E78</f>
        <v>0</v>
      </c>
      <c r="BZ78" s="189">
        <f>$BY78*Z78</f>
        <v>0</v>
      </c>
      <c r="CA78" s="189">
        <f>$BY78*AA78</f>
        <v>0</v>
      </c>
      <c r="CB78" s="189">
        <f>$BY78*AB78</f>
        <v>0</v>
      </c>
      <c r="CC78" s="189">
        <f>$BY78*AC78</f>
        <v>0</v>
      </c>
      <c r="CD78" s="189">
        <f>$BY78*AD78</f>
        <v>0</v>
      </c>
      <c r="CF78" s="189">
        <f>(F78/E78*'Common input data'!$B$195+G78/E78*'Common input data'!$B$196)/'Common input data'!$B$198</f>
        <v>5.9254340451002966E-5</v>
      </c>
      <c r="CG78" s="189">
        <f>$CF78*Z78</f>
        <v>5.9254340451002966E-5</v>
      </c>
      <c r="CH78" s="189">
        <f>$CF78*AA78</f>
        <v>5.9254340451002966E-5</v>
      </c>
      <c r="CI78" s="189">
        <f>$CF78*AB78</f>
        <v>5.9254340451002966E-5</v>
      </c>
      <c r="CJ78" s="189">
        <f>$CF78*AC78</f>
        <v>7.071767567848546E-5</v>
      </c>
      <c r="CK78" s="189">
        <f>$CF78*AD78</f>
        <v>8.7305772442574631E-5</v>
      </c>
    </row>
    <row r="79" spans="1:89" ht="45">
      <c r="A79" s="18"/>
      <c r="B79" s="435" t="s">
        <v>148</v>
      </c>
      <c r="C79" s="435" t="s">
        <v>129</v>
      </c>
      <c r="D79" s="435">
        <v>0.60091427556903521</v>
      </c>
      <c r="E79" s="797">
        <v>272934</v>
      </c>
      <c r="F79" s="797">
        <v>573</v>
      </c>
      <c r="G79" s="797">
        <v>0</v>
      </c>
      <c r="H79" s="797">
        <v>0</v>
      </c>
      <c r="P79" s="797">
        <v>0</v>
      </c>
      <c r="Q79" s="797">
        <v>0</v>
      </c>
      <c r="R79" s="1137"/>
      <c r="S79" s="996"/>
      <c r="T79" s="1135"/>
      <c r="U79" s="266">
        <v>1.55658152159693E-12</v>
      </c>
      <c r="V79" s="266">
        <v>1.0618866300510301E-12</v>
      </c>
      <c r="W79" s="266">
        <v>8.8841658719714498E-13</v>
      </c>
      <c r="X79" s="266">
        <v>1.7910327872404899E-13</v>
      </c>
      <c r="Y79" s="266">
        <v>5.2982110291723597E-12</v>
      </c>
      <c r="Z79" s="54">
        <v>1</v>
      </c>
      <c r="AA79" s="54">
        <f t="shared" ref="AA79:AB83" si="13">Z79</f>
        <v>1</v>
      </c>
      <c r="AB79" s="54">
        <f t="shared" si="13"/>
        <v>1</v>
      </c>
      <c r="AC79" s="435">
        <f>AB79/(1-'Common input data'!$B$140)</f>
        <v>1.1934598400763814</v>
      </c>
      <c r="AD79" s="435">
        <f>AC79/(1-'Common input data'!$B$178)</f>
        <v>1.4734072099708411</v>
      </c>
      <c r="AE79" t="s">
        <v>1847</v>
      </c>
      <c r="AF79" s="63" t="s">
        <v>1830</v>
      </c>
      <c r="AG79" t="s">
        <v>1848</v>
      </c>
      <c r="AH79"/>
      <c r="AI79" s="64"/>
      <c r="AJ79"/>
      <c r="AK79" s="1118" t="s">
        <v>1798</v>
      </c>
      <c r="AL79" s="114"/>
      <c r="AM79" t="s">
        <v>1800</v>
      </c>
      <c r="AO79"/>
    </row>
    <row r="80" spans="1:89" ht="45">
      <c r="A80" s="140"/>
      <c r="B80" s="435" t="s">
        <v>130</v>
      </c>
      <c r="C80" s="435" t="s">
        <v>1820</v>
      </c>
      <c r="D80" s="435">
        <v>0.1185948576891951</v>
      </c>
      <c r="E80" s="797">
        <v>72326</v>
      </c>
      <c r="F80" s="797">
        <v>338</v>
      </c>
      <c r="G80" s="797">
        <v>0</v>
      </c>
      <c r="H80" s="797">
        <v>0</v>
      </c>
      <c r="P80" s="96">
        <v>0</v>
      </c>
      <c r="Q80" s="96">
        <v>0</v>
      </c>
      <c r="R80" s="1136"/>
      <c r="S80" s="1135"/>
      <c r="T80" s="54">
        <v>15.920000000000002</v>
      </c>
      <c r="U80" s="189">
        <v>3.7738174209626004E-12</v>
      </c>
      <c r="V80" s="189">
        <v>2.5819413353737599E-12</v>
      </c>
      <c r="W80" s="189">
        <v>3.8726446962259297E-12</v>
      </c>
      <c r="X80" s="189">
        <v>7.3859179387853007E-12</v>
      </c>
      <c r="Y80" s="189">
        <v>6.7025422877374503E-10</v>
      </c>
      <c r="Z80" s="54">
        <v>1</v>
      </c>
      <c r="AA80" s="54">
        <f t="shared" si="13"/>
        <v>1</v>
      </c>
      <c r="AB80" s="54">
        <f t="shared" si="13"/>
        <v>1</v>
      </c>
      <c r="AC80" s="435">
        <f>AB80/(1-'Common input data'!$B$140)</f>
        <v>1.1934598400763814</v>
      </c>
      <c r="AD80" s="435">
        <f>AC80/(1-'Common input data'!$B$178)</f>
        <v>1.4734072099708411</v>
      </c>
      <c r="AE80" t="s">
        <v>1832</v>
      </c>
      <c r="AF80" s="63" t="s">
        <v>1833</v>
      </c>
      <c r="AG80" t="s">
        <v>1821</v>
      </c>
      <c r="AH80"/>
      <c r="AI80" s="64"/>
      <c r="AJ80"/>
      <c r="AK80" s="1118" t="s">
        <v>1798</v>
      </c>
      <c r="AL80" s="114" t="s">
        <v>1807</v>
      </c>
      <c r="AM80" t="s">
        <v>1800</v>
      </c>
      <c r="AO80"/>
    </row>
    <row r="81" spans="1:89" ht="45">
      <c r="A81" s="140"/>
      <c r="B81" s="435"/>
      <c r="C81" s="435" t="s">
        <v>121</v>
      </c>
      <c r="D81" s="435">
        <v>0.13598069034833049</v>
      </c>
      <c r="E81" s="797">
        <v>57121</v>
      </c>
      <c r="F81" s="797">
        <v>260</v>
      </c>
      <c r="G81" s="797">
        <v>0</v>
      </c>
      <c r="H81" s="797">
        <v>128.52224999999999</v>
      </c>
      <c r="P81" s="797">
        <v>140</v>
      </c>
      <c r="Q81" s="797">
        <v>0</v>
      </c>
      <c r="R81" s="1137"/>
      <c r="S81" s="996"/>
      <c r="T81" s="54">
        <v>15.920000000000002</v>
      </c>
      <c r="U81" s="266">
        <v>3.7738174209626004E-12</v>
      </c>
      <c r="V81" s="266">
        <v>2.5819413353737599E-12</v>
      </c>
      <c r="W81" s="266">
        <v>3.8726446962259297E-12</v>
      </c>
      <c r="X81" s="266">
        <v>7.3859179387853007E-12</v>
      </c>
      <c r="Y81" s="266">
        <v>6.7025422877374503E-10</v>
      </c>
      <c r="Z81" s="54">
        <v>1</v>
      </c>
      <c r="AA81" s="54">
        <f t="shared" si="13"/>
        <v>1</v>
      </c>
      <c r="AB81" s="54">
        <f t="shared" si="13"/>
        <v>1</v>
      </c>
      <c r="AC81" s="435">
        <f>AB81/(1-'Common input data'!$B$140)</f>
        <v>1.1934598400763814</v>
      </c>
      <c r="AD81" s="435">
        <f>AC81/(1-'Common input data'!$B$178)</f>
        <v>1.4734072099708411</v>
      </c>
      <c r="AE81" t="s">
        <v>1832</v>
      </c>
      <c r="AF81" s="63" t="s">
        <v>1833</v>
      </c>
      <c r="AG81" t="s">
        <v>1821</v>
      </c>
      <c r="AH81" t="s">
        <v>1821</v>
      </c>
      <c r="AI81" s="64" t="s">
        <v>1797</v>
      </c>
      <c r="AJ81"/>
      <c r="AK81" s="1118" t="s">
        <v>1798</v>
      </c>
      <c r="AL81" s="114" t="s">
        <v>1807</v>
      </c>
      <c r="AM81" t="s">
        <v>1800</v>
      </c>
      <c r="AO81"/>
    </row>
    <row r="82" spans="1:89" ht="45">
      <c r="A82" s="140"/>
      <c r="B82" s="435" t="s">
        <v>125</v>
      </c>
      <c r="C82" s="435" t="s">
        <v>129</v>
      </c>
      <c r="D82" s="435">
        <v>4.0879851287850155E-2</v>
      </c>
      <c r="E82" s="797">
        <v>41215</v>
      </c>
      <c r="F82" s="797">
        <v>87</v>
      </c>
      <c r="G82" s="797">
        <v>0</v>
      </c>
      <c r="H82" s="96">
        <v>0</v>
      </c>
      <c r="P82" s="96">
        <v>0</v>
      </c>
      <c r="Q82" s="96">
        <v>0</v>
      </c>
      <c r="R82" s="1136"/>
      <c r="S82" s="1135"/>
      <c r="T82" s="1135"/>
      <c r="U82" s="189">
        <v>3.0347387878407101E-12</v>
      </c>
      <c r="V82" s="189">
        <v>2.0752564335995168E-12</v>
      </c>
      <c r="W82" s="189">
        <v>2.877901993216335E-12</v>
      </c>
      <c r="X82" s="189">
        <v>4.9836463854315497E-12</v>
      </c>
      <c r="Y82" s="189">
        <v>4.4860222285888746E-10</v>
      </c>
      <c r="Z82" s="54">
        <v>1</v>
      </c>
      <c r="AA82" s="54">
        <f t="shared" si="13"/>
        <v>1</v>
      </c>
      <c r="AB82" s="54">
        <f t="shared" si="13"/>
        <v>1</v>
      </c>
      <c r="AC82" s="435">
        <f>AB82/(1-'Common input data'!$B$140)</f>
        <v>1.1934598400763814</v>
      </c>
      <c r="AD82" s="435">
        <f>AC82/(1-'Common input data'!$B$178)</f>
        <v>1.4734072099708411</v>
      </c>
      <c r="AE82" t="s">
        <v>1829</v>
      </c>
      <c r="AF82" s="63" t="s">
        <v>1830</v>
      </c>
      <c r="AG82" t="s">
        <v>1848</v>
      </c>
      <c r="AH82"/>
      <c r="AI82" s="64"/>
      <c r="AJ82"/>
      <c r="AK82" s="1118" t="s">
        <v>1798</v>
      </c>
      <c r="AL82" s="114"/>
      <c r="AM82" t="s">
        <v>1800</v>
      </c>
      <c r="AO82"/>
    </row>
    <row r="83" spans="1:89" ht="45">
      <c r="A83" s="140"/>
      <c r="B83" s="435"/>
      <c r="C83" s="435" t="s">
        <v>121</v>
      </c>
      <c r="D83" s="435">
        <v>0.10363032510558906</v>
      </c>
      <c r="E83" s="797">
        <v>38538</v>
      </c>
      <c r="F83" s="797">
        <v>81</v>
      </c>
      <c r="G83" s="797">
        <v>0</v>
      </c>
      <c r="H83" s="797">
        <v>86.710499999999996</v>
      </c>
      <c r="P83" s="797">
        <v>140</v>
      </c>
      <c r="Q83" s="797">
        <v>0</v>
      </c>
      <c r="R83" s="1137"/>
      <c r="S83" s="996"/>
      <c r="T83" s="1135"/>
      <c r="U83" s="266">
        <v>3.0347387878407101E-12</v>
      </c>
      <c r="V83" s="266">
        <v>2.0752564335995168E-12</v>
      </c>
      <c r="W83" s="266">
        <v>2.877901993216335E-12</v>
      </c>
      <c r="X83" s="266">
        <v>4.9836463854315497E-12</v>
      </c>
      <c r="Y83" s="266">
        <v>4.4860222285888746E-10</v>
      </c>
      <c r="Z83" s="54">
        <v>1</v>
      </c>
      <c r="AA83" s="54">
        <f t="shared" si="13"/>
        <v>1</v>
      </c>
      <c r="AB83" s="54">
        <f t="shared" si="13"/>
        <v>1</v>
      </c>
      <c r="AC83" s="435">
        <f>AB83/(1-'Common input data'!$B$140)</f>
        <v>1.1934598400763814</v>
      </c>
      <c r="AD83" s="435">
        <f>AC83/(1-'Common input data'!$B$178)</f>
        <v>1.4734072099708411</v>
      </c>
      <c r="AE83" t="s">
        <v>1829</v>
      </c>
      <c r="AF83" s="63" t="s">
        <v>1830</v>
      </c>
      <c r="AG83" t="s">
        <v>1848</v>
      </c>
      <c r="AH83" t="s">
        <v>1821</v>
      </c>
      <c r="AI83" s="64" t="s">
        <v>1797</v>
      </c>
      <c r="AJ83"/>
      <c r="AK83" s="1118" t="s">
        <v>1798</v>
      </c>
      <c r="AL83" s="114"/>
      <c r="AM83" t="s">
        <v>1800</v>
      </c>
      <c r="AO83"/>
    </row>
    <row r="84" spans="1:89">
      <c r="A84" s="139" t="s">
        <v>28</v>
      </c>
      <c r="B84" s="170" t="s">
        <v>120</v>
      </c>
      <c r="C84" s="170" t="s">
        <v>121</v>
      </c>
      <c r="D84" s="170">
        <v>1</v>
      </c>
      <c r="E84" s="798">
        <f>$D85*E85+$D86*E86+$D87*E87+$D88*E88</f>
        <v>24012.429502892206</v>
      </c>
      <c r="F84" s="798">
        <f>$D85*F85+$D86*F86+$D87*F87+$D88*F88</f>
        <v>38.100396024719466</v>
      </c>
      <c r="G84" s="798">
        <f>$D85*G85+$D86*G86+$D87*G87+$D88*G88</f>
        <v>0</v>
      </c>
      <c r="H84" s="798">
        <f>$D85*H85+$D86*H86+$D87*H87+$D88*H88</f>
        <v>0</v>
      </c>
      <c r="P84" s="798">
        <f>$D85*P85+$D86*P86+$D87*P87+$D88*P88</f>
        <v>450</v>
      </c>
      <c r="Q84" s="798">
        <f>$D85*Q85+$D86*Q86+$D87*Q87+$D88*Q88</f>
        <v>0</v>
      </c>
      <c r="R84" s="798">
        <v>22.558493693911807</v>
      </c>
      <c r="S84" s="170">
        <f>$D85*S85+$D86*S86+$D87*S87+$D88*S88</f>
        <v>2.2048195492409342E-2</v>
      </c>
      <c r="U84" s="212">
        <v>3.5858151636440697E-12</v>
      </c>
      <c r="V84" s="212">
        <v>1.2111576196189164E-12</v>
      </c>
      <c r="W84" s="212">
        <v>7.0245243991353545E-12</v>
      </c>
      <c r="X84" s="212">
        <v>1.6963914238520298E-12</v>
      </c>
      <c r="Y84" s="212">
        <v>2.0556245566940831E-10</v>
      </c>
      <c r="Z84" s="170">
        <f>$D85*Z85+$D86*Z86+$D87*Z87+$D88*Z88</f>
        <v>1</v>
      </c>
      <c r="AA84" s="170">
        <f>$D85*AA85+$D86*AA86+$D87*AA87+$D88*AA88</f>
        <v>1</v>
      </c>
      <c r="AB84" s="170">
        <f>$D85*AB85+$D86*AB86+$D87*AB87+$D88*AB88</f>
        <v>1</v>
      </c>
      <c r="AC84" s="170">
        <f>$D85*AC85+$D86*AC86+$D87*AC87+$D88*AC88</f>
        <v>1.1934598400763814</v>
      </c>
      <c r="AD84" s="170">
        <f>AC84/(1-'Common input data'!$B$178)</f>
        <v>1.4734072099708411</v>
      </c>
      <c r="AF84" s="1123"/>
      <c r="AG84"/>
      <c r="AH84"/>
      <c r="AI84" s="64"/>
      <c r="AJ84"/>
      <c r="AK84" s="1118"/>
      <c r="AL84"/>
      <c r="AO84"/>
      <c r="AP84" s="170">
        <f>$D85*'Fruits, berries, cocoa, coffee'!Y14+$D86*'Fruits, berries, cocoa, coffee'!Y18+$D87*'Fruits, berries, cocoa, coffee'!Y22+$D88*'Fruits, berries, cocoa, coffee'!Y26</f>
        <v>0.50205670542461855</v>
      </c>
      <c r="AQ84" s="170">
        <f>$D85*'Fruits, berries, cocoa, coffee'!Z14+$D86*'Fruits, berries, cocoa, coffee'!Z18+$D87*'Fruits, berries, cocoa, coffee'!Z22+$D88*'Fruits, berries, cocoa, coffee'!Z26</f>
        <v>0.50205670542461855</v>
      </c>
      <c r="AR84" s="170">
        <f>$D85*'Fruits, berries, cocoa, coffee'!AA14+$D86*'Fruits, berries, cocoa, coffee'!AA18+$D87*'Fruits, berries, cocoa, coffee'!AA22+$D88*'Fruits, berries, cocoa, coffee'!AA26</f>
        <v>0.50205670542461855</v>
      </c>
      <c r="AS84" s="170">
        <f>$D85*'Fruits, berries, cocoa, coffee'!AB14+$D86*'Fruits, berries, cocoa, coffee'!AB18+$D87*'Fruits, berries, cocoa, coffee'!AB22+$D88*'Fruits, berries, cocoa, coffee'!AB26</f>
        <v>0.50205670542461855</v>
      </c>
      <c r="AT84" s="170">
        <f>$D85*'Fruits, berries, cocoa, coffee'!AC14+$D86*'Fruits, berries, cocoa, coffee'!AC18+$D87*'Fruits, berries, cocoa, coffee'!AC22+$D88*'Fruits, berries, cocoa, coffee'!AC26</f>
        <v>0.59918451536534012</v>
      </c>
      <c r="AU84" s="170">
        <f>$D85*'Fruits, berries, cocoa, coffee'!AD14+$D86*'Fruits, berries, cocoa, coffee'!AD18+$D87*'Fruits, berries, cocoa, coffee'!AD22+$D88*'Fruits, berries, cocoa, coffee'!AD26</f>
        <v>0.73973396958683968</v>
      </c>
      <c r="AV84" s="106"/>
      <c r="AW84" s="212">
        <f>$D85*'Fruits, berries, cocoa, coffee'!AF14+$D86*'Fruits, berries, cocoa, coffee'!AF18+$D87*'Fruits, berries, cocoa, coffee'!AF22+$D88*'Fruits, berries, cocoa, coffee'!AF26</f>
        <v>1.7513319209334021E-3</v>
      </c>
      <c r="AX84" s="212">
        <f>$D85*'Fruits, berries, cocoa, coffee'!AG14+$D86*'Fruits, berries, cocoa, coffee'!AG18+$D87*'Fruits, berries, cocoa, coffee'!AG22+$D88*'Fruits, berries, cocoa, coffee'!AG26</f>
        <v>1.7513319209334021E-3</v>
      </c>
      <c r="AY84" s="212">
        <f>$D85*'Fruits, berries, cocoa, coffee'!AH14+$D86*'Fruits, berries, cocoa, coffee'!AH18+$D87*'Fruits, berries, cocoa, coffee'!AH22+$D88*'Fruits, berries, cocoa, coffee'!AH26</f>
        <v>1.7513319209334021E-3</v>
      </c>
      <c r="AZ84" s="212">
        <f>$D85*'Fruits, berries, cocoa, coffee'!AI14+$D86*'Fruits, berries, cocoa, coffee'!AI18+$D87*'Fruits, berries, cocoa, coffee'!AI22+$D88*'Fruits, berries, cocoa, coffee'!AI26</f>
        <v>1.7513319209334021E-3</v>
      </c>
      <c r="BA84" s="212">
        <f>$D85*'Fruits, berries, cocoa, coffee'!AJ14+$D86*'Fruits, berries, cocoa, coffee'!AJ18+$D87*'Fruits, berries, cocoa, coffee'!AJ22+$D88*'Fruits, berries, cocoa, coffee'!AJ26</f>
        <v>2.0901443142778402E-3</v>
      </c>
      <c r="BB84" s="212">
        <f>$D85*'Fruits, berries, cocoa, coffee'!AK14+$D86*'Fruits, berries, cocoa, coffee'!AK18+$D87*'Fruits, berries, cocoa, coffee'!AK22+$D88*'Fruits, berries, cocoa, coffee'!AK26</f>
        <v>2.5804250793553573E-3</v>
      </c>
      <c r="BC84" s="106"/>
      <c r="BD84" s="212">
        <f>$D85*'Fruits, berries, cocoa, coffee'!AM14+$D86*'Fruits, berries, cocoa, coffee'!AM18+$D87*'Fruits, berries, cocoa, coffee'!AM22+$D88*'Fruits, berries, cocoa, coffee'!AM26</f>
        <v>9.688445705841915E-4</v>
      </c>
      <c r="BE84" s="212">
        <f>$D85*'Fruits, berries, cocoa, coffee'!AN14+$D86*'Fruits, berries, cocoa, coffee'!AN18+$D87*'Fruits, berries, cocoa, coffee'!AN22+$D88*'Fruits, berries, cocoa, coffee'!AN26</f>
        <v>9.688445705841915E-4</v>
      </c>
      <c r="BF84" s="212">
        <f>$D85*'Fruits, berries, cocoa, coffee'!AO14+$D86*'Fruits, berries, cocoa, coffee'!AO18+$D87*'Fruits, berries, cocoa, coffee'!AO22+$D88*'Fruits, berries, cocoa, coffee'!AO26</f>
        <v>9.688445705841915E-4</v>
      </c>
      <c r="BG84" s="212">
        <f>$D85*'Fruits, berries, cocoa, coffee'!AP14+$D86*'Fruits, berries, cocoa, coffee'!AP18+$D87*'Fruits, berries, cocoa, coffee'!AP22+$D88*'Fruits, berries, cocoa, coffee'!AP26</f>
        <v>9.688445705841915E-4</v>
      </c>
      <c r="BH84" s="212">
        <f>$D85*'Fruits, berries, cocoa, coffee'!AQ14+$D86*'Fruits, berries, cocoa, coffee'!AQ18+$D87*'Fruits, berries, cocoa, coffee'!AQ22+$D88*'Fruits, berries, cocoa, coffee'!AQ26</f>
        <v>1.1562770862682797E-3</v>
      </c>
      <c r="BI84" s="212">
        <f>$D85*'Fruits, berries, cocoa, coffee'!AR14+$D86*'Fruits, berries, cocoa, coffee'!AR18+$D87*'Fruits, berries, cocoa, coffee'!AR22+$D88*'Fruits, berries, cocoa, coffee'!AR26</f>
        <v>1.4275025756398511E-3</v>
      </c>
      <c r="BJ84" s="266"/>
      <c r="BK84" s="212">
        <f>$D85*'Fruits, berries, cocoa, coffee'!AT14+$D86*'Fruits, berries, cocoa, coffee'!AT18+$D87*'Fruits, berries, cocoa, coffee'!AT22+$D88*'Fruits, berries, cocoa, coffee'!AT26</f>
        <v>2.2048195492409342E-2</v>
      </c>
      <c r="BL84" s="212">
        <f>$D85*'Fruits, berries, cocoa, coffee'!AU14+$D86*'Fruits, berries, cocoa, coffee'!AU18+$D87*'Fruits, berries, cocoa, coffee'!AU22+$D88*'Fruits, berries, cocoa, coffee'!AU26</f>
        <v>2.2048195492409342E-2</v>
      </c>
      <c r="BM84" s="212">
        <f>$D85*'Fruits, berries, cocoa, coffee'!AV14+$D86*'Fruits, berries, cocoa, coffee'!AV18+$D87*'Fruits, berries, cocoa, coffee'!AV22+$D88*'Fruits, berries, cocoa, coffee'!AV26</f>
        <v>2.2048195492409342E-2</v>
      </c>
      <c r="BN84" s="212">
        <f>$D85*'Fruits, berries, cocoa, coffee'!AW14+$D86*'Fruits, berries, cocoa, coffee'!AW18+$D87*'Fruits, berries, cocoa, coffee'!AW22+$D88*'Fruits, berries, cocoa, coffee'!AW26</f>
        <v>2.2048195492409342E-2</v>
      </c>
      <c r="BO84" s="212">
        <f>$D85*'Fruits, berries, cocoa, coffee'!AX14+$D86*'Fruits, berries, cocoa, coffee'!AX18+$D87*'Fruits, berries, cocoa, coffee'!AX22+$D88*'Fruits, berries, cocoa, coffee'!AX26</f>
        <v>2.6313635866343648E-2</v>
      </c>
      <c r="BP84" s="212">
        <f>$D85*'Fruits, berries, cocoa, coffee'!AY14+$D86*'Fruits, berries, cocoa, coffee'!AY18+$D87*'Fruits, berries, cocoa, coffee'!AY22+$D88*'Fruits, berries, cocoa, coffee'!AY26</f>
        <v>3.2485970205362522E-2</v>
      </c>
      <c r="BQ84" s="266"/>
      <c r="BR84" s="212">
        <f>$D85*'Fruits, berries, cocoa, coffee'!BA14+$D86*'Fruits, berries, cocoa, coffee'!BA18+$D87*'Fruits, berries, cocoa, coffee'!BA22+$D88*'Fruits, berries, cocoa, coffee'!BA26</f>
        <v>2.1618206992852879E-10</v>
      </c>
      <c r="BS84" s="212">
        <f>$D85*'Fruits, berries, cocoa, coffee'!BB14+$D86*'Fruits, berries, cocoa, coffee'!BB18+$D87*'Fruits, berries, cocoa, coffee'!BB22+$D88*'Fruits, berries, cocoa, coffee'!BB26</f>
        <v>2.1618206992852879E-10</v>
      </c>
      <c r="BT84" s="212">
        <f>$D85*'Fruits, berries, cocoa, coffee'!BC14+$D86*'Fruits, berries, cocoa, coffee'!BC18+$D87*'Fruits, berries, cocoa, coffee'!BC22+$D88*'Fruits, berries, cocoa, coffee'!BC26</f>
        <v>2.1618206992852879E-10</v>
      </c>
      <c r="BU84" s="212">
        <f>$D85*'Fruits, berries, cocoa, coffee'!BD14+$D86*'Fruits, berries, cocoa, coffee'!BD18+$D87*'Fruits, berries, cocoa, coffee'!BD22+$D88*'Fruits, berries, cocoa, coffee'!BD26</f>
        <v>2.1618206992852879E-10</v>
      </c>
      <c r="BV84" s="212">
        <f>$D85*'Fruits, berries, cocoa, coffee'!BE14+$D86*'Fruits, berries, cocoa, coffee'!BE18+$D87*'Fruits, berries, cocoa, coffee'!BE22+$D88*'Fruits, berries, cocoa, coffee'!BE26</f>
        <v>2.5800461860428305E-10</v>
      </c>
      <c r="BW84" s="212">
        <f>$D85*'Fruits, berries, cocoa, coffee'!BF14+$D86*'Fruits, berries, cocoa, coffee'!BF18+$D87*'Fruits, berries, cocoa, coffee'!BF22+$D88*'Fruits, berries, cocoa, coffee'!BF26</f>
        <v>3.1852422049911482E-10</v>
      </c>
      <c r="BY84" s="189">
        <f>T84/E84</f>
        <v>0</v>
      </c>
      <c r="BZ84" s="189">
        <f>$BY84*Z84</f>
        <v>0</v>
      </c>
      <c r="CA84" s="189">
        <f>$BY84*AA84</f>
        <v>0</v>
      </c>
      <c r="CB84" s="189">
        <f>$BY84*AB84</f>
        <v>0</v>
      </c>
      <c r="CC84" s="189">
        <f>$BY84*AC84</f>
        <v>0</v>
      </c>
      <c r="CD84" s="189">
        <f>$BY84*AD84</f>
        <v>0</v>
      </c>
      <c r="CF84" s="189">
        <f>(F84/E84*'Common input data'!$B$195+G84/E84*'Common input data'!$B$196)/'Common input data'!$B$198</f>
        <v>4.0514240520982422E-5</v>
      </c>
      <c r="CG84" s="189">
        <f>$CF84*Z84</f>
        <v>4.0514240520982422E-5</v>
      </c>
      <c r="CH84" s="189">
        <f>$CF84*AA84</f>
        <v>4.0514240520982422E-5</v>
      </c>
      <c r="CI84" s="189">
        <f>$CF84*AB84</f>
        <v>4.0514240520982422E-5</v>
      </c>
      <c r="CJ84" s="189">
        <f>$CF84*AC84</f>
        <v>4.8352119012987732E-5</v>
      </c>
      <c r="CK84" s="189">
        <f>$CF84*AD84</f>
        <v>5.9693974090108304E-5</v>
      </c>
    </row>
    <row r="85" spans="1:89" ht="45">
      <c r="A85" s="18"/>
      <c r="B85" s="435" t="s">
        <v>122</v>
      </c>
      <c r="C85" s="435" t="s">
        <v>121</v>
      </c>
      <c r="D85" s="435">
        <v>0.1586294416</v>
      </c>
      <c r="E85" s="797">
        <v>15957</v>
      </c>
      <c r="F85" s="797">
        <v>41.488199999999999</v>
      </c>
      <c r="G85" s="797">
        <v>0</v>
      </c>
      <c r="H85" s="797">
        <v>0</v>
      </c>
      <c r="P85" s="96">
        <v>450</v>
      </c>
      <c r="Q85" s="96">
        <v>0</v>
      </c>
      <c r="R85" s="96">
        <v>6.3828000000000005</v>
      </c>
      <c r="S85" s="54">
        <v>0</v>
      </c>
      <c r="T85" s="54">
        <v>5.08</v>
      </c>
      <c r="U85" s="189">
        <v>4.9926191507892996E-13</v>
      </c>
      <c r="V85" s="189">
        <v>7.6196994155457501E-13</v>
      </c>
      <c r="W85" s="189">
        <v>6.9410319174027301E-14</v>
      </c>
      <c r="X85" s="189">
        <v>7.1402612381482693E-15</v>
      </c>
      <c r="Y85" s="189">
        <v>1.53428969970343E-12</v>
      </c>
      <c r="Z85" s="54">
        <v>1</v>
      </c>
      <c r="AA85" s="54">
        <f t="shared" ref="AA85:AB88" si="14">Z85</f>
        <v>1</v>
      </c>
      <c r="AB85" s="54">
        <f t="shared" si="14"/>
        <v>1</v>
      </c>
      <c r="AC85" s="435">
        <f>AB85/(1-'Common input data'!$B$140)</f>
        <v>1.1934598400763814</v>
      </c>
      <c r="AD85" s="435">
        <f>AC85/(1-'Common input data'!$B$178)</f>
        <v>1.4734072099708411</v>
      </c>
      <c r="AE85" t="s">
        <v>1802</v>
      </c>
      <c r="AF85" s="1123" t="s">
        <v>1794</v>
      </c>
      <c r="AG85" t="s">
        <v>1849</v>
      </c>
      <c r="AH85"/>
      <c r="AI85" s="64" t="s">
        <v>1850</v>
      </c>
      <c r="AJ85"/>
      <c r="AK85" s="1118" t="s">
        <v>1798</v>
      </c>
      <c r="AL85" s="114" t="s">
        <v>1799</v>
      </c>
      <c r="AM85" t="s">
        <v>1800</v>
      </c>
      <c r="AO85"/>
    </row>
    <row r="86" spans="1:89" ht="45">
      <c r="A86" s="140"/>
      <c r="B86" s="435" t="s">
        <v>123</v>
      </c>
      <c r="C86" s="435" t="s">
        <v>121</v>
      </c>
      <c r="D86" s="435">
        <v>0.30710109028615906</v>
      </c>
      <c r="E86" s="797">
        <v>41671.985710000001</v>
      </c>
      <c r="F86" s="797">
        <v>52.089982137500002</v>
      </c>
      <c r="G86" s="797">
        <v>0</v>
      </c>
      <c r="H86" s="797">
        <v>0</v>
      </c>
      <c r="P86" s="96">
        <v>450</v>
      </c>
      <c r="Q86" s="96">
        <v>0</v>
      </c>
      <c r="R86" s="96">
        <v>36.462987496250001</v>
      </c>
      <c r="S86" s="54">
        <v>4.2000000000000003E-2</v>
      </c>
      <c r="T86" s="54">
        <v>14.639999999999997</v>
      </c>
      <c r="U86" s="189">
        <v>6.2166574853918297E-12</v>
      </c>
      <c r="V86" s="189">
        <v>1.5894570519760001E-12</v>
      </c>
      <c r="W86" s="189">
        <v>1.33278983729738E-11</v>
      </c>
      <c r="X86" s="189">
        <v>3.2344913345964E-12</v>
      </c>
      <c r="Y86" s="189">
        <v>3.8971536324818501E-10</v>
      </c>
      <c r="Z86" s="54">
        <v>1</v>
      </c>
      <c r="AA86" s="54">
        <f t="shared" si="14"/>
        <v>1</v>
      </c>
      <c r="AB86" s="54">
        <f t="shared" si="14"/>
        <v>1</v>
      </c>
      <c r="AC86" s="435">
        <f>AB86/(1-'Common input data'!$B$140)</f>
        <v>1.1934598400763814</v>
      </c>
      <c r="AD86" s="435">
        <f>AC86/(1-'Common input data'!$B$178)</f>
        <v>1.4734072099708411</v>
      </c>
      <c r="AE86" t="s">
        <v>1801</v>
      </c>
      <c r="AF86" s="63" t="s">
        <v>1802</v>
      </c>
      <c r="AG86" t="s">
        <v>1851</v>
      </c>
      <c r="AH86"/>
      <c r="AI86" s="64" t="s">
        <v>1850</v>
      </c>
      <c r="AJ86"/>
      <c r="AK86" s="1118" t="s">
        <v>1798</v>
      </c>
      <c r="AL86" s="114" t="s">
        <v>1807</v>
      </c>
      <c r="AM86" t="s">
        <v>1800</v>
      </c>
      <c r="AO86"/>
    </row>
    <row r="87" spans="1:89" ht="45">
      <c r="A87" s="140"/>
      <c r="B87" s="435" t="s">
        <v>124</v>
      </c>
      <c r="C87" s="435" t="s">
        <v>121</v>
      </c>
      <c r="D87" s="435">
        <v>0.1034854565</v>
      </c>
      <c r="E87" s="797">
        <v>17163.7</v>
      </c>
      <c r="F87" s="797">
        <v>30.680510039921391</v>
      </c>
      <c r="G87" s="797">
        <v>0</v>
      </c>
      <c r="H87" s="797">
        <v>0</v>
      </c>
      <c r="P87" s="96">
        <v>450</v>
      </c>
      <c r="Q87" s="96">
        <v>0</v>
      </c>
      <c r="R87" s="96">
        <v>20.453673359947597</v>
      </c>
      <c r="S87" s="54">
        <v>1E-3</v>
      </c>
      <c r="T87" s="1135"/>
      <c r="U87" s="189">
        <v>1.4583680426486E-12</v>
      </c>
      <c r="V87" s="189">
        <v>9.2461478395458007E-13</v>
      </c>
      <c r="W87" s="189">
        <v>3.3655517366258998E-13</v>
      </c>
      <c r="X87" s="189">
        <v>3.59608145456086E-14</v>
      </c>
      <c r="Y87" s="189">
        <v>1.31903720847999E-11</v>
      </c>
      <c r="Z87" s="54">
        <v>1</v>
      </c>
      <c r="AA87" s="54">
        <f t="shared" si="14"/>
        <v>1</v>
      </c>
      <c r="AB87" s="54">
        <f t="shared" si="14"/>
        <v>1</v>
      </c>
      <c r="AC87" s="435">
        <f>AB87/(1-'Common input data'!$B$140)</f>
        <v>1.1934598400763814</v>
      </c>
      <c r="AD87" s="435">
        <f>AC87/(1-'Common input data'!$B$178)</f>
        <v>1.4734072099708411</v>
      </c>
      <c r="AE87" t="s">
        <v>1801</v>
      </c>
      <c r="AF87" s="63" t="s">
        <v>1802</v>
      </c>
      <c r="AG87" t="s">
        <v>1852</v>
      </c>
      <c r="AH87"/>
      <c r="AI87" s="64" t="s">
        <v>1850</v>
      </c>
      <c r="AJ87"/>
      <c r="AK87" s="1118" t="s">
        <v>1798</v>
      </c>
      <c r="AL87" s="114"/>
      <c r="AM87" t="s">
        <v>1800</v>
      </c>
      <c r="AO87"/>
    </row>
    <row r="88" spans="1:89" ht="45">
      <c r="A88" s="140"/>
      <c r="B88" s="435" t="s">
        <v>125</v>
      </c>
      <c r="C88" s="435" t="s">
        <v>121</v>
      </c>
      <c r="D88" s="435">
        <v>0.43078401161384094</v>
      </c>
      <c r="E88" s="797">
        <v>16034.657139999999</v>
      </c>
      <c r="F88" s="797">
        <v>28.662319859381554</v>
      </c>
      <c r="G88" s="797">
        <v>0</v>
      </c>
      <c r="H88" s="797">
        <v>0</v>
      </c>
      <c r="P88" s="96">
        <v>450</v>
      </c>
      <c r="Q88" s="96">
        <v>0</v>
      </c>
      <c r="R88" s="96">
        <v>19.108213239587705</v>
      </c>
      <c r="S88" s="54">
        <v>2.1000000000000001E-2</v>
      </c>
      <c r="T88" s="54">
        <v>7.2799999999999994</v>
      </c>
      <c r="U88" s="189">
        <v>3.3579597002353799E-12</v>
      </c>
      <c r="V88" s="189">
        <v>1.1757134967652876E-12</v>
      </c>
      <c r="W88" s="189">
        <v>6.6986543460739137E-12</v>
      </c>
      <c r="X88" s="189">
        <v>1.6208157979172741E-12</v>
      </c>
      <c r="Y88" s="189">
        <v>1.9562482647394422E-10</v>
      </c>
      <c r="Z88" s="54">
        <v>1</v>
      </c>
      <c r="AA88" s="54">
        <f t="shared" si="14"/>
        <v>1</v>
      </c>
      <c r="AB88" s="54">
        <f t="shared" si="14"/>
        <v>1</v>
      </c>
      <c r="AC88" s="435">
        <f>AB88/(1-'Common input data'!$B$140)</f>
        <v>1.1934598400763814</v>
      </c>
      <c r="AD88" s="435">
        <f>AC88/(1-'Common input data'!$B$178)</f>
        <v>1.4734072099708411</v>
      </c>
      <c r="AE88" t="s">
        <v>1801</v>
      </c>
      <c r="AF88" s="63" t="s">
        <v>1802</v>
      </c>
      <c r="AG88" t="s">
        <v>1852</v>
      </c>
      <c r="AH88"/>
      <c r="AI88" s="64" t="s">
        <v>1850</v>
      </c>
      <c r="AJ88"/>
      <c r="AK88" s="1118" t="s">
        <v>1798</v>
      </c>
      <c r="AL88" s="114" t="s">
        <v>1807</v>
      </c>
      <c r="AM88" t="s">
        <v>1800</v>
      </c>
      <c r="AO88"/>
    </row>
    <row r="89" spans="1:89">
      <c r="A89" s="139" t="s">
        <v>49</v>
      </c>
      <c r="B89" s="170" t="s">
        <v>120</v>
      </c>
      <c r="C89" s="170" t="s">
        <v>121</v>
      </c>
      <c r="D89" s="170">
        <v>1</v>
      </c>
      <c r="E89" s="798">
        <f>$D90*E90+$D91*E91+$D92*E92+$D93*E93</f>
        <v>35084.457433957192</v>
      </c>
      <c r="F89" s="798">
        <f>$D90*F90+$D91*F91+$D92*F92+$D93*F93</f>
        <v>196.43308811580184</v>
      </c>
      <c r="G89" s="797">
        <f>$D90*G90+$D91*G91+$D92*G92+$D93*G93</f>
        <v>3.7216576654720397</v>
      </c>
      <c r="H89" s="798">
        <f>$D90*H90+$D91*H91+$D92*H92+$D93*H93</f>
        <v>0</v>
      </c>
      <c r="P89" s="798">
        <f>$D90*P90+$D91*P91+$D92*P92+$D93*P93</f>
        <v>100</v>
      </c>
      <c r="Q89" s="798">
        <f>$D90*Q90+$D91*Q91+$D92*Q92+$D93*Q93</f>
        <v>0</v>
      </c>
      <c r="R89" s="798">
        <v>38.04537339569481</v>
      </c>
      <c r="S89" s="170">
        <f>$D90*S90+$D91*S91+$D92*S92+$D93*S93</f>
        <v>4.6762054349094404E-2</v>
      </c>
      <c r="U89" s="212">
        <v>5.3865837548140155E-11</v>
      </c>
      <c r="V89" s="212">
        <v>1.3269366798719502E-10</v>
      </c>
      <c r="W89" s="212">
        <v>4.3924965105703229E-10</v>
      </c>
      <c r="X89" s="212">
        <v>1.5676144756583941E-11</v>
      </c>
      <c r="Y89" s="212">
        <v>2.9418197582276012E-9</v>
      </c>
      <c r="Z89" s="170">
        <f>$D90*Z90+$D91*Z91+$D92*Z92+$D93*Z93</f>
        <v>1</v>
      </c>
      <c r="AA89" s="170">
        <f>$D90*AA90+$D91*AA91+$D92*AA92+$D93*AA93</f>
        <v>1</v>
      </c>
      <c r="AB89" s="170">
        <f>$D90*AB90+$D91*AB91+$D92*AB92+$D93*AB93</f>
        <v>1</v>
      </c>
      <c r="AC89" s="170">
        <f>$D90*AC90+$D91*AC91+$D92*AC92+$D93*AC93</f>
        <v>1.4787206257203356</v>
      </c>
      <c r="AD89" s="170">
        <f>AC89/(1-'Common input data'!$B$178)</f>
        <v>1.8255810194078217</v>
      </c>
      <c r="AF89" s="1123"/>
      <c r="AG89"/>
      <c r="AH89"/>
      <c r="AI89" s="64"/>
      <c r="AJ89"/>
      <c r="AK89" s="1118"/>
      <c r="AL89"/>
      <c r="AO89"/>
      <c r="AP89" s="170">
        <f>$D90*'Fruits, berries, cocoa, coffee'!Y77+$D91*'Fruits, berries, cocoa, coffee'!Y81+$D92*'Fruits, berries, cocoa, coffee'!Y85+$D93*'Fruits, berries, cocoa, coffee'!Y89</f>
        <v>0.32772585208831817</v>
      </c>
      <c r="AQ89" s="170">
        <f>$D90*'Fruits, berries, cocoa, coffee'!Z77+$D91*'Fruits, berries, cocoa, coffee'!Z81+$D92*'Fruits, berries, cocoa, coffee'!Z85+$D93*'Fruits, berries, cocoa, coffee'!Z89</f>
        <v>0.32772585208831817</v>
      </c>
      <c r="AR89" s="170">
        <f>$D90*'Fruits, berries, cocoa, coffee'!AA77+$D91*'Fruits, berries, cocoa, coffee'!AA81+$D92*'Fruits, berries, cocoa, coffee'!AA85+$D93*'Fruits, berries, cocoa, coffee'!AA89</f>
        <v>0.32772585208831817</v>
      </c>
      <c r="AS89" s="170">
        <f>$D90*'Fruits, berries, cocoa, coffee'!AB77+$D91*'Fruits, berries, cocoa, coffee'!AB81+$D92*'Fruits, berries, cocoa, coffee'!AB85+$D93*'Fruits, berries, cocoa, coffee'!AB89</f>
        <v>0.32772585208831817</v>
      </c>
      <c r="AT89" s="170">
        <f>$D90*'Fruits, berries, cocoa, coffee'!AC77+$D91*'Fruits, berries, cocoa, coffee'!AC81+$D92*'Fruits, berries, cocoa, coffee'!AC85+$D93*'Fruits, berries, cocoa, coffee'!AC89</f>
        <v>0.47474577140331647</v>
      </c>
      <c r="AU89" s="170">
        <f>$D90*'Fruits, berries, cocoa, coffee'!AD77+$D91*'Fruits, berries, cocoa, coffee'!AD81+$D92*'Fruits, berries, cocoa, coffee'!AD85+$D93*'Fruits, berries, cocoa, coffee'!AD89</f>
        <v>0.5861058906213783</v>
      </c>
      <c r="AV89" s="106"/>
      <c r="AW89" s="212">
        <f>$D90*'Fruits, berries, cocoa, coffee'!AF77+$D91*'Fruits, berries, cocoa, coffee'!AF81+$D92*'Fruits, berries, cocoa, coffee'!AF85+$D93*'Fruits, berries, cocoa, coffee'!AF89</f>
        <v>4.7129382356806554E-3</v>
      </c>
      <c r="AX89" s="212">
        <f>$D90*'Fruits, berries, cocoa, coffee'!AG77+$D91*'Fruits, berries, cocoa, coffee'!AG81+$D92*'Fruits, berries, cocoa, coffee'!AG85+$D93*'Fruits, berries, cocoa, coffee'!AG89</f>
        <v>4.7129382356806554E-3</v>
      </c>
      <c r="AY89" s="212">
        <f>$D90*'Fruits, berries, cocoa, coffee'!AH77+$D91*'Fruits, berries, cocoa, coffee'!AH81+$D92*'Fruits, berries, cocoa, coffee'!AH85+$D93*'Fruits, berries, cocoa, coffee'!AH89</f>
        <v>4.7129382356806554E-3</v>
      </c>
      <c r="AZ89" s="212">
        <f>$D90*'Fruits, berries, cocoa, coffee'!AI77+$D91*'Fruits, berries, cocoa, coffee'!AI81+$D92*'Fruits, berries, cocoa, coffee'!AI85+$D93*'Fruits, berries, cocoa, coffee'!AI89</f>
        <v>4.7129382356806554E-3</v>
      </c>
      <c r="BA89" s="212">
        <f>$D90*'Fruits, berries, cocoa, coffee'!AJ77+$D91*'Fruits, berries, cocoa, coffee'!AJ81+$D92*'Fruits, berries, cocoa, coffee'!AJ85+$D93*'Fruits, berries, cocoa, coffee'!AJ89</f>
        <v>7.1683266990255944E-3</v>
      </c>
      <c r="BB89" s="212">
        <f>$D90*'Fruits, berries, cocoa, coffee'!AK77+$D91*'Fruits, berries, cocoa, coffee'!AK81+$D92*'Fruits, berries, cocoa, coffee'!AK85+$D93*'Fruits, berries, cocoa, coffee'!AK89</f>
        <v>8.849786048179745E-3</v>
      </c>
      <c r="BC89" s="106"/>
      <c r="BD89" s="212">
        <f>$D90*'Fruits, berries, cocoa, coffee'!AM77+$D91*'Fruits, berries, cocoa, coffee'!AM81+$D92*'Fruits, berries, cocoa, coffee'!AM85+$D93*'Fruits, berries, cocoa, coffee'!AM89</f>
        <v>8.1820744973164282E-4</v>
      </c>
      <c r="BE89" s="212">
        <f>$D90*'Fruits, berries, cocoa, coffee'!AN77+$D91*'Fruits, berries, cocoa, coffee'!AN81+$D92*'Fruits, berries, cocoa, coffee'!AN85+$D93*'Fruits, berries, cocoa, coffee'!AN89</f>
        <v>8.1820744973164282E-4</v>
      </c>
      <c r="BF89" s="212">
        <f>$D90*'Fruits, berries, cocoa, coffee'!AO77+$D91*'Fruits, berries, cocoa, coffee'!AO81+$D92*'Fruits, berries, cocoa, coffee'!AO85+$D93*'Fruits, berries, cocoa, coffee'!AO89</f>
        <v>8.1820744973164282E-4</v>
      </c>
      <c r="BG89" s="212">
        <f>$D90*'Fruits, berries, cocoa, coffee'!AP77+$D91*'Fruits, berries, cocoa, coffee'!AP81+$D92*'Fruits, berries, cocoa, coffee'!AP85+$D93*'Fruits, berries, cocoa, coffee'!AP89</f>
        <v>8.1820744973164282E-4</v>
      </c>
      <c r="BH89" s="212">
        <f>$D90*'Fruits, berries, cocoa, coffee'!AQ77+$D91*'Fruits, berries, cocoa, coffee'!AQ81+$D92*'Fruits, berries, cocoa, coffee'!AQ85+$D93*'Fruits, berries, cocoa, coffee'!AQ89</f>
        <v>1.2626658174871028E-3</v>
      </c>
      <c r="BI89" s="212">
        <f>$D90*'Fruits, berries, cocoa, coffee'!AR77+$D91*'Fruits, berries, cocoa, coffee'!AR81+$D92*'Fruits, berries, cocoa, coffee'!AR85+$D93*'Fruits, berries, cocoa, coffee'!AR89</f>
        <v>1.5588466882556823E-3</v>
      </c>
      <c r="BJ89" s="266"/>
      <c r="BK89" s="212">
        <f>$D90*'Fruits, berries, cocoa, coffee'!AT77+$D91*'Fruits, berries, cocoa, coffee'!AT81+$D92*'Fruits, berries, cocoa, coffee'!AT85+$D93*'Fruits, berries, cocoa, coffee'!AT89</f>
        <v>4.6762054349094404E-2</v>
      </c>
      <c r="BL89" s="212">
        <f>$D90*'Fruits, berries, cocoa, coffee'!AU77+$D91*'Fruits, berries, cocoa, coffee'!AU81+$D92*'Fruits, berries, cocoa, coffee'!AU85+$D93*'Fruits, berries, cocoa, coffee'!AU89</f>
        <v>4.6762054349094404E-2</v>
      </c>
      <c r="BM89" s="212">
        <f>$D90*'Fruits, berries, cocoa, coffee'!AV77+$D91*'Fruits, berries, cocoa, coffee'!AV81+$D92*'Fruits, berries, cocoa, coffee'!AV85+$D93*'Fruits, berries, cocoa, coffee'!AV89</f>
        <v>4.6762054349094404E-2</v>
      </c>
      <c r="BN89" s="212">
        <f>$D90*'Fruits, berries, cocoa, coffee'!AW77+$D91*'Fruits, berries, cocoa, coffee'!AW81+$D92*'Fruits, berries, cocoa, coffee'!AW85+$D93*'Fruits, berries, cocoa, coffee'!AW89</f>
        <v>4.6762054349094404E-2</v>
      </c>
      <c r="BO89" s="212">
        <f>$D90*'Fruits, berries, cocoa, coffee'!AX77+$D91*'Fruits, berries, cocoa, coffee'!AX81+$D92*'Fruits, berries, cocoa, coffee'!AX85+$D93*'Fruits, berries, cocoa, coffee'!AX89</f>
        <v>6.9199106447703621E-2</v>
      </c>
      <c r="BP89" s="212">
        <f>$D90*'Fruits, berries, cocoa, coffee'!AY77+$D91*'Fruits, berries, cocoa, coffee'!AY81+$D92*'Fruits, berries, cocoa, coffee'!AY85+$D93*'Fruits, berries, cocoa, coffee'!AY89</f>
        <v>8.5430995614448904E-2</v>
      </c>
      <c r="BQ89" s="266"/>
      <c r="BR89" s="212">
        <f>$D90*'Fruits, berries, cocoa, coffee'!BA77+$D91*'Fruits, berries, cocoa, coffee'!BA81+$D92*'Fruits, berries, cocoa, coffee'!BA85+$D93*'Fruits, berries, cocoa, coffee'!BA89</f>
        <v>2.9247174017840563E-9</v>
      </c>
      <c r="BS89" s="212">
        <f>$D90*'Fruits, berries, cocoa, coffee'!BB77+$D91*'Fruits, berries, cocoa, coffee'!BB81+$D92*'Fruits, berries, cocoa, coffee'!BB85+$D93*'Fruits, berries, cocoa, coffee'!BB89</f>
        <v>2.9247174017840563E-9</v>
      </c>
      <c r="BT89" s="212">
        <f>$D90*'Fruits, berries, cocoa, coffee'!BC77+$D91*'Fruits, berries, cocoa, coffee'!BC81+$D92*'Fruits, berries, cocoa, coffee'!BC85+$D93*'Fruits, berries, cocoa, coffee'!BC89</f>
        <v>2.9247174017840563E-9</v>
      </c>
      <c r="BU89" s="212">
        <f>$D90*'Fruits, berries, cocoa, coffee'!BD77+$D91*'Fruits, berries, cocoa, coffee'!BD81+$D92*'Fruits, berries, cocoa, coffee'!BD85+$D93*'Fruits, berries, cocoa, coffee'!BD89</f>
        <v>2.9247174017840563E-9</v>
      </c>
      <c r="BV89" s="212">
        <f>$D90*'Fruits, berries, cocoa, coffee'!BE77+$D91*'Fruits, berries, cocoa, coffee'!BE81+$D92*'Fruits, berries, cocoa, coffee'!BE85+$D93*'Fruits, berries, cocoa, coffee'!BE89</f>
        <v>4.233460984989837E-9</v>
      </c>
      <c r="BW89" s="212">
        <f>$D90*'Fruits, berries, cocoa, coffee'!BF77+$D91*'Fruits, berries, cocoa, coffee'!BF81+$D92*'Fruits, berries, cocoa, coffee'!BF85+$D93*'Fruits, berries, cocoa, coffee'!BF89</f>
        <v>5.2264950431973293E-9</v>
      </c>
      <c r="BY89" s="189">
        <f>T89/E89</f>
        <v>0</v>
      </c>
      <c r="BZ89" s="189">
        <f>$BY89*Z89</f>
        <v>0</v>
      </c>
      <c r="CA89" s="189">
        <f>$BY89*AA89</f>
        <v>0</v>
      </c>
      <c r="CB89" s="189">
        <f>$BY89*AB89</f>
        <v>0</v>
      </c>
      <c r="CC89" s="189">
        <f>$BY89*AC89</f>
        <v>0</v>
      </c>
      <c r="CD89" s="189">
        <f>$BY89*AD89</f>
        <v>0</v>
      </c>
      <c r="CF89" s="189">
        <f>(F89/E89*'Common input data'!$B$195+G89/E89*'Common input data'!$B$196)/'Common input data'!$B$198</f>
        <v>1.6351902885268569E-4</v>
      </c>
      <c r="CG89" s="189">
        <f>$CF89*Z89</f>
        <v>1.6351902885268569E-4</v>
      </c>
      <c r="CH89" s="189">
        <f>$CF89*AA89</f>
        <v>1.6351902885268569E-4</v>
      </c>
      <c r="CI89" s="189">
        <f>$CF89*AB89</f>
        <v>1.6351902885268569E-4</v>
      </c>
      <c r="CJ89" s="189">
        <f>$CF89*AC89</f>
        <v>2.41798960662225E-4</v>
      </c>
      <c r="CK89" s="189">
        <f>$CF89*AD89</f>
        <v>2.9851723538546295E-4</v>
      </c>
    </row>
    <row r="90" spans="1:89" ht="45">
      <c r="A90" s="18"/>
      <c r="B90" s="435" t="s">
        <v>131</v>
      </c>
      <c r="C90" s="435" t="s">
        <v>121</v>
      </c>
      <c r="D90" s="435">
        <v>0.22683685539112819</v>
      </c>
      <c r="E90" s="797">
        <v>53446.914290000001</v>
      </c>
      <c r="F90" s="797">
        <v>450</v>
      </c>
      <c r="G90" s="797">
        <v>0</v>
      </c>
      <c r="H90" s="797">
        <v>0</v>
      </c>
      <c r="P90" s="96">
        <v>100</v>
      </c>
      <c r="Q90" s="96">
        <v>0</v>
      </c>
      <c r="R90" s="96">
        <v>100</v>
      </c>
      <c r="S90" s="54">
        <v>6.3E-2</v>
      </c>
      <c r="T90" s="54">
        <v>63.602446153846145</v>
      </c>
      <c r="U90" s="189">
        <v>7.6343638303280303E-11</v>
      </c>
      <c r="V90" s="189">
        <v>1.44702291444119E-10</v>
      </c>
      <c r="W90" s="189">
        <v>4.8377321815888295E-10</v>
      </c>
      <c r="X90" s="189">
        <v>5.7562426863878097E-12</v>
      </c>
      <c r="Y90" s="189">
        <v>1.8951828575781802E-9</v>
      </c>
      <c r="Z90" s="54">
        <v>1</v>
      </c>
      <c r="AA90" s="54">
        <f t="shared" ref="AA90:AB93" si="15">Z90</f>
        <v>1</v>
      </c>
      <c r="AB90" s="54">
        <f t="shared" si="15"/>
        <v>1</v>
      </c>
      <c r="AC90" s="435">
        <f>AB90/(1-'Common input data'!$F$140)</f>
        <v>1.5432098765432096</v>
      </c>
      <c r="AD90" s="435">
        <f>AC90/(1-'Common input data'!$B$178)</f>
        <v>1.9051973784484069</v>
      </c>
      <c r="AE90" t="s">
        <v>1801</v>
      </c>
      <c r="AF90" s="63" t="s">
        <v>1802</v>
      </c>
      <c r="AG90" t="s">
        <v>1803</v>
      </c>
      <c r="AH90"/>
      <c r="AI90" s="64" t="s">
        <v>1853</v>
      </c>
      <c r="AJ90"/>
      <c r="AK90" s="1118" t="s">
        <v>1798</v>
      </c>
      <c r="AL90" s="114" t="s">
        <v>1854</v>
      </c>
      <c r="AM90" t="s">
        <v>1800</v>
      </c>
      <c r="AO90"/>
    </row>
    <row r="91" spans="1:89" ht="45">
      <c r="A91" s="140"/>
      <c r="B91" s="435" t="s">
        <v>132</v>
      </c>
      <c r="C91" s="435" t="s">
        <v>121</v>
      </c>
      <c r="D91" s="435">
        <v>0.21006030641199946</v>
      </c>
      <c r="E91" s="797">
        <v>36507.471429999998</v>
      </c>
      <c r="F91" s="797">
        <v>300</v>
      </c>
      <c r="G91" s="797">
        <v>0</v>
      </c>
      <c r="H91" s="797">
        <v>0</v>
      </c>
      <c r="P91" s="96">
        <v>100</v>
      </c>
      <c r="Q91" s="96">
        <v>0</v>
      </c>
      <c r="R91" s="96">
        <v>20</v>
      </c>
      <c r="S91" s="54">
        <v>0.05</v>
      </c>
      <c r="T91" s="54">
        <v>16.428066666666666</v>
      </c>
      <c r="U91" s="189">
        <v>5.42134756231075E-11</v>
      </c>
      <c r="V91" s="189">
        <v>1.29712449675671E-10</v>
      </c>
      <c r="W91" s="189">
        <v>3.4293586531612102E-10</v>
      </c>
      <c r="X91" s="189">
        <v>1.0899076744826801E-11</v>
      </c>
      <c r="Y91" s="189">
        <v>1.46629026019383E-9</v>
      </c>
      <c r="Z91" s="54">
        <v>1</v>
      </c>
      <c r="AA91" s="54">
        <f t="shared" si="15"/>
        <v>1</v>
      </c>
      <c r="AB91" s="54">
        <f t="shared" si="15"/>
        <v>1</v>
      </c>
      <c r="AC91" s="435">
        <f>AB91/(1-'Common input data'!$F$140)</f>
        <v>1.5432098765432096</v>
      </c>
      <c r="AD91" s="435">
        <f>AC91/(1-'Common input data'!$B$178)</f>
        <v>1.9051973784484069</v>
      </c>
      <c r="AE91" t="s">
        <v>1801</v>
      </c>
      <c r="AF91" s="63" t="s">
        <v>1802</v>
      </c>
      <c r="AG91" t="s">
        <v>1803</v>
      </c>
      <c r="AH91"/>
      <c r="AI91" s="64" t="s">
        <v>1853</v>
      </c>
      <c r="AJ91"/>
      <c r="AK91" s="1118" t="s">
        <v>1798</v>
      </c>
      <c r="AL91" s="114" t="s">
        <v>1855</v>
      </c>
      <c r="AM91" t="s">
        <v>1800</v>
      </c>
      <c r="AO91"/>
    </row>
    <row r="92" spans="1:89" ht="45">
      <c r="A92" s="140"/>
      <c r="B92" s="435" t="s">
        <v>133</v>
      </c>
      <c r="C92" s="435" t="s">
        <v>121</v>
      </c>
      <c r="D92" s="435">
        <v>0.18600802880570008</v>
      </c>
      <c r="E92" s="797">
        <v>40042.742859999998</v>
      </c>
      <c r="F92" s="797">
        <v>100</v>
      </c>
      <c r="G92" s="797">
        <v>0</v>
      </c>
      <c r="H92" s="797">
        <v>0</v>
      </c>
      <c r="P92" s="96">
        <v>100</v>
      </c>
      <c r="Q92" s="96">
        <v>0</v>
      </c>
      <c r="R92" s="96">
        <v>60</v>
      </c>
      <c r="S92" s="54">
        <v>2.4909386453178264E-2</v>
      </c>
      <c r="T92" s="54">
        <v>4.7914393165812097</v>
      </c>
      <c r="U92" s="189">
        <v>2.8069320749155E-11</v>
      </c>
      <c r="V92" s="189">
        <v>1.2232335473857399E-10</v>
      </c>
      <c r="W92" s="189">
        <v>4.9263984029028195E-10</v>
      </c>
      <c r="X92" s="189">
        <v>3.2041086675044798E-11</v>
      </c>
      <c r="Y92" s="189">
        <v>5.7149364969204602E-9</v>
      </c>
      <c r="Z92" s="54">
        <v>1</v>
      </c>
      <c r="AA92" s="54">
        <f t="shared" si="15"/>
        <v>1</v>
      </c>
      <c r="AB92" s="54">
        <f t="shared" si="15"/>
        <v>1</v>
      </c>
      <c r="AC92" s="435">
        <f>AB92/(1-'Common input data'!$F$140)</f>
        <v>1.5432098765432096</v>
      </c>
      <c r="AD92" s="435">
        <f>AC92/(1-'Common input data'!$B$178)</f>
        <v>1.9051973784484069</v>
      </c>
      <c r="AE92" t="s">
        <v>1801</v>
      </c>
      <c r="AF92" s="63" t="s">
        <v>1802</v>
      </c>
      <c r="AG92" t="s">
        <v>1803</v>
      </c>
      <c r="AH92"/>
      <c r="AI92" s="64" t="s">
        <v>1853</v>
      </c>
      <c r="AJ92"/>
      <c r="AK92" s="1118" t="s">
        <v>1798</v>
      </c>
      <c r="AL92" s="114" t="s">
        <v>1856</v>
      </c>
      <c r="AM92" t="s">
        <v>1800</v>
      </c>
      <c r="AO92"/>
    </row>
    <row r="93" spans="1:89" ht="45">
      <c r="A93" s="140"/>
      <c r="B93" s="435" t="s">
        <v>134</v>
      </c>
      <c r="C93" s="435" t="s">
        <v>121</v>
      </c>
      <c r="D93" s="435">
        <v>0.37709480939117224</v>
      </c>
      <c r="E93" s="797">
        <v>20800.3</v>
      </c>
      <c r="F93" s="797">
        <v>33.778264957264874</v>
      </c>
      <c r="G93" s="797">
        <v>9.8692890296759508</v>
      </c>
      <c r="H93" s="797">
        <v>0</v>
      </c>
      <c r="P93" s="96">
        <v>100</v>
      </c>
      <c r="Q93" s="96">
        <v>0</v>
      </c>
      <c r="R93" s="96">
        <v>0</v>
      </c>
      <c r="S93" s="54">
        <v>4.5969795484392756E-2</v>
      </c>
      <c r="T93" s="54">
        <v>2.4582564102564102</v>
      </c>
      <c r="U93" s="189">
        <v>5.2875478225180932E-11</v>
      </c>
      <c r="V93" s="189">
        <v>1.3224603195278799E-10</v>
      </c>
      <c r="W93" s="189">
        <v>4.3978297458842861E-10</v>
      </c>
      <c r="X93" s="189">
        <v>1.6232135368753136E-11</v>
      </c>
      <c r="Y93" s="189">
        <v>3.0254698715641571E-9</v>
      </c>
      <c r="Z93" s="54">
        <v>1</v>
      </c>
      <c r="AA93" s="54">
        <f t="shared" si="15"/>
        <v>1</v>
      </c>
      <c r="AB93" s="54">
        <f t="shared" si="15"/>
        <v>1</v>
      </c>
      <c r="AC93" s="435">
        <f>AB93/(1-'Common input data'!$I$140)</f>
        <v>1.372193863549042</v>
      </c>
      <c r="AD93" s="435">
        <f>AC93/(1-'Common input data'!$B$178)</f>
        <v>1.6940664982086937</v>
      </c>
      <c r="AE93" t="s">
        <v>1801</v>
      </c>
      <c r="AF93" s="63" t="s">
        <v>1802</v>
      </c>
      <c r="AG93" t="s">
        <v>1857</v>
      </c>
      <c r="AH93"/>
      <c r="AI93" s="64" t="s">
        <v>1853</v>
      </c>
      <c r="AJ93"/>
      <c r="AK93" s="1118" t="s">
        <v>1798</v>
      </c>
      <c r="AL93" s="114" t="s">
        <v>1856</v>
      </c>
      <c r="AM93" t="s">
        <v>1800</v>
      </c>
      <c r="AO93"/>
    </row>
    <row r="94" spans="1:89">
      <c r="A94" s="139" t="s">
        <v>42</v>
      </c>
      <c r="B94" s="170" t="s">
        <v>120</v>
      </c>
      <c r="C94" s="170"/>
      <c r="D94" s="170">
        <v>1</v>
      </c>
      <c r="E94" s="798">
        <f>$D95*E95+$D96*E96+$D97*E97+$D98*E98</f>
        <v>39632.54</v>
      </c>
      <c r="F94" s="798">
        <f>$D95*F95+$D96*F96+$D97*F97+$D98*F98</f>
        <v>148.86000000000001</v>
      </c>
      <c r="G94" s="797">
        <f>$D95*G95+$D96*G96+$D97*G97+$D98*G98</f>
        <v>0</v>
      </c>
      <c r="H94" s="798">
        <f>$D95*H95+$D96*H96+$D97*H97+$D98*H98</f>
        <v>0</v>
      </c>
      <c r="P94" s="798">
        <f>$D95*P95+$D96*P96+$D97*P97+$D98*P98</f>
        <v>186</v>
      </c>
      <c r="Q94" s="798">
        <f>$D95*Q95+$D96*Q96+$D97*Q97+$D98*Q98</f>
        <v>0</v>
      </c>
      <c r="R94" s="798">
        <v>52.390677828571427</v>
      </c>
      <c r="S94" s="170">
        <f>$D95*S95+$D96*S96+$D97*S97+$D98*S98</f>
        <v>3.6369763415948067E-2</v>
      </c>
      <c r="U94" s="212">
        <v>1.9550569286183249E-12</v>
      </c>
      <c r="V94" s="212">
        <v>1.5135424089051563E-12</v>
      </c>
      <c r="W94" s="212">
        <v>1.6784406360583737E-12</v>
      </c>
      <c r="X94" s="212">
        <v>2.8454683822032466E-12</v>
      </c>
      <c r="Y94" s="212">
        <v>2.5640065081373305E-10</v>
      </c>
      <c r="Z94" s="170">
        <f>$D95*Z95+$D96*Z96+$D97*Z97+$D98*Z98</f>
        <v>1</v>
      </c>
      <c r="AA94" s="170">
        <f>$D95*AA95+$D96*AA96+$D97*AA97+$D98*AA98</f>
        <v>1</v>
      </c>
      <c r="AB94" s="170">
        <f>$D95*AB95+$D96*AB96+$D97*AB97+$D98*AB98</f>
        <v>1</v>
      </c>
      <c r="AC94" s="170">
        <f>$D95*AC95+$D96*AC96+$D97*AC97+$D98*AC98</f>
        <v>1.1934598400763814</v>
      </c>
      <c r="AD94" s="170">
        <f>AC94/(1-'Common input data'!$B$178)</f>
        <v>1.4734072099708411</v>
      </c>
      <c r="AF94" s="1123"/>
      <c r="AG94"/>
      <c r="AH94"/>
      <c r="AI94" s="64"/>
      <c r="AJ94"/>
      <c r="AK94" s="1118"/>
      <c r="AL94"/>
      <c r="AO94"/>
      <c r="AP94" s="170">
        <f>$D95*'Fruits, berries, cocoa, coffee'!Y56+$D96*'Fruits, berries, cocoa, coffee'!Y60+$D97*'Fruits, berries, cocoa, coffee'!Y64+$D98*'Fruits, berries, cocoa, coffee'!Y68</f>
        <v>0.28777957011661259</v>
      </c>
      <c r="AQ94" s="170">
        <f>$D95*'Fruits, berries, cocoa, coffee'!Z56+$D96*'Fruits, berries, cocoa, coffee'!Z60+$D97*'Fruits, berries, cocoa, coffee'!Z64+$D98*'Fruits, berries, cocoa, coffee'!Z68</f>
        <v>0.28777957011661259</v>
      </c>
      <c r="AR94" s="170">
        <f>$D95*'Fruits, berries, cocoa, coffee'!AA56+$D96*'Fruits, berries, cocoa, coffee'!AA60+$D97*'Fruits, berries, cocoa, coffee'!AA64+$D98*'Fruits, berries, cocoa, coffee'!AA68</f>
        <v>0.28777957011661259</v>
      </c>
      <c r="AS94" s="170">
        <f>$D95*'Fruits, berries, cocoa, coffee'!AB56+$D96*'Fruits, berries, cocoa, coffee'!AB60+$D97*'Fruits, berries, cocoa, coffee'!AB64+$D98*'Fruits, berries, cocoa, coffee'!AB68</f>
        <v>0.28777957011661259</v>
      </c>
      <c r="AT94" s="170">
        <f>$D95*'Fruits, berries, cocoa, coffee'!AC56+$D96*'Fruits, berries, cocoa, coffee'!AC60+$D97*'Fruits, berries, cocoa, coffee'!AC64+$D98*'Fruits, berries, cocoa, coffee'!AC68</f>
        <v>0.34345335972862234</v>
      </c>
      <c r="AU94" s="170">
        <f>$D95*'Fruits, berries, cocoa, coffee'!AD56+$D96*'Fruits, berries, cocoa, coffee'!AD60+$D97*'Fruits, berries, cocoa, coffee'!AD64+$D98*'Fruits, berries, cocoa, coffee'!AD68</f>
        <v>0.42401649349212622</v>
      </c>
      <c r="AV94" s="106"/>
      <c r="AW94" s="212">
        <f>$D95*'Fruits, berries, cocoa, coffee'!AF56+$D96*'Fruits, berries, cocoa, coffee'!AF60+$D97*'Fruits, berries, cocoa, coffee'!AF64+$D98*'Fruits, berries, cocoa, coffee'!AF68</f>
        <v>3.8078403831830012E-3</v>
      </c>
      <c r="AX94" s="212">
        <f>$D95*'Fruits, berries, cocoa, coffee'!AG56+$D96*'Fruits, berries, cocoa, coffee'!AG60+$D97*'Fruits, berries, cocoa, coffee'!AG64+$D98*'Fruits, berries, cocoa, coffee'!AG68</f>
        <v>3.8078403831830012E-3</v>
      </c>
      <c r="AY94" s="212">
        <f>$D95*'Fruits, berries, cocoa, coffee'!AH56+$D96*'Fruits, berries, cocoa, coffee'!AH60+$D97*'Fruits, berries, cocoa, coffee'!AH64+$D98*'Fruits, berries, cocoa, coffee'!AH68</f>
        <v>3.8078403831830012E-3</v>
      </c>
      <c r="AZ94" s="212">
        <f>$D95*'Fruits, berries, cocoa, coffee'!AI56+$D96*'Fruits, berries, cocoa, coffee'!AI60+$D97*'Fruits, berries, cocoa, coffee'!AI64+$D98*'Fruits, berries, cocoa, coffee'!AI68</f>
        <v>3.8078403831830012E-3</v>
      </c>
      <c r="BA94" s="212">
        <f>$D95*'Fruits, berries, cocoa, coffee'!AJ56+$D96*'Fruits, berries, cocoa, coffee'!AJ60+$D97*'Fruits, berries, cocoa, coffee'!AJ64+$D98*'Fruits, berries, cocoa, coffee'!AJ68</f>
        <v>4.5445045747499711E-3</v>
      </c>
      <c r="BB94" s="212">
        <f>$D95*'Fruits, berries, cocoa, coffee'!AK56+$D96*'Fruits, berries, cocoa, coffee'!AK60+$D97*'Fruits, berries, cocoa, coffee'!AK64+$D98*'Fruits, berries, cocoa, coffee'!AK68</f>
        <v>5.6104994749999635E-3</v>
      </c>
      <c r="BC94" s="106"/>
      <c r="BD94" s="212">
        <f>$D95*'Fruits, berries, cocoa, coffee'!AM56+$D96*'Fruits, berries, cocoa, coffee'!AM60+$D97*'Fruits, berries, cocoa, coffee'!AM64+$D98*'Fruits, berries, cocoa, coffee'!AM68</f>
        <v>1.3460857142857142E-3</v>
      </c>
      <c r="BE94" s="212">
        <f>$D95*'Fruits, berries, cocoa, coffee'!AN56+$D96*'Fruits, berries, cocoa, coffee'!AN60+$D97*'Fruits, berries, cocoa, coffee'!AN64+$D98*'Fruits, berries, cocoa, coffee'!AN68</f>
        <v>1.3460857142857142E-3</v>
      </c>
      <c r="BF94" s="212">
        <f>$D95*'Fruits, berries, cocoa, coffee'!AO56+$D96*'Fruits, berries, cocoa, coffee'!AO60+$D97*'Fruits, berries, cocoa, coffee'!AO64+$D98*'Fruits, berries, cocoa, coffee'!AO68</f>
        <v>1.3460857142857142E-3</v>
      </c>
      <c r="BG94" s="212">
        <f>$D95*'Fruits, berries, cocoa, coffee'!AP56+$D96*'Fruits, berries, cocoa, coffee'!AP60+$D97*'Fruits, berries, cocoa, coffee'!AP64+$D98*'Fruits, berries, cocoa, coffee'!AP68</f>
        <v>1.3460857142857142E-3</v>
      </c>
      <c r="BH94" s="212">
        <f>$D95*'Fruits, berries, cocoa, coffee'!AQ56+$D96*'Fruits, berries, cocoa, coffee'!AQ60+$D97*'Fruits, berries, cocoa, coffee'!AQ64+$D98*'Fruits, berries, cocoa, coffee'!AQ68</f>
        <v>1.6064992413005299E-3</v>
      </c>
      <c r="BI94" s="212">
        <f>$D95*'Fruits, berries, cocoa, coffee'!AR56+$D96*'Fruits, berries, cocoa, coffee'!AR60+$D97*'Fruits, berries, cocoa, coffee'!AR64+$D98*'Fruits, berries, cocoa, coffee'!AR68</f>
        <v>1.9833323966673209E-3</v>
      </c>
      <c r="BJ94" s="266"/>
      <c r="BK94" s="212">
        <f>$D95*'Fruits, berries, cocoa, coffee'!AT56+$D96*'Fruits, berries, cocoa, coffee'!AT60+$D97*'Fruits, berries, cocoa, coffee'!AT64+$D98*'Fruits, berries, cocoa, coffee'!AT68</f>
        <v>3.6369763415948067E-2</v>
      </c>
      <c r="BL94" s="212">
        <f>$D95*'Fruits, berries, cocoa, coffee'!AU56+$D96*'Fruits, berries, cocoa, coffee'!AU60+$D97*'Fruits, berries, cocoa, coffee'!AU64+$D98*'Fruits, berries, cocoa, coffee'!AU68</f>
        <v>3.6369763415948067E-2</v>
      </c>
      <c r="BM94" s="212">
        <f>$D95*'Fruits, berries, cocoa, coffee'!AV56+$D96*'Fruits, berries, cocoa, coffee'!AV60+$D97*'Fruits, berries, cocoa, coffee'!AV64+$D98*'Fruits, berries, cocoa, coffee'!AV68</f>
        <v>3.6369763415948067E-2</v>
      </c>
      <c r="BN94" s="212">
        <f>$D95*'Fruits, berries, cocoa, coffee'!AW56+$D96*'Fruits, berries, cocoa, coffee'!AW60+$D97*'Fruits, berries, cocoa, coffee'!AW64+$D98*'Fruits, berries, cocoa, coffee'!AW68</f>
        <v>3.6369763415948067E-2</v>
      </c>
      <c r="BO94" s="212">
        <f>$D95*'Fruits, berries, cocoa, coffee'!AX56+$D96*'Fruits, berries, cocoa, coffee'!AX60+$D97*'Fruits, berries, cocoa, coffee'!AX64+$D98*'Fruits, berries, cocoa, coffee'!AX68</f>
        <v>4.3405852030013209E-2</v>
      </c>
      <c r="BP94" s="212">
        <f>$D95*'Fruits, berries, cocoa, coffee'!AY56+$D96*'Fruits, berries, cocoa, coffee'!AY60+$D97*'Fruits, berries, cocoa, coffee'!AY64+$D98*'Fruits, berries, cocoa, coffee'!AY68</f>
        <v>5.358747164199161E-2</v>
      </c>
      <c r="BQ94" s="266"/>
      <c r="BR94" s="212">
        <f>$D95*'Fruits, berries, cocoa, coffee'!BA56+$D96*'Fruits, berries, cocoa, coffee'!BA60+$D97*'Fruits, berries, cocoa, coffee'!BA64+$D98*'Fruits, berries, cocoa, coffee'!BA68</f>
        <v>2.191406861569827E-10</v>
      </c>
      <c r="BS94" s="212">
        <f>$D95*'Fruits, berries, cocoa, coffee'!BB56+$D96*'Fruits, berries, cocoa, coffee'!BB60+$D97*'Fruits, berries, cocoa, coffee'!BB64+$D98*'Fruits, berries, cocoa, coffee'!BB68</f>
        <v>2.191406861569827E-10</v>
      </c>
      <c r="BT94" s="212">
        <f>$D95*'Fruits, berries, cocoa, coffee'!BC56+$D96*'Fruits, berries, cocoa, coffee'!BC60+$D97*'Fruits, berries, cocoa, coffee'!BC64+$D98*'Fruits, berries, cocoa, coffee'!BC68</f>
        <v>2.191406861569827E-10</v>
      </c>
      <c r="BU94" s="212">
        <f>$D95*'Fruits, berries, cocoa, coffee'!BD56+$D96*'Fruits, berries, cocoa, coffee'!BD60+$D97*'Fruits, berries, cocoa, coffee'!BD64+$D98*'Fruits, berries, cocoa, coffee'!BD68</f>
        <v>2.191406861569827E-10</v>
      </c>
      <c r="BV94" s="212">
        <f>$D95*'Fruits, berries, cocoa, coffee'!BE56+$D96*'Fruits, berries, cocoa, coffee'!BE60+$D97*'Fruits, berries, cocoa, coffee'!BE64+$D98*'Fruits, berries, cocoa, coffee'!BE68</f>
        <v>2.6153560825514102E-10</v>
      </c>
      <c r="BW94" s="212">
        <f>$D95*'Fruits, berries, cocoa, coffee'!BF56+$D96*'Fruits, berries, cocoa, coffee'!BF60+$D97*'Fruits, berries, cocoa, coffee'!BF64+$D98*'Fruits, berries, cocoa, coffee'!BF68</f>
        <v>3.2288346698165556E-10</v>
      </c>
      <c r="BY94" s="189">
        <f>T94/E94</f>
        <v>0</v>
      </c>
      <c r="BZ94" s="189">
        <f>$BY94*Z94</f>
        <v>0</v>
      </c>
      <c r="CA94" s="189">
        <f>$BY94*AA94</f>
        <v>0</v>
      </c>
      <c r="CB94" s="189">
        <f>$BY94*AB94</f>
        <v>0</v>
      </c>
      <c r="CC94" s="189">
        <f>$BY94*AC94</f>
        <v>0</v>
      </c>
      <c r="CD94" s="189">
        <f>$BY94*AD94</f>
        <v>0</v>
      </c>
      <c r="CF94" s="189">
        <f>(F94/E94*'Common input data'!$B$195+G94/E94*'Common input data'!$B$196)/'Common input data'!$B$198</f>
        <v>9.5904817461683721E-5</v>
      </c>
      <c r="CG94" s="189">
        <f>$CF94*Z94</f>
        <v>9.5904817461683721E-5</v>
      </c>
      <c r="CH94" s="189">
        <f>$CF94*AA94</f>
        <v>9.5904817461683721E-5</v>
      </c>
      <c r="CI94" s="189">
        <f>$CF94*AB94</f>
        <v>9.5904817461683721E-5</v>
      </c>
      <c r="CJ94" s="189">
        <f>$CF94*AC94</f>
        <v>1.144585481103756E-4</v>
      </c>
      <c r="CK94" s="189">
        <f>$CF94*AD94</f>
        <v>1.4130684951898221E-4</v>
      </c>
    </row>
    <row r="95" spans="1:89" ht="45">
      <c r="A95" s="18"/>
      <c r="B95" s="435" t="s">
        <v>122</v>
      </c>
      <c r="C95" s="435" t="s">
        <v>129</v>
      </c>
      <c r="D95" s="435">
        <v>0.38</v>
      </c>
      <c r="E95" s="797">
        <v>57362</v>
      </c>
      <c r="F95" s="797">
        <v>204</v>
      </c>
      <c r="G95" s="797">
        <v>0</v>
      </c>
      <c r="H95" s="797">
        <v>0</v>
      </c>
      <c r="P95" s="96">
        <v>0</v>
      </c>
      <c r="Q95" s="96">
        <v>0</v>
      </c>
      <c r="R95" s="96">
        <v>70.555260000000004</v>
      </c>
      <c r="S95" s="54">
        <v>3.096312611700984E-2</v>
      </c>
      <c r="T95" s="54">
        <v>3.85</v>
      </c>
      <c r="U95" s="189">
        <v>4.9926191507892996E-13</v>
      </c>
      <c r="V95" s="189">
        <v>7.6196994155457501E-13</v>
      </c>
      <c r="W95" s="189">
        <v>6.9410319174027301E-14</v>
      </c>
      <c r="X95" s="189">
        <v>7.1402612381482693E-15</v>
      </c>
      <c r="Y95" s="189">
        <v>1.53428969970343E-12</v>
      </c>
      <c r="Z95" s="54">
        <v>1</v>
      </c>
      <c r="AA95" s="54">
        <f t="shared" ref="AA95:AB98" si="16">Z95</f>
        <v>1</v>
      </c>
      <c r="AB95" s="54">
        <f t="shared" si="16"/>
        <v>1</v>
      </c>
      <c r="AC95" s="435">
        <f>AB95/(1-'Common input data'!$B$140)</f>
        <v>1.1934598400763814</v>
      </c>
      <c r="AD95" s="435">
        <f>AC95/(1-'Common input data'!$B$178)</f>
        <v>1.4734072099708411</v>
      </c>
      <c r="AE95" t="s">
        <v>1826</v>
      </c>
      <c r="AF95" s="1123" t="s">
        <v>1826</v>
      </c>
      <c r="AG95" s="2" t="s">
        <v>1858</v>
      </c>
      <c r="AH95" s="2"/>
      <c r="AI95" s="1120"/>
      <c r="AJ95"/>
      <c r="AK95" s="1118" t="s">
        <v>1798</v>
      </c>
      <c r="AL95" s="114" t="s">
        <v>1799</v>
      </c>
      <c r="AM95" t="s">
        <v>1800</v>
      </c>
      <c r="AO95"/>
    </row>
    <row r="96" spans="1:89" ht="45">
      <c r="A96" s="140"/>
      <c r="B96" s="435" t="s">
        <v>130</v>
      </c>
      <c r="C96" s="435" t="s">
        <v>121</v>
      </c>
      <c r="D96" s="435">
        <v>0.34</v>
      </c>
      <c r="E96" s="797">
        <v>31379</v>
      </c>
      <c r="F96" s="797">
        <v>135</v>
      </c>
      <c r="G96" s="797">
        <v>0</v>
      </c>
      <c r="H96" s="797">
        <v>0</v>
      </c>
      <c r="P96" s="96">
        <v>300</v>
      </c>
      <c r="Q96" s="96">
        <v>0</v>
      </c>
      <c r="R96" s="96">
        <v>49.309857142857147</v>
      </c>
      <c r="S96" s="54">
        <v>6.0999999999999999E-2</v>
      </c>
      <c r="T96" s="54">
        <v>2.76</v>
      </c>
      <c r="U96" s="189">
        <v>3.7738174209626004E-12</v>
      </c>
      <c r="V96" s="189">
        <v>2.5819413353737599E-12</v>
      </c>
      <c r="W96" s="189">
        <v>3.8726446962259297E-12</v>
      </c>
      <c r="X96" s="189">
        <v>7.3859179387853007E-12</v>
      </c>
      <c r="Y96" s="189">
        <v>6.7025422877374503E-10</v>
      </c>
      <c r="Z96" s="54">
        <v>1</v>
      </c>
      <c r="AA96" s="54">
        <f t="shared" si="16"/>
        <v>1</v>
      </c>
      <c r="AB96" s="54">
        <f t="shared" si="16"/>
        <v>1</v>
      </c>
      <c r="AC96" s="435">
        <f>AB96/(1-'Common input data'!$B$140)</f>
        <v>1.1934598400763814</v>
      </c>
      <c r="AD96" s="435">
        <f>AC96/(1-'Common input data'!$B$178)</f>
        <v>1.4734072099708411</v>
      </c>
      <c r="AE96" t="s">
        <v>1829</v>
      </c>
      <c r="AF96" s="63" t="s">
        <v>1830</v>
      </c>
      <c r="AG96" t="s">
        <v>1821</v>
      </c>
      <c r="AH96"/>
      <c r="AI96" s="64" t="s">
        <v>1859</v>
      </c>
      <c r="AJ96"/>
      <c r="AK96" s="1118" t="s">
        <v>1798</v>
      </c>
      <c r="AL96" s="114" t="s">
        <v>1807</v>
      </c>
      <c r="AM96" t="s">
        <v>1800</v>
      </c>
      <c r="AO96"/>
    </row>
    <row r="97" spans="1:89" ht="45">
      <c r="A97" s="140"/>
      <c r="B97" s="435" t="s">
        <v>148</v>
      </c>
      <c r="C97" s="435" t="s">
        <v>121</v>
      </c>
      <c r="D97" s="435">
        <v>0.16</v>
      </c>
      <c r="E97" s="797">
        <v>29537</v>
      </c>
      <c r="F97" s="797">
        <v>105</v>
      </c>
      <c r="G97" s="797">
        <v>0</v>
      </c>
      <c r="H97" s="797">
        <v>0</v>
      </c>
      <c r="P97" s="96">
        <v>300</v>
      </c>
      <c r="Q97" s="96">
        <v>0</v>
      </c>
      <c r="R97" s="96">
        <v>36.330509999999997</v>
      </c>
      <c r="S97" s="54">
        <v>9.2625223401968061E-4</v>
      </c>
      <c r="T97" s="54">
        <v>16.78</v>
      </c>
      <c r="U97" s="189">
        <v>1.55658152159693E-12</v>
      </c>
      <c r="V97" s="189">
        <v>1.0618866300510301E-12</v>
      </c>
      <c r="W97" s="189">
        <v>8.8841658719714498E-13</v>
      </c>
      <c r="X97" s="189">
        <v>1.7910327872404899E-13</v>
      </c>
      <c r="Y97" s="189">
        <v>5.2982110291723597E-12</v>
      </c>
      <c r="Z97" s="54">
        <v>1</v>
      </c>
      <c r="AA97" s="54">
        <f t="shared" si="16"/>
        <v>1</v>
      </c>
      <c r="AB97" s="54">
        <f t="shared" si="16"/>
        <v>1</v>
      </c>
      <c r="AC97" s="435">
        <f>AB97/(1-'Common input data'!$B$140)</f>
        <v>1.1934598400763814</v>
      </c>
      <c r="AD97" s="435">
        <f>AC97/(1-'Common input data'!$B$178)</f>
        <v>1.4734072099708411</v>
      </c>
      <c r="AE97" t="s">
        <v>1829</v>
      </c>
      <c r="AF97" s="63" t="s">
        <v>1830</v>
      </c>
      <c r="AG97" s="2" t="s">
        <v>1858</v>
      </c>
      <c r="AH97"/>
      <c r="AI97" s="64" t="s">
        <v>1859</v>
      </c>
      <c r="AJ97"/>
      <c r="AK97" s="1118" t="s">
        <v>1798</v>
      </c>
      <c r="AL97" s="114" t="s">
        <v>1807</v>
      </c>
      <c r="AM97" t="s">
        <v>1800</v>
      </c>
      <c r="AO97"/>
    </row>
    <row r="98" spans="1:89" ht="45">
      <c r="A98" s="140"/>
      <c r="B98" s="435" t="s">
        <v>125</v>
      </c>
      <c r="C98" s="435" t="s">
        <v>121</v>
      </c>
      <c r="D98" s="435">
        <v>0.12</v>
      </c>
      <c r="E98" s="797">
        <v>20335</v>
      </c>
      <c r="F98" s="797">
        <v>72</v>
      </c>
      <c r="G98" s="797">
        <v>0</v>
      </c>
      <c r="H98" s="797">
        <v>0</v>
      </c>
      <c r="P98" s="96">
        <v>300</v>
      </c>
      <c r="Q98" s="96">
        <v>0</v>
      </c>
      <c r="R98" s="96">
        <v>25.012049999999999</v>
      </c>
      <c r="S98" s="54">
        <v>3.096312611700984E-2</v>
      </c>
      <c r="T98" s="54">
        <v>6.2200000000000006</v>
      </c>
      <c r="U98" s="189">
        <v>1.943220285879487E-12</v>
      </c>
      <c r="V98" s="189">
        <v>1.468599302326455E-12</v>
      </c>
      <c r="W98" s="189">
        <v>1.6101572008657005E-12</v>
      </c>
      <c r="X98" s="189">
        <v>2.5240538262491664E-12</v>
      </c>
      <c r="Y98" s="189">
        <v>2.2569557650087361E-10</v>
      </c>
      <c r="Z98" s="54">
        <v>1</v>
      </c>
      <c r="AA98" s="54">
        <f t="shared" si="16"/>
        <v>1</v>
      </c>
      <c r="AB98" s="54">
        <f t="shared" si="16"/>
        <v>1</v>
      </c>
      <c r="AC98" s="435">
        <f>AB98/(1-'Common input data'!$B$140)</f>
        <v>1.1934598400763814</v>
      </c>
      <c r="AD98" s="435">
        <f>AC98/(1-'Common input data'!$B$178)</f>
        <v>1.4734072099708411</v>
      </c>
      <c r="AE98" t="s">
        <v>1829</v>
      </c>
      <c r="AF98" s="63" t="s">
        <v>1830</v>
      </c>
      <c r="AG98" s="2" t="s">
        <v>1858</v>
      </c>
      <c r="AH98"/>
      <c r="AI98" s="64" t="s">
        <v>1859</v>
      </c>
      <c r="AJ98"/>
      <c r="AK98" s="1118" t="s">
        <v>1798</v>
      </c>
      <c r="AL98" s="114" t="s">
        <v>1807</v>
      </c>
      <c r="AM98" t="s">
        <v>1800</v>
      </c>
      <c r="AO98"/>
    </row>
    <row r="99" spans="1:89">
      <c r="A99" s="139" t="s">
        <v>1583</v>
      </c>
      <c r="B99" s="170" t="s">
        <v>120</v>
      </c>
      <c r="C99" s="170" t="s">
        <v>121</v>
      </c>
      <c r="D99" s="170">
        <v>1</v>
      </c>
      <c r="E99" s="798">
        <f>$D100*E100+$D101*E101+$D102*E102+$D103*E103</f>
        <v>29837.232490505925</v>
      </c>
      <c r="F99" s="798">
        <f>$D100*F100+$D101*F101+$D102*F102+$D103*F103</f>
        <v>236.24114372819724</v>
      </c>
      <c r="G99" s="797">
        <f>$D100*G100+$D101*G101+$D102*G102+$D103*G103</f>
        <v>20.03235417442675</v>
      </c>
      <c r="H99" s="798">
        <f>$D100*H100+$D101*H101+$D102*H102+$D103*H103</f>
        <v>0</v>
      </c>
      <c r="P99" s="798">
        <f>$D100*P100+$D101*P101+$D102*P102+$D103*P103</f>
        <v>450</v>
      </c>
      <c r="Q99" s="798">
        <f>$D100*Q100+$D101*Q101+$D102*Q102+$D103*Q103</f>
        <v>0</v>
      </c>
      <c r="R99" s="798">
        <v>61.072007255049222</v>
      </c>
      <c r="S99" s="170">
        <f>$D100*S100+$D101*S101+$D102*S102+$D103*S103</f>
        <v>1.4303983576146645E-3</v>
      </c>
      <c r="U99" s="212">
        <v>1.4261225127928623E-12</v>
      </c>
      <c r="V99" s="212">
        <v>1.0042935184097896E-12</v>
      </c>
      <c r="W99" s="212">
        <v>7.6119680046577922E-13</v>
      </c>
      <c r="X99" s="212">
        <v>1.5515957576385712E-13</v>
      </c>
      <c r="Y99" s="212">
        <v>4.8741943086019347E-12</v>
      </c>
      <c r="Z99" s="170">
        <f>$D100*Z100+$D101*Z101+$D102*Z102+$D103*Z103</f>
        <v>1</v>
      </c>
      <c r="AA99" s="170">
        <f>$D100*AA100+$D101*AA101+$D102*AA102+$D103*AA103</f>
        <v>1</v>
      </c>
      <c r="AB99" s="170">
        <f>$D100*AB100+$D101*AB101+$D102*AB102+$D103*AB103</f>
        <v>1</v>
      </c>
      <c r="AC99" s="170">
        <f>$D100*AC100+$D101*AC101+$D102*AC102+$D103*AC103</f>
        <v>1.1934598400763814</v>
      </c>
      <c r="AD99" s="170">
        <f>AC99/(1-'Common input data'!$B$178)</f>
        <v>1.4734072099708411</v>
      </c>
      <c r="AF99" s="1123"/>
      <c r="AG99" s="2"/>
      <c r="AH99"/>
      <c r="AI99" s="64"/>
      <c r="AJ99"/>
      <c r="AK99" s="1118"/>
      <c r="AL99"/>
      <c r="AO99"/>
      <c r="AP99" s="170">
        <f>$D100*'Fruits, berries, cocoa, coffee'!Y35+$D101*'Fruits, berries, cocoa, coffee'!Y39+$D102*'Fruits, berries, cocoa, coffee'!Y43+$D103*'Fruits, berries, cocoa, coffee'!Y47</f>
        <v>0.38575617811829593</v>
      </c>
      <c r="AQ99" s="170">
        <f>$D100*'Fruits, berries, cocoa, coffee'!Z35+$D101*'Fruits, berries, cocoa, coffee'!Z39+$D102*'Fruits, berries, cocoa, coffee'!Z43+$D103*'Fruits, berries, cocoa, coffee'!Z47</f>
        <v>0.38575617811829593</v>
      </c>
      <c r="AR99" s="170">
        <f>$D100*'Fruits, berries, cocoa, coffee'!AA35+$D101*'Fruits, berries, cocoa, coffee'!AA39+$D102*'Fruits, berries, cocoa, coffee'!AA43+$D103*'Fruits, berries, cocoa, coffee'!AA47</f>
        <v>0.38575617811829593</v>
      </c>
      <c r="AS99" s="170">
        <f>$D100*'Fruits, berries, cocoa, coffee'!AB35+$D101*'Fruits, berries, cocoa, coffee'!AB39+$D102*'Fruits, berries, cocoa, coffee'!AB43+$D103*'Fruits, berries, cocoa, coffee'!AB47</f>
        <v>0.38575617811829593</v>
      </c>
      <c r="AT99" s="170">
        <f>$D100*'Fruits, berries, cocoa, coffee'!AC35+$D101*'Fruits, berries, cocoa, coffee'!AC39+$D102*'Fruits, berries, cocoa, coffee'!AC43+$D103*'Fruits, berries, cocoa, coffee'!AC47</f>
        <v>0.46038450664553754</v>
      </c>
      <c r="AU99" s="170">
        <f>$D100*'Fruits, berries, cocoa, coffee'!AD35+$D101*'Fruits, berries, cocoa, coffee'!AD39+$D102*'Fruits, berries, cocoa, coffee'!AD43+$D103*'Fruits, berries, cocoa, coffee'!AD47</f>
        <v>0.56837593413029319</v>
      </c>
      <c r="AV99" s="106"/>
      <c r="AW99" s="212">
        <f>$D100*'Fruits, berries, cocoa, coffee'!AF35+$D101*'Fruits, berries, cocoa, coffee'!AF39+$D102*'Fruits, berries, cocoa, coffee'!AF43+$D103*'Fruits, berries, cocoa, coffee'!AF47</f>
        <v>8.0594302648133165E-3</v>
      </c>
      <c r="AX99" s="212">
        <f>$D100*'Fruits, berries, cocoa, coffee'!AG35+$D101*'Fruits, berries, cocoa, coffee'!AG39+$D102*'Fruits, berries, cocoa, coffee'!AG43+$D103*'Fruits, berries, cocoa, coffee'!AG47</f>
        <v>8.0594302648133165E-3</v>
      </c>
      <c r="AY99" s="212">
        <f>$D100*'Fruits, berries, cocoa, coffee'!AH35+$D101*'Fruits, berries, cocoa, coffee'!AH39+$D102*'Fruits, berries, cocoa, coffee'!AH43+$D103*'Fruits, berries, cocoa, coffee'!AH47</f>
        <v>8.0594302648133165E-3</v>
      </c>
      <c r="AZ99" s="212">
        <f>$D100*'Fruits, berries, cocoa, coffee'!AI35+$D101*'Fruits, berries, cocoa, coffee'!AI39+$D102*'Fruits, berries, cocoa, coffee'!AI43+$D103*'Fruits, berries, cocoa, coffee'!AI47</f>
        <v>8.0594302648133165E-3</v>
      </c>
      <c r="BA99" s="212">
        <f>$D100*'Fruits, berries, cocoa, coffee'!AJ35+$D101*'Fruits, berries, cocoa, coffee'!AJ39+$D102*'Fruits, berries, cocoa, coffee'!AJ43+$D103*'Fruits, berries, cocoa, coffee'!AJ47</f>
        <v>9.6186063549508483E-3</v>
      </c>
      <c r="BB99" s="212">
        <f>$D100*'Fruits, berries, cocoa, coffee'!AK35+$D101*'Fruits, berries, cocoa, coffee'!AK39+$D102*'Fruits, berries, cocoa, coffee'!AK43+$D103*'Fruits, berries, cocoa, coffee'!AK47</f>
        <v>1.1874822660433142E-2</v>
      </c>
      <c r="BC99" s="106"/>
      <c r="BD99" s="212">
        <f>$D100*'Fruits, berries, cocoa, coffee'!AM35+$D101*'Fruits, berries, cocoa, coffee'!AM39+$D102*'Fruits, berries, cocoa, coffee'!AM43+$D103*'Fruits, berries, cocoa, coffee'!AM47</f>
        <v>2.0783962572731292E-3</v>
      </c>
      <c r="BE99" s="212">
        <f>$D100*'Fruits, berries, cocoa, coffee'!AN35+$D101*'Fruits, berries, cocoa, coffee'!AN39+$D102*'Fruits, berries, cocoa, coffee'!AN43+$D103*'Fruits, berries, cocoa, coffee'!AN47</f>
        <v>2.0783962572731292E-3</v>
      </c>
      <c r="BF99" s="212">
        <f>$D100*'Fruits, berries, cocoa, coffee'!AO35+$D101*'Fruits, berries, cocoa, coffee'!AO39+$D102*'Fruits, berries, cocoa, coffee'!AO43+$D103*'Fruits, berries, cocoa, coffee'!AO47</f>
        <v>2.0783962572731292E-3</v>
      </c>
      <c r="BG99" s="212">
        <f>$D100*'Fruits, berries, cocoa, coffee'!AP35+$D101*'Fruits, berries, cocoa, coffee'!AP39+$D102*'Fruits, berries, cocoa, coffee'!AP43+$D103*'Fruits, berries, cocoa, coffee'!AP47</f>
        <v>2.0783962572731292E-3</v>
      </c>
      <c r="BH99" s="212">
        <f>$D100*'Fruits, berries, cocoa, coffee'!AQ35+$D101*'Fruits, berries, cocoa, coffee'!AQ39+$D102*'Fruits, berries, cocoa, coffee'!AQ43+$D103*'Fruits, berries, cocoa, coffee'!AQ47</f>
        <v>2.4804824648205384E-3</v>
      </c>
      <c r="BI99" s="212">
        <f>$D100*'Fruits, berries, cocoa, coffee'!AR35+$D101*'Fruits, berries, cocoa, coffee'!AR39+$D102*'Fruits, berries, cocoa, coffee'!AR43+$D103*'Fruits, berries, cocoa, coffee'!AR47</f>
        <v>3.0623240306426394E-3</v>
      </c>
      <c r="BJ99" s="266"/>
      <c r="BK99" s="212">
        <f>$D100*'Fruits, berries, cocoa, coffee'!AT35+$D101*'Fruits, berries, cocoa, coffee'!AT39+$D102*'Fruits, berries, cocoa, coffee'!AT43+$D103*'Fruits, berries, cocoa, coffee'!AT47</f>
        <v>1.4303983576146645E-3</v>
      </c>
      <c r="BL99" s="212">
        <f>$D100*'Fruits, berries, cocoa, coffee'!AU35+$D101*'Fruits, berries, cocoa, coffee'!AU39+$D102*'Fruits, berries, cocoa, coffee'!AU43+$D103*'Fruits, berries, cocoa, coffee'!AU47</f>
        <v>1.4303983576146645E-3</v>
      </c>
      <c r="BM99" s="212">
        <f>$D100*'Fruits, berries, cocoa, coffee'!AV35+$D101*'Fruits, berries, cocoa, coffee'!AV39+$D102*'Fruits, berries, cocoa, coffee'!AV43+$D103*'Fruits, berries, cocoa, coffee'!AV47</f>
        <v>1.4303983576146645E-3</v>
      </c>
      <c r="BN99" s="212">
        <f>$D100*'Fruits, berries, cocoa, coffee'!AW35+$D101*'Fruits, berries, cocoa, coffee'!AW39+$D102*'Fruits, berries, cocoa, coffee'!AW43+$D103*'Fruits, berries, cocoa, coffee'!AW47</f>
        <v>1.4303983576146645E-3</v>
      </c>
      <c r="BO99" s="212">
        <f>$D100*'Fruits, berries, cocoa, coffee'!AX35+$D101*'Fruits, berries, cocoa, coffee'!AX39+$D102*'Fruits, berries, cocoa, coffee'!AX43+$D103*'Fruits, berries, cocoa, coffee'!AX47</f>
        <v>1.707122995124316E-3</v>
      </c>
      <c r="BP99" s="212">
        <f>$D100*'Fruits, berries, cocoa, coffee'!AY35+$D101*'Fruits, berries, cocoa, coffee'!AY39+$D102*'Fruits, berries, cocoa, coffee'!AY43+$D103*'Fruits, berries, cocoa, coffee'!AY47</f>
        <v>2.1075592532398962E-3</v>
      </c>
      <c r="BQ99" s="266"/>
      <c r="BR99" s="212">
        <f>$D100*'Fruits, berries, cocoa, coffee'!BA35+$D101*'Fruits, berries, cocoa, coffee'!BA39+$D102*'Fruits, berries, cocoa, coffee'!BA43+$D103*'Fruits, berries, cocoa, coffee'!BA47</f>
        <v>7.2649425417809761E-12</v>
      </c>
      <c r="BS99" s="212">
        <f>$D100*'Fruits, berries, cocoa, coffee'!BB35+$D101*'Fruits, berries, cocoa, coffee'!BB39+$D102*'Fruits, berries, cocoa, coffee'!BB43+$D103*'Fruits, berries, cocoa, coffee'!BB47</f>
        <v>7.2649425417809761E-12</v>
      </c>
      <c r="BT99" s="212">
        <f>$D100*'Fruits, berries, cocoa, coffee'!BC35+$D101*'Fruits, berries, cocoa, coffee'!BC39+$D102*'Fruits, berries, cocoa, coffee'!BC43+$D103*'Fruits, berries, cocoa, coffee'!BC47</f>
        <v>7.2649425417809761E-12</v>
      </c>
      <c r="BU99" s="212">
        <f>$D100*'Fruits, berries, cocoa, coffee'!BD35+$D101*'Fruits, berries, cocoa, coffee'!BD39+$D102*'Fruits, berries, cocoa, coffee'!BD43+$D103*'Fruits, berries, cocoa, coffee'!BD47</f>
        <v>7.2649425417809761E-12</v>
      </c>
      <c r="BV99" s="212">
        <f>$D100*'Fruits, berries, cocoa, coffee'!BE35+$D101*'Fruits, berries, cocoa, coffee'!BE39+$D102*'Fruits, berries, cocoa, coffee'!BE43+$D103*'Fruits, berries, cocoa, coffee'!BE47</f>
        <v>8.6704171640780236E-12</v>
      </c>
      <c r="BW99" s="212">
        <f>$D100*'Fruits, berries, cocoa, coffee'!BF35+$D101*'Fruits, berries, cocoa, coffee'!BF39+$D102*'Fruits, berries, cocoa, coffee'!BF43+$D103*'Fruits, berries, cocoa, coffee'!BF47</f>
        <v>1.0704218721083979E-11</v>
      </c>
      <c r="BY99" s="189">
        <f>T99/E99</f>
        <v>0</v>
      </c>
      <c r="BZ99" s="189">
        <f>$BY99*Z99</f>
        <v>0</v>
      </c>
      <c r="CA99" s="189">
        <f>$BY99*AA99</f>
        <v>0</v>
      </c>
      <c r="CB99" s="189">
        <f>$BY99*AB99</f>
        <v>0</v>
      </c>
      <c r="CC99" s="189">
        <f>$BY99*AC99</f>
        <v>0</v>
      </c>
      <c r="CD99" s="189">
        <f>$BY99*AD99</f>
        <v>0</v>
      </c>
      <c r="CF99" s="189">
        <f>(F99/E99*'Common input data'!$B$195+G99/E99*'Common input data'!$B$196)/'Common input data'!$B$198</f>
        <v>3.3229130269300897E-4</v>
      </c>
      <c r="CG99" s="189">
        <f>$CF99*Z99</f>
        <v>3.3229130269300897E-4</v>
      </c>
      <c r="CH99" s="189">
        <f>$CF99*AA99</f>
        <v>3.3229130269300897E-4</v>
      </c>
      <c r="CI99" s="189">
        <f>$CF99*AB99</f>
        <v>3.3229130269300897E-4</v>
      </c>
      <c r="CJ99" s="189">
        <f>$CF99*AC99</f>
        <v>3.9657632497077093E-4</v>
      </c>
      <c r="CK99" s="189">
        <f>$CF99*AD99</f>
        <v>4.8960040119848261E-4</v>
      </c>
    </row>
    <row r="100" spans="1:89" ht="45">
      <c r="A100" s="18"/>
      <c r="B100" s="435" t="s">
        <v>122</v>
      </c>
      <c r="C100" s="435" t="s">
        <v>121</v>
      </c>
      <c r="D100" s="435">
        <v>5.5877298484047239E-2</v>
      </c>
      <c r="E100" s="797">
        <v>14510</v>
      </c>
      <c r="F100" s="797">
        <v>48</v>
      </c>
      <c r="G100" s="797">
        <v>0</v>
      </c>
      <c r="H100" s="797">
        <v>0</v>
      </c>
      <c r="P100" s="96">
        <v>450</v>
      </c>
      <c r="Q100" s="96">
        <v>0</v>
      </c>
      <c r="R100" s="96">
        <v>6.5294999999999996</v>
      </c>
      <c r="S100" s="54">
        <v>0</v>
      </c>
      <c r="T100" s="54">
        <v>3.85</v>
      </c>
      <c r="U100" s="189">
        <v>4.9926191507892996E-13</v>
      </c>
      <c r="V100" s="189">
        <v>7.6196994155457501E-13</v>
      </c>
      <c r="W100" s="189">
        <v>6.9410319174027301E-14</v>
      </c>
      <c r="X100" s="189">
        <v>7.1402612381482693E-15</v>
      </c>
      <c r="Y100" s="189">
        <v>1.53428969970343E-12</v>
      </c>
      <c r="Z100" s="54">
        <v>1</v>
      </c>
      <c r="AA100" s="54">
        <f t="shared" ref="AA100:AB103" si="17">Z100</f>
        <v>1</v>
      </c>
      <c r="AB100" s="54">
        <f t="shared" si="17"/>
        <v>1</v>
      </c>
      <c r="AC100" s="435">
        <f>AB100/(1-'Common input data'!$B$140)</f>
        <v>1.1934598400763814</v>
      </c>
      <c r="AD100" s="435">
        <f>AC100/(1-'Common input data'!$B$178)</f>
        <v>1.4734072099708411</v>
      </c>
      <c r="AE100" t="s">
        <v>1826</v>
      </c>
      <c r="AF100" s="1123" t="s">
        <v>1826</v>
      </c>
      <c r="AG100" t="s">
        <v>1849</v>
      </c>
      <c r="AH100"/>
      <c r="AI100" s="64" t="s">
        <v>1850</v>
      </c>
      <c r="AJ100"/>
      <c r="AK100" s="1118" t="s">
        <v>1798</v>
      </c>
      <c r="AL100" s="114" t="s">
        <v>1799</v>
      </c>
      <c r="AM100" t="s">
        <v>1800</v>
      </c>
      <c r="AO100"/>
    </row>
    <row r="101" spans="1:89" ht="45">
      <c r="A101" s="140"/>
      <c r="B101" s="435" t="s">
        <v>126</v>
      </c>
      <c r="C101" s="435" t="s">
        <v>121</v>
      </c>
      <c r="D101" s="435">
        <v>0.23061781466398334</v>
      </c>
      <c r="E101" s="797">
        <v>34389</v>
      </c>
      <c r="F101" s="797">
        <v>26</v>
      </c>
      <c r="G101" s="797">
        <v>16</v>
      </c>
      <c r="H101" s="797">
        <v>0</v>
      </c>
      <c r="P101" s="96">
        <v>450</v>
      </c>
      <c r="Q101" s="96">
        <v>0</v>
      </c>
      <c r="R101" s="96">
        <v>0</v>
      </c>
      <c r="S101" s="54">
        <v>1E-3</v>
      </c>
      <c r="T101" s="54">
        <v>19.8</v>
      </c>
      <c r="U101" s="189">
        <v>1.58499831683658E-12</v>
      </c>
      <c r="V101" s="189">
        <v>1.00274734364104E-12</v>
      </c>
      <c r="W101" s="189">
        <v>8.25021177367055E-13</v>
      </c>
      <c r="X101" s="189">
        <v>1.74827713273418E-13</v>
      </c>
      <c r="Y101" s="189">
        <v>5.5312434421168498E-12</v>
      </c>
      <c r="Z101" s="54">
        <v>1</v>
      </c>
      <c r="AA101" s="54">
        <f t="shared" si="17"/>
        <v>1</v>
      </c>
      <c r="AB101" s="54">
        <f t="shared" si="17"/>
        <v>1</v>
      </c>
      <c r="AC101" s="435">
        <f>AB101/(1-'Common input data'!$B$140)</f>
        <v>1.1934598400763814</v>
      </c>
      <c r="AD101" s="435">
        <f>AC101/(1-'Common input data'!$B$178)</f>
        <v>1.4734072099708411</v>
      </c>
      <c r="AE101" t="s">
        <v>1829</v>
      </c>
      <c r="AF101" s="63" t="s">
        <v>1830</v>
      </c>
      <c r="AG101" t="s">
        <v>1860</v>
      </c>
      <c r="AH101"/>
      <c r="AI101" s="64" t="s">
        <v>1850</v>
      </c>
      <c r="AJ101"/>
      <c r="AK101" s="1118" t="s">
        <v>1798</v>
      </c>
      <c r="AL101" s="114" t="s">
        <v>1807</v>
      </c>
      <c r="AM101" t="s">
        <v>1800</v>
      </c>
      <c r="AO101"/>
    </row>
    <row r="102" spans="1:89" ht="45">
      <c r="A102" s="140"/>
      <c r="B102" s="435" t="s">
        <v>148</v>
      </c>
      <c r="C102" s="435" t="s">
        <v>121</v>
      </c>
      <c r="D102" s="435">
        <v>0.4862756560987116</v>
      </c>
      <c r="E102" s="797">
        <v>36080</v>
      </c>
      <c r="F102" s="797">
        <v>389</v>
      </c>
      <c r="G102" s="797">
        <v>28</v>
      </c>
      <c r="H102" s="797">
        <v>0</v>
      </c>
      <c r="P102" s="96">
        <v>450</v>
      </c>
      <c r="Q102" s="96">
        <v>0</v>
      </c>
      <c r="R102" s="96">
        <v>103.82733812949641</v>
      </c>
      <c r="S102" s="54">
        <v>2E-3</v>
      </c>
      <c r="T102" s="54">
        <v>16.78</v>
      </c>
      <c r="U102" s="189">
        <v>1.55658152159693E-12</v>
      </c>
      <c r="V102" s="189">
        <v>1.0618866300510301E-12</v>
      </c>
      <c r="W102" s="189">
        <v>8.8841658719714498E-13</v>
      </c>
      <c r="X102" s="189">
        <v>1.7910327872404899E-13</v>
      </c>
      <c r="Y102" s="189">
        <v>5.2982110291723597E-12</v>
      </c>
      <c r="Z102" s="54">
        <v>1</v>
      </c>
      <c r="AA102" s="54">
        <f t="shared" si="17"/>
        <v>1</v>
      </c>
      <c r="AB102" s="54">
        <f t="shared" si="17"/>
        <v>1</v>
      </c>
      <c r="AC102" s="435">
        <f>AB102/(1-'Common input data'!$B$140)</f>
        <v>1.1934598400763814</v>
      </c>
      <c r="AD102" s="435">
        <f>AC102/(1-'Common input data'!$B$178)</f>
        <v>1.4734072099708411</v>
      </c>
      <c r="AE102" t="s">
        <v>1829</v>
      </c>
      <c r="AF102" s="63" t="s">
        <v>1830</v>
      </c>
      <c r="AG102" t="s">
        <v>1861</v>
      </c>
      <c r="AH102"/>
      <c r="AI102" s="64" t="s">
        <v>1850</v>
      </c>
      <c r="AJ102"/>
      <c r="AK102" s="1118" t="s">
        <v>1798</v>
      </c>
      <c r="AL102" s="114" t="s">
        <v>1807</v>
      </c>
      <c r="AM102" t="s">
        <v>1800</v>
      </c>
      <c r="AO102"/>
    </row>
    <row r="103" spans="1:89" ht="45">
      <c r="A103" s="140"/>
      <c r="B103" s="435" t="s">
        <v>125</v>
      </c>
      <c r="C103" s="435" t="s">
        <v>121</v>
      </c>
      <c r="D103" s="435">
        <v>0.22722923075325785</v>
      </c>
      <c r="E103" s="797">
        <v>15627</v>
      </c>
      <c r="F103" s="797">
        <v>169</v>
      </c>
      <c r="G103" s="797">
        <v>12</v>
      </c>
      <c r="H103" s="797">
        <v>0</v>
      </c>
      <c r="P103" s="96">
        <v>450</v>
      </c>
      <c r="Q103" s="96">
        <v>0</v>
      </c>
      <c r="R103" s="96">
        <v>44.969784172661875</v>
      </c>
      <c r="S103" s="54">
        <v>1E-3</v>
      </c>
      <c r="T103" s="54">
        <v>7.2799999999999994</v>
      </c>
      <c r="U103" s="189">
        <v>1.2136139178374798E-12</v>
      </c>
      <c r="V103" s="189">
        <v>9.4220130508221496E-13</v>
      </c>
      <c r="W103" s="189">
        <v>5.9428269457940912E-13</v>
      </c>
      <c r="X103" s="189">
        <v>1.2035708441187175E-13</v>
      </c>
      <c r="Y103" s="189">
        <v>4.1212480569975466E-12</v>
      </c>
      <c r="Z103" s="54">
        <v>1</v>
      </c>
      <c r="AA103" s="54">
        <f t="shared" si="17"/>
        <v>1</v>
      </c>
      <c r="AB103" s="54">
        <f t="shared" si="17"/>
        <v>1</v>
      </c>
      <c r="AC103" s="435">
        <f>AB103/(1-'Common input data'!$B$140)</f>
        <v>1.1934598400763814</v>
      </c>
      <c r="AD103" s="435">
        <f>AC103/(1-'Common input data'!$B$178)</f>
        <v>1.4734072099708411</v>
      </c>
      <c r="AE103" t="s">
        <v>1829</v>
      </c>
      <c r="AF103" s="63" t="s">
        <v>1830</v>
      </c>
      <c r="AG103" t="s">
        <v>1861</v>
      </c>
      <c r="AH103"/>
      <c r="AI103" s="64" t="s">
        <v>1850</v>
      </c>
      <c r="AJ103"/>
      <c r="AK103" s="1118" t="s">
        <v>1798</v>
      </c>
      <c r="AL103" s="114" t="s">
        <v>1807</v>
      </c>
      <c r="AM103" t="s">
        <v>1800</v>
      </c>
      <c r="AO103"/>
    </row>
    <row r="104" spans="1:89">
      <c r="A104" s="139" t="s">
        <v>61</v>
      </c>
      <c r="B104" s="170" t="s">
        <v>120</v>
      </c>
      <c r="C104" s="170" t="s">
        <v>121</v>
      </c>
      <c r="D104" s="170">
        <v>1</v>
      </c>
      <c r="E104" s="798">
        <f>$D105*E105+$D106*E106</f>
        <v>20279.767695431041</v>
      </c>
      <c r="F104" s="798">
        <f>$D105*F105+$D106*F106</f>
        <v>190.84673303998414</v>
      </c>
      <c r="G104" s="797">
        <f>$D105*G105+$D106*G106</f>
        <v>7.1308060747816411</v>
      </c>
      <c r="H104" s="798">
        <f>$D105*H105+$D106*H106</f>
        <v>0</v>
      </c>
      <c r="P104" s="798">
        <f>$D105*P105+$D106*P106</f>
        <v>200</v>
      </c>
      <c r="Q104" s="798">
        <f>$D105*Q105+$D106*Q106</f>
        <v>0</v>
      </c>
      <c r="R104" s="798">
        <v>42.136057678767557</v>
      </c>
      <c r="S104" s="170">
        <f>$D105*S105+$D106*S106</f>
        <v>0.159</v>
      </c>
      <c r="U104" s="212">
        <v>3.7738174209626004E-12</v>
      </c>
      <c r="V104" s="212">
        <v>2.5819413353737599E-12</v>
      </c>
      <c r="W104" s="212">
        <v>3.8726446962259297E-12</v>
      </c>
      <c r="X104" s="212">
        <v>7.3859179387853007E-12</v>
      </c>
      <c r="Y104" s="212">
        <v>6.7025422877374503E-10</v>
      </c>
      <c r="Z104" s="170">
        <f>$D105*Z105+$D106*Z106</f>
        <v>1</v>
      </c>
      <c r="AA104" s="170">
        <f>$D105*AA105+$D106*AA106</f>
        <v>1</v>
      </c>
      <c r="AB104" s="170">
        <f>$D105*AB105+$D106*AB106</f>
        <v>1</v>
      </c>
      <c r="AC104" s="170">
        <f>$D105*AC105+$D106*AC106</f>
        <v>1.1934598400763814</v>
      </c>
      <c r="AD104" s="170">
        <f>AC104/(1-'Common input data'!$B$178)</f>
        <v>1.4734072099708411</v>
      </c>
      <c r="AF104" s="1123"/>
      <c r="AG104"/>
      <c r="AH104"/>
      <c r="AI104" s="64"/>
      <c r="AJ104"/>
      <c r="AK104" s="1118"/>
      <c r="AL104"/>
      <c r="AO104"/>
      <c r="AP104" s="170">
        <f>$D105*'Input data fish and seafood'!E40+$D106*'Fruits, berries, cocoa, coffee'!Y115</f>
        <v>0.2422055903204384</v>
      </c>
      <c r="AQ104" s="170">
        <f>$D105*'Fruits, berries, cocoa, coffee'!Z111+$D106*'Fruits, berries, cocoa, coffee'!Z115</f>
        <v>0.49773227134558573</v>
      </c>
      <c r="AR104" s="170">
        <f>$D105*'Fruits, berries, cocoa, coffee'!AA111+$D106*'Fruits, berries, cocoa, coffee'!AA115</f>
        <v>0.49773227134558573</v>
      </c>
      <c r="AS104" s="170">
        <f>$D105*'Fruits, berries, cocoa, coffee'!AB111+$D106*'Fruits, berries, cocoa, coffee'!AB115</f>
        <v>0.49773227134558573</v>
      </c>
      <c r="AT104" s="170">
        <f>$D105*'Fruits, berries, cocoa, coffee'!AC111+$D106*'Fruits, berries, cocoa, coffee'!AC115</f>
        <v>0.59402347696095692</v>
      </c>
      <c r="AU104" s="170">
        <f>$D105*'Fruits, berries, cocoa, coffee'!AD111+$D106*'Fruits, berries, cocoa, coffee'!AD115</f>
        <v>0.73336231723574918</v>
      </c>
      <c r="AV104" s="106"/>
      <c r="AW104" s="212">
        <f>$D105*'Fruits, berries, cocoa, coffee'!AF111+$D106*'Fruits, berries, cocoa, coffee'!AF115</f>
        <v>9.1186184938153066E-3</v>
      </c>
      <c r="AX104" s="212">
        <f>$D105*'Fruits, berries, cocoa, coffee'!AG111+$D106*'Fruits, berries, cocoa, coffee'!AG115</f>
        <v>9.1186184938153066E-3</v>
      </c>
      <c r="AY104" s="212">
        <f>$D105*'Fruits, berries, cocoa, coffee'!AH111+$D106*'Fruits, berries, cocoa, coffee'!AH115</f>
        <v>9.1186184938153066E-3</v>
      </c>
      <c r="AZ104" s="212">
        <f>$D105*'Fruits, berries, cocoa, coffee'!AI111+$D106*'Fruits, berries, cocoa, coffee'!AI115</f>
        <v>9.1186184938153066E-3</v>
      </c>
      <c r="BA104" s="212">
        <f>$D105*'Fruits, berries, cocoa, coffee'!AJ111+$D106*'Fruits, berries, cocoa, coffee'!AJ115</f>
        <v>1.088270496934635E-2</v>
      </c>
      <c r="BB104" s="212">
        <f>$D105*'Fruits, berries, cocoa, coffee'!AK111+$D106*'Fruits, berries, cocoa, coffee'!AK115</f>
        <v>1.3435438233760925E-2</v>
      </c>
      <c r="BC104" s="106"/>
      <c r="BD104" s="212">
        <f>$D105*'Fruits, berries, cocoa, coffee'!AM111+$D106*'Fruits, berries, cocoa, coffee'!AM115</f>
        <v>1.9164501076886053E-3</v>
      </c>
      <c r="BE104" s="212">
        <f>$D105*'Fruits, berries, cocoa, coffee'!AN111+$D106*'Fruits, berries, cocoa, coffee'!AN115</f>
        <v>1.9164501076886053E-3</v>
      </c>
      <c r="BF104" s="212">
        <f>$D105*'Fruits, berries, cocoa, coffee'!AO111+$D106*'Fruits, berries, cocoa, coffee'!AO115</f>
        <v>1.9164501076886053E-3</v>
      </c>
      <c r="BG104" s="212">
        <f>$D105*'Fruits, berries, cocoa, coffee'!AP111+$D106*'Fruits, berries, cocoa, coffee'!AP115</f>
        <v>1.9164501076886053E-3</v>
      </c>
      <c r="BH104" s="212">
        <f>$D105*'Fruits, berries, cocoa, coffee'!AQ111+$D106*'Fruits, berries, cocoa, coffee'!AQ115</f>
        <v>2.2872062390364065E-3</v>
      </c>
      <c r="BI104" s="212">
        <f>$D105*'Fruits, berries, cocoa, coffee'!AR111+$D106*'Fruits, berries, cocoa, coffee'!AR115</f>
        <v>2.8237114062177856E-3</v>
      </c>
      <c r="BJ104" s="266"/>
      <c r="BK104" s="212">
        <f>$D105*'Fruits, berries, cocoa, coffee'!AT111+$D106*'Fruits, berries, cocoa, coffee'!AT115</f>
        <v>0.159</v>
      </c>
      <c r="BL104" s="212">
        <f>$D105*'Fruits, berries, cocoa, coffee'!AU111+$D106*'Fruits, berries, cocoa, coffee'!AU115</f>
        <v>0.159</v>
      </c>
      <c r="BM104" s="212">
        <f>$D105*'Fruits, berries, cocoa, coffee'!AV111+$D106*'Fruits, berries, cocoa, coffee'!AV115</f>
        <v>0.159</v>
      </c>
      <c r="BN104" s="212">
        <f>$D105*'Fruits, berries, cocoa, coffee'!AW111+$D106*'Fruits, berries, cocoa, coffee'!AW115</f>
        <v>0.159</v>
      </c>
      <c r="BO104" s="212">
        <f>$D105*'Fruits, berries, cocoa, coffee'!AX111+$D106*'Fruits, berries, cocoa, coffee'!AX115</f>
        <v>0.18976011457214464</v>
      </c>
      <c r="BP104" s="212">
        <f>$D105*'Fruits, berries, cocoa, coffee'!AY111+$D106*'Fruits, berries, cocoa, coffee'!AY115</f>
        <v>0.23427174638536374</v>
      </c>
      <c r="BQ104" s="266"/>
      <c r="BR104" s="212">
        <f>$D105*'Fruits, berries, cocoa, coffee'!BA111+$D106*'Fruits, berries, cocoa, coffee'!BA115</f>
        <v>8.4326586995607643E-10</v>
      </c>
      <c r="BS104" s="212">
        <f>$D105*'Fruits, berries, cocoa, coffee'!BB111+$D106*'Fruits, berries, cocoa, coffee'!BB115</f>
        <v>8.4326586995607643E-10</v>
      </c>
      <c r="BT104" s="212">
        <f>$D105*'Fruits, berries, cocoa, coffee'!BC111+$D106*'Fruits, berries, cocoa, coffee'!BC115</f>
        <v>8.4326586995607643E-10</v>
      </c>
      <c r="BU104" s="212">
        <f>$D105*'Fruits, berries, cocoa, coffee'!BD111+$D106*'Fruits, berries, cocoa, coffee'!BD115</f>
        <v>8.4326586995607643E-10</v>
      </c>
      <c r="BV104" s="212">
        <f>$D105*'Fruits, berries, cocoa, coffee'!BE111+$D106*'Fruits, berries, cocoa, coffee'!BE115</f>
        <v>1.0064039502996497E-9</v>
      </c>
      <c r="BW104" s="212">
        <f>$D105*'Fruits, berries, cocoa, coffee'!BF111+$D106*'Fruits, berries, cocoa, coffee'!BF115</f>
        <v>1.2424740127156166E-9</v>
      </c>
      <c r="BY104" s="189">
        <f>T104/E104</f>
        <v>0</v>
      </c>
      <c r="BZ104" s="189">
        <f>$BY104*Z104</f>
        <v>0</v>
      </c>
      <c r="CA104" s="189">
        <f>$BY104*AA104</f>
        <v>0</v>
      </c>
      <c r="CB104" s="189">
        <f>$BY104*AB104</f>
        <v>0</v>
      </c>
      <c r="CC104" s="189">
        <f>$BY104*AC104</f>
        <v>0</v>
      </c>
      <c r="CD104" s="189">
        <f>$BY104*AD104</f>
        <v>0</v>
      </c>
      <c r="CF104" s="189">
        <f>(F104/E104*'Common input data'!$B$195+G104/E104*'Common input data'!$B$196)/'Common input data'!$B$198</f>
        <v>3.0843912719635613E-4</v>
      </c>
      <c r="CG104" s="189">
        <f>$CF104*Z104</f>
        <v>3.0843912719635613E-4</v>
      </c>
      <c r="CH104" s="189">
        <f>$CF104*AA104</f>
        <v>3.0843912719635613E-4</v>
      </c>
      <c r="CI104" s="189">
        <f>$CF104*AB104</f>
        <v>3.0843912719635613E-4</v>
      </c>
      <c r="CJ104" s="189">
        <f>$CF104*AC104</f>
        <v>3.6810971141706185E-4</v>
      </c>
      <c r="CK104" s="189">
        <f>$CF104*AD104</f>
        <v>4.5445643384822444E-4</v>
      </c>
    </row>
    <row r="105" spans="1:89" ht="45">
      <c r="A105" s="18"/>
      <c r="B105" s="435" t="s">
        <v>130</v>
      </c>
      <c r="C105" s="435" t="s">
        <v>121</v>
      </c>
      <c r="D105" s="435">
        <v>0.56181410238356744</v>
      </c>
      <c r="E105" s="797">
        <v>21986.514289999999</v>
      </c>
      <c r="F105" s="797">
        <v>260</v>
      </c>
      <c r="G105" s="797">
        <v>0</v>
      </c>
      <c r="H105" s="797">
        <v>0</v>
      </c>
      <c r="P105" s="96">
        <v>200</v>
      </c>
      <c r="Q105" s="96">
        <v>0</v>
      </c>
      <c r="R105" s="96">
        <v>75</v>
      </c>
      <c r="S105" s="54">
        <v>0.159</v>
      </c>
      <c r="T105" s="54">
        <v>8.4</v>
      </c>
      <c r="U105" s="189">
        <v>3.7738174209626004E-12</v>
      </c>
      <c r="V105" s="189">
        <v>2.5819413353737599E-12</v>
      </c>
      <c r="W105" s="189">
        <v>3.8726446962259297E-12</v>
      </c>
      <c r="X105" s="189">
        <v>7.3859179387853007E-12</v>
      </c>
      <c r="Y105" s="189">
        <v>6.7025422877374503E-10</v>
      </c>
      <c r="Z105" s="54">
        <v>1</v>
      </c>
      <c r="AA105" s="54">
        <f>Z105</f>
        <v>1</v>
      </c>
      <c r="AB105" s="54">
        <f>AA105</f>
        <v>1</v>
      </c>
      <c r="AC105" s="435">
        <f>AB105/(1-'Common input data'!$B$140)</f>
        <v>1.1934598400763814</v>
      </c>
      <c r="AD105" s="435">
        <f>AC105/(1-'Common input data'!$B$178)</f>
        <v>1.4734072099708411</v>
      </c>
      <c r="AE105" t="s">
        <v>1801</v>
      </c>
      <c r="AF105" s="63" t="s">
        <v>1830</v>
      </c>
      <c r="AG105" t="s">
        <v>1821</v>
      </c>
      <c r="AH105"/>
      <c r="AI105" s="64" t="s">
        <v>1862</v>
      </c>
      <c r="AJ105"/>
      <c r="AK105" s="1118" t="s">
        <v>1798</v>
      </c>
      <c r="AL105" s="114" t="s">
        <v>1807</v>
      </c>
      <c r="AM105" t="s">
        <v>1800</v>
      </c>
      <c r="AO105"/>
    </row>
    <row r="106" spans="1:89" ht="45">
      <c r="A106" s="140"/>
      <c r="B106" s="435" t="s">
        <v>125</v>
      </c>
      <c r="C106" s="435" t="s">
        <v>121</v>
      </c>
      <c r="D106" s="435">
        <v>0.43818589761643256</v>
      </c>
      <c r="E106" s="797">
        <v>18091.485710000001</v>
      </c>
      <c r="F106" s="797">
        <v>102.18281022692935</v>
      </c>
      <c r="G106" s="797">
        <v>16.273472317503963</v>
      </c>
      <c r="H106" s="797">
        <v>0</v>
      </c>
      <c r="P106" s="96">
        <v>200</v>
      </c>
      <c r="Q106" s="96">
        <v>0</v>
      </c>
      <c r="R106" s="96">
        <v>0</v>
      </c>
      <c r="S106" s="54">
        <v>0.159</v>
      </c>
      <c r="T106" s="54">
        <v>6.04</v>
      </c>
      <c r="U106" s="189">
        <v>3.7738174209626004E-12</v>
      </c>
      <c r="V106" s="189">
        <v>2.5819413353737599E-12</v>
      </c>
      <c r="W106" s="189">
        <v>3.8726446962259297E-12</v>
      </c>
      <c r="X106" s="189">
        <v>7.3859179387853007E-12</v>
      </c>
      <c r="Y106" s="189">
        <v>6.7025422877374503E-10</v>
      </c>
      <c r="Z106" s="54">
        <v>1</v>
      </c>
      <c r="AA106" s="54">
        <f>Z106</f>
        <v>1</v>
      </c>
      <c r="AB106" s="54">
        <f>AA106</f>
        <v>1</v>
      </c>
      <c r="AC106" s="435">
        <f>AB106/(1-'Common input data'!$B$140)</f>
        <v>1.1934598400763814</v>
      </c>
      <c r="AD106" s="435">
        <f>AC106/(1-'Common input data'!$B$178)</f>
        <v>1.4734072099708411</v>
      </c>
      <c r="AE106" t="s">
        <v>1801</v>
      </c>
      <c r="AF106" s="63" t="s">
        <v>1830</v>
      </c>
      <c r="AG106" t="s">
        <v>1863</v>
      </c>
      <c r="AH106"/>
      <c r="AI106" s="64" t="s">
        <v>1862</v>
      </c>
      <c r="AJ106"/>
      <c r="AK106" s="1118" t="s">
        <v>1798</v>
      </c>
      <c r="AL106" s="114" t="s">
        <v>1807</v>
      </c>
      <c r="AM106" t="s">
        <v>1800</v>
      </c>
      <c r="AO106"/>
    </row>
    <row r="107" spans="1:89">
      <c r="A107" s="139" t="s">
        <v>79</v>
      </c>
      <c r="B107" s="170" t="s">
        <v>120</v>
      </c>
      <c r="C107" s="170"/>
      <c r="D107" s="170">
        <v>1</v>
      </c>
      <c r="E107" s="798">
        <f>$D108*E108+$D109*E109+$D110*E110+$D111*E111</f>
        <v>16155.300610201812</v>
      </c>
      <c r="F107" s="798">
        <f>$D108*F108+$D109*F109+$D110*F110+$D111*F111</f>
        <v>73.027400615384622</v>
      </c>
      <c r="G107" s="797">
        <f>$D108*G108+$D109*G109+$D110*G110+$D111*G111</f>
        <v>0</v>
      </c>
      <c r="H107" s="798">
        <f>$D108*H108+$D109*H109+$D110*H110+$D111*H111</f>
        <v>0</v>
      </c>
      <c r="P107" s="798">
        <f>$D108*P108+$D109*P109+$D110*P110+$D111*P111</f>
        <v>274.5</v>
      </c>
      <c r="Q107" s="798">
        <f>$D108*Q108+$D109*Q109+$D110*Q110+$D111*Q111</f>
        <v>0</v>
      </c>
      <c r="R107" s="798">
        <v>31.528591119715571</v>
      </c>
      <c r="S107" s="170">
        <f>$D108*S108+$D109*S109+$D110*S110+$D111*S111</f>
        <v>7.9424999999999996E-2</v>
      </c>
      <c r="U107" s="212">
        <v>7.4355260547440113E-13</v>
      </c>
      <c r="V107" s="212">
        <v>8.1614485702402968E-13</v>
      </c>
      <c r="W107" s="212">
        <v>2.3942276226745853E-13</v>
      </c>
      <c r="X107" s="212">
        <v>4.4869937946083958E-14</v>
      </c>
      <c r="Y107" s="212">
        <v>2.4336042917464497E-12</v>
      </c>
      <c r="Z107" s="170">
        <f>$D108*Z108+$D109*Z109+$D110*Z110+$D111*Z111</f>
        <v>0.99999999999999989</v>
      </c>
      <c r="AA107" s="170">
        <f>$D108*AA108+$D109*AA109+$D110*AA110+$D111*AA111</f>
        <v>0.99999999999999989</v>
      </c>
      <c r="AB107" s="170">
        <f>$D108*AB108+$D109*AB109+$D110*AB110+$D111*AB111</f>
        <v>0.99999999999999989</v>
      </c>
      <c r="AC107" s="170">
        <f>$D108*AC108+$D109*AC109+$D110*AC110+$D111*AC111</f>
        <v>1.1934598400763814</v>
      </c>
      <c r="AD107" s="170">
        <f>AC107/(1-'Common input data'!$B$178)</f>
        <v>1.4734072099708411</v>
      </c>
      <c r="AF107" s="1123"/>
      <c r="AG107"/>
      <c r="AH107"/>
      <c r="AI107" s="64"/>
      <c r="AJ107"/>
      <c r="AK107" s="1118"/>
      <c r="AL107"/>
      <c r="AO107"/>
      <c r="AP107" s="170">
        <f>$D108*'Fruits, berries, cocoa, coffee'!Y142+$D109*'Fruits, berries, cocoa, coffee'!Y146+$D110*'Fruits, berries, cocoa, coffee'!Y150+$D111*'Fruits, berries, cocoa, coffee'!Y154</f>
        <v>1.2015339443910902</v>
      </c>
      <c r="AQ107" s="170">
        <f>$D108*'Fruits, berries, cocoa, coffee'!Z142+$D109*'Fruits, berries, cocoa, coffee'!Z146+$D110*'Fruits, berries, cocoa, coffee'!Z150+$D111*'Fruits, berries, cocoa, coffee'!Z154</f>
        <v>1.2015339443910902</v>
      </c>
      <c r="AR107" s="170">
        <f>$D108*'Fruits, berries, cocoa, coffee'!AA142+$D109*'Fruits, berries, cocoa, coffee'!AA146+$D110*'Fruits, berries, cocoa, coffee'!AA150+$D111*'Fruits, berries, cocoa, coffee'!AA154</f>
        <v>1.2015339443910902</v>
      </c>
      <c r="AS107" s="170">
        <f>$D108*'Fruits, berries, cocoa, coffee'!AB142+$D109*'Fruits, berries, cocoa, coffee'!AB146+$D110*'Fruits, berries, cocoa, coffee'!AB150+$D111*'Fruits, berries, cocoa, coffee'!AB154</f>
        <v>1.2015339443910902</v>
      </c>
      <c r="AT107" s="170">
        <f>$D108*'Fruits, berries, cocoa, coffee'!AC142+$D109*'Fruits, berries, cocoa, coffee'!AC146+$D110*'Fruits, berries, cocoa, coffee'!AC150+$D111*'Fruits, berries, cocoa, coffee'!AC154</f>
        <v>1.4339825091193343</v>
      </c>
      <c r="AU107" s="170">
        <f>$D108*'Fruits, berries, cocoa, coffee'!AD142+$D109*'Fruits, berries, cocoa, coffee'!AD146+$D110*'Fruits, berries, cocoa, coffee'!AD150+$D111*'Fruits, berries, cocoa, coffee'!AD154</f>
        <v>1.7703487766905361</v>
      </c>
      <c r="AV107" s="106"/>
      <c r="AW107" s="212">
        <f>$D108*'Fruits, berries, cocoa, coffee'!AF142+$D109*'Fruits, berries, cocoa, coffee'!AF146+$D110*'Fruits, berries, cocoa, coffee'!AF150+$D111*'Fruits, berries, cocoa, coffee'!AF154</f>
        <v>4.6349106734850706E-3</v>
      </c>
      <c r="AX107" s="212">
        <f>$D108*'Fruits, berries, cocoa, coffee'!AG142+$D109*'Fruits, berries, cocoa, coffee'!AG146+$D110*'Fruits, berries, cocoa, coffee'!AG150+$D111*'Fruits, berries, cocoa, coffee'!AG154</f>
        <v>4.6349106734850706E-3</v>
      </c>
      <c r="AY107" s="212">
        <f>$D108*'Fruits, berries, cocoa, coffee'!AH142+$D109*'Fruits, berries, cocoa, coffee'!AH146+$D110*'Fruits, berries, cocoa, coffee'!AH150+$D111*'Fruits, berries, cocoa, coffee'!AH154</f>
        <v>4.6349106734850706E-3</v>
      </c>
      <c r="AZ107" s="212">
        <f>$D108*'Fruits, berries, cocoa, coffee'!AI142+$D109*'Fruits, berries, cocoa, coffee'!AI146+$D110*'Fruits, berries, cocoa, coffee'!AI150+$D111*'Fruits, berries, cocoa, coffee'!AI154</f>
        <v>4.6349106734850706E-3</v>
      </c>
      <c r="BA107" s="212">
        <f>$D108*'Fruits, berries, cocoa, coffee'!AJ142+$D109*'Fruits, berries, cocoa, coffee'!AJ146+$D110*'Fruits, berries, cocoa, coffee'!AJ150+$D111*'Fruits, berries, cocoa, coffee'!AJ154</f>
        <v>5.5315797511458062E-3</v>
      </c>
      <c r="BB107" s="212">
        <f>$D108*'Fruits, berries, cocoa, coffee'!AK142+$D109*'Fruits, berries, cocoa, coffee'!AK146+$D110*'Fruits, berries, cocoa, coffee'!AK150+$D111*'Fruits, berries, cocoa, coffee'!AK154</f>
        <v>6.8291108038837098E-3</v>
      </c>
      <c r="BC107" s="106"/>
      <c r="BD107" s="212">
        <f>$D108*'Fruits, berries, cocoa, coffee'!AM142+$D109*'Fruits, berries, cocoa, coffee'!AM146+$D110*'Fruits, berries, cocoa, coffee'!AM150+$D111*'Fruits, berries, cocoa, coffee'!AM154</f>
        <v>2.0578932384341633E-3</v>
      </c>
      <c r="BE107" s="212">
        <f>$D108*'Fruits, berries, cocoa, coffee'!AN142+$D109*'Fruits, berries, cocoa, coffee'!AN146+$D110*'Fruits, berries, cocoa, coffee'!AN150+$D111*'Fruits, berries, cocoa, coffee'!AN154</f>
        <v>2.0578932384341633E-3</v>
      </c>
      <c r="BF107" s="212">
        <f>$D108*'Fruits, berries, cocoa, coffee'!AO142+$D109*'Fruits, berries, cocoa, coffee'!AO146+$D110*'Fruits, berries, cocoa, coffee'!AO150+$D111*'Fruits, berries, cocoa, coffee'!AO154</f>
        <v>2.0578932384341633E-3</v>
      </c>
      <c r="BG107" s="212">
        <f>$D108*'Fruits, berries, cocoa, coffee'!AP142+$D109*'Fruits, berries, cocoa, coffee'!AP146+$D110*'Fruits, berries, cocoa, coffee'!AP150+$D111*'Fruits, berries, cocoa, coffee'!AP154</f>
        <v>2.0578932384341633E-3</v>
      </c>
      <c r="BH107" s="212">
        <f>$D108*'Fruits, berries, cocoa, coffee'!AQ142+$D109*'Fruits, berries, cocoa, coffee'!AQ146+$D110*'Fruits, berries, cocoa, coffee'!AQ150+$D111*'Fruits, berries, cocoa, coffee'!AQ154</f>
        <v>2.4560129352359035E-3</v>
      </c>
      <c r="BI107" s="212">
        <f>$D108*'Fruits, berries, cocoa, coffee'!AR142+$D109*'Fruits, berries, cocoa, coffee'!AR146+$D110*'Fruits, berries, cocoa, coffee'!AR150+$D111*'Fruits, berries, cocoa, coffee'!AR154</f>
        <v>3.0321147348591399E-3</v>
      </c>
      <c r="BJ107" s="266"/>
      <c r="BK107" s="212">
        <f>$D108*'Fruits, berries, cocoa, coffee'!AT142+$D109*'Fruits, berries, cocoa, coffee'!AT146+$D110*'Fruits, berries, cocoa, coffee'!AT150+$D111*'Fruits, berries, cocoa, coffee'!AT154</f>
        <v>7.9424999999999996E-2</v>
      </c>
      <c r="BL107" s="212">
        <f>$D108*'Fruits, berries, cocoa, coffee'!AU142+$D109*'Fruits, berries, cocoa, coffee'!AU146+$D110*'Fruits, berries, cocoa, coffee'!AU150+$D111*'Fruits, berries, cocoa, coffee'!AU154</f>
        <v>7.9424999999999996E-2</v>
      </c>
      <c r="BM107" s="212">
        <f>$D108*'Fruits, berries, cocoa, coffee'!AV142+$D109*'Fruits, berries, cocoa, coffee'!AV146+$D110*'Fruits, berries, cocoa, coffee'!AV150+$D111*'Fruits, berries, cocoa, coffee'!AV154</f>
        <v>7.9424999999999996E-2</v>
      </c>
      <c r="BN107" s="212">
        <f>$D108*'Fruits, berries, cocoa, coffee'!AW142+$D109*'Fruits, berries, cocoa, coffee'!AW146+$D110*'Fruits, berries, cocoa, coffee'!AW150+$D111*'Fruits, berries, cocoa, coffee'!AW154</f>
        <v>7.9424999999999996E-2</v>
      </c>
      <c r="BO107" s="212">
        <f>$D108*'Fruits, berries, cocoa, coffee'!AX142+$D109*'Fruits, berries, cocoa, coffee'!AX146+$D110*'Fruits, berries, cocoa, coffee'!AX150+$D111*'Fruits, berries, cocoa, coffee'!AX154</f>
        <v>9.4790547798066588E-2</v>
      </c>
      <c r="BP107" s="212">
        <f>$D108*'Fruits, berries, cocoa, coffee'!AY142+$D109*'Fruits, berries, cocoa, coffee'!AY146+$D110*'Fruits, berries, cocoa, coffee'!AY150+$D111*'Fruits, berries, cocoa, coffee'!AY154</f>
        <v>0.11702536765193404</v>
      </c>
      <c r="BQ107" s="266"/>
      <c r="BR107" s="212">
        <f>$D108*'Fruits, berries, cocoa, coffee'!BA142+$D109*'Fruits, berries, cocoa, coffee'!BA146+$D110*'Fruits, berries, cocoa, coffee'!BA150+$D111*'Fruits, berries, cocoa, coffee'!BA154</f>
        <v>1.0182551866636449E-11</v>
      </c>
      <c r="BS107" s="212">
        <f>$D108*'Fruits, berries, cocoa, coffee'!BB142+$D109*'Fruits, berries, cocoa, coffee'!BB146+$D110*'Fruits, berries, cocoa, coffee'!BB150+$D111*'Fruits, berries, cocoa, coffee'!BB154</f>
        <v>1.0182551866636449E-11</v>
      </c>
      <c r="BT107" s="212">
        <f>$D108*'Fruits, berries, cocoa, coffee'!BC142+$D109*'Fruits, berries, cocoa, coffee'!BC146+$D110*'Fruits, berries, cocoa, coffee'!BC150+$D111*'Fruits, berries, cocoa, coffee'!BC154</f>
        <v>1.0182551866636449E-11</v>
      </c>
      <c r="BU107" s="212">
        <f>$D108*'Fruits, berries, cocoa, coffee'!BD142+$D109*'Fruits, berries, cocoa, coffee'!BD146+$D110*'Fruits, berries, cocoa, coffee'!BD150+$D111*'Fruits, berries, cocoa, coffee'!BD154</f>
        <v>1.0182551866636449E-11</v>
      </c>
      <c r="BV107" s="212">
        <f>$D108*'Fruits, berries, cocoa, coffee'!BE142+$D109*'Fruits, berries, cocoa, coffee'!BE146+$D110*'Fruits, berries, cocoa, coffee'!BE150+$D111*'Fruits, berries, cocoa, coffee'!BE154</f>
        <v>1.2152466722325395E-11</v>
      </c>
      <c r="BW107" s="212">
        <f>$D108*'Fruits, berries, cocoa, coffee'!BF142+$D109*'Fruits, berries, cocoa, coffee'!BF146+$D110*'Fruits, berries, cocoa, coffee'!BF150+$D111*'Fruits, berries, cocoa, coffee'!BF154</f>
        <v>1.500304533620419E-11</v>
      </c>
      <c r="BY107" s="189">
        <f>T107/E107</f>
        <v>0</v>
      </c>
      <c r="BZ107" s="189">
        <f>$BY107*Z107</f>
        <v>0</v>
      </c>
      <c r="CA107" s="189">
        <f>$BY107*AA107</f>
        <v>0</v>
      </c>
      <c r="CB107" s="189">
        <f>$BY107*AB107</f>
        <v>0</v>
      </c>
      <c r="CC107" s="189">
        <f>$BY107*AC107</f>
        <v>0</v>
      </c>
      <c r="CD107" s="189">
        <f>$BY107*AD107</f>
        <v>0</v>
      </c>
      <c r="CF107" s="189">
        <f>(F107/E107*'Common input data'!$B$195+G107/E107*'Common input data'!$B$196)/'Common input data'!$B$198</f>
        <v>1.1542107471302939E-4</v>
      </c>
      <c r="CG107" s="189">
        <f>$CF107*Z107</f>
        <v>1.1542107471302937E-4</v>
      </c>
      <c r="CH107" s="189">
        <f>$CF107*AA107</f>
        <v>1.1542107471302937E-4</v>
      </c>
      <c r="CI107" s="189">
        <f>$CF107*AB107</f>
        <v>1.1542107471302937E-4</v>
      </c>
      <c r="CJ107" s="189">
        <f>$CF107*AC107</f>
        <v>1.3775041736845614E-4</v>
      </c>
      <c r="CK107" s="189">
        <f>$CF107*AD107</f>
        <v>1.7006224366476064E-4</v>
      </c>
    </row>
    <row r="108" spans="1:89" ht="45">
      <c r="A108" s="18"/>
      <c r="B108" s="435" t="s">
        <v>122</v>
      </c>
      <c r="C108" s="435" t="s">
        <v>121</v>
      </c>
      <c r="D108" s="435">
        <v>0.69</v>
      </c>
      <c r="E108" s="797">
        <v>6624</v>
      </c>
      <c r="F108" s="797">
        <v>32.992615384615377</v>
      </c>
      <c r="G108" s="797">
        <v>0</v>
      </c>
      <c r="H108" s="797">
        <v>0</v>
      </c>
      <c r="P108" s="96">
        <v>300</v>
      </c>
      <c r="Q108" s="96">
        <v>0</v>
      </c>
      <c r="R108" s="96">
        <v>13.79017793594306</v>
      </c>
      <c r="S108" s="54">
        <v>9.9000000000000005E-2</v>
      </c>
      <c r="T108" s="54">
        <v>4.17</v>
      </c>
      <c r="U108" s="189">
        <v>4.9926191507892996E-13</v>
      </c>
      <c r="V108" s="189">
        <v>7.6196994155457501E-13</v>
      </c>
      <c r="W108" s="189">
        <v>6.9410319174027301E-14</v>
      </c>
      <c r="X108" s="189">
        <v>7.1402612381482693E-15</v>
      </c>
      <c r="Y108" s="189">
        <v>1.53428969970343E-12</v>
      </c>
      <c r="Z108" s="54">
        <v>1</v>
      </c>
      <c r="AA108" s="54">
        <f t="shared" ref="AA108:AB111" si="18">Z108</f>
        <v>1</v>
      </c>
      <c r="AB108" s="54">
        <f t="shared" si="18"/>
        <v>1</v>
      </c>
      <c r="AC108" s="435">
        <f>AB108/(1-'Common input data'!$B$140)</f>
        <v>1.1934598400763814</v>
      </c>
      <c r="AD108" s="435">
        <f>AC108/(1-'Common input data'!$B$178)</f>
        <v>1.4734072099708411</v>
      </c>
      <c r="AE108" t="s">
        <v>1839</v>
      </c>
      <c r="AF108" s="1123" t="s">
        <v>1826</v>
      </c>
      <c r="AG108" t="s">
        <v>1827</v>
      </c>
      <c r="AH108"/>
      <c r="AI108" s="64" t="s">
        <v>1850</v>
      </c>
      <c r="AJ108"/>
      <c r="AK108" s="1118" t="s">
        <v>1798</v>
      </c>
      <c r="AL108" s="114" t="s">
        <v>1799</v>
      </c>
      <c r="AM108" t="s">
        <v>1800</v>
      </c>
      <c r="AO108"/>
    </row>
    <row r="109" spans="1:89" ht="45">
      <c r="A109" s="140"/>
      <c r="B109" s="435" t="s">
        <v>126</v>
      </c>
      <c r="C109" s="435" t="s">
        <v>121</v>
      </c>
      <c r="D109" s="435">
        <v>0.14000000000000001</v>
      </c>
      <c r="E109" s="797">
        <v>23765</v>
      </c>
      <c r="F109" s="797">
        <v>83</v>
      </c>
      <c r="G109" s="797">
        <v>0</v>
      </c>
      <c r="H109" s="797">
        <v>0</v>
      </c>
      <c r="P109" s="96">
        <v>300</v>
      </c>
      <c r="Q109" s="96">
        <v>0</v>
      </c>
      <c r="R109" s="96">
        <v>49.475177935943059</v>
      </c>
      <c r="S109" s="54">
        <v>1.2E-2</v>
      </c>
      <c r="T109" s="54">
        <v>19.8</v>
      </c>
      <c r="U109" s="189">
        <v>1.58499831683658E-12</v>
      </c>
      <c r="V109" s="189">
        <v>1.00274734364104E-12</v>
      </c>
      <c r="W109" s="189">
        <v>8.25021177367055E-13</v>
      </c>
      <c r="X109" s="189">
        <v>1.74827713273418E-13</v>
      </c>
      <c r="Y109" s="189">
        <v>5.5312434421168498E-12</v>
      </c>
      <c r="Z109" s="54">
        <v>1</v>
      </c>
      <c r="AA109" s="54">
        <f t="shared" si="18"/>
        <v>1</v>
      </c>
      <c r="AB109" s="54">
        <f t="shared" si="18"/>
        <v>1</v>
      </c>
      <c r="AC109" s="435">
        <f>AB109/(1-'Common input data'!$B$140)</f>
        <v>1.1934598400763814</v>
      </c>
      <c r="AD109" s="435">
        <f>AC109/(1-'Common input data'!$B$178)</f>
        <v>1.4734072099708411</v>
      </c>
      <c r="AE109" t="s">
        <v>1829</v>
      </c>
      <c r="AF109" s="63" t="s">
        <v>1830</v>
      </c>
      <c r="AG109" t="s">
        <v>1864</v>
      </c>
      <c r="AH109"/>
      <c r="AI109" s="64" t="s">
        <v>1850</v>
      </c>
      <c r="AJ109"/>
      <c r="AK109" s="1118" t="s">
        <v>1798</v>
      </c>
      <c r="AL109" s="114" t="s">
        <v>1807</v>
      </c>
      <c r="AM109" t="s">
        <v>1800</v>
      </c>
      <c r="AO109"/>
    </row>
    <row r="110" spans="1:89" ht="45">
      <c r="A110" s="140"/>
      <c r="B110" s="435" t="s">
        <v>125</v>
      </c>
      <c r="C110" s="435" t="s">
        <v>129</v>
      </c>
      <c r="D110" s="435">
        <v>8.5000000000000006E-2</v>
      </c>
      <c r="E110" s="797">
        <v>87836.713061197777</v>
      </c>
      <c r="F110" s="797">
        <v>421.61759999999998</v>
      </c>
      <c r="G110" s="797">
        <v>0</v>
      </c>
      <c r="H110" s="797">
        <v>0</v>
      </c>
      <c r="P110" s="96">
        <v>0</v>
      </c>
      <c r="Q110" s="96">
        <v>0</v>
      </c>
      <c r="R110" s="96">
        <v>158.106083510156</v>
      </c>
      <c r="S110" s="54">
        <v>5.5500000000000001E-2</v>
      </c>
      <c r="T110" s="54">
        <v>7.2799999999999994</v>
      </c>
      <c r="U110" s="189">
        <v>1.0421301159577549E-12</v>
      </c>
      <c r="V110" s="189">
        <v>8.823586425978075E-13</v>
      </c>
      <c r="W110" s="189">
        <v>4.4721574827054114E-13</v>
      </c>
      <c r="X110" s="189">
        <v>9.098398725578314E-14</v>
      </c>
      <c r="Y110" s="189">
        <v>3.5327665709101401E-12</v>
      </c>
      <c r="Z110" s="54">
        <v>1</v>
      </c>
      <c r="AA110" s="54">
        <f t="shared" si="18"/>
        <v>1</v>
      </c>
      <c r="AB110" s="54">
        <f t="shared" si="18"/>
        <v>1</v>
      </c>
      <c r="AC110" s="435">
        <f>AB110/(1-'Common input data'!$B$140)</f>
        <v>1.1934598400763814</v>
      </c>
      <c r="AD110" s="435">
        <f>AC110/(1-'Common input data'!$B$178)</f>
        <v>1.4734072099708411</v>
      </c>
      <c r="AE110" t="s">
        <v>1829</v>
      </c>
      <c r="AF110" s="63" t="s">
        <v>1830</v>
      </c>
      <c r="AG110" t="s">
        <v>1865</v>
      </c>
      <c r="AH110"/>
      <c r="AI110" s="64"/>
      <c r="AJ110"/>
      <c r="AK110" s="1118" t="s">
        <v>1798</v>
      </c>
      <c r="AL110" s="114" t="s">
        <v>1807</v>
      </c>
      <c r="AM110" t="s">
        <v>1800</v>
      </c>
      <c r="AO110"/>
    </row>
    <row r="111" spans="1:89" ht="45">
      <c r="A111" s="140"/>
      <c r="B111" s="435"/>
      <c r="C111" s="435" t="s">
        <v>121</v>
      </c>
      <c r="D111" s="435">
        <v>8.5000000000000006E-2</v>
      </c>
      <c r="E111" s="797">
        <v>9312</v>
      </c>
      <c r="F111" s="797">
        <v>33</v>
      </c>
      <c r="G111" s="797">
        <v>0</v>
      </c>
      <c r="H111" s="797">
        <v>0</v>
      </c>
      <c r="P111" s="96">
        <v>300</v>
      </c>
      <c r="Q111" s="96">
        <v>0</v>
      </c>
      <c r="R111" s="96">
        <v>19.386192170818507</v>
      </c>
      <c r="S111" s="54">
        <v>5.5500000000000001E-2</v>
      </c>
      <c r="T111" s="54">
        <v>7.2799999999999994</v>
      </c>
      <c r="U111" s="189">
        <v>1.0421301159577549E-12</v>
      </c>
      <c r="V111" s="189">
        <v>8.823586425978075E-13</v>
      </c>
      <c r="W111" s="189">
        <v>4.4721574827054114E-13</v>
      </c>
      <c r="X111" s="189">
        <v>9.098398725578314E-14</v>
      </c>
      <c r="Y111" s="189">
        <v>3.5327665709101401E-12</v>
      </c>
      <c r="Z111" s="54">
        <v>1</v>
      </c>
      <c r="AA111" s="54">
        <f t="shared" si="18"/>
        <v>1</v>
      </c>
      <c r="AB111" s="54">
        <f t="shared" si="18"/>
        <v>1</v>
      </c>
      <c r="AC111" s="435">
        <f>AB111/(1-'Common input data'!$B$140)</f>
        <v>1.1934598400763814</v>
      </c>
      <c r="AD111" s="435">
        <f>AC111/(1-'Common input data'!$B$178)</f>
        <v>1.4734072099708411</v>
      </c>
      <c r="AE111" t="s">
        <v>1829</v>
      </c>
      <c r="AF111" s="63" t="s">
        <v>1830</v>
      </c>
      <c r="AG111" t="s">
        <v>1864</v>
      </c>
      <c r="AH111"/>
      <c r="AI111" s="64" t="s">
        <v>1850</v>
      </c>
      <c r="AJ111"/>
      <c r="AK111" s="1118" t="s">
        <v>1798</v>
      </c>
      <c r="AL111" s="114" t="s">
        <v>1807</v>
      </c>
      <c r="AM111" t="s">
        <v>1800</v>
      </c>
      <c r="AO111"/>
    </row>
    <row r="112" spans="1:89">
      <c r="A112" s="139" t="s">
        <v>83</v>
      </c>
      <c r="B112" s="170" t="s">
        <v>120</v>
      </c>
      <c r="C112" s="170" t="s">
        <v>121</v>
      </c>
      <c r="D112" s="170">
        <v>1</v>
      </c>
      <c r="E112" s="798">
        <f>$D113*E113+$D114*E114+$D115*E115+$D116*E116</f>
        <v>6174.5</v>
      </c>
      <c r="F112" s="798">
        <f>$D113*F113+$D114*F114+$D115*F115+$D116*F116</f>
        <v>100</v>
      </c>
      <c r="G112" s="797">
        <f>$D113*G113+$D114*G114+$D115*G115+$D116*G116</f>
        <v>0</v>
      </c>
      <c r="H112" s="798">
        <f>$D113*H113+$D114*H114+$D115*H115+$D116*H116</f>
        <v>0</v>
      </c>
      <c r="P112" s="798">
        <f>$D113*P113+$D114*P114+$D115*P115+$D116*P116</f>
        <v>300</v>
      </c>
      <c r="Q112" s="798">
        <f>$D113*Q113+$D114*Q114+$D115*Q115+$D116*Q116</f>
        <v>0</v>
      </c>
      <c r="R112" s="798">
        <v>12.5</v>
      </c>
      <c r="S112" s="170">
        <f>$D113*S113+$D114*S114+$D115*S115+$D116*S116</f>
        <v>5.5666666666666659E-3</v>
      </c>
      <c r="U112" s="212">
        <v>1.0407485974134454E-12</v>
      </c>
      <c r="V112" s="212">
        <v>9.0190274215608091E-13</v>
      </c>
      <c r="W112" s="212">
        <v>4.7148309497362196E-13</v>
      </c>
      <c r="X112" s="212">
        <v>9.3398825122709676E-14</v>
      </c>
      <c r="Y112" s="212">
        <v>3.4887264305997342E-12</v>
      </c>
      <c r="Z112" s="170">
        <f>$D113*Z113+$D114*Z114+$D115*Z115+$D116*Z116</f>
        <v>1</v>
      </c>
      <c r="AA112" s="170">
        <f>$D113*AA113+$D114*AA114+$D115*AA115+$D116*AA116</f>
        <v>1</v>
      </c>
      <c r="AB112" s="170">
        <f>$D113*AB113+$D114*AB114+$D115*AB115+$D116*AB116</f>
        <v>1</v>
      </c>
      <c r="AC112" s="170">
        <f>$D113*AC113+$D114*AC114+$D115*AC115+$D116*AC116</f>
        <v>1.1934598400763814</v>
      </c>
      <c r="AD112" s="170">
        <f>AC112/(1-'Common input data'!$B$178)</f>
        <v>1.4734072099708411</v>
      </c>
      <c r="AF112" s="1123"/>
      <c r="AG112"/>
      <c r="AH112"/>
      <c r="AI112" s="64"/>
      <c r="AJ112"/>
      <c r="AK112" s="1118"/>
      <c r="AL112"/>
      <c r="AO112"/>
      <c r="AP112" s="170">
        <f>$D113*'Fruits, berries, cocoa, coffee'!Y163+$D114*'Fruits, berries, cocoa, coffee'!Y167+$D115*'Fruits, berries, cocoa, coffee'!Y171+$D116*'Fruits, berries, cocoa, coffee'!Y175</f>
        <v>2.0369453484614555</v>
      </c>
      <c r="AQ112" s="170">
        <f>$D113*'Fruits, berries, cocoa, coffee'!Z163+$D114*'Fruits, berries, cocoa, coffee'!Z167+$D115*'Fruits, berries, cocoa, coffee'!Z171+$D116*'Fruits, berries, cocoa, coffee'!Z175</f>
        <v>2.0369453484614555</v>
      </c>
      <c r="AR112" s="170">
        <f>$D113*'Fruits, berries, cocoa, coffee'!AA163+$D114*'Fruits, berries, cocoa, coffee'!AA167+$D115*'Fruits, berries, cocoa, coffee'!AA171+$D116*'Fruits, berries, cocoa, coffee'!AA175</f>
        <v>2.0369453484614555</v>
      </c>
      <c r="AS112" s="170">
        <f>$D113*'Fruits, berries, cocoa, coffee'!AB163+$D114*'Fruits, berries, cocoa, coffee'!AB167+$D115*'Fruits, berries, cocoa, coffee'!AB171+$D116*'Fruits, berries, cocoa, coffee'!AB175</f>
        <v>2.0369453484614555</v>
      </c>
      <c r="AT112" s="170">
        <f>$D113*'Fruits, berries, cocoa, coffee'!AC163+$D114*'Fruits, berries, cocoa, coffee'!AC167+$D115*'Fruits, berries, cocoa, coffee'!AC171+$D116*'Fruits, berries, cocoa, coffee'!AC175</f>
        <v>2.4310124698191378</v>
      </c>
      <c r="AU112" s="170">
        <f>$D113*'Fruits, berries, cocoa, coffee'!AD163+$D114*'Fruits, berries, cocoa, coffee'!AD167+$D115*'Fruits, berries, cocoa, coffee'!AD171+$D116*'Fruits, berries, cocoa, coffee'!AD175</f>
        <v>3.0012499627396765</v>
      </c>
      <c r="AV112" s="106"/>
      <c r="AW112" s="212">
        <f>$D113*'Fruits, berries, cocoa, coffee'!AF163+$D114*'Fruits, berries, cocoa, coffee'!AF167+$D115*'Fruits, berries, cocoa, coffee'!AF171+$D116*'Fruits, berries, cocoa, coffee'!AF175</f>
        <v>2.0369453484614553E-2</v>
      </c>
      <c r="AX112" s="212">
        <f>$D113*'Fruits, berries, cocoa, coffee'!AG163+$D114*'Fruits, berries, cocoa, coffee'!AG167+$D115*'Fruits, berries, cocoa, coffee'!AG171+$D116*'Fruits, berries, cocoa, coffee'!AG175</f>
        <v>2.0369453484614553E-2</v>
      </c>
      <c r="AY112" s="212">
        <f>$D113*'Fruits, berries, cocoa, coffee'!AH163+$D114*'Fruits, berries, cocoa, coffee'!AH167+$D115*'Fruits, berries, cocoa, coffee'!AH171+$D116*'Fruits, berries, cocoa, coffee'!AH175</f>
        <v>2.0369453484614553E-2</v>
      </c>
      <c r="AZ112" s="212">
        <f>$D113*'Fruits, berries, cocoa, coffee'!AI163+$D114*'Fruits, berries, cocoa, coffee'!AI167+$D115*'Fruits, berries, cocoa, coffee'!AI171+$D116*'Fruits, berries, cocoa, coffee'!AI175</f>
        <v>2.0369453484614553E-2</v>
      </c>
      <c r="BA112" s="212">
        <f>$D113*'Fruits, berries, cocoa, coffee'!AJ163+$D114*'Fruits, berries, cocoa, coffee'!AJ167+$D115*'Fruits, berries, cocoa, coffee'!AJ171+$D116*'Fruits, berries, cocoa, coffee'!AJ175</f>
        <v>2.4310124698191375E-2</v>
      </c>
      <c r="BB112" s="212">
        <f>$D113*'Fruits, berries, cocoa, coffee'!AK163+$D114*'Fruits, berries, cocoa, coffee'!AK167+$D115*'Fruits, berries, cocoa, coffee'!AK171+$D116*'Fruits, berries, cocoa, coffee'!AK175</f>
        <v>3.0012499627396758E-2</v>
      </c>
      <c r="BC112" s="106"/>
      <c r="BD112" s="212">
        <f>$D113*'Fruits, berries, cocoa, coffee'!AM163+$D114*'Fruits, berries, cocoa, coffee'!AM167+$D115*'Fruits, berries, cocoa, coffee'!AM171+$D116*'Fruits, berries, cocoa, coffee'!AM175</f>
        <v>2.5461816855768191E-3</v>
      </c>
      <c r="BE112" s="212">
        <f>$D113*'Fruits, berries, cocoa, coffee'!AN163+$D114*'Fruits, berries, cocoa, coffee'!AN167+$D115*'Fruits, berries, cocoa, coffee'!AN171+$D116*'Fruits, berries, cocoa, coffee'!AN175</f>
        <v>2.5461816855768191E-3</v>
      </c>
      <c r="BF112" s="212">
        <f>$D113*'Fruits, berries, cocoa, coffee'!AO163+$D114*'Fruits, berries, cocoa, coffee'!AO167+$D115*'Fruits, berries, cocoa, coffee'!AO171+$D116*'Fruits, berries, cocoa, coffee'!AO175</f>
        <v>2.5461816855768191E-3</v>
      </c>
      <c r="BG112" s="212">
        <f>$D113*'Fruits, berries, cocoa, coffee'!AP163+$D114*'Fruits, berries, cocoa, coffee'!AP167+$D115*'Fruits, berries, cocoa, coffee'!AP171+$D116*'Fruits, berries, cocoa, coffee'!AP175</f>
        <v>2.5461816855768191E-3</v>
      </c>
      <c r="BH112" s="212">
        <f>$D113*'Fruits, berries, cocoa, coffee'!AQ163+$D114*'Fruits, berries, cocoa, coffee'!AQ167+$D115*'Fruits, berries, cocoa, coffee'!AQ171+$D116*'Fruits, berries, cocoa, coffee'!AQ175</f>
        <v>3.0387655872739219E-3</v>
      </c>
      <c r="BI112" s="212">
        <f>$D113*'Fruits, berries, cocoa, coffee'!AR163+$D114*'Fruits, berries, cocoa, coffee'!AR167+$D115*'Fruits, berries, cocoa, coffee'!AR171+$D116*'Fruits, berries, cocoa, coffee'!AR175</f>
        <v>3.7515624534245947E-3</v>
      </c>
      <c r="BJ112" s="266"/>
      <c r="BK112" s="212">
        <f>$D113*'Fruits, berries, cocoa, coffee'!AT163+$D114*'Fruits, berries, cocoa, coffee'!AT167+$D115*'Fruits, berries, cocoa, coffee'!AT171+$D116*'Fruits, berries, cocoa, coffee'!AT175</f>
        <v>5.5666666666666659E-3</v>
      </c>
      <c r="BL112" s="212">
        <f>$D113*'Fruits, berries, cocoa, coffee'!AU163+$D114*'Fruits, berries, cocoa, coffee'!AU167+$D115*'Fruits, berries, cocoa, coffee'!AU171+$D116*'Fruits, berries, cocoa, coffee'!AU175</f>
        <v>5.5666666666666659E-3</v>
      </c>
      <c r="BM112" s="212">
        <f>$D113*'Fruits, berries, cocoa, coffee'!AV163+$D114*'Fruits, berries, cocoa, coffee'!AV167+$D115*'Fruits, berries, cocoa, coffee'!AV171+$D116*'Fruits, berries, cocoa, coffee'!AV175</f>
        <v>5.5666666666666659E-3</v>
      </c>
      <c r="BN112" s="212">
        <f>$D113*'Fruits, berries, cocoa, coffee'!AW163+$D114*'Fruits, berries, cocoa, coffee'!AW167+$D115*'Fruits, berries, cocoa, coffee'!AW171+$D116*'Fruits, berries, cocoa, coffee'!AW175</f>
        <v>5.5666666666666659E-3</v>
      </c>
      <c r="BO112" s="212">
        <f>$D113*'Fruits, berries, cocoa, coffee'!AX163+$D114*'Fruits, berries, cocoa, coffee'!AX167+$D115*'Fruits, berries, cocoa, coffee'!AX171+$D116*'Fruits, berries, cocoa, coffee'!AX175</f>
        <v>6.6435931097585223E-3</v>
      </c>
      <c r="BP112" s="212">
        <f>$D113*'Fruits, berries, cocoa, coffee'!AY163+$D114*'Fruits, berries, cocoa, coffee'!AY167+$D115*'Fruits, berries, cocoa, coffee'!AY171+$D116*'Fruits, berries, cocoa, coffee'!AY175</f>
        <v>8.2019668021710151E-3</v>
      </c>
      <c r="BQ112" s="266"/>
      <c r="BR112" s="212">
        <f>$D113*'Fruits, berries, cocoa, coffee'!BA163+$D114*'Fruits, berries, cocoa, coffee'!BA167+$D115*'Fruits, berries, cocoa, coffee'!BA171+$D116*'Fruits, berries, cocoa, coffee'!BA175</f>
        <v>2.387786579605487E-11</v>
      </c>
      <c r="BS112" s="212">
        <f>$D113*'Fruits, berries, cocoa, coffee'!BB163+$D114*'Fruits, berries, cocoa, coffee'!BB167+$D115*'Fruits, berries, cocoa, coffee'!BB171+$D116*'Fruits, berries, cocoa, coffee'!BB175</f>
        <v>2.387786579605487E-11</v>
      </c>
      <c r="BT112" s="212">
        <f>$D113*'Fruits, berries, cocoa, coffee'!BC163+$D114*'Fruits, berries, cocoa, coffee'!BC167+$D115*'Fruits, berries, cocoa, coffee'!BC171+$D116*'Fruits, berries, cocoa, coffee'!BC175</f>
        <v>2.387786579605487E-11</v>
      </c>
      <c r="BU112" s="212">
        <f>$D113*'Fruits, berries, cocoa, coffee'!BD163+$D114*'Fruits, berries, cocoa, coffee'!BD167+$D115*'Fruits, berries, cocoa, coffee'!BD171+$D116*'Fruits, berries, cocoa, coffee'!BD175</f>
        <v>2.387786579605487E-11</v>
      </c>
      <c r="BV112" s="212">
        <f>$D113*'Fruits, berries, cocoa, coffee'!BE163+$D114*'Fruits, berries, cocoa, coffee'!BE167+$D115*'Fruits, berries, cocoa, coffee'!BE171+$D116*'Fruits, berries, cocoa, coffee'!BE175</f>
        <v>2.8497273894324945E-11</v>
      </c>
      <c r="BW112" s="212">
        <f>$D113*'Fruits, berries, cocoa, coffee'!BF163+$D114*'Fruits, berries, cocoa, coffee'!BF167+$D115*'Fruits, berries, cocoa, coffee'!BF171+$D116*'Fruits, berries, cocoa, coffee'!BF175</f>
        <v>3.5181819622623382E-11</v>
      </c>
      <c r="BY112" s="189">
        <f>T112/E112</f>
        <v>0</v>
      </c>
      <c r="BZ112" s="189">
        <f>$BY112*Z112</f>
        <v>0</v>
      </c>
      <c r="CA112" s="189">
        <f>$BY112*AA112</f>
        <v>0</v>
      </c>
      <c r="CB112" s="189">
        <f>$BY112*AB112</f>
        <v>0</v>
      </c>
      <c r="CC112" s="189">
        <f>$BY112*AC112</f>
        <v>0</v>
      </c>
      <c r="CD112" s="189">
        <f>$BY112*AD112</f>
        <v>0</v>
      </c>
      <c r="CF112" s="189">
        <f>(F112/E112*'Common input data'!$B$195+G112/E112*'Common input data'!$B$196)/'Common input data'!$B$198</f>
        <v>4.1353523578319346E-4</v>
      </c>
      <c r="CG112" s="189">
        <f>$CF112*Z112</f>
        <v>4.1353523578319346E-4</v>
      </c>
      <c r="CH112" s="189">
        <f>$CF112*AA112</f>
        <v>4.1353523578319346E-4</v>
      </c>
      <c r="CI112" s="189">
        <f>$CF112*AB112</f>
        <v>4.1353523578319346E-4</v>
      </c>
      <c r="CJ112" s="189">
        <f>$CF112*AC112</f>
        <v>4.935376963637587E-4</v>
      </c>
      <c r="CK112" s="189">
        <f>$CF112*AD112</f>
        <v>6.0930579797994903E-4</v>
      </c>
    </row>
    <row r="113" spans="1:89" ht="45">
      <c r="A113" s="18"/>
      <c r="B113" s="435" t="s">
        <v>122</v>
      </c>
      <c r="C113" s="435" t="s">
        <v>121</v>
      </c>
      <c r="D113" s="435">
        <v>0.44</v>
      </c>
      <c r="E113" s="797">
        <v>3343</v>
      </c>
      <c r="F113" s="797">
        <v>100</v>
      </c>
      <c r="G113" s="797">
        <v>0</v>
      </c>
      <c r="H113" s="797">
        <v>0</v>
      </c>
      <c r="P113" s="96">
        <v>300</v>
      </c>
      <c r="Q113" s="96">
        <v>0</v>
      </c>
      <c r="R113" s="96">
        <v>12.5</v>
      </c>
      <c r="S113" s="54">
        <v>0</v>
      </c>
      <c r="T113" s="54">
        <v>3.85</v>
      </c>
      <c r="U113" s="189">
        <v>4.9926191507892996E-13</v>
      </c>
      <c r="V113" s="189">
        <v>7.6196994155457501E-13</v>
      </c>
      <c r="W113" s="189">
        <v>6.9410319174027301E-14</v>
      </c>
      <c r="X113" s="189">
        <v>7.1402612381482693E-15</v>
      </c>
      <c r="Y113" s="189">
        <v>1.53428969970343E-12</v>
      </c>
      <c r="Z113" s="54">
        <v>1</v>
      </c>
      <c r="AA113" s="54">
        <f t="shared" ref="AA113:AB117" si="19">Z113</f>
        <v>1</v>
      </c>
      <c r="AB113" s="54">
        <f t="shared" si="19"/>
        <v>1</v>
      </c>
      <c r="AC113" s="435">
        <f>AB113/(1-'Common input data'!$B$140)</f>
        <v>1.1934598400763814</v>
      </c>
      <c r="AD113" s="435">
        <f>AC113/(1-'Common input data'!$B$178)</f>
        <v>1.4734072099708411</v>
      </c>
      <c r="AE113" t="s">
        <v>1826</v>
      </c>
      <c r="AF113" s="1123" t="s">
        <v>1826</v>
      </c>
      <c r="AG113" t="s">
        <v>1866</v>
      </c>
      <c r="AH113"/>
      <c r="AI113" s="64" t="s">
        <v>1850</v>
      </c>
      <c r="AJ113"/>
      <c r="AK113" s="1118" t="s">
        <v>1798</v>
      </c>
      <c r="AL113" s="114" t="s">
        <v>1799</v>
      </c>
      <c r="AM113" t="s">
        <v>1800</v>
      </c>
      <c r="AO113"/>
    </row>
    <row r="114" spans="1:89" ht="45">
      <c r="A114" s="140"/>
      <c r="B114" s="435" t="s">
        <v>126</v>
      </c>
      <c r="C114" s="435" t="s">
        <v>121</v>
      </c>
      <c r="D114" s="435">
        <v>0.15</v>
      </c>
      <c r="E114" s="797">
        <v>11690</v>
      </c>
      <c r="F114" s="797">
        <v>100</v>
      </c>
      <c r="G114" s="797">
        <v>0</v>
      </c>
      <c r="H114" s="797">
        <v>0</v>
      </c>
      <c r="P114" s="96">
        <v>300</v>
      </c>
      <c r="Q114" s="96">
        <v>0</v>
      </c>
      <c r="R114" s="96">
        <v>12.5</v>
      </c>
      <c r="S114" s="54">
        <v>5.0000000000000001E-3</v>
      </c>
      <c r="T114" s="54">
        <v>19.8</v>
      </c>
      <c r="U114" s="189">
        <v>1.58499831683658E-12</v>
      </c>
      <c r="V114" s="189">
        <v>1.00274734364104E-12</v>
      </c>
      <c r="W114" s="189">
        <v>8.25021177367055E-13</v>
      </c>
      <c r="X114" s="189">
        <v>1.74827713273418E-13</v>
      </c>
      <c r="Y114" s="189">
        <v>5.5312434421168498E-12</v>
      </c>
      <c r="Z114" s="54">
        <v>1</v>
      </c>
      <c r="AA114" s="54">
        <f t="shared" si="19"/>
        <v>1</v>
      </c>
      <c r="AB114" s="54">
        <f t="shared" si="19"/>
        <v>1</v>
      </c>
      <c r="AC114" s="435">
        <f>AB114/(1-'Common input data'!$B$140)</f>
        <v>1.1934598400763814</v>
      </c>
      <c r="AD114" s="435">
        <f>AC114/(1-'Common input data'!$B$178)</f>
        <v>1.4734072099708411</v>
      </c>
      <c r="AE114" t="s">
        <v>1829</v>
      </c>
      <c r="AF114" s="63" t="s">
        <v>1830</v>
      </c>
      <c r="AG114" t="s">
        <v>1866</v>
      </c>
      <c r="AH114"/>
      <c r="AI114" s="64" t="s">
        <v>1850</v>
      </c>
      <c r="AJ114"/>
      <c r="AK114" s="1118" t="s">
        <v>1798</v>
      </c>
      <c r="AL114" s="114" t="s">
        <v>1807</v>
      </c>
      <c r="AM114" t="s">
        <v>1800</v>
      </c>
      <c r="AO114"/>
    </row>
    <row r="115" spans="1:89" ht="45">
      <c r="A115" s="140"/>
      <c r="B115" s="435" t="s">
        <v>148</v>
      </c>
      <c r="C115" s="435" t="s">
        <v>121</v>
      </c>
      <c r="D115" s="435">
        <v>0.25</v>
      </c>
      <c r="E115" s="797">
        <v>8272</v>
      </c>
      <c r="F115" s="797">
        <v>100</v>
      </c>
      <c r="G115" s="797">
        <v>0</v>
      </c>
      <c r="H115" s="797">
        <v>0</v>
      </c>
      <c r="P115" s="96">
        <v>300</v>
      </c>
      <c r="Q115" s="96">
        <v>0</v>
      </c>
      <c r="R115" s="96">
        <v>12.5</v>
      </c>
      <c r="S115" s="54">
        <v>1.4999999999999999E-2</v>
      </c>
      <c r="T115" s="54">
        <v>16.78</v>
      </c>
      <c r="U115" s="189">
        <v>1.55658152159693E-12</v>
      </c>
      <c r="V115" s="189">
        <v>1.0618866300510301E-12</v>
      </c>
      <c r="W115" s="189">
        <v>8.8841658719714498E-13</v>
      </c>
      <c r="X115" s="189">
        <v>1.7910327872404899E-13</v>
      </c>
      <c r="Y115" s="189">
        <v>5.2982110291723597E-12</v>
      </c>
      <c r="Z115" s="54">
        <v>1</v>
      </c>
      <c r="AA115" s="54">
        <f t="shared" si="19"/>
        <v>1</v>
      </c>
      <c r="AB115" s="54">
        <f t="shared" si="19"/>
        <v>1</v>
      </c>
      <c r="AC115" s="435">
        <f>AB115/(1-'Common input data'!$B$140)</f>
        <v>1.1934598400763814</v>
      </c>
      <c r="AD115" s="435">
        <f>AC115/(1-'Common input data'!$B$178)</f>
        <v>1.4734072099708411</v>
      </c>
      <c r="AE115" t="s">
        <v>1829</v>
      </c>
      <c r="AF115" s="63" t="s">
        <v>1830</v>
      </c>
      <c r="AG115" t="s">
        <v>1866</v>
      </c>
      <c r="AH115"/>
      <c r="AI115" s="64" t="s">
        <v>1850</v>
      </c>
      <c r="AJ115"/>
      <c r="AK115" s="1118" t="s">
        <v>1798</v>
      </c>
      <c r="AL115" s="114" t="s">
        <v>1807</v>
      </c>
      <c r="AM115" t="s">
        <v>1800</v>
      </c>
      <c r="AO115"/>
    </row>
    <row r="116" spans="1:89" ht="45">
      <c r="A116" s="140"/>
      <c r="B116" s="435" t="s">
        <v>125</v>
      </c>
      <c r="C116" s="435" t="s">
        <v>121</v>
      </c>
      <c r="D116" s="435">
        <v>0.16</v>
      </c>
      <c r="E116" s="797">
        <v>5513</v>
      </c>
      <c r="F116" s="797">
        <v>100</v>
      </c>
      <c r="G116" s="797">
        <v>0</v>
      </c>
      <c r="H116" s="797">
        <v>0</v>
      </c>
      <c r="P116" s="96">
        <v>300</v>
      </c>
      <c r="Q116" s="96">
        <v>0</v>
      </c>
      <c r="R116" s="96">
        <v>12.5</v>
      </c>
      <c r="S116" s="54">
        <v>6.6666666666666671E-3</v>
      </c>
      <c r="T116" s="54">
        <v>7.2799999999999994</v>
      </c>
      <c r="U116" s="189">
        <v>1.2136139178374798E-12</v>
      </c>
      <c r="V116" s="189">
        <v>9.4220130508221496E-13</v>
      </c>
      <c r="W116" s="189">
        <v>5.9428269457940912E-13</v>
      </c>
      <c r="X116" s="189">
        <v>1.2035708441187175E-13</v>
      </c>
      <c r="Y116" s="189">
        <v>4.1212480569975466E-12</v>
      </c>
      <c r="Z116" s="54">
        <v>1</v>
      </c>
      <c r="AA116" s="54">
        <f t="shared" si="19"/>
        <v>1</v>
      </c>
      <c r="AB116" s="54">
        <f t="shared" si="19"/>
        <v>1</v>
      </c>
      <c r="AC116" s="435">
        <f>AB116/(1-'Common input data'!$B$140)</f>
        <v>1.1934598400763814</v>
      </c>
      <c r="AD116" s="435">
        <f>AC116/(1-'Common input data'!$B$178)</f>
        <v>1.4734072099708411</v>
      </c>
      <c r="AE116" t="s">
        <v>1829</v>
      </c>
      <c r="AF116" s="63" t="s">
        <v>1830</v>
      </c>
      <c r="AG116" t="s">
        <v>1866</v>
      </c>
      <c r="AH116"/>
      <c r="AI116" s="64" t="s">
        <v>1850</v>
      </c>
      <c r="AJ116"/>
      <c r="AK116" s="1118" t="s">
        <v>1798</v>
      </c>
      <c r="AL116" s="114" t="s">
        <v>1807</v>
      </c>
      <c r="AM116" t="s">
        <v>1800</v>
      </c>
      <c r="AO116"/>
    </row>
    <row r="117" spans="1:89" ht="45">
      <c r="A117" s="139" t="s">
        <v>67</v>
      </c>
      <c r="B117" s="170" t="s">
        <v>135</v>
      </c>
      <c r="C117" s="170" t="s">
        <v>121</v>
      </c>
      <c r="D117" s="170">
        <v>1</v>
      </c>
      <c r="E117" s="798">
        <v>9032</v>
      </c>
      <c r="F117" s="798">
        <v>136</v>
      </c>
      <c r="G117" s="797">
        <v>0</v>
      </c>
      <c r="H117" s="798">
        <v>0</v>
      </c>
      <c r="P117" s="107">
        <v>100</v>
      </c>
      <c r="Q117" s="107">
        <v>0</v>
      </c>
      <c r="R117" s="107">
        <v>76.772000000000006</v>
      </c>
      <c r="S117" s="79">
        <v>0.23736722853917699</v>
      </c>
      <c r="T117" s="54">
        <v>7.6772000000000009</v>
      </c>
      <c r="U117" s="211">
        <v>2.6287036347879701E-11</v>
      </c>
      <c r="V117" s="211">
        <v>2.0868962065645299E-11</v>
      </c>
      <c r="W117" s="211">
        <v>6.2757826288554406E-11</v>
      </c>
      <c r="X117" s="211">
        <v>3.3903738011328697E-11</v>
      </c>
      <c r="Y117" s="211">
        <v>3.98499261113874E-10</v>
      </c>
      <c r="Z117" s="79">
        <v>1</v>
      </c>
      <c r="AA117" s="79">
        <f t="shared" si="19"/>
        <v>1</v>
      </c>
      <c r="AB117" s="79">
        <f t="shared" si="19"/>
        <v>1</v>
      </c>
      <c r="AC117" s="170">
        <f>AB117/(1-'Common input data'!$I$140)</f>
        <v>1.372193863549042</v>
      </c>
      <c r="AD117" s="170">
        <f>AC117/(1-'Common input data'!$B$178)</f>
        <v>1.6940664982086937</v>
      </c>
      <c r="AE117" t="s">
        <v>1829</v>
      </c>
      <c r="AF117" s="63" t="s">
        <v>1830</v>
      </c>
      <c r="AG117" t="s">
        <v>1867</v>
      </c>
      <c r="AH117"/>
      <c r="AI117" s="64" t="s">
        <v>1862</v>
      </c>
      <c r="AJ117"/>
      <c r="AK117" s="1118" t="s">
        <v>1798</v>
      </c>
      <c r="AL117" s="114" t="s">
        <v>1868</v>
      </c>
      <c r="AM117" t="s">
        <v>1869</v>
      </c>
      <c r="AO117"/>
    </row>
    <row r="118" spans="1:89">
      <c r="A118" s="139" t="s">
        <v>73</v>
      </c>
      <c r="B118" s="170" t="s">
        <v>120</v>
      </c>
      <c r="C118" s="170" t="s">
        <v>121</v>
      </c>
      <c r="D118" s="170">
        <v>1</v>
      </c>
      <c r="E118" s="798">
        <f>$D119*E119+$D120*E120</f>
        <v>16756.11</v>
      </c>
      <c r="F118" s="798">
        <f>$D119*F119+$D120*F120</f>
        <v>75.254851104000011</v>
      </c>
      <c r="G118" s="797">
        <f>$D119*G119+$D120*G120</f>
        <v>0</v>
      </c>
      <c r="H118" s="798">
        <f>$D119*H119+$D120*H120</f>
        <v>0</v>
      </c>
      <c r="P118" s="798">
        <f>$D119*P119+$D120*P120</f>
        <v>350</v>
      </c>
      <c r="Q118" s="798">
        <f>$D119*Q119+$D120*Q120</f>
        <v>0</v>
      </c>
      <c r="R118" s="798">
        <v>125.00058060000001</v>
      </c>
      <c r="S118" s="170">
        <f>$D119*S119+$D120*S120</f>
        <v>0.12757854303403368</v>
      </c>
      <c r="U118" s="212">
        <v>6.2166574853918297E-12</v>
      </c>
      <c r="V118" s="212">
        <v>1.5894570519760001E-12</v>
      </c>
      <c r="W118" s="212">
        <v>1.33278983729738E-11</v>
      </c>
      <c r="X118" s="212">
        <v>3.2344913345964E-12</v>
      </c>
      <c r="Y118" s="212">
        <v>3.8971536324818501E-10</v>
      </c>
      <c r="Z118" s="170">
        <f>$D119*Z119+$D120*Z120</f>
        <v>1</v>
      </c>
      <c r="AA118" s="170">
        <f>$D119*AA119+$D120*AA120</f>
        <v>1</v>
      </c>
      <c r="AB118" s="170">
        <f>$D119*AB119+$D120*AB120</f>
        <v>1</v>
      </c>
      <c r="AC118" s="170">
        <f>$D119*AC119+$D120*AC120</f>
        <v>1.2846141920474383</v>
      </c>
      <c r="AD118" s="170">
        <f>AC118/(1-'Common input data'!$B$178)</f>
        <v>1.5859434469721461</v>
      </c>
      <c r="AE118" t="s">
        <v>1829</v>
      </c>
      <c r="AF118" s="1123"/>
      <c r="AG118"/>
      <c r="AH118"/>
      <c r="AI118" s="64"/>
      <c r="AJ118"/>
      <c r="AK118" s="1118"/>
      <c r="AL118"/>
      <c r="AO118"/>
      <c r="AP118" s="170">
        <f>$D119*'Fruits, berries, cocoa, coffee'!Y129+$D120*'Fruits, berries, cocoa, coffee'!Y133</f>
        <v>0.59900844605657011</v>
      </c>
      <c r="AQ118" s="170">
        <f>$D119*'Fruits, berries, cocoa, coffee'!Z129+$D120*'Fruits, berries, cocoa, coffee'!Z133</f>
        <v>0.59900844605657011</v>
      </c>
      <c r="AR118" s="170">
        <f>$D119*'Fruits, berries, cocoa, coffee'!AA129+$D120*'Fruits, berries, cocoa, coffee'!AA133</f>
        <v>0.59900844605657011</v>
      </c>
      <c r="AS118" s="170">
        <f>$D119*'Fruits, berries, cocoa, coffee'!AB129+$D120*'Fruits, berries, cocoa, coffee'!AB133</f>
        <v>0.59900844605657011</v>
      </c>
      <c r="AT118" s="170">
        <f>$D119*'Fruits, berries, cocoa, coffee'!AC129+$D120*'Fruits, berries, cocoa, coffee'!AC133</f>
        <v>0.77274259212303475</v>
      </c>
      <c r="AU118" s="170">
        <f>$D119*'Fruits, berries, cocoa, coffee'!AD129+$D120*'Fruits, berries, cocoa, coffee'!AD133</f>
        <v>0.95400320015189466</v>
      </c>
      <c r="AV118" s="106"/>
      <c r="AW118" s="212">
        <f>$D119*'Fruits, berries, cocoa, coffee'!AF129+$D120*'Fruits, berries, cocoa, coffee'!AF133</f>
        <v>4.4920502740369364E-3</v>
      </c>
      <c r="AX118" s="212">
        <f>$D119*'Fruits, berries, cocoa, coffee'!AG129+$D120*'Fruits, berries, cocoa, coffee'!AG133</f>
        <v>4.4920502740369364E-3</v>
      </c>
      <c r="AY118" s="212">
        <f>$D119*'Fruits, berries, cocoa, coffee'!AH129+$D120*'Fruits, berries, cocoa, coffee'!AH133</f>
        <v>4.4920502740369364E-3</v>
      </c>
      <c r="AZ118" s="212">
        <f>$D119*'Fruits, berries, cocoa, coffee'!AI129+$D120*'Fruits, berries, cocoa, coffee'!AI133</f>
        <v>4.4920502740369364E-3</v>
      </c>
      <c r="BA118" s="212">
        <f>$D119*'Fruits, berries, cocoa, coffee'!AJ129+$D120*'Fruits, berries, cocoa, coffee'!AJ133</f>
        <v>5.7718170836716957E-3</v>
      </c>
      <c r="BB118" s="212">
        <f>$D119*'Fruits, berries, cocoa, coffee'!AK129+$D120*'Fruits, berries, cocoa, coffee'!AK133</f>
        <v>7.1257001032983894E-3</v>
      </c>
      <c r="BC118" s="106"/>
      <c r="BD118" s="212">
        <f>$D119*'Fruits, berries, cocoa, coffee'!AM129+$D120*'Fruits, berries, cocoa, coffee'!AM133</f>
        <v>7.4599999999999996E-3</v>
      </c>
      <c r="BE118" s="212">
        <f>$D119*'Fruits, berries, cocoa, coffee'!AN129+$D120*'Fruits, berries, cocoa, coffee'!AN133</f>
        <v>7.4599999999999996E-3</v>
      </c>
      <c r="BF118" s="212">
        <f>$D119*'Fruits, berries, cocoa, coffee'!AO129+$D120*'Fruits, berries, cocoa, coffee'!AO133</f>
        <v>7.4599999999999996E-3</v>
      </c>
      <c r="BG118" s="212">
        <f>$D119*'Fruits, berries, cocoa, coffee'!AP129+$D120*'Fruits, berries, cocoa, coffee'!AP133</f>
        <v>7.4599999999999996E-3</v>
      </c>
      <c r="BH118" s="212">
        <f>$D119*'Fruits, berries, cocoa, coffee'!AQ129+$D120*'Fruits, berries, cocoa, coffee'!AQ133</f>
        <v>9.5832218726738892E-3</v>
      </c>
      <c r="BI118" s="212">
        <f>$D119*'Fruits, berries, cocoa, coffee'!AR129+$D120*'Fruits, berries, cocoa, coffee'!AR133</f>
        <v>1.1831138114412209E-2</v>
      </c>
      <c r="BJ118" s="266"/>
      <c r="BK118" s="212">
        <f>$D119*'Fruits, berries, cocoa, coffee'!AT129+$D120*'Fruits, berries, cocoa, coffee'!AT133</f>
        <v>0.12757854303403368</v>
      </c>
      <c r="BL118" s="212">
        <f>$D119*'Fruits, berries, cocoa, coffee'!AU129+$D120*'Fruits, berries, cocoa, coffee'!AU133</f>
        <v>0.12757854303403368</v>
      </c>
      <c r="BM118" s="212">
        <f>$D119*'Fruits, berries, cocoa, coffee'!AV129+$D120*'Fruits, berries, cocoa, coffee'!AV133</f>
        <v>0.12757854303403368</v>
      </c>
      <c r="BN118" s="212">
        <f>$D119*'Fruits, berries, cocoa, coffee'!AW129+$D120*'Fruits, berries, cocoa, coffee'!AW133</f>
        <v>0.12757854303403368</v>
      </c>
      <c r="BO118" s="212">
        <f>$D119*'Fruits, berries, cocoa, coffee'!AX129+$D120*'Fruits, berries, cocoa, coffee'!AX133</f>
        <v>0.16761822179419208</v>
      </c>
      <c r="BP118" s="212">
        <f>$D119*'Fruits, berries, cocoa, coffee'!AY129+$D120*'Fruits, berries, cocoa, coffee'!AY133</f>
        <v>0.206936076289126</v>
      </c>
      <c r="BQ118" s="266"/>
      <c r="BR118" s="212">
        <f>$D119*'Fruits, berries, cocoa, coffee'!BA129+$D120*'Fruits, berries, cocoa, coffee'!BA133</f>
        <v>6.1092025813194319E-10</v>
      </c>
      <c r="BS118" s="212">
        <f>$D119*'Fruits, berries, cocoa, coffee'!BB129+$D120*'Fruits, berries, cocoa, coffee'!BB133</f>
        <v>6.1092025813194319E-10</v>
      </c>
      <c r="BT118" s="212">
        <f>$D119*'Fruits, berries, cocoa, coffee'!BC129+$D120*'Fruits, berries, cocoa, coffee'!BC133</f>
        <v>6.1092025813194319E-10</v>
      </c>
      <c r="BU118" s="212">
        <f>$D119*'Fruits, berries, cocoa, coffee'!BD129+$D120*'Fruits, berries, cocoa, coffee'!BD133</f>
        <v>6.1092025813194319E-10</v>
      </c>
      <c r="BV118" s="212">
        <f>$D119*'Fruits, berries, cocoa, coffee'!BE129+$D120*'Fruits, berries, cocoa, coffee'!BE133</f>
        <v>7.8810926115851121E-10</v>
      </c>
      <c r="BW118" s="212">
        <f>$D119*'Fruits, berries, cocoa, coffee'!BF129+$D120*'Fruits, berries, cocoa, coffee'!BF133</f>
        <v>9.7297439649198922E-10</v>
      </c>
      <c r="BY118" s="189">
        <f>T118/E118</f>
        <v>0</v>
      </c>
      <c r="BZ118" s="189">
        <f>$BY118*Z118</f>
        <v>0</v>
      </c>
      <c r="CA118" s="189">
        <f>$BY118*AA118</f>
        <v>0</v>
      </c>
      <c r="CB118" s="189">
        <f>$BY118*AB118</f>
        <v>0</v>
      </c>
      <c r="CC118" s="189">
        <f>$BY118*AC118</f>
        <v>0</v>
      </c>
      <c r="CD118" s="189">
        <f>$BY118*AD118</f>
        <v>0</v>
      </c>
      <c r="CF118" s="189">
        <f>(F118/E118*'Common input data'!$B$195+G118/E118*'Common input data'!$B$196)/'Common input data'!$B$198</f>
        <v>1.1467681252306132E-4</v>
      </c>
      <c r="CG118" s="189">
        <f>$CF118*Z118</f>
        <v>1.1467681252306132E-4</v>
      </c>
      <c r="CH118" s="189">
        <f>$CF118*AA118</f>
        <v>1.1467681252306132E-4</v>
      </c>
      <c r="CI118" s="189">
        <f>$CF118*AB118</f>
        <v>1.1467681252306132E-4</v>
      </c>
      <c r="CJ118" s="189">
        <f>$CF118*AC118</f>
        <v>1.4731546086588798E-4</v>
      </c>
      <c r="CK118" s="189">
        <f>$CF118*AD118</f>
        <v>1.8187093934060245E-4</v>
      </c>
    </row>
    <row r="119" spans="1:89" ht="45">
      <c r="A119" s="18"/>
      <c r="B119" s="54" t="s">
        <v>123</v>
      </c>
      <c r="C119" s="435" t="s">
        <v>121</v>
      </c>
      <c r="D119" s="435">
        <v>0.49</v>
      </c>
      <c r="E119" s="797">
        <v>17796</v>
      </c>
      <c r="F119" s="797">
        <v>79.683369600000006</v>
      </c>
      <c r="G119" s="797">
        <v>0</v>
      </c>
      <c r="H119" s="797">
        <v>0</v>
      </c>
      <c r="P119" s="96">
        <v>350</v>
      </c>
      <c r="Q119" s="96">
        <v>0</v>
      </c>
      <c r="R119" s="96">
        <v>132.75816</v>
      </c>
      <c r="S119" s="54">
        <v>8.5000000000000006E-2</v>
      </c>
      <c r="T119" s="54">
        <v>14.639999999999997</v>
      </c>
      <c r="U119" s="189">
        <v>6.2166574853918297E-12</v>
      </c>
      <c r="V119" s="189">
        <v>1.5894570519760001E-12</v>
      </c>
      <c r="W119" s="189">
        <v>1.33278983729738E-11</v>
      </c>
      <c r="X119" s="189">
        <v>3.2344913345964E-12</v>
      </c>
      <c r="Y119" s="189">
        <v>3.8971536324818501E-10</v>
      </c>
      <c r="Z119" s="54">
        <v>1</v>
      </c>
      <c r="AA119" s="54">
        <f>Z119</f>
        <v>1</v>
      </c>
      <c r="AB119" s="54">
        <f>AA119</f>
        <v>1</v>
      </c>
      <c r="AC119" s="435">
        <f>AB119/(1-'Common input data'!$B$140)</f>
        <v>1.1934598400763814</v>
      </c>
      <c r="AD119" s="435">
        <f>AC119/(1-'Common input data'!$B$178)</f>
        <v>1.4734072099708411</v>
      </c>
      <c r="AE119" t="s">
        <v>1829</v>
      </c>
      <c r="AF119" s="63" t="s">
        <v>1830</v>
      </c>
      <c r="AG119" t="s">
        <v>1870</v>
      </c>
      <c r="AH119"/>
      <c r="AI119" s="64" t="s">
        <v>1871</v>
      </c>
      <c r="AJ119"/>
      <c r="AK119" s="1118" t="s">
        <v>1798</v>
      </c>
      <c r="AL119" s="114" t="s">
        <v>1807</v>
      </c>
      <c r="AM119" t="s">
        <v>1800</v>
      </c>
      <c r="AO119"/>
    </row>
    <row r="120" spans="1:89" ht="45">
      <c r="A120" s="140"/>
      <c r="B120" s="54" t="s">
        <v>134</v>
      </c>
      <c r="C120" s="435" t="s">
        <v>121</v>
      </c>
      <c r="D120" s="435">
        <v>0.51</v>
      </c>
      <c r="E120" s="797">
        <v>15757</v>
      </c>
      <c r="F120" s="797">
        <v>71</v>
      </c>
      <c r="G120" s="797">
        <v>0</v>
      </c>
      <c r="H120" s="797">
        <v>0</v>
      </c>
      <c r="P120" s="96">
        <v>350</v>
      </c>
      <c r="Q120" s="96">
        <v>0</v>
      </c>
      <c r="R120" s="96">
        <v>117.54722</v>
      </c>
      <c r="S120" s="54">
        <v>0.16848733928241896</v>
      </c>
      <c r="T120" s="54">
        <v>1.3897674</v>
      </c>
      <c r="U120" s="189">
        <v>6.2166574853918297E-12</v>
      </c>
      <c r="V120" s="189">
        <v>1.5894570519760001E-12</v>
      </c>
      <c r="W120" s="189">
        <v>1.33278983729738E-11</v>
      </c>
      <c r="X120" s="189">
        <v>3.2344913345964E-12</v>
      </c>
      <c r="Y120" s="189">
        <v>3.8971536324818501E-10</v>
      </c>
      <c r="Z120" s="54">
        <v>1</v>
      </c>
      <c r="AA120" s="54">
        <f>Z120</f>
        <v>1</v>
      </c>
      <c r="AB120" s="54">
        <f>AA120</f>
        <v>1</v>
      </c>
      <c r="AC120" s="435">
        <f>AB120/(1-'Common input data'!$I$140)</f>
        <v>1.372193863549042</v>
      </c>
      <c r="AD120" s="435">
        <f>AC120/(1-'Common input data'!$B$178)</f>
        <v>1.6940664982086937</v>
      </c>
      <c r="AE120" t="s">
        <v>1829</v>
      </c>
      <c r="AF120" s="63" t="s">
        <v>1830</v>
      </c>
      <c r="AG120" t="s">
        <v>1872</v>
      </c>
      <c r="AH120"/>
      <c r="AI120" s="64" t="s">
        <v>1871</v>
      </c>
      <c r="AJ120"/>
      <c r="AK120" s="1118" t="s">
        <v>1798</v>
      </c>
      <c r="AL120" s="114" t="s">
        <v>1873</v>
      </c>
      <c r="AM120" t="s">
        <v>1800</v>
      </c>
      <c r="AO120"/>
    </row>
    <row r="121" spans="1:89">
      <c r="A121" s="139" t="s">
        <v>55</v>
      </c>
      <c r="B121" s="79" t="s">
        <v>120</v>
      </c>
      <c r="C121" s="170" t="s">
        <v>121</v>
      </c>
      <c r="D121" s="170">
        <v>1</v>
      </c>
      <c r="E121" s="798">
        <f>$D122*E122+$D123*E123</f>
        <v>19811.455182837642</v>
      </c>
      <c r="F121" s="798">
        <f>$D122*F122+$D123*F123</f>
        <v>176.09924686848598</v>
      </c>
      <c r="G121" s="797">
        <f>$D122*G122+$D123*G123</f>
        <v>4.1905031746394927</v>
      </c>
      <c r="H121" s="798">
        <f>$D122*H122+$D123*H123</f>
        <v>0</v>
      </c>
      <c r="P121" s="798">
        <f>$D122*P122+$D123*P123</f>
        <v>200</v>
      </c>
      <c r="Q121" s="798">
        <f>$D122*Q122+$D123*Q123</f>
        <v>0</v>
      </c>
      <c r="R121" s="798">
        <v>55.007594775259676</v>
      </c>
      <c r="S121" s="170">
        <f>$D122*S122+$D123*S123</f>
        <v>0.13181174337848198</v>
      </c>
      <c r="U121" s="212">
        <v>3.7738174209626004E-12</v>
      </c>
      <c r="V121" s="212">
        <v>2.5819413353737595E-12</v>
      </c>
      <c r="W121" s="212">
        <v>3.8726446962259289E-12</v>
      </c>
      <c r="X121" s="212">
        <v>7.3859179387853007E-12</v>
      </c>
      <c r="Y121" s="212">
        <v>6.7025422877374492E-10</v>
      </c>
      <c r="Z121" s="170">
        <f>$D122*Z122+$D123*Z123</f>
        <v>1</v>
      </c>
      <c r="AA121" s="170">
        <f>$D122*AA122+$D123*AA123</f>
        <v>1</v>
      </c>
      <c r="AB121" s="170">
        <f>$D122*AB122+$D123*AB123</f>
        <v>1</v>
      </c>
      <c r="AC121" s="170">
        <f>$D122*AC122+$D123*AC123</f>
        <v>1.2932683671588658</v>
      </c>
      <c r="AD121" s="170">
        <f>AC121/(1-'Common input data'!$B$178)</f>
        <v>1.5966276137763775</v>
      </c>
      <c r="AF121" s="1123"/>
      <c r="AG121"/>
      <c r="AH121"/>
      <c r="AI121" s="64"/>
      <c r="AJ121"/>
      <c r="AK121" s="1118"/>
      <c r="AL121"/>
      <c r="AO121"/>
      <c r="AP121" s="170">
        <f>$D122*'Fruits, berries, cocoa, coffee'!Y98+$D123*'Fruits, berries, cocoa, coffee'!Y102</f>
        <v>0.50950575935233466</v>
      </c>
      <c r="AQ121" s="170">
        <f>$D122*'Fruits, berries, cocoa, coffee'!Z98+$D123*'Fruits, berries, cocoa, coffee'!Z102</f>
        <v>0.50950575935233466</v>
      </c>
      <c r="AR121" s="170">
        <f>$D122*'Fruits, berries, cocoa, coffee'!AA98+$D123*'Fruits, berries, cocoa, coffee'!AA102</f>
        <v>0.50950575935233466</v>
      </c>
      <c r="AS121" s="170">
        <f>$D122*'Fruits, berries, cocoa, coffee'!AB98+$D123*'Fruits, berries, cocoa, coffee'!AB102</f>
        <v>0.50950575935233466</v>
      </c>
      <c r="AT121" s="170">
        <f>$D122*'Fruits, berries, cocoa, coffee'!AC98+$D123*'Fruits, berries, cocoa, coffee'!AC102</f>
        <v>0.66324344626537246</v>
      </c>
      <c r="AU121" s="170">
        <f>$D122*'Fruits, berries, cocoa, coffee'!AD98+$D123*'Fruits, berries, cocoa, coffee'!AD102</f>
        <v>0.81881906946342276</v>
      </c>
      <c r="AV121" s="106"/>
      <c r="AW121" s="212">
        <f>$D122*'Fruits, berries, cocoa, coffee'!AF98+$D123*'Fruits, berries, cocoa, coffee'!AF102</f>
        <v>8.6095674861579943E-3</v>
      </c>
      <c r="AX121" s="212">
        <f>$D122*'Fruits, berries, cocoa, coffee'!AG98+$D123*'Fruits, berries, cocoa, coffee'!AG102</f>
        <v>8.6095674861579943E-3</v>
      </c>
      <c r="AY121" s="212">
        <f>$D122*'Fruits, berries, cocoa, coffee'!AH98+$D123*'Fruits, berries, cocoa, coffee'!AH102</f>
        <v>8.6095674861579943E-3</v>
      </c>
      <c r="AZ121" s="212">
        <f>$D122*'Fruits, berries, cocoa, coffee'!AI98+$D123*'Fruits, berries, cocoa, coffee'!AI102</f>
        <v>8.6095674861579943E-3</v>
      </c>
      <c r="BA121" s="212">
        <f>$D122*'Fruits, berries, cocoa, coffee'!AJ98+$D123*'Fruits, berries, cocoa, coffee'!AJ102</f>
        <v>1.0880667688136655E-2</v>
      </c>
      <c r="BB121" s="212">
        <f>$D122*'Fruits, berries, cocoa, coffee'!AK98+$D123*'Fruits, berries, cocoa, coffee'!AK102</f>
        <v>1.3432923071773647E-2</v>
      </c>
      <c r="BC121" s="106"/>
      <c r="BD121" s="212">
        <f>$D122*'Fruits, berries, cocoa, coffee'!AM98+$D123*'Fruits, berries, cocoa, coffee'!AM102</f>
        <v>2.7162205910893442E-3</v>
      </c>
      <c r="BE121" s="212">
        <f>$D122*'Fruits, berries, cocoa, coffee'!AN98+$D123*'Fruits, berries, cocoa, coffee'!AN102</f>
        <v>2.7162205910893442E-3</v>
      </c>
      <c r="BF121" s="212">
        <f>$D122*'Fruits, berries, cocoa, coffee'!AO98+$D123*'Fruits, berries, cocoa, coffee'!AO102</f>
        <v>2.7162205910893442E-3</v>
      </c>
      <c r="BG121" s="212">
        <f>$D122*'Fruits, berries, cocoa, coffee'!AP98+$D123*'Fruits, berries, cocoa, coffee'!AP102</f>
        <v>2.7162205910893442E-3</v>
      </c>
      <c r="BH121" s="212">
        <f>$D122*'Fruits, berries, cocoa, coffee'!AQ98+$D123*'Fruits, berries, cocoa, coffee'!AQ102</f>
        <v>3.4579520009323799E-3</v>
      </c>
      <c r="BI121" s="212">
        <f>$D122*'Fruits, berries, cocoa, coffee'!AR98+$D123*'Fruits, berries, cocoa, coffee'!AR102</f>
        <v>4.2690765443609627E-3</v>
      </c>
      <c r="BJ121" s="266"/>
      <c r="BK121" s="212">
        <f>$D122*'Fruits, berries, cocoa, coffee'!AT98+$D123*'Fruits, berries, cocoa, coffee'!AT102</f>
        <v>0.13181174337848198</v>
      </c>
      <c r="BL121" s="212">
        <f>$D122*'Fruits, berries, cocoa, coffee'!AU98+$D123*'Fruits, berries, cocoa, coffee'!AU102</f>
        <v>0.13181174337848198</v>
      </c>
      <c r="BM121" s="212">
        <f>$D122*'Fruits, berries, cocoa, coffee'!AV98+$D123*'Fruits, berries, cocoa, coffee'!AV102</f>
        <v>0.13181174337848198</v>
      </c>
      <c r="BN121" s="212">
        <f>$D122*'Fruits, berries, cocoa, coffee'!AW98+$D123*'Fruits, berries, cocoa, coffee'!AW102</f>
        <v>0.13181174337848198</v>
      </c>
      <c r="BO121" s="212">
        <f>$D122*'Fruits, berries, cocoa, coffee'!AX98+$D123*'Fruits, berries, cocoa, coffee'!AX102</f>
        <v>0.16824318598522586</v>
      </c>
      <c r="BP121" s="212">
        <f>$D122*'Fruits, berries, cocoa, coffee'!AY98+$D123*'Fruits, berries, cocoa, coffee'!AY102</f>
        <v>0.20770763701879738</v>
      </c>
      <c r="BQ121" s="266"/>
      <c r="BR121" s="212">
        <f>$D122*'Fruits, berries, cocoa, coffee'!BA98+$D123*'Fruits, berries, cocoa, coffee'!BA102</f>
        <v>8.6321269916124009E-10</v>
      </c>
      <c r="BS121" s="212">
        <f>$D122*'Fruits, berries, cocoa, coffee'!BB98+$D123*'Fruits, berries, cocoa, coffee'!BB102</f>
        <v>8.6321269916124009E-10</v>
      </c>
      <c r="BT121" s="212">
        <f>$D122*'Fruits, berries, cocoa, coffee'!BC98+$D123*'Fruits, berries, cocoa, coffee'!BC102</f>
        <v>8.6321269916124009E-10</v>
      </c>
      <c r="BU121" s="212">
        <f>$D122*'Fruits, berries, cocoa, coffee'!BD98+$D123*'Fruits, berries, cocoa, coffee'!BD102</f>
        <v>8.6321269916124009E-10</v>
      </c>
      <c r="BV121" s="212">
        <f>$D122*'Fruits, berries, cocoa, coffee'!BE98+$D123*'Fruits, berries, cocoa, coffee'!BE102</f>
        <v>1.1236775148125942E-9</v>
      </c>
      <c r="BW121" s="212">
        <f>$D122*'Fruits, berries, cocoa, coffee'!BF98+$D123*'Fruits, berries, cocoa, coffee'!BF102</f>
        <v>1.3872561911266593E-9</v>
      </c>
      <c r="BY121" s="189">
        <f>T121/E121</f>
        <v>0</v>
      </c>
      <c r="BZ121" s="189">
        <f>$BY121*Z121</f>
        <v>0</v>
      </c>
      <c r="CA121" s="189">
        <f>$BY121*AA121</f>
        <v>0</v>
      </c>
      <c r="CB121" s="189">
        <f>$BY121*AB121</f>
        <v>0</v>
      </c>
      <c r="CC121" s="189">
        <f>$BY121*AC121</f>
        <v>0</v>
      </c>
      <c r="CD121" s="189">
        <f>$BY121*AD121</f>
        <v>0</v>
      </c>
      <c r="CF121" s="189">
        <f>(F121/E121*'Common input data'!$B$195+G121/E121*'Common input data'!$B$196)/'Common input data'!$B$198</f>
        <v>2.6795840728453129E-4</v>
      </c>
      <c r="CG121" s="189">
        <f>$CF121*Z121</f>
        <v>2.6795840728453129E-4</v>
      </c>
      <c r="CH121" s="189">
        <f>$CF121*AA121</f>
        <v>2.6795840728453129E-4</v>
      </c>
      <c r="CI121" s="189">
        <f>$CF121*AB121</f>
        <v>2.6795840728453129E-4</v>
      </c>
      <c r="CJ121" s="189">
        <f>$CF121*AC121</f>
        <v>3.4654213185535615E-4</v>
      </c>
      <c r="CK121" s="189">
        <f>$CF121*AD121</f>
        <v>4.2782979241401989E-4</v>
      </c>
    </row>
    <row r="122" spans="1:89" ht="45">
      <c r="A122" s="18"/>
      <c r="B122" s="54" t="s">
        <v>130</v>
      </c>
      <c r="C122" s="435" t="s">
        <v>121</v>
      </c>
      <c r="D122" s="435">
        <v>0.44158070666522325</v>
      </c>
      <c r="E122" s="797">
        <v>21986.514289999999</v>
      </c>
      <c r="F122" s="797">
        <v>260</v>
      </c>
      <c r="G122" s="797">
        <v>0</v>
      </c>
      <c r="H122" s="797">
        <v>0</v>
      </c>
      <c r="P122" s="96">
        <v>200</v>
      </c>
      <c r="Q122" s="96">
        <v>0</v>
      </c>
      <c r="R122" s="96">
        <v>75</v>
      </c>
      <c r="S122" s="54">
        <v>0.16</v>
      </c>
      <c r="T122" s="54">
        <v>8.4</v>
      </c>
      <c r="U122" s="189">
        <v>3.7738174209626004E-12</v>
      </c>
      <c r="V122" s="189">
        <v>2.5819413353737599E-12</v>
      </c>
      <c r="W122" s="189">
        <v>3.8726446962259297E-12</v>
      </c>
      <c r="X122" s="189">
        <v>7.3859179387853007E-12</v>
      </c>
      <c r="Y122" s="189">
        <v>6.7025422877374503E-10</v>
      </c>
      <c r="Z122" s="54">
        <v>1</v>
      </c>
      <c r="AA122" s="54">
        <f>Z122</f>
        <v>1</v>
      </c>
      <c r="AB122" s="54">
        <f>AA122</f>
        <v>1</v>
      </c>
      <c r="AC122" s="435">
        <f>AB122/(1-'Common input data'!$B$140)</f>
        <v>1.1934598400763814</v>
      </c>
      <c r="AD122" s="435">
        <f>AC122/(1-'Common input data'!$B$178)</f>
        <v>1.4734072099708411</v>
      </c>
      <c r="AE122" t="s">
        <v>1801</v>
      </c>
      <c r="AF122" s="63" t="s">
        <v>1802</v>
      </c>
      <c r="AG122" t="s">
        <v>1821</v>
      </c>
      <c r="AH122"/>
      <c r="AI122" s="64" t="s">
        <v>1862</v>
      </c>
      <c r="AJ122"/>
      <c r="AK122" s="1118" t="s">
        <v>1798</v>
      </c>
      <c r="AL122" t="s">
        <v>1807</v>
      </c>
      <c r="AM122" t="s">
        <v>1800</v>
      </c>
      <c r="AO122"/>
    </row>
    <row r="123" spans="1:89" ht="45">
      <c r="A123" s="140"/>
      <c r="B123" s="54" t="s">
        <v>134</v>
      </c>
      <c r="C123" s="435" t="s">
        <v>121</v>
      </c>
      <c r="D123" s="435">
        <v>0.55841929333477669</v>
      </c>
      <c r="E123" s="797">
        <v>18091.485710000001</v>
      </c>
      <c r="F123" s="797">
        <v>109.75312613130855</v>
      </c>
      <c r="G123" s="797">
        <v>7.5042234834233312</v>
      </c>
      <c r="H123" s="797">
        <v>0</v>
      </c>
      <c r="P123" s="96">
        <v>200</v>
      </c>
      <c r="Q123" s="96">
        <v>0</v>
      </c>
      <c r="R123" s="96">
        <v>39.198219038333399</v>
      </c>
      <c r="S123" s="54">
        <v>0.1095213418340492</v>
      </c>
      <c r="T123" s="54">
        <v>8.4611333333333327</v>
      </c>
      <c r="U123" s="189">
        <v>3.7738174209626004E-12</v>
      </c>
      <c r="V123" s="189">
        <v>2.5819413353737599E-12</v>
      </c>
      <c r="W123" s="189">
        <v>3.8726446962259297E-12</v>
      </c>
      <c r="X123" s="189">
        <v>7.3859179387853007E-12</v>
      </c>
      <c r="Y123" s="189">
        <v>6.7025422877374503E-10</v>
      </c>
      <c r="Z123" s="54">
        <v>1</v>
      </c>
      <c r="AA123" s="54">
        <f>Z123</f>
        <v>1</v>
      </c>
      <c r="AB123" s="54">
        <f>AA123</f>
        <v>1</v>
      </c>
      <c r="AC123" s="435">
        <f>AB123/(1-'Common input data'!$I$140)</f>
        <v>1.372193863549042</v>
      </c>
      <c r="AD123" s="435">
        <f>AC123/(1-'Common input data'!$B$178)</f>
        <v>1.6940664982086937</v>
      </c>
      <c r="AE123" t="s">
        <v>1801</v>
      </c>
      <c r="AF123" s="63" t="s">
        <v>1802</v>
      </c>
      <c r="AG123" t="s">
        <v>1874</v>
      </c>
      <c r="AH123"/>
      <c r="AI123" s="64" t="s">
        <v>1862</v>
      </c>
      <c r="AJ123"/>
      <c r="AK123" s="1118" t="s">
        <v>1798</v>
      </c>
      <c r="AL123" t="s">
        <v>1807</v>
      </c>
      <c r="AM123" t="s">
        <v>1800</v>
      </c>
      <c r="AO123"/>
    </row>
    <row r="124" spans="1:89">
      <c r="A124" s="139" t="s">
        <v>136</v>
      </c>
      <c r="B124" s="79" t="s">
        <v>120</v>
      </c>
      <c r="C124" s="170" t="s">
        <v>121</v>
      </c>
      <c r="D124" s="170">
        <v>1</v>
      </c>
      <c r="E124" s="798">
        <f>$D125*E125+$D126*E126+$D127*E127+$D128*E128</f>
        <v>478.67558890530006</v>
      </c>
      <c r="F124" s="798">
        <f>$D125*F125+$D126*F126+$D127*F127+$D128*F128</f>
        <v>30.229145085255169</v>
      </c>
      <c r="G124" s="797">
        <f>$D125*G125+$D126*G126+$D127*G127+$D128*G128</f>
        <v>0</v>
      </c>
      <c r="H124" s="798">
        <f>$D125*H125+$D126*H126+$D127*H127+$D128*H128</f>
        <v>0</v>
      </c>
      <c r="P124" s="798">
        <f>$D125*P125+$D126*P126+$D127*P127+$D128*P128</f>
        <v>0</v>
      </c>
      <c r="Q124" s="798">
        <f>$D125*Q125+$D126*Q126+$D127*Q127+$D128*Q128</f>
        <v>0</v>
      </c>
      <c r="R124" s="798">
        <v>30.913745807009864</v>
      </c>
      <c r="S124" s="170">
        <f>$D125*S125+$D126*S126+$D127*S127+$D128*S128</f>
        <v>1.2723050662164013E-3</v>
      </c>
      <c r="U124" s="212">
        <v>2.7031442397899583E-11</v>
      </c>
      <c r="V124" s="212">
        <v>2.1410706292154616E-11</v>
      </c>
      <c r="W124" s="212">
        <v>2.5786580658354044E-11</v>
      </c>
      <c r="X124" s="212">
        <v>8.0458424682503538E-12</v>
      </c>
      <c r="Y124" s="212">
        <v>1.4129380039964338E-10</v>
      </c>
      <c r="Z124" s="170">
        <f>$D125*Z125+$D126*Z126+$D127*Z127+$D128*Z128</f>
        <v>2.3125</v>
      </c>
      <c r="AA124" s="170">
        <f>$D125*AA125+$D126*AA126+$D127*AA127+$D128*AA128</f>
        <v>2.3125</v>
      </c>
      <c r="AB124" s="170">
        <f>$D125*AB125+$D126*AB126+$D127*AB127+$D128*AB128</f>
        <v>2.3125</v>
      </c>
      <c r="AC124" s="170">
        <f>$D125*AC125+$D126*AC126+$D127*AC127+$D128*AC128</f>
        <v>3.5752797313922851</v>
      </c>
      <c r="AD124" s="170">
        <f>AC124/(1-'Common input data'!$B$178)</f>
        <v>4.413925594311463</v>
      </c>
      <c r="AF124" s="1123"/>
      <c r="AG124"/>
      <c r="AH124"/>
      <c r="AI124" s="64"/>
      <c r="AJ124"/>
      <c r="AK124" s="1118"/>
      <c r="AL124"/>
      <c r="AO124"/>
      <c r="AP124" s="170">
        <f>$D125*'Fruits, berries, cocoa, coffee'!Y184+$D126*'Fruits, berries, cocoa, coffee'!Y188+$D127*'Fruits, berries, cocoa, coffee'!Y192+$D128*'Fruits, berries, cocoa, coffee'!Y196</f>
        <v>21.109827693692804</v>
      </c>
      <c r="AQ124" s="170">
        <f>$D125*'Fruits, berries, cocoa, coffee'!Z184+$D126*'Fruits, berries, cocoa, coffee'!Z188+$D127*'Fruits, berries, cocoa, coffee'!Z192+$D128*'Fruits, berries, cocoa, coffee'!Z196</f>
        <v>48.81647654166462</v>
      </c>
      <c r="AR124" s="170">
        <f>$D125*'Fruits, berries, cocoa, coffee'!AA184+$D126*'Fruits, berries, cocoa, coffee'!AA188+$D127*'Fruits, berries, cocoa, coffee'!AA192+$D128*'Fruits, berries, cocoa, coffee'!AA196</f>
        <v>48.81647654166462</v>
      </c>
      <c r="AS124" s="170">
        <f>$D125*'Fruits, berries, cocoa, coffee'!AB184+$D126*'Fruits, berries, cocoa, coffee'!AB188+$D127*'Fruits, berries, cocoa, coffee'!AB192+$D128*'Fruits, berries, cocoa, coffee'!AB196</f>
        <v>48.81647654166462</v>
      </c>
      <c r="AT124" s="170">
        <f>$D125*'Fruits, berries, cocoa, coffee'!AC184+$D126*'Fruits, berries, cocoa, coffee'!AC188+$D127*'Fruits, berries, cocoa, coffee'!AC192+$D128*'Fruits, berries, cocoa, coffee'!AC196</f>
        <v>75.213928376167175</v>
      </c>
      <c r="AU124" s="170">
        <f>$D125*'Fruits, berries, cocoa, coffee'!AD184+$D126*'Fruits, berries, cocoa, coffee'!AD188+$D127*'Fruits, berries, cocoa, coffee'!AD192+$D128*'Fruits, berries, cocoa, coffee'!AD196</f>
        <v>92.856701698971818</v>
      </c>
      <c r="AV124" s="106"/>
      <c r="AW124" s="212">
        <f>$D125*'Fruits, berries, cocoa, coffee'!AF184+$D126*'Fruits, berries, cocoa, coffee'!AF188+$D127*'Fruits, berries, cocoa, coffee'!AF192+$D128*'Fruits, berries, cocoa, coffee'!AF196</f>
        <v>6.8520532112207488E-2</v>
      </c>
      <c r="AX124" s="212">
        <f>$D125*'Fruits, berries, cocoa, coffee'!AG184+$D126*'Fruits, berries, cocoa, coffee'!AG188+$D127*'Fruits, berries, cocoa, coffee'!AG192+$D128*'Fruits, berries, cocoa, coffee'!AG196</f>
        <v>0.15845373050947981</v>
      </c>
      <c r="AY124" s="212">
        <f>$D125*'Fruits, berries, cocoa, coffee'!AH184+$D126*'Fruits, berries, cocoa, coffee'!AH188+$D127*'Fruits, berries, cocoa, coffee'!AH192+$D128*'Fruits, berries, cocoa, coffee'!AH196</f>
        <v>0.15845373050947981</v>
      </c>
      <c r="AZ124" s="212">
        <f>$D125*'Fruits, berries, cocoa, coffee'!AI184+$D126*'Fruits, berries, cocoa, coffee'!AI188+$D127*'Fruits, berries, cocoa, coffee'!AI192+$D128*'Fruits, berries, cocoa, coffee'!AI196</f>
        <v>0.15845373050947981</v>
      </c>
      <c r="BA124" s="212">
        <f>$D125*'Fruits, berries, cocoa, coffee'!AJ184+$D126*'Fruits, berries, cocoa, coffee'!AJ188+$D127*'Fruits, berries, cocoa, coffee'!AJ192+$D128*'Fruits, berries, cocoa, coffee'!AJ196</f>
        <v>0.24659494396835563</v>
      </c>
      <c r="BB124" s="212">
        <f>$D125*'Fruits, berries, cocoa, coffee'!AK184+$D126*'Fruits, berries, cocoa, coffee'!AK188+$D127*'Fruits, berries, cocoa, coffee'!AK192+$D128*'Fruits, berries, cocoa, coffee'!AK196</f>
        <v>0.30443820243006869</v>
      </c>
      <c r="BC124" s="106"/>
      <c r="BD124" s="212">
        <f>$D125*'Fruits, berries, cocoa, coffee'!AM184+$D126*'Fruits, berries, cocoa, coffee'!AM188+$D127*'Fruits, berries, cocoa, coffee'!AM192+$D128*'Fruits, berries, cocoa, coffee'!AM196</f>
        <v>6.7901098941705956E-2</v>
      </c>
      <c r="BE124" s="212">
        <f>$D125*'Fruits, berries, cocoa, coffee'!AN184+$D126*'Fruits, berries, cocoa, coffee'!AN188+$D127*'Fruits, berries, cocoa, coffee'!AN192+$D128*'Fruits, berries, cocoa, coffee'!AN196</f>
        <v>0.15702129130269502</v>
      </c>
      <c r="BF124" s="212">
        <f>$D125*'Fruits, berries, cocoa, coffee'!AO184+$D126*'Fruits, berries, cocoa, coffee'!AO188+$D127*'Fruits, berries, cocoa, coffee'!AO192+$D128*'Fruits, berries, cocoa, coffee'!AO196</f>
        <v>0.15702129130269502</v>
      </c>
      <c r="BG124" s="212">
        <f>$D125*'Fruits, berries, cocoa, coffee'!AP184+$D126*'Fruits, berries, cocoa, coffee'!AP188+$D127*'Fruits, berries, cocoa, coffee'!AP192+$D128*'Fruits, berries, cocoa, coffee'!AP196</f>
        <v>0.15702129130269502</v>
      </c>
      <c r="BH124" s="212">
        <f>$D125*'Fruits, berries, cocoa, coffee'!AQ184+$D126*'Fruits, berries, cocoa, coffee'!AQ188+$D127*'Fruits, berries, cocoa, coffee'!AQ192+$D128*'Fruits, berries, cocoa, coffee'!AQ196</f>
        <v>0.23995582582872677</v>
      </c>
      <c r="BI124" s="212">
        <f>$D125*'Fruits, berries, cocoa, coffee'!AR184+$D126*'Fruits, berries, cocoa, coffee'!AR188+$D127*'Fruits, berries, cocoa, coffee'!AR192+$D128*'Fruits, berries, cocoa, coffee'!AR196</f>
        <v>0.29624176028237881</v>
      </c>
      <c r="BJ124" s="266"/>
      <c r="BK124" s="212">
        <f>$D125*'Fruits, berries, cocoa, coffee'!AT184+$D126*'Fruits, berries, cocoa, coffee'!AT188+$D127*'Fruits, berries, cocoa, coffee'!AT192+$D128*'Fruits, berries, cocoa, coffee'!AT196</f>
        <v>1.2723050662164013E-3</v>
      </c>
      <c r="BL124" s="212">
        <f>$D125*'Fruits, berries, cocoa, coffee'!AU184+$D126*'Fruits, berries, cocoa, coffee'!AU188+$D127*'Fruits, berries, cocoa, coffee'!AU192+$D128*'Fruits, berries, cocoa, coffee'!AU196</f>
        <v>2.9422054656254282E-3</v>
      </c>
      <c r="BM124" s="212">
        <f>$D125*'Fruits, berries, cocoa, coffee'!AV184+$D126*'Fruits, berries, cocoa, coffee'!AV188+$D127*'Fruits, berries, cocoa, coffee'!AV192+$D128*'Fruits, berries, cocoa, coffee'!AV196</f>
        <v>2.9422054656254282E-3</v>
      </c>
      <c r="BN124" s="212">
        <f>$D125*'Fruits, berries, cocoa, coffee'!AW184+$D126*'Fruits, berries, cocoa, coffee'!AW188+$D127*'Fruits, berries, cocoa, coffee'!AW192+$D128*'Fruits, berries, cocoa, coffee'!AW196</f>
        <v>2.9422054656254282E-3</v>
      </c>
      <c r="BO124" s="212">
        <f>$D125*'Fruits, berries, cocoa, coffee'!AX184+$D126*'Fruits, berries, cocoa, coffee'!AX188+$D127*'Fruits, berries, cocoa, coffee'!AX192+$D128*'Fruits, berries, cocoa, coffee'!AX196</f>
        <v>4.037276285231664E-3</v>
      </c>
      <c r="BP124" s="212">
        <f>$D125*'Fruits, berries, cocoa, coffee'!AY184+$D126*'Fruits, berries, cocoa, coffee'!AY188+$D127*'Fruits, berries, cocoa, coffee'!AY192+$D128*'Fruits, berries, cocoa, coffee'!AY196</f>
        <v>4.9842917101625486E-3</v>
      </c>
      <c r="BQ124" s="266"/>
      <c r="BR124" s="212">
        <f>$D125*'Fruits, berries, cocoa, coffee'!BA184+$D126*'Fruits, berries, cocoa, coffee'!BA188+$D127*'Fruits, berries, cocoa, coffee'!BA192+$D128*'Fruits, berries, cocoa, coffee'!BA196</f>
        <v>1.2608757782676379E-8</v>
      </c>
      <c r="BS124" s="212">
        <f>$D125*'Fruits, berries, cocoa, coffee'!BB184+$D126*'Fruits, berries, cocoa, coffee'!BB188+$D127*'Fruits, berries, cocoa, coffee'!BB192+$D128*'Fruits, berries, cocoa, coffee'!BB196</f>
        <v>2.9157752372439125E-8</v>
      </c>
      <c r="BT124" s="212">
        <f>$D125*'Fruits, berries, cocoa, coffee'!BC184+$D126*'Fruits, berries, cocoa, coffee'!BC188+$D127*'Fruits, berries, cocoa, coffee'!BC192+$D128*'Fruits, berries, cocoa, coffee'!BC196</f>
        <v>2.9157752372439125E-8</v>
      </c>
      <c r="BU124" s="212">
        <f>$D125*'Fruits, berries, cocoa, coffee'!BD184+$D126*'Fruits, berries, cocoa, coffee'!BD188+$D127*'Fruits, berries, cocoa, coffee'!BD192+$D128*'Fruits, berries, cocoa, coffee'!BD196</f>
        <v>2.9157752372439125E-8</v>
      </c>
      <c r="BV124" s="212">
        <f>$D125*'Fruits, berries, cocoa, coffee'!BE184+$D126*'Fruits, berries, cocoa, coffee'!BE188+$D127*'Fruits, berries, cocoa, coffee'!BE192+$D128*'Fruits, berries, cocoa, coffee'!BE196</f>
        <v>4.4546442263779449E-8</v>
      </c>
      <c r="BW124" s="212">
        <f>$D125*'Fruits, berries, cocoa, coffee'!BF184+$D126*'Fruits, berries, cocoa, coffee'!BF188+$D127*'Fruits, berries, cocoa, coffee'!BF192+$D128*'Fruits, berries, cocoa, coffee'!BF196</f>
        <v>5.499560773306104E-8</v>
      </c>
      <c r="BY124" s="189">
        <f>T124/E124</f>
        <v>0</v>
      </c>
      <c r="BZ124" s="189">
        <f>$BY124*Z124</f>
        <v>0</v>
      </c>
      <c r="CA124" s="189">
        <f>$BY124*AA124</f>
        <v>0</v>
      </c>
      <c r="CB124" s="189">
        <f>$BY124*AB124</f>
        <v>0</v>
      </c>
      <c r="CC124" s="189">
        <f>$BY124*AC124</f>
        <v>0</v>
      </c>
      <c r="CD124" s="189">
        <f>$BY124*AD124</f>
        <v>0</v>
      </c>
      <c r="CF124" s="189">
        <f>(F124/E124*'Common input data'!$B$195+G124/E124*'Common input data'!$B$196)/'Common input data'!$B$198</f>
        <v>1.6124969422901681E-3</v>
      </c>
      <c r="CG124" s="189">
        <f>$CF124*Z124</f>
        <v>3.7288991790460136E-3</v>
      </c>
      <c r="CH124" s="189">
        <f>$CF124*AA124</f>
        <v>3.7288991790460136E-3</v>
      </c>
      <c r="CI124" s="189">
        <f>$CF124*AB124</f>
        <v>3.7288991790460136E-3</v>
      </c>
      <c r="CJ124" s="189">
        <f>$CF124*AC124</f>
        <v>5.7651276347020731E-3</v>
      </c>
      <c r="CK124" s="189">
        <f>$CF124*AD124</f>
        <v>7.1174415243235476E-3</v>
      </c>
    </row>
    <row r="125" spans="1:89" ht="45">
      <c r="A125" s="18"/>
      <c r="B125" s="54" t="s">
        <v>137</v>
      </c>
      <c r="C125" s="435" t="s">
        <v>121</v>
      </c>
      <c r="D125" s="435">
        <v>0.38538325080000002</v>
      </c>
      <c r="E125" s="797">
        <v>519.86</v>
      </c>
      <c r="F125" s="797">
        <v>25.441761827079919</v>
      </c>
      <c r="G125" s="797">
        <v>0</v>
      </c>
      <c r="H125" s="797">
        <v>0</v>
      </c>
      <c r="P125" s="96">
        <v>0</v>
      </c>
      <c r="Q125" s="96">
        <v>0</v>
      </c>
      <c r="R125" s="96">
        <v>5.0883523654159841</v>
      </c>
      <c r="S125" s="54">
        <v>0</v>
      </c>
      <c r="T125" s="54">
        <v>8.3446394779771591</v>
      </c>
      <c r="U125" s="189">
        <v>2.02911912224851E-11</v>
      </c>
      <c r="V125" s="189">
        <v>1.28293298936815E-11</v>
      </c>
      <c r="W125" s="189">
        <v>2.2698036618671299E-11</v>
      </c>
      <c r="X125" s="189">
        <v>6.7610836615527798E-12</v>
      </c>
      <c r="Y125" s="189">
        <v>3.9320729192436797E-11</v>
      </c>
      <c r="Z125" s="54">
        <f>$O$274</f>
        <v>2.3125</v>
      </c>
      <c r="AA125" s="54">
        <f t="shared" ref="AA125:AB128" si="20">Z125</f>
        <v>2.3125</v>
      </c>
      <c r="AB125" s="54">
        <f t="shared" si="20"/>
        <v>2.3125</v>
      </c>
      <c r="AC125" s="435">
        <f>AB125/(1-'Common input data'!$G$140)</f>
        <v>3.764753764753765</v>
      </c>
      <c r="AD125" s="435">
        <f>AC125/(1-'Common input data'!$B$178)</f>
        <v>4.6478441540169939</v>
      </c>
      <c r="AE125" t="s">
        <v>1875</v>
      </c>
      <c r="AF125" s="63" t="s">
        <v>1802</v>
      </c>
      <c r="AG125" t="s">
        <v>1876</v>
      </c>
      <c r="AH125" s="190" t="s">
        <v>1877</v>
      </c>
      <c r="AI125" s="64"/>
      <c r="AJ125"/>
      <c r="AK125" s="1118" t="s">
        <v>1798</v>
      </c>
      <c r="AL125" t="s">
        <v>1876</v>
      </c>
      <c r="AM125" t="s">
        <v>1800</v>
      </c>
      <c r="AO125"/>
    </row>
    <row r="126" spans="1:89" ht="45">
      <c r="A126" s="140"/>
      <c r="B126" s="54" t="s">
        <v>138</v>
      </c>
      <c r="C126" s="435" t="s">
        <v>121</v>
      </c>
      <c r="D126" s="435">
        <v>0.16931057129999999</v>
      </c>
      <c r="E126" s="797">
        <v>514.34</v>
      </c>
      <c r="F126" s="797">
        <v>0</v>
      </c>
      <c r="G126" s="797">
        <v>0</v>
      </c>
      <c r="H126" s="797">
        <v>0</v>
      </c>
      <c r="P126" s="96">
        <v>0</v>
      </c>
      <c r="Q126" s="96">
        <v>0</v>
      </c>
      <c r="R126" s="96">
        <v>60.775404814004098</v>
      </c>
      <c r="S126" s="54">
        <v>0</v>
      </c>
      <c r="T126" s="54">
        <v>7.8581619256017508</v>
      </c>
      <c r="U126" s="189">
        <v>1.5463590362698299E-11</v>
      </c>
      <c r="V126" s="189">
        <v>9.6805916916176407E-12</v>
      </c>
      <c r="W126" s="189">
        <v>1.48416385322824E-11</v>
      </c>
      <c r="X126" s="189">
        <v>6.0822709746169498E-12</v>
      </c>
      <c r="Y126" s="189">
        <v>2.9323713799297297E-11</v>
      </c>
      <c r="Z126" s="54">
        <f>$O$274</f>
        <v>2.3125</v>
      </c>
      <c r="AA126" s="54">
        <f t="shared" si="20"/>
        <v>2.3125</v>
      </c>
      <c r="AB126" s="54">
        <f t="shared" si="20"/>
        <v>2.3125</v>
      </c>
      <c r="AC126" s="435">
        <f>AB126/(1-'Common input data'!$G$140)</f>
        <v>3.764753764753765</v>
      </c>
      <c r="AD126" s="435">
        <f>AC126/(1-'Common input data'!$B$178)</f>
        <v>4.6478441540169939</v>
      </c>
      <c r="AE126" t="s">
        <v>1875</v>
      </c>
      <c r="AF126" s="63" t="s">
        <v>1802</v>
      </c>
      <c r="AG126" t="s">
        <v>1878</v>
      </c>
      <c r="AH126" s="190" t="s">
        <v>1877</v>
      </c>
      <c r="AI126" s="64"/>
      <c r="AJ126"/>
      <c r="AK126" s="1118" t="s">
        <v>1798</v>
      </c>
      <c r="AL126" t="s">
        <v>1878</v>
      </c>
      <c r="AM126" t="s">
        <v>1800</v>
      </c>
      <c r="AO126"/>
    </row>
    <row r="127" spans="1:89" ht="45">
      <c r="A127" s="140"/>
      <c r="B127" s="54" t="s">
        <v>139</v>
      </c>
      <c r="C127" s="435" t="s">
        <v>121</v>
      </c>
      <c r="D127" s="435">
        <v>0.12500817089999999</v>
      </c>
      <c r="E127" s="797">
        <v>390.1</v>
      </c>
      <c r="F127" s="797">
        <v>95</v>
      </c>
      <c r="G127" s="797">
        <v>0</v>
      </c>
      <c r="H127" s="797">
        <v>0</v>
      </c>
      <c r="P127" s="96">
        <v>0</v>
      </c>
      <c r="Q127" s="96">
        <v>0</v>
      </c>
      <c r="R127" s="96">
        <v>55</v>
      </c>
      <c r="S127" s="54">
        <v>0</v>
      </c>
      <c r="T127" s="54">
        <v>6.2277849898580122</v>
      </c>
      <c r="U127" s="189">
        <v>5.5122676400630499E-11</v>
      </c>
      <c r="V127" s="189">
        <v>5.3604663576149402E-11</v>
      </c>
      <c r="W127" s="189">
        <v>4.5381804318619403E-11</v>
      </c>
      <c r="X127" s="189">
        <v>1.31127969128976E-11</v>
      </c>
      <c r="Y127" s="189">
        <v>4.9119598130720397E-10</v>
      </c>
      <c r="Z127" s="54">
        <f>$O$274</f>
        <v>2.3125</v>
      </c>
      <c r="AA127" s="54">
        <f t="shared" si="20"/>
        <v>2.3125</v>
      </c>
      <c r="AB127" s="54">
        <f t="shared" si="20"/>
        <v>2.3125</v>
      </c>
      <c r="AC127" s="435">
        <f>AB127/(1-'Common input data'!$D$140)</f>
        <v>3.764753764753765</v>
      </c>
      <c r="AD127" s="435">
        <f>AC127/(1-'Common input data'!$B$178)</f>
        <v>4.6478441540169939</v>
      </c>
      <c r="AE127" t="s">
        <v>1875</v>
      </c>
      <c r="AF127" s="63" t="s">
        <v>1802</v>
      </c>
      <c r="AG127" t="s">
        <v>1803</v>
      </c>
      <c r="AH127" s="190" t="s">
        <v>1877</v>
      </c>
      <c r="AI127" s="64"/>
      <c r="AJ127"/>
      <c r="AK127" s="1118" t="s">
        <v>1798</v>
      </c>
      <c r="AL127" t="s">
        <v>1879</v>
      </c>
      <c r="AM127" t="s">
        <v>1800</v>
      </c>
      <c r="AO127"/>
    </row>
    <row r="128" spans="1:89" ht="45">
      <c r="A128" s="140"/>
      <c r="B128" s="54" t="s">
        <v>134</v>
      </c>
      <c r="C128" s="435" t="s">
        <v>121</v>
      </c>
      <c r="D128" s="435">
        <v>0.32029800700000011</v>
      </c>
      <c r="E128" s="797">
        <v>444.84</v>
      </c>
      <c r="F128" s="797">
        <v>26.689332383999997</v>
      </c>
      <c r="G128" s="797">
        <v>0</v>
      </c>
      <c r="H128" s="797">
        <v>0</v>
      </c>
      <c r="P128" s="96">
        <v>0</v>
      </c>
      <c r="Q128" s="96">
        <v>0</v>
      </c>
      <c r="R128" s="96">
        <v>36.801390779999998</v>
      </c>
      <c r="S128" s="54">
        <v>3.9722540834180118E-3</v>
      </c>
      <c r="T128" s="54">
        <v>6.9624274061990219</v>
      </c>
      <c r="U128" s="189">
        <v>3.0292485995271299E-11</v>
      </c>
      <c r="V128" s="189">
        <v>2.5371528387149515E-11</v>
      </c>
      <c r="W128" s="189">
        <v>2.7640493156524367E-11</v>
      </c>
      <c r="X128" s="189">
        <v>8.6520505163557776E-12</v>
      </c>
      <c r="Y128" s="189">
        <v>1.866134747663127E-10</v>
      </c>
      <c r="Z128" s="54">
        <f>$O$274</f>
        <v>2.3125</v>
      </c>
      <c r="AA128" s="54">
        <f t="shared" si="20"/>
        <v>2.3125</v>
      </c>
      <c r="AB128" s="54">
        <f t="shared" si="20"/>
        <v>2.3125</v>
      </c>
      <c r="AC128" s="435">
        <f>AB128/(1-'Common input data'!$I$140)</f>
        <v>3.1731983094571596</v>
      </c>
      <c r="AD128" s="435">
        <f>AC128/(1-'Common input data'!$B$178)</f>
        <v>3.9175287771076044</v>
      </c>
      <c r="AE128" t="s">
        <v>1875</v>
      </c>
      <c r="AF128" s="63" t="s">
        <v>1802</v>
      </c>
      <c r="AG128" t="s">
        <v>1878</v>
      </c>
      <c r="AH128" s="190" t="s">
        <v>1877</v>
      </c>
      <c r="AI128" s="64"/>
      <c r="AJ128"/>
      <c r="AK128" s="1118" t="s">
        <v>1798</v>
      </c>
      <c r="AL128" t="s">
        <v>1878</v>
      </c>
      <c r="AM128" t="s">
        <v>1800</v>
      </c>
      <c r="AO128"/>
    </row>
    <row r="129" spans="1:89">
      <c r="A129" s="139" t="s">
        <v>140</v>
      </c>
      <c r="B129" s="79" t="s">
        <v>120</v>
      </c>
      <c r="C129" s="170" t="s">
        <v>121</v>
      </c>
      <c r="D129" s="170">
        <v>1</v>
      </c>
      <c r="E129" s="798">
        <f>$D130*E130+$D131*E131+$D132*E132+$D133*E133</f>
        <v>478.67558890530006</v>
      </c>
      <c r="F129" s="798">
        <f>$D130*F130+$D131*F131+$D132*F132+$D133*F133</f>
        <v>30.229145085255169</v>
      </c>
      <c r="G129" s="797">
        <f>$D130*G130+$D131*G131+$D132*G132+$D133*G133</f>
        <v>0</v>
      </c>
      <c r="H129" s="798">
        <f>$D130*H130+$D131*H131+$D132*H132+$D133*H133</f>
        <v>0</v>
      </c>
      <c r="P129" s="798">
        <f>$D130*P130+$D131*P131+$D132*P132+$D133*P133</f>
        <v>0</v>
      </c>
      <c r="Q129" s="798">
        <f>$D130*Q130+$D131*Q131+$D132*Q132+$D133*Q133</f>
        <v>0</v>
      </c>
      <c r="R129" s="798">
        <v>30.913745807009864</v>
      </c>
      <c r="S129" s="170">
        <f>$D130*S130+$D131*S131+$D132*S132+$D133*S133</f>
        <v>1.2723050662164013E-3</v>
      </c>
      <c r="U129" s="212">
        <v>2.7031442397899583E-11</v>
      </c>
      <c r="V129" s="212">
        <v>2.1410706292154616E-11</v>
      </c>
      <c r="W129" s="212">
        <v>2.5786580658354044E-11</v>
      </c>
      <c r="X129" s="212">
        <v>8.0458424682503538E-12</v>
      </c>
      <c r="Y129" s="212">
        <v>1.4129380039964338E-10</v>
      </c>
      <c r="Z129" s="170">
        <f>$D130*Z130+$D131*Z131+$D132*Z132+$D133*Z133</f>
        <v>2.3125</v>
      </c>
      <c r="AA129" s="170">
        <f>$D130*AA130+$D131*AA131+$D132*AA132+$D133*AA133</f>
        <v>7.5081168831168839</v>
      </c>
      <c r="AB129" s="170">
        <f>$D130*AB130+$D131*AB131+$D132*AB132+$D133*AB133</f>
        <v>1.801948051948052</v>
      </c>
      <c r="AC129" s="170">
        <f>$D130*AC130+$D131*AC131+$D132*AC132+$D133*AC133</f>
        <v>2.7859322582277541</v>
      </c>
      <c r="AD129" s="170">
        <f>AC129/(1-'Common input data'!$B$178)</f>
        <v>3.4394225410219184</v>
      </c>
      <c r="AF129" s="1123"/>
      <c r="AG129"/>
      <c r="AH129"/>
      <c r="AI129" s="64"/>
      <c r="AJ129"/>
      <c r="AK129" s="1118"/>
      <c r="AL129"/>
      <c r="AO129"/>
      <c r="AP129" s="170">
        <f>$D130*'Fruits, berries, cocoa, coffee'!Y205+$D131*'Fruits, berries, cocoa, coffee'!Y209+$D132*'Fruits, berries, cocoa, coffee'!Y213+$D133*'Fruits, berries, cocoa, coffee'!Y217</f>
        <v>21.109827693692804</v>
      </c>
      <c r="AQ129" s="170">
        <f>$D130*'Fruits, berries, cocoa, coffee'!Z205+$D131*'Fruits, berries, cocoa, coffee'!Z209+$D132*'Fruits, berries, cocoa, coffee'!Z213+$D133*'Fruits, berries, cocoa, coffee'!Z217</f>
        <v>48.81647654166462</v>
      </c>
      <c r="AR129" s="170">
        <f>$D130*'Fruits, berries, cocoa, coffee'!AA205+$D131*'Fruits, berries, cocoa, coffee'!AA209+$D132*'Fruits, berries, cocoa, coffee'!AA213+$D133*'Fruits, berries, cocoa, coffee'!AA217</f>
        <v>158.49505370670329</v>
      </c>
      <c r="AS129" s="170">
        <f>$D130*'Fruits, berries, cocoa, coffee'!AB205+$D131*'Fruits, berries, cocoa, coffee'!AB209+$D132*'Fruits, berries, cocoa, coffee'!AB213+$D133*'Fruits, berries, cocoa, coffee'!AB217</f>
        <v>38.038812889608785</v>
      </c>
      <c r="AT129" s="170">
        <f>$D130*'Fruits, berries, cocoa, coffee'!AC205+$D131*'Fruits, berries, cocoa, coffee'!AC209+$D132*'Fruits, berries, cocoa, coffee'!AC213+$D133*'Fruits, berries, cocoa, coffee'!AC217</f>
        <v>58.608255877532848</v>
      </c>
      <c r="AU129" s="170">
        <f>$D130*'Fruits, berries, cocoa, coffee'!AD205+$D131*'Fruits, berries, cocoa, coffee'!AD209+$D132*'Fruits, berries, cocoa, coffee'!AD213+$D133*'Fruits, berries, cocoa, coffee'!AD217</f>
        <v>72.355871453744257</v>
      </c>
      <c r="AV129" s="106"/>
      <c r="AW129" s="212">
        <f>$D130*'Fruits, berries, cocoa, coffee'!AF205+$D131*'Fruits, berries, cocoa, coffee'!AF209+$D132*'Fruits, berries, cocoa, coffee'!AF213+$D133*'Fruits, berries, cocoa, coffee'!AF217</f>
        <v>6.8520532112207488E-2</v>
      </c>
      <c r="AX129" s="212">
        <f>$D130*'Fruits, berries, cocoa, coffee'!AG205+$D131*'Fruits, berries, cocoa, coffee'!AG209+$D132*'Fruits, berries, cocoa, coffee'!AG213+$D133*'Fruits, berries, cocoa, coffee'!AG217</f>
        <v>0.15845373050947981</v>
      </c>
      <c r="AY129" s="212">
        <f>$D130*'Fruits, berries, cocoa, coffee'!AH205+$D131*'Fruits, berries, cocoa, coffee'!AH209+$D132*'Fruits, berries, cocoa, coffee'!AH213+$D133*'Fruits, berries, cocoa, coffee'!AH217</f>
        <v>0.51446016399181749</v>
      </c>
      <c r="AZ129" s="212">
        <f>$D130*'Fruits, berries, cocoa, coffee'!AI205+$D131*'Fruits, berries, cocoa, coffee'!AI209+$D132*'Fruits, berries, cocoa, coffee'!AI213+$D133*'Fruits, berries, cocoa, coffee'!AI217</f>
        <v>0.12347043935803619</v>
      </c>
      <c r="BA129" s="212">
        <f>$D130*'Fruits, berries, cocoa, coffee'!AJ205+$D131*'Fruits, berries, cocoa, coffee'!AJ209+$D132*'Fruits, berries, cocoa, coffee'!AJ213+$D133*'Fruits, berries, cocoa, coffee'!AJ217</f>
        <v>0.19215190439092644</v>
      </c>
      <c r="BB129" s="212">
        <f>$D130*'Fruits, berries, cocoa, coffee'!AK205+$D131*'Fruits, berries, cocoa, coffee'!AK209+$D132*'Fruits, berries, cocoa, coffee'!AK213+$D133*'Fruits, berries, cocoa, coffee'!AK217</f>
        <v>0.23722457332213137</v>
      </c>
      <c r="BC129" s="106"/>
      <c r="BD129" s="212">
        <f>$D130*'Fruits, berries, cocoa, coffee'!AM205+$D131*'Fruits, berries, cocoa, coffee'!AM209+$D132*'Fruits, berries, cocoa, coffee'!AM213+$D133*'Fruits, berries, cocoa, coffee'!AM217</f>
        <v>6.7901098941705956E-2</v>
      </c>
      <c r="BE129" s="212">
        <f>$D130*'Fruits, berries, cocoa, coffee'!AN205+$D131*'Fruits, berries, cocoa, coffee'!AN209+$D132*'Fruits, berries, cocoa, coffee'!AN213+$D133*'Fruits, berries, cocoa, coffee'!AN217</f>
        <v>0.15702129130269502</v>
      </c>
      <c r="BF129" s="212">
        <f>$D130*'Fruits, berries, cocoa, coffee'!AO205+$D131*'Fruits, berries, cocoa, coffee'!AO209+$D132*'Fruits, berries, cocoa, coffee'!AO213+$D133*'Fruits, berries, cocoa, coffee'!AO217</f>
        <v>0.50980938734641246</v>
      </c>
      <c r="BG129" s="212">
        <f>$D130*'Fruits, berries, cocoa, coffee'!AP205+$D131*'Fruits, berries, cocoa, coffee'!AP209+$D132*'Fruits, berries, cocoa, coffee'!AP213+$D133*'Fruits, berries, cocoa, coffee'!AP217</f>
        <v>0.12235425296313897</v>
      </c>
      <c r="BH129" s="212">
        <f>$D130*'Fruits, berries, cocoa, coffee'!AQ205+$D131*'Fruits, berries, cocoa, coffee'!AQ209+$D132*'Fruits, berries, cocoa, coffee'!AQ213+$D133*'Fruits, berries, cocoa, coffee'!AQ217</f>
        <v>0.18697856558082604</v>
      </c>
      <c r="BI129" s="212">
        <f>$D130*'Fruits, berries, cocoa, coffee'!AR205+$D131*'Fruits, berries, cocoa, coffee'!AR209+$D132*'Fruits, berries, cocoa, coffee'!AR213+$D133*'Fruits, berries, cocoa, coffee'!AR217</f>
        <v>0.23083773528497042</v>
      </c>
      <c r="BJ129" s="266"/>
      <c r="BK129" s="212">
        <f>$D130*'Fruits, berries, cocoa, coffee'!AT205+$D131*'Fruits, berries, cocoa, coffee'!AT209+$D132*'Fruits, berries, cocoa, coffee'!AT213+$D133*'Fruits, berries, cocoa, coffee'!AT217</f>
        <v>1.2723050662164013E-3</v>
      </c>
      <c r="BL129" s="212">
        <f>$D130*'Fruits, berries, cocoa, coffee'!AU205+$D131*'Fruits, berries, cocoa, coffee'!AU209+$D132*'Fruits, berries, cocoa, coffee'!AU213+$D133*'Fruits, berries, cocoa, coffee'!AU217</f>
        <v>2.9422054656254282E-3</v>
      </c>
      <c r="BM129" s="212">
        <f>$D130*'Fruits, berries, cocoa, coffee'!AV205+$D131*'Fruits, berries, cocoa, coffee'!AV209+$D132*'Fruits, berries, cocoa, coffee'!AV213+$D133*'Fruits, berries, cocoa, coffee'!AV217</f>
        <v>9.5526151481345068E-3</v>
      </c>
      <c r="BN129" s="212">
        <f>$D130*'Fruits, berries, cocoa, coffee'!AW205+$D131*'Fruits, berries, cocoa, coffee'!AW209+$D132*'Fruits, berries, cocoa, coffee'!AW213+$D133*'Fruits, berries, cocoa, coffee'!AW217</f>
        <v>2.2926276355522816E-3</v>
      </c>
      <c r="BO129" s="212">
        <f>$D130*'Fruits, berries, cocoa, coffee'!AX205+$D131*'Fruits, berries, cocoa, coffee'!AX209+$D132*'Fruits, berries, cocoa, coffee'!AX213+$D133*'Fruits, berries, cocoa, coffee'!AX217</f>
        <v>3.1459295729077898E-3</v>
      </c>
      <c r="BP129" s="212">
        <f>$D130*'Fruits, berries, cocoa, coffee'!AY205+$D131*'Fruits, berries, cocoa, coffee'!AY209+$D132*'Fruits, berries, cocoa, coffee'!AY213+$D133*'Fruits, berries, cocoa, coffee'!AY217</f>
        <v>3.8838636702565308E-3</v>
      </c>
      <c r="BQ129" s="266"/>
      <c r="BR129" s="212">
        <f>$D130*'Fruits, berries, cocoa, coffee'!BA205+$D131*'Fruits, berries, cocoa, coffee'!BA209+$D132*'Fruits, berries, cocoa, coffee'!BA213+$D133*'Fruits, berries, cocoa, coffee'!BA217</f>
        <v>1.2608757782676379E-8</v>
      </c>
      <c r="BS129" s="212">
        <f>$D130*'Fruits, berries, cocoa, coffee'!BB205+$D131*'Fruits, berries, cocoa, coffee'!BB209+$D132*'Fruits, berries, cocoa, coffee'!BB213+$D133*'Fruits, berries, cocoa, coffee'!BB217</f>
        <v>2.9157752372439125E-8</v>
      </c>
      <c r="BT129" s="212">
        <f>$D130*'Fruits, berries, cocoa, coffee'!BC205+$D131*'Fruits, berries, cocoa, coffee'!BC209+$D132*'Fruits, berries, cocoa, coffee'!BC213+$D133*'Fruits, berries, cocoa, coffee'!BC217</f>
        <v>9.4668027183243921E-8</v>
      </c>
      <c r="BU129" s="212">
        <f>$D130*'Fruits, berries, cocoa, coffee'!BD205+$D131*'Fruits, berries, cocoa, coffee'!BD209+$D132*'Fruits, berries, cocoa, coffee'!BD213+$D133*'Fruits, berries, cocoa, coffee'!BD217</f>
        <v>2.2720326523978537E-8</v>
      </c>
      <c r="BV129" s="212">
        <f>$D130*'Fruits, berries, cocoa, coffee'!BE205+$D131*'Fruits, berries, cocoa, coffee'!BE209+$D132*'Fruits, berries, cocoa, coffee'!BE213+$D133*'Fruits, berries, cocoa, coffee'!BE217</f>
        <v>3.4711513452295662E-8</v>
      </c>
      <c r="BW129" s="212">
        <f>$D130*'Fruits, berries, cocoa, coffee'!BF205+$D131*'Fruits, berries, cocoa, coffee'!BF209+$D132*'Fruits, berries, cocoa, coffee'!BF213+$D133*'Fruits, berries, cocoa, coffee'!BF217</f>
        <v>4.2853720311476128E-8</v>
      </c>
      <c r="BY129" s="189">
        <f>T129/E129</f>
        <v>0</v>
      </c>
      <c r="BZ129" s="189">
        <f>$BY129*Z129</f>
        <v>0</v>
      </c>
      <c r="CA129" s="189">
        <f>$BY129*AA129</f>
        <v>0</v>
      </c>
      <c r="CB129" s="189">
        <f>$BY129*AB129</f>
        <v>0</v>
      </c>
      <c r="CC129" s="189">
        <f>$BY129*AC129</f>
        <v>0</v>
      </c>
      <c r="CD129" s="189">
        <f>$BY129*AD129</f>
        <v>0</v>
      </c>
      <c r="CF129" s="189">
        <f>(F129/E129*'Common input data'!$B$195+G129/E129*'Common input data'!$B$196)/'Common input data'!$B$198</f>
        <v>1.6124969422901681E-3</v>
      </c>
      <c r="CG129" s="189">
        <f>$CF129*Z129</f>
        <v>3.7288991790460136E-3</v>
      </c>
      <c r="CH129" s="189">
        <f>$CF129*AA129</f>
        <v>1.2106815516383164E-2</v>
      </c>
      <c r="CI129" s="189">
        <f>$CF129*AB129</f>
        <v>2.9056357239319588E-3</v>
      </c>
      <c r="CJ129" s="189">
        <f>$CF129*AC129</f>
        <v>4.4923072478197969E-3</v>
      </c>
      <c r="CK129" s="189">
        <f>$CF129*AD129</f>
        <v>5.5460583306417236E-3</v>
      </c>
    </row>
    <row r="130" spans="1:89" ht="45">
      <c r="A130" s="68"/>
      <c r="B130" s="54" t="s">
        <v>137</v>
      </c>
      <c r="C130" s="435" t="s">
        <v>121</v>
      </c>
      <c r="D130" s="435">
        <v>0.38538325080000002</v>
      </c>
      <c r="E130" s="797">
        <v>519.86</v>
      </c>
      <c r="F130" s="797">
        <v>25.441761827079919</v>
      </c>
      <c r="G130" s="797">
        <v>0</v>
      </c>
      <c r="H130" s="797">
        <v>0</v>
      </c>
      <c r="P130" s="96">
        <v>0</v>
      </c>
      <c r="Q130" s="96">
        <v>0</v>
      </c>
      <c r="R130" s="96">
        <v>5.0883523654159841</v>
      </c>
      <c r="S130" s="54">
        <v>0</v>
      </c>
      <c r="T130" s="54">
        <v>8.3446394779771591</v>
      </c>
      <c r="U130" s="189">
        <v>2.02911912224851E-11</v>
      </c>
      <c r="V130" s="189">
        <v>1.28293298936815E-11</v>
      </c>
      <c r="W130" s="189">
        <v>2.2698036618671299E-11</v>
      </c>
      <c r="X130" s="189">
        <v>6.7610836615527798E-12</v>
      </c>
      <c r="Y130" s="189">
        <v>3.9320729192436797E-11</v>
      </c>
      <c r="Z130" s="54">
        <f>$O$274</f>
        <v>2.3125</v>
      </c>
      <c r="AA130" s="54">
        <f>Z130/'Common input data'!$C$47</f>
        <v>7.508116883116883</v>
      </c>
      <c r="AB130" s="54">
        <f>AA130*'Common input data'!$D$47</f>
        <v>1.8019480519480517</v>
      </c>
      <c r="AC130" s="435">
        <f>AB130/(1-'Common input data'!$G$140)</f>
        <v>2.9335743621457904</v>
      </c>
      <c r="AD130" s="435">
        <f>AC130/(1-'Common input data'!$B$178)</f>
        <v>3.6216967433898644</v>
      </c>
      <c r="AE130" t="s">
        <v>1875</v>
      </c>
      <c r="AF130" s="63" t="s">
        <v>1802</v>
      </c>
      <c r="AG130" t="s">
        <v>1876</v>
      </c>
      <c r="AH130" s="190" t="s">
        <v>1877</v>
      </c>
      <c r="AI130" s="64"/>
      <c r="AJ130"/>
      <c r="AK130" s="1118" t="s">
        <v>1798</v>
      </c>
      <c r="AL130" t="s">
        <v>1876</v>
      </c>
      <c r="AM130" t="s">
        <v>1800</v>
      </c>
      <c r="AO130"/>
    </row>
    <row r="131" spans="1:89" ht="45">
      <c r="A131" s="68"/>
      <c r="B131" s="54" t="s">
        <v>138</v>
      </c>
      <c r="C131" s="435" t="s">
        <v>121</v>
      </c>
      <c r="D131" s="435">
        <v>0.16931057129999999</v>
      </c>
      <c r="E131" s="797">
        <v>514.34</v>
      </c>
      <c r="F131" s="797">
        <v>0</v>
      </c>
      <c r="G131" s="797">
        <v>0</v>
      </c>
      <c r="H131" s="797">
        <v>0</v>
      </c>
      <c r="P131" s="96">
        <v>0</v>
      </c>
      <c r="Q131" s="96">
        <v>0</v>
      </c>
      <c r="R131" s="96">
        <v>60.775404814004098</v>
      </c>
      <c r="S131" s="54">
        <v>0</v>
      </c>
      <c r="T131" s="54">
        <v>7.8581619256017508</v>
      </c>
      <c r="U131" s="189">
        <v>1.5463590362698299E-11</v>
      </c>
      <c r="V131" s="189">
        <v>9.6805916916176407E-12</v>
      </c>
      <c r="W131" s="189">
        <v>1.48416385322824E-11</v>
      </c>
      <c r="X131" s="189">
        <v>6.0822709746169498E-12</v>
      </c>
      <c r="Y131" s="189">
        <v>2.9323713799297297E-11</v>
      </c>
      <c r="Z131" s="54">
        <f>$O$274</f>
        <v>2.3125</v>
      </c>
      <c r="AA131" s="54">
        <f>Z131/'Common input data'!$C$47</f>
        <v>7.508116883116883</v>
      </c>
      <c r="AB131" s="54">
        <f>AA131*'Common input data'!$D$47</f>
        <v>1.8019480519480517</v>
      </c>
      <c r="AC131" s="435">
        <f>AB131/(1-'Common input data'!$G$140)</f>
        <v>2.9335743621457904</v>
      </c>
      <c r="AD131" s="435">
        <f>AC131/(1-'Common input data'!$B$178)</f>
        <v>3.6216967433898644</v>
      </c>
      <c r="AE131" t="s">
        <v>1875</v>
      </c>
      <c r="AF131" s="63" t="s">
        <v>1802</v>
      </c>
      <c r="AG131" t="s">
        <v>1878</v>
      </c>
      <c r="AH131" s="190" t="s">
        <v>1877</v>
      </c>
      <c r="AI131" s="64"/>
      <c r="AJ131"/>
      <c r="AK131" s="1118" t="s">
        <v>1798</v>
      </c>
      <c r="AL131" t="s">
        <v>1878</v>
      </c>
      <c r="AM131" t="s">
        <v>1800</v>
      </c>
      <c r="AO131"/>
    </row>
    <row r="132" spans="1:89" ht="45">
      <c r="A132" s="140"/>
      <c r="B132" s="54" t="s">
        <v>139</v>
      </c>
      <c r="C132" s="435" t="s">
        <v>121</v>
      </c>
      <c r="D132" s="435">
        <v>0.12500817089999999</v>
      </c>
      <c r="E132" s="797">
        <v>390.1</v>
      </c>
      <c r="F132" s="797">
        <v>95</v>
      </c>
      <c r="G132" s="797">
        <v>0</v>
      </c>
      <c r="H132" s="797">
        <v>0</v>
      </c>
      <c r="P132" s="96">
        <v>0</v>
      </c>
      <c r="Q132" s="96">
        <v>0</v>
      </c>
      <c r="R132" s="96">
        <v>55</v>
      </c>
      <c r="S132" s="54">
        <v>0</v>
      </c>
      <c r="T132" s="54">
        <v>6.2277849898580122</v>
      </c>
      <c r="U132" s="189">
        <v>5.5122676400630499E-11</v>
      </c>
      <c r="V132" s="189">
        <v>5.3604663576149402E-11</v>
      </c>
      <c r="W132" s="189">
        <v>4.5381804318619403E-11</v>
      </c>
      <c r="X132" s="189">
        <v>1.31127969128976E-11</v>
      </c>
      <c r="Y132" s="189">
        <v>4.9119598130720397E-10</v>
      </c>
      <c r="Z132" s="54">
        <f>$O$274</f>
        <v>2.3125</v>
      </c>
      <c r="AA132" s="54">
        <f>Z132/'Common input data'!$C$47</f>
        <v>7.508116883116883</v>
      </c>
      <c r="AB132" s="54">
        <f>AA132*'Common input data'!$D$47</f>
        <v>1.8019480519480517</v>
      </c>
      <c r="AC132" s="435">
        <f>AB132/(1-'Common input data'!$D$140)</f>
        <v>2.9335743621457904</v>
      </c>
      <c r="AD132" s="435">
        <f>AC132/(1-'Common input data'!$B$178)</f>
        <v>3.6216967433898644</v>
      </c>
      <c r="AE132" t="s">
        <v>1875</v>
      </c>
      <c r="AF132" s="63" t="s">
        <v>1802</v>
      </c>
      <c r="AG132" t="s">
        <v>1803</v>
      </c>
      <c r="AH132" s="190" t="s">
        <v>1877</v>
      </c>
      <c r="AI132" s="64"/>
      <c r="AJ132"/>
      <c r="AK132" s="1118" t="s">
        <v>1798</v>
      </c>
      <c r="AL132" t="s">
        <v>1879</v>
      </c>
      <c r="AM132" t="s">
        <v>1800</v>
      </c>
      <c r="AO132"/>
    </row>
    <row r="133" spans="1:89" ht="17.25" customHeight="1">
      <c r="A133" s="140"/>
      <c r="B133" s="54" t="s">
        <v>134</v>
      </c>
      <c r="C133" s="435" t="s">
        <v>121</v>
      </c>
      <c r="D133" s="435">
        <v>0.32029800700000011</v>
      </c>
      <c r="E133" s="797">
        <v>444.84</v>
      </c>
      <c r="F133" s="797">
        <v>26.689332383999997</v>
      </c>
      <c r="G133" s="797">
        <v>0</v>
      </c>
      <c r="H133" s="797">
        <v>0</v>
      </c>
      <c r="P133" s="96">
        <v>0</v>
      </c>
      <c r="Q133" s="96">
        <v>0</v>
      </c>
      <c r="R133" s="96">
        <v>36.801390779999998</v>
      </c>
      <c r="S133" s="54">
        <v>3.9722540834180118E-3</v>
      </c>
      <c r="T133" s="54">
        <v>6.9624274061990219</v>
      </c>
      <c r="U133" s="189">
        <v>3.0292485995271299E-11</v>
      </c>
      <c r="V133" s="189">
        <v>2.5371528387149515E-11</v>
      </c>
      <c r="W133" s="189">
        <v>2.7640493156524367E-11</v>
      </c>
      <c r="X133" s="189">
        <v>8.6520505163557776E-12</v>
      </c>
      <c r="Y133" s="189">
        <v>1.866134747663127E-10</v>
      </c>
      <c r="Z133" s="54">
        <f>$O$274</f>
        <v>2.3125</v>
      </c>
      <c r="AA133" s="54">
        <f>Z133/'Common input data'!$C$47</f>
        <v>7.508116883116883</v>
      </c>
      <c r="AB133" s="54">
        <f>AA133*'Common input data'!$D$47</f>
        <v>1.8019480519480517</v>
      </c>
      <c r="AC133" s="435">
        <f>AB133/(1-'Common input data'!$I$140)</f>
        <v>2.472622059317267</v>
      </c>
      <c r="AD133" s="435">
        <f>AC133/(1-'Common input data'!$B$178)</f>
        <v>3.0526198263176134</v>
      </c>
      <c r="AE133" t="s">
        <v>1875</v>
      </c>
      <c r="AF133" s="63" t="s">
        <v>1802</v>
      </c>
      <c r="AG133" t="s">
        <v>1878</v>
      </c>
      <c r="AH133" s="190" t="s">
        <v>1877</v>
      </c>
      <c r="AI133" s="64"/>
      <c r="AJ133"/>
      <c r="AK133" s="1118" t="s">
        <v>1798</v>
      </c>
      <c r="AL133" t="s">
        <v>1878</v>
      </c>
      <c r="AM133" t="s">
        <v>1800</v>
      </c>
      <c r="AO133"/>
    </row>
    <row r="134" spans="1:89" ht="17.25" customHeight="1">
      <c r="A134" s="139" t="s">
        <v>141</v>
      </c>
      <c r="B134" s="79" t="s">
        <v>120</v>
      </c>
      <c r="C134" s="170" t="s">
        <v>121</v>
      </c>
      <c r="D134" s="170">
        <v>1</v>
      </c>
      <c r="E134" s="798">
        <f>$D135*E135+$D136*E136+$D137*E137+$D138*E138</f>
        <v>478.67558890530006</v>
      </c>
      <c r="F134" s="798">
        <f>$D135*F135+$D136*F136+$D137*F137+$D138*F138</f>
        <v>30.229145085255169</v>
      </c>
      <c r="G134" s="797">
        <f>$D135*G135+$D136*G136+$D137*G137+$D138*G138</f>
        <v>0</v>
      </c>
      <c r="H134" s="798">
        <f>$D135*H135+$D136*H136+$D137*H137+$D138*H138</f>
        <v>0</v>
      </c>
      <c r="P134" s="798">
        <f>$D135*P135+$D136*P136+$D137*P137+$D138*P138</f>
        <v>0</v>
      </c>
      <c r="Q134" s="798">
        <f>$D135*Q135+$D136*Q136+$D137*Q137+$D138*Q138</f>
        <v>0</v>
      </c>
      <c r="R134" s="798">
        <v>55.642743327961838</v>
      </c>
      <c r="S134" s="170">
        <f>$D135*S135+$D136*S136+$D137*S137+$D138*S138</f>
        <v>1.2723050662164013E-3</v>
      </c>
      <c r="U134" s="212">
        <v>2.7031442397899583E-11</v>
      </c>
      <c r="V134" s="212">
        <v>2.1410706292154616E-11</v>
      </c>
      <c r="W134" s="212">
        <v>2.5786580658354044E-11</v>
      </c>
      <c r="X134" s="212">
        <v>8.0458424682503538E-12</v>
      </c>
      <c r="Y134" s="212">
        <v>1.4129380039964338E-10</v>
      </c>
      <c r="Z134" s="170">
        <f>$D135*Z135+$D136*Z136+$D137*Z137+$D138*Z138</f>
        <v>2.3125</v>
      </c>
      <c r="AA134" s="170">
        <f>$D135*AA135+$D136*AA136+$D137*AA137+$D138*AA138</f>
        <v>10.277777777777779</v>
      </c>
      <c r="AB134" s="170">
        <f>$D135*AB135+$D136*AB136+$D137*AB137+$D138*AB138</f>
        <v>3.8541666666666661</v>
      </c>
      <c r="AC134" s="170">
        <f>$D135*AC135+$D136*AC136+$D137*AC137+$D138*AC138</f>
        <v>5.9587995523204738</v>
      </c>
      <c r="AD134" s="170">
        <f>AC134/(1-'Common input data'!$B$178)</f>
        <v>7.3565426571857699</v>
      </c>
      <c r="AF134" s="1123"/>
      <c r="AG134"/>
      <c r="AH134"/>
      <c r="AI134" s="64"/>
      <c r="AJ134"/>
      <c r="AK134" s="1118"/>
      <c r="AL134"/>
      <c r="AO134"/>
      <c r="AP134" s="170">
        <f>$D135*'Fruits, berries, cocoa, coffee'!Y226+$D136*'Fruits, berries, cocoa, coffee'!Y230+$D137*'Fruits, berries, cocoa, coffee'!Y234+$D138*'Fruits, berries, cocoa, coffee'!Y238</f>
        <v>21.109827693692804</v>
      </c>
      <c r="AQ134" s="170">
        <f>$D135*'Fruits, berries, cocoa, coffee'!Z226+$D136*'Fruits, berries, cocoa, coffee'!Z230+$D137*'Fruits, berries, cocoa, coffee'!Z234+$D138*'Fruits, berries, cocoa, coffee'!Z238</f>
        <v>48.81647654166462</v>
      </c>
      <c r="AR134" s="170">
        <f>$D135*'Fruits, berries, cocoa, coffee'!AA226+$D136*'Fruits, berries, cocoa, coffee'!AA230+$D137*'Fruits, berries, cocoa, coffee'!AA234+$D138*'Fruits, berries, cocoa, coffee'!AA238</f>
        <v>216.96211796295381</v>
      </c>
      <c r="AS134" s="170">
        <f>$D135*'Fruits, berries, cocoa, coffee'!AB226+$D136*'Fruits, berries, cocoa, coffee'!AB230+$D137*'Fruits, berries, cocoa, coffee'!AB234+$D138*'Fruits, berries, cocoa, coffee'!AB238</f>
        <v>81.360794236107679</v>
      </c>
      <c r="AT134" s="170">
        <f>$D135*'Fruits, berries, cocoa, coffee'!AC226+$D136*'Fruits, berries, cocoa, coffee'!AC230+$D137*'Fruits, berries, cocoa, coffee'!AC234+$D138*'Fruits, berries, cocoa, coffee'!AC238</f>
        <v>125.35654729361195</v>
      </c>
      <c r="AU134" s="170">
        <f>$D135*'Fruits, berries, cocoa, coffee'!AD226+$D136*'Fruits, berries, cocoa, coffee'!AD230+$D137*'Fruits, berries, cocoa, coffee'!AD234+$D138*'Fruits, berries, cocoa, coffee'!AD238</f>
        <v>154.76116949828634</v>
      </c>
      <c r="AV134" s="106"/>
      <c r="AW134" s="212">
        <f>$D135*'Fruits, berries, cocoa, coffee'!AF226+$D136*'Fruits, berries, cocoa, coffee'!AF230+$D137*'Fruits, berries, cocoa, coffee'!AF234+$D138*'Fruits, berries, cocoa, coffee'!AF238</f>
        <v>6.8520532112207488E-2</v>
      </c>
      <c r="AX134" s="212">
        <f>$D135*'Fruits, berries, cocoa, coffee'!AG226+$D136*'Fruits, berries, cocoa, coffee'!AG230+$D137*'Fruits, berries, cocoa, coffee'!AG234+$D138*'Fruits, berries, cocoa, coffee'!AG238</f>
        <v>0.15845373050947981</v>
      </c>
      <c r="AY134" s="212">
        <f>$D135*'Fruits, berries, cocoa, coffee'!AH226+$D136*'Fruits, berries, cocoa, coffee'!AH230+$D137*'Fruits, berries, cocoa, coffee'!AH234+$D138*'Fruits, berries, cocoa, coffee'!AH238</f>
        <v>0.70423880226435454</v>
      </c>
      <c r="AZ134" s="212">
        <f>$D135*'Fruits, berries, cocoa, coffee'!AI226+$D136*'Fruits, berries, cocoa, coffee'!AI230+$D137*'Fruits, berries, cocoa, coffee'!AI234+$D138*'Fruits, berries, cocoa, coffee'!AI238</f>
        <v>0.26408955084913294</v>
      </c>
      <c r="BA134" s="212">
        <f>$D135*'Fruits, berries, cocoa, coffee'!AJ226+$D136*'Fruits, berries, cocoa, coffee'!AJ230+$D137*'Fruits, berries, cocoa, coffee'!AJ234+$D138*'Fruits, berries, cocoa, coffee'!AJ238</f>
        <v>0.41099157328059266</v>
      </c>
      <c r="BB134" s="212">
        <f>$D135*'Fruits, berries, cocoa, coffee'!AK226+$D136*'Fruits, berries, cocoa, coffee'!AK230+$D137*'Fruits, berries, cocoa, coffee'!AK234+$D138*'Fruits, berries, cocoa, coffee'!AK238</f>
        <v>0.50739700405011434</v>
      </c>
      <c r="BC134" s="106"/>
      <c r="BD134" s="212">
        <f>$D135*'Fruits, berries, cocoa, coffee'!AM226+$D136*'Fruits, berries, cocoa, coffee'!AM230+$D137*'Fruits, berries, cocoa, coffee'!AM234+$D138*'Fruits, berries, cocoa, coffee'!AM238</f>
        <v>0.11389303788229439</v>
      </c>
      <c r="BE134" s="212">
        <f>$D135*'Fruits, berries, cocoa, coffee'!AN226+$D136*'Fruits, berries, cocoa, coffee'!AN230+$D137*'Fruits, berries, cocoa, coffee'!AN234+$D138*'Fruits, berries, cocoa, coffee'!AN238</f>
        <v>0.26337765010280578</v>
      </c>
      <c r="BF134" s="212">
        <f>$D135*'Fruits, berries, cocoa, coffee'!AO226+$D136*'Fruits, berries, cocoa, coffee'!AO230+$D137*'Fruits, berries, cocoa, coffee'!AO234+$D138*'Fruits, berries, cocoa, coffee'!AO238</f>
        <v>1.1705673337902478</v>
      </c>
      <c r="BG134" s="212">
        <f>$D135*'Fruits, berries, cocoa, coffee'!AP226+$D136*'Fruits, berries, cocoa, coffee'!AP230+$D137*'Fruits, berries, cocoa, coffee'!AP234+$D138*'Fruits, berries, cocoa, coffee'!AP238</f>
        <v>0.43896275017134295</v>
      </c>
      <c r="BH134" s="212">
        <f>$D135*'Fruits, berries, cocoa, coffee'!AQ226+$D136*'Fruits, berries, cocoa, coffee'!AQ230+$D137*'Fruits, berries, cocoa, coffee'!AQ234+$D138*'Fruits, berries, cocoa, coffee'!AQ238</f>
        <v>0.67148786620677214</v>
      </c>
      <c r="BI134" s="212">
        <f>$D135*'Fruits, berries, cocoa, coffee'!AR226+$D136*'Fruits, berries, cocoa, coffee'!AR230+$D137*'Fruits, berries, cocoa, coffee'!AR234+$D138*'Fruits, berries, cocoa, coffee'!AR238</f>
        <v>0.82899736568737314</v>
      </c>
      <c r="BJ134" s="266"/>
      <c r="BK134" s="212">
        <f>$D135*'Fruits, berries, cocoa, coffee'!AT226+$D136*'Fruits, berries, cocoa, coffee'!AT230+$D137*'Fruits, berries, cocoa, coffee'!AT234+$D138*'Fruits, berries, cocoa, coffee'!AT238</f>
        <v>1.2723050662164013E-3</v>
      </c>
      <c r="BL134" s="212">
        <f>$D135*'Fruits, berries, cocoa, coffee'!AU226+$D136*'Fruits, berries, cocoa, coffee'!AU230+$D137*'Fruits, berries, cocoa, coffee'!AU234+$D138*'Fruits, berries, cocoa, coffee'!AU238</f>
        <v>2.9422054656254282E-3</v>
      </c>
      <c r="BM134" s="212">
        <f>$D135*'Fruits, berries, cocoa, coffee'!AV226+$D136*'Fruits, berries, cocoa, coffee'!AV230+$D137*'Fruits, berries, cocoa, coffee'!AV234+$D138*'Fruits, berries, cocoa, coffee'!AV238</f>
        <v>1.3076468736113013E-2</v>
      </c>
      <c r="BN134" s="212">
        <f>$D135*'Fruits, berries, cocoa, coffee'!AW226+$D136*'Fruits, berries, cocoa, coffee'!AW230+$D137*'Fruits, berries, cocoa, coffee'!AW234+$D138*'Fruits, berries, cocoa, coffee'!AW238</f>
        <v>4.9036757760423794E-3</v>
      </c>
      <c r="BO134" s="212">
        <f>$D135*'Fruits, berries, cocoa, coffee'!AX226+$D136*'Fruits, berries, cocoa, coffee'!AX230+$D137*'Fruits, berries, cocoa, coffee'!AX234+$D138*'Fruits, berries, cocoa, coffee'!AX238</f>
        <v>6.7287938087194406E-3</v>
      </c>
      <c r="BP134" s="212">
        <f>$D135*'Fruits, berries, cocoa, coffee'!AY226+$D136*'Fruits, berries, cocoa, coffee'!AY230+$D137*'Fruits, berries, cocoa, coffee'!AY234+$D138*'Fruits, berries, cocoa, coffee'!AY238</f>
        <v>8.3071528502709126E-3</v>
      </c>
      <c r="BQ134" s="266"/>
      <c r="BR134" s="212">
        <f>$D135*'Fruits, berries, cocoa, coffee'!BA226+$D136*'Fruits, berries, cocoa, coffee'!BA230+$D137*'Fruits, berries, cocoa, coffee'!BA234+$D138*'Fruits, berries, cocoa, coffee'!BA238</f>
        <v>1.2608757782676379E-8</v>
      </c>
      <c r="BS134" s="212">
        <f>$D135*'Fruits, berries, cocoa, coffee'!BB226+$D136*'Fruits, berries, cocoa, coffee'!BB230+$D137*'Fruits, berries, cocoa, coffee'!BB234+$D138*'Fruits, berries, cocoa, coffee'!BB238</f>
        <v>2.9157752372439125E-8</v>
      </c>
      <c r="BT134" s="212">
        <f>$D135*'Fruits, berries, cocoa, coffee'!BC226+$D136*'Fruits, berries, cocoa, coffee'!BC230+$D137*'Fruits, berries, cocoa, coffee'!BC234+$D138*'Fruits, berries, cocoa, coffee'!BC238</f>
        <v>1.2959001054417388E-7</v>
      </c>
      <c r="BU134" s="212">
        <f>$D135*'Fruits, berries, cocoa, coffee'!BD226+$D136*'Fruits, berries, cocoa, coffee'!BD230+$D137*'Fruits, berries, cocoa, coffee'!BD234+$D138*'Fruits, berries, cocoa, coffee'!BD238</f>
        <v>4.85962539540652E-8</v>
      </c>
      <c r="BV134" s="212">
        <f>$D135*'Fruits, berries, cocoa, coffee'!BE226+$D136*'Fruits, berries, cocoa, coffee'!BE230+$D137*'Fruits, berries, cocoa, coffee'!BE234+$D138*'Fruits, berries, cocoa, coffee'!BE238</f>
        <v>7.4244070439632403E-8</v>
      </c>
      <c r="BW134" s="212">
        <f>$D135*'Fruits, berries, cocoa, coffee'!BF226+$D136*'Fruits, berries, cocoa, coffee'!BF230+$D137*'Fruits, berries, cocoa, coffee'!BF234+$D138*'Fruits, berries, cocoa, coffee'!BF238</f>
        <v>9.1659346221768391E-8</v>
      </c>
      <c r="BY134" s="189">
        <f>T134/E134</f>
        <v>0</v>
      </c>
      <c r="BZ134" s="189">
        <f>$BY134*Z134</f>
        <v>0</v>
      </c>
      <c r="CA134" s="189">
        <f>$BY134*AA134</f>
        <v>0</v>
      </c>
      <c r="CB134" s="189">
        <f>$BY134*AB134</f>
        <v>0</v>
      </c>
      <c r="CC134" s="189">
        <f>$BY134*AC134</f>
        <v>0</v>
      </c>
      <c r="CD134" s="189">
        <f>$BY134*AD134</f>
        <v>0</v>
      </c>
      <c r="CF134" s="189">
        <f>(F134/E134*'Common input data'!$B$195+G134/E134*'Common input data'!$B$196)/'Common input data'!$B$198</f>
        <v>1.6124969422901681E-3</v>
      </c>
      <c r="CG134" s="189">
        <f>$CF134*Z134</f>
        <v>3.7288991790460136E-3</v>
      </c>
      <c r="CH134" s="189">
        <f>$CF134*AA134</f>
        <v>1.6572885240204508E-2</v>
      </c>
      <c r="CI134" s="189">
        <f>$CF134*AB134</f>
        <v>6.2148319650766884E-3</v>
      </c>
      <c r="CJ134" s="189">
        <f>$CF134*AC134</f>
        <v>9.6085460578367865E-3</v>
      </c>
      <c r="CK134" s="189">
        <f>$CF134*AD134</f>
        <v>1.1862402540539243E-2</v>
      </c>
    </row>
    <row r="135" spans="1:89" ht="45">
      <c r="A135" s="68"/>
      <c r="B135" s="54" t="s">
        <v>137</v>
      </c>
      <c r="C135" s="435" t="s">
        <v>121</v>
      </c>
      <c r="D135" s="435">
        <v>0.38538325080000002</v>
      </c>
      <c r="E135" s="797">
        <v>519.86</v>
      </c>
      <c r="F135" s="797">
        <v>25.441761827079919</v>
      </c>
      <c r="G135" s="797">
        <v>0</v>
      </c>
      <c r="H135" s="797">
        <v>0</v>
      </c>
      <c r="P135" s="96">
        <v>0</v>
      </c>
      <c r="Q135" s="96">
        <v>0</v>
      </c>
      <c r="R135" s="797">
        <v>75</v>
      </c>
      <c r="S135" s="54">
        <v>0</v>
      </c>
      <c r="T135" s="54">
        <v>8.3446394779771591</v>
      </c>
      <c r="U135" s="189">
        <v>2.02911912224851E-11</v>
      </c>
      <c r="V135" s="189">
        <v>1.28293298936815E-11</v>
      </c>
      <c r="W135" s="189">
        <v>2.2698036618671299E-11</v>
      </c>
      <c r="X135" s="189">
        <v>6.7610836615527798E-12</v>
      </c>
      <c r="Y135" s="189">
        <v>3.9320729192436797E-11</v>
      </c>
      <c r="Z135" s="54">
        <f>$O$274</f>
        <v>2.3125</v>
      </c>
      <c r="AA135" s="54">
        <f>Z135/'Common input data'!$F$47</f>
        <v>10.277777777777777</v>
      </c>
      <c r="AB135" s="54">
        <f>AA135*'Common input data'!$G$47</f>
        <v>3.8541666666666661</v>
      </c>
      <c r="AC135" s="435">
        <f>AB135/(1-'Common input data'!$G$140)</f>
        <v>6.2745896079229411</v>
      </c>
      <c r="AD135" s="435">
        <f>AC135/(1-'Common input data'!$B$178)</f>
        <v>7.746406923361655</v>
      </c>
      <c r="AE135" t="s">
        <v>1875</v>
      </c>
      <c r="AF135" s="63" t="s">
        <v>1802</v>
      </c>
      <c r="AG135" t="s">
        <v>1876</v>
      </c>
      <c r="AH135" s="190" t="s">
        <v>1877</v>
      </c>
      <c r="AI135" s="64"/>
      <c r="AJ135"/>
      <c r="AK135" s="1118" t="s">
        <v>1798</v>
      </c>
      <c r="AL135" t="s">
        <v>1876</v>
      </c>
      <c r="AM135" t="s">
        <v>1800</v>
      </c>
      <c r="AO135"/>
    </row>
    <row r="136" spans="1:89" ht="45">
      <c r="A136" s="68"/>
      <c r="B136" s="54" t="s">
        <v>138</v>
      </c>
      <c r="C136" s="435" t="s">
        <v>121</v>
      </c>
      <c r="D136" s="435">
        <v>0.16931057129999999</v>
      </c>
      <c r="E136" s="797">
        <v>514.34</v>
      </c>
      <c r="F136" s="797">
        <v>0</v>
      </c>
      <c r="G136" s="797">
        <v>0</v>
      </c>
      <c r="H136" s="797">
        <v>0</v>
      </c>
      <c r="P136" s="96">
        <v>0</v>
      </c>
      <c r="Q136" s="96">
        <v>0</v>
      </c>
      <c r="R136" s="797">
        <v>39.198219038333399</v>
      </c>
      <c r="S136" s="54">
        <v>0</v>
      </c>
      <c r="T136" s="54">
        <v>7.8581619256017508</v>
      </c>
      <c r="U136" s="189">
        <v>1.5463590362698299E-11</v>
      </c>
      <c r="V136" s="189">
        <v>9.6805916916176407E-12</v>
      </c>
      <c r="W136" s="189">
        <v>1.48416385322824E-11</v>
      </c>
      <c r="X136" s="189">
        <v>6.0822709746169498E-12</v>
      </c>
      <c r="Y136" s="189">
        <v>2.9323713799297297E-11</v>
      </c>
      <c r="Z136" s="54">
        <f>$O$274</f>
        <v>2.3125</v>
      </c>
      <c r="AA136" s="54">
        <f>Z136/'Common input data'!$F$47</f>
        <v>10.277777777777777</v>
      </c>
      <c r="AB136" s="54">
        <f>AA136*'Common input data'!$G$47</f>
        <v>3.8541666666666661</v>
      </c>
      <c r="AC136" s="435">
        <f>AB136/(1-'Common input data'!$G$140)</f>
        <v>6.2745896079229411</v>
      </c>
      <c r="AD136" s="435">
        <f>AC136/(1-'Common input data'!$B$178)</f>
        <v>7.746406923361655</v>
      </c>
      <c r="AE136" t="s">
        <v>1875</v>
      </c>
      <c r="AF136" s="63" t="s">
        <v>1802</v>
      </c>
      <c r="AG136" t="s">
        <v>1878</v>
      </c>
      <c r="AH136" s="190" t="s">
        <v>1877</v>
      </c>
      <c r="AI136" s="64"/>
      <c r="AJ136"/>
      <c r="AK136" s="1118" t="s">
        <v>1798</v>
      </c>
      <c r="AL136" t="s">
        <v>1878</v>
      </c>
      <c r="AM136" t="s">
        <v>1800</v>
      </c>
      <c r="AO136"/>
    </row>
    <row r="137" spans="1:89" ht="45">
      <c r="A137" s="140"/>
      <c r="B137" s="54" t="s">
        <v>139</v>
      </c>
      <c r="C137" s="435" t="s">
        <v>121</v>
      </c>
      <c r="D137" s="435">
        <v>0.12500817089999999</v>
      </c>
      <c r="E137" s="797">
        <v>390.1</v>
      </c>
      <c r="F137" s="797">
        <v>95</v>
      </c>
      <c r="G137" s="797">
        <v>0</v>
      </c>
      <c r="H137" s="797">
        <v>0</v>
      </c>
      <c r="P137" s="96">
        <v>0</v>
      </c>
      <c r="Q137" s="96">
        <v>0</v>
      </c>
      <c r="R137" s="797">
        <v>5.0883523654159841</v>
      </c>
      <c r="S137" s="54">
        <v>0</v>
      </c>
      <c r="T137" s="54">
        <v>6.2277849898580122</v>
      </c>
      <c r="U137" s="189">
        <v>5.5122676400630499E-11</v>
      </c>
      <c r="V137" s="189">
        <v>5.3604663576149402E-11</v>
      </c>
      <c r="W137" s="189">
        <v>4.5381804318619403E-11</v>
      </c>
      <c r="X137" s="189">
        <v>1.31127969128976E-11</v>
      </c>
      <c r="Y137" s="189">
        <v>4.9119598130720397E-10</v>
      </c>
      <c r="Z137" s="54">
        <f>$O$274</f>
        <v>2.3125</v>
      </c>
      <c r="AA137" s="54">
        <f>Z137/'Common input data'!$F$47</f>
        <v>10.277777777777777</v>
      </c>
      <c r="AB137" s="54">
        <f>AA137*'Common input data'!$G$47</f>
        <v>3.8541666666666661</v>
      </c>
      <c r="AC137" s="435">
        <f>AB137/(1-'Common input data'!$D$140)</f>
        <v>6.2745896079229411</v>
      </c>
      <c r="AD137" s="435">
        <f>AC137/(1-'Common input data'!$B$178)</f>
        <v>7.746406923361655</v>
      </c>
      <c r="AE137" t="s">
        <v>1875</v>
      </c>
      <c r="AF137" s="63" t="s">
        <v>1802</v>
      </c>
      <c r="AG137" t="s">
        <v>1803</v>
      </c>
      <c r="AH137" s="190" t="s">
        <v>1877</v>
      </c>
      <c r="AI137" s="64"/>
      <c r="AJ137"/>
      <c r="AK137" s="1118" t="s">
        <v>1798</v>
      </c>
      <c r="AL137" t="s">
        <v>1879</v>
      </c>
      <c r="AM137" t="s">
        <v>1800</v>
      </c>
      <c r="AO137"/>
    </row>
    <row r="138" spans="1:89" ht="45">
      <c r="A138" s="140"/>
      <c r="B138" s="54" t="s">
        <v>134</v>
      </c>
      <c r="C138" s="435" t="s">
        <v>121</v>
      </c>
      <c r="D138" s="435">
        <v>0.32029800700000011</v>
      </c>
      <c r="E138" s="797">
        <v>444.84</v>
      </c>
      <c r="F138" s="797">
        <v>26.689332383999997</v>
      </c>
      <c r="G138" s="797">
        <v>0</v>
      </c>
      <c r="H138" s="797">
        <v>0</v>
      </c>
      <c r="P138" s="96">
        <v>0</v>
      </c>
      <c r="Q138" s="96">
        <v>0</v>
      </c>
      <c r="R138" s="797">
        <v>60.775404814004098</v>
      </c>
      <c r="S138" s="54">
        <v>3.9722540834180118E-3</v>
      </c>
      <c r="T138" s="54">
        <v>6.9624274061990219</v>
      </c>
      <c r="U138" s="189">
        <v>3.0292485995271299E-11</v>
      </c>
      <c r="V138" s="189">
        <v>2.5371528387149515E-11</v>
      </c>
      <c r="W138" s="189">
        <v>2.7640493156524367E-11</v>
      </c>
      <c r="X138" s="189">
        <v>8.6520505163557776E-12</v>
      </c>
      <c r="Y138" s="189">
        <v>1.866134747663127E-10</v>
      </c>
      <c r="Z138" s="54">
        <f>$O$274</f>
        <v>2.3125</v>
      </c>
      <c r="AA138" s="54">
        <f>Z138/'Common input data'!$F$47</f>
        <v>10.277777777777777</v>
      </c>
      <c r="AB138" s="54">
        <f>AA138*'Common input data'!$G$47</f>
        <v>3.8541666666666661</v>
      </c>
      <c r="AC138" s="435">
        <f>AB138/(1-'Common input data'!$I$140)</f>
        <v>5.2886638490952658</v>
      </c>
      <c r="AD138" s="435">
        <f>AC138/(1-'Common input data'!$B$178)</f>
        <v>6.5292146285126735</v>
      </c>
      <c r="AE138" t="s">
        <v>1875</v>
      </c>
      <c r="AF138" s="63" t="s">
        <v>1802</v>
      </c>
      <c r="AG138" t="s">
        <v>1878</v>
      </c>
      <c r="AH138" s="190" t="s">
        <v>1877</v>
      </c>
      <c r="AI138" s="64"/>
      <c r="AJ138"/>
      <c r="AK138" s="1118" t="s">
        <v>1798</v>
      </c>
      <c r="AL138" t="s">
        <v>1878</v>
      </c>
      <c r="AM138" t="s">
        <v>1800</v>
      </c>
      <c r="AO138"/>
    </row>
    <row r="139" spans="1:89">
      <c r="A139" s="139" t="s">
        <v>91</v>
      </c>
      <c r="B139" s="79" t="s">
        <v>120</v>
      </c>
      <c r="C139" s="170" t="s">
        <v>121</v>
      </c>
      <c r="D139" s="170">
        <v>1</v>
      </c>
      <c r="E139" s="798">
        <f>$D140*E140+$D141*E141+$D142*E142</f>
        <v>1029.1419846610829</v>
      </c>
      <c r="F139" s="798">
        <f>$D140*F140+$D141*F141+$D142*F142</f>
        <v>118.20174050042672</v>
      </c>
      <c r="G139" s="797">
        <f>$D140*G140+$D141*G141+$D142*G142</f>
        <v>0</v>
      </c>
      <c r="H139" s="798">
        <f>$D140*H140+$D141*H141+$D142*H142</f>
        <v>17.139330612545677</v>
      </c>
      <c r="P139" s="798">
        <f>$D140*P140+$D141*P141+$D142*P142</f>
        <v>140</v>
      </c>
      <c r="Q139" s="798">
        <f>$D140*Q140+$D141*Q141+$D142*Q142</f>
        <v>0</v>
      </c>
      <c r="R139" s="798">
        <v>34.251974846444789</v>
      </c>
      <c r="S139" s="170">
        <f>$D140*S140+$D141*S141+$D142*S142</f>
        <v>0.12618883867377018</v>
      </c>
      <c r="U139" s="212">
        <v>1.1207738743890768E-11</v>
      </c>
      <c r="V139" s="212">
        <v>1.8634720761341729E-11</v>
      </c>
      <c r="W139" s="212">
        <v>2.9554575515209421E-11</v>
      </c>
      <c r="X139" s="212">
        <v>1.3748459593922649E-12</v>
      </c>
      <c r="Y139" s="212">
        <v>1.2922929846426026E-10</v>
      </c>
      <c r="Z139" s="170">
        <f>$D140*Z140+$D141*Z141+$D142*Z142</f>
        <v>1</v>
      </c>
      <c r="AA139" s="170">
        <f>$D140*AA140+$D141*AA141+$D142*AA142</f>
        <v>1.1904761904761902</v>
      </c>
      <c r="AB139" s="170">
        <f>$D140*AB140+$D141*AB141+$D142*AB142</f>
        <v>1.1904761904761902</v>
      </c>
      <c r="AC139" s="170">
        <f>$D140*AC140+$D141*AC141+$D142*AC142</f>
        <v>1.722720171735616</v>
      </c>
      <c r="AD139" s="170">
        <f>AC139/(1-'Common input data'!$B$178)</f>
        <v>2.1268150268340937</v>
      </c>
      <c r="AF139" s="1123"/>
      <c r="AG139"/>
      <c r="AH139"/>
      <c r="AI139" s="64"/>
      <c r="AJ139"/>
      <c r="AK139" s="1118"/>
      <c r="AL139"/>
      <c r="AO139"/>
      <c r="AP139" s="170">
        <f>$D140*'Fruits, berries, cocoa, coffee'!Y247+$D141*'Fruits, berries, cocoa, coffee'!Y251+$D142*'Fruits, berries, cocoa, coffee'!Y255</f>
        <v>10.332126495266939</v>
      </c>
      <c r="AQ139" s="170">
        <f>$D140*'Fruits, berries, cocoa, coffee'!Z247+$D141*'Fruits, berries, cocoa, coffee'!Z251+$D142*'Fruits, berries, cocoa, coffee'!Z255</f>
        <v>10.332126495266939</v>
      </c>
      <c r="AR139" s="170">
        <f>$D140*'Fruits, berries, cocoa, coffee'!AA247+$D141*'Fruits, berries, cocoa, coffee'!AA251+$D142*'Fruits, berries, cocoa, coffee'!AA255</f>
        <v>12.300150589603501</v>
      </c>
      <c r="AS139" s="170">
        <f>$D140*'Fruits, berries, cocoa, coffee'!AB247+$D141*'Fruits, berries, cocoa, coffee'!AB251+$D142*'Fruits, berries, cocoa, coffee'!AB255</f>
        <v>12.300150589603501</v>
      </c>
      <c r="AT139" s="170">
        <f>$D140*'Fruits, berries, cocoa, coffee'!AC247+$D141*'Fruits, berries, cocoa, coffee'!AC251+$D142*'Fruits, berries, cocoa, coffee'!AC255</f>
        <v>17.64477365250719</v>
      </c>
      <c r="AU139" s="170">
        <f>$D140*'Fruits, berries, cocoa, coffee'!AD247+$D141*'Fruits, berries, cocoa, coffee'!AD251+$D142*'Fruits, berries, cocoa, coffee'!AD255</f>
        <v>21.783671175934806</v>
      </c>
      <c r="AV139" s="106"/>
      <c r="AW139" s="212">
        <f>$D140*'Fruits, berries, cocoa, coffee'!AF247+$D141*'Fruits, berries, cocoa, coffee'!AF251+$D142*'Fruits, berries, cocoa, coffee'!AF255</f>
        <v>0.12805128889104794</v>
      </c>
      <c r="AX139" s="212">
        <f>$D140*'Fruits, berries, cocoa, coffee'!AG247+$D141*'Fruits, berries, cocoa, coffee'!AG251+$D142*'Fruits, berries, cocoa, coffee'!AG255</f>
        <v>0.12805128889104794</v>
      </c>
      <c r="AY139" s="212">
        <f>$D140*'Fruits, berries, cocoa, coffee'!AH247+$D141*'Fruits, berries, cocoa, coffee'!AH251+$D142*'Fruits, berries, cocoa, coffee'!AH255</f>
        <v>0.1524420105845809</v>
      </c>
      <c r="AZ139" s="212">
        <f>$D140*'Fruits, berries, cocoa, coffee'!AI247+$D141*'Fruits, berries, cocoa, coffee'!AI251+$D142*'Fruits, berries, cocoa, coffee'!AI255</f>
        <v>0.1524420105845809</v>
      </c>
      <c r="BA139" s="212">
        <f>$D140*'Fruits, berries, cocoa, coffee'!AJ247+$D141*'Fruits, berries, cocoa, coffee'!AJ251+$D142*'Fruits, berries, cocoa, coffee'!AJ255</f>
        <v>0.21649663710447387</v>
      </c>
      <c r="BB139" s="212">
        <f>$D140*'Fruits, berries, cocoa, coffee'!AK247+$D141*'Fruits, berries, cocoa, coffee'!AK251+$D142*'Fruits, berries, cocoa, coffee'!AK255</f>
        <v>0.26727979889441222</v>
      </c>
      <c r="BC139" s="106"/>
      <c r="BD139" s="212">
        <f>$D140*'Fruits, berries, cocoa, coffee'!AM247+$D141*'Fruits, berries, cocoa, coffee'!AM251+$D142*'Fruits, berries, cocoa, coffee'!AM255</f>
        <v>3.2776464521133163E-2</v>
      </c>
      <c r="BE139" s="212">
        <f>$D140*'Fruits, berries, cocoa, coffee'!AN247+$D141*'Fruits, berries, cocoa, coffee'!AN251+$D142*'Fruits, berries, cocoa, coffee'!AN255</f>
        <v>3.2776464521133163E-2</v>
      </c>
      <c r="BF139" s="212">
        <f>$D140*'Fruits, berries, cocoa, coffee'!AO247+$D141*'Fruits, berries, cocoa, coffee'!AO251+$D142*'Fruits, berries, cocoa, coffee'!AO255</f>
        <v>3.9019600620396624E-2</v>
      </c>
      <c r="BG139" s="212">
        <f>$D140*'Fruits, berries, cocoa, coffee'!AP247+$D141*'Fruits, berries, cocoa, coffee'!AP251+$D142*'Fruits, berries, cocoa, coffee'!AP255</f>
        <v>3.9019600620396624E-2</v>
      </c>
      <c r="BH139" s="212">
        <f>$D140*'Fruits, berries, cocoa, coffee'!AQ247+$D141*'Fruits, berries, cocoa, coffee'!AQ251+$D142*'Fruits, berries, cocoa, coffee'!AQ255</f>
        <v>5.6621756688904692E-2</v>
      </c>
      <c r="BI139" s="212">
        <f>$D140*'Fruits, berries, cocoa, coffee'!AR247+$D141*'Fruits, berries, cocoa, coffee'!AR251+$D142*'Fruits, berries, cocoa, coffee'!AR255</f>
        <v>6.9903403319635432E-2</v>
      </c>
      <c r="BJ139" s="266"/>
      <c r="BK139" s="212">
        <f>$D140*'Fruits, berries, cocoa, coffee'!AT247+$D141*'Fruits, berries, cocoa, coffee'!AT251+$D142*'Fruits, berries, cocoa, coffee'!AT255</f>
        <v>0.12618883867377018</v>
      </c>
      <c r="BL139" s="212">
        <f>$D140*'Fruits, berries, cocoa, coffee'!AU247+$D141*'Fruits, berries, cocoa, coffee'!AU251+$D142*'Fruits, berries, cocoa, coffee'!AU255</f>
        <v>0.12618883867377018</v>
      </c>
      <c r="BM139" s="212">
        <f>$D140*'Fruits, berries, cocoa, coffee'!AV247+$D141*'Fruits, berries, cocoa, coffee'!AV251+$D142*'Fruits, berries, cocoa, coffee'!AV255</f>
        <v>0.15022480794496451</v>
      </c>
      <c r="BN139" s="212">
        <f>$D140*'Fruits, berries, cocoa, coffee'!AW247+$D141*'Fruits, berries, cocoa, coffee'!AW251+$D142*'Fruits, berries, cocoa, coffee'!AW255</f>
        <v>0.15022480794496451</v>
      </c>
      <c r="BO139" s="212">
        <f>$D140*'Fruits, berries, cocoa, coffee'!AX247+$D141*'Fruits, berries, cocoa, coffee'!AX251+$D142*'Fruits, berries, cocoa, coffee'!AX255</f>
        <v>0.21849910020766397</v>
      </c>
      <c r="BP139" s="212">
        <f>$D140*'Fruits, berries, cocoa, coffee'!AY247+$D141*'Fruits, berries, cocoa, coffee'!AY251+$D142*'Fruits, berries, cocoa, coffee'!AY255</f>
        <v>0.26975197556501729</v>
      </c>
      <c r="BQ139" s="266"/>
      <c r="BR139" s="212">
        <f>$D140*'Fruits, berries, cocoa, coffee'!BA247+$D141*'Fruits, berries, cocoa, coffee'!BA251+$D142*'Fruits, berries, cocoa, coffee'!BA255</f>
        <v>5.0063478634372044E-9</v>
      </c>
      <c r="BS139" s="212">
        <f>$D140*'Fruits, berries, cocoa, coffee'!BB247+$D141*'Fruits, berries, cocoa, coffee'!BB251+$D142*'Fruits, berries, cocoa, coffee'!BB255</f>
        <v>5.0063478634372044E-9</v>
      </c>
      <c r="BT139" s="212">
        <f>$D140*'Fruits, berries, cocoa, coffee'!BC247+$D141*'Fruits, berries, cocoa, coffee'!BC251+$D142*'Fruits, berries, cocoa, coffee'!BC255</f>
        <v>5.9599379326633384E-9</v>
      </c>
      <c r="BU139" s="212">
        <f>$D140*'Fruits, berries, cocoa, coffee'!BD247+$D141*'Fruits, berries, cocoa, coffee'!BD251+$D142*'Fruits, berries, cocoa, coffee'!BD255</f>
        <v>5.9599379326633384E-9</v>
      </c>
      <c r="BV139" s="212">
        <f>$D140*'Fruits, berries, cocoa, coffee'!BE247+$D141*'Fruits, berries, cocoa, coffee'!BE251+$D142*'Fruits, berries, cocoa, coffee'!BE255</f>
        <v>8.6452547311301772E-9</v>
      </c>
      <c r="BW139" s="212">
        <f>$D140*'Fruits, berries, cocoa, coffee'!BF247+$D141*'Fruits, berries, cocoa, coffee'!BF251+$D142*'Fruits, berries, cocoa, coffee'!BF255</f>
        <v>1.0673153989049601E-8</v>
      </c>
      <c r="BY139" s="189">
        <f>T139/E139</f>
        <v>0</v>
      </c>
      <c r="BZ139" s="189">
        <f>$BY139*Z139</f>
        <v>0</v>
      </c>
      <c r="CA139" s="189">
        <f>$BY139*AA139</f>
        <v>0</v>
      </c>
      <c r="CB139" s="189">
        <f>$BY139*AB139</f>
        <v>0</v>
      </c>
      <c r="CC139" s="189">
        <f>$BY139*AC139</f>
        <v>0</v>
      </c>
      <c r="CD139" s="189">
        <f>$BY139*AD139</f>
        <v>0</v>
      </c>
      <c r="CF139" s="189">
        <f>(F139/E139*'Common input data'!$B$195+G139/E139*'Common input data'!$B$196)/'Common input data'!$B$198</f>
        <v>2.9326679338994802E-3</v>
      </c>
      <c r="CG139" s="189">
        <f>$CF139*Z139</f>
        <v>2.9326679338994802E-3</v>
      </c>
      <c r="CH139" s="189">
        <f>$CF139*AA139</f>
        <v>3.4912713498803328E-3</v>
      </c>
      <c r="CI139" s="189">
        <f>$CF139*AB139</f>
        <v>3.4912713498803328E-3</v>
      </c>
      <c r="CJ139" s="189">
        <f>$CF139*AC139</f>
        <v>5.0521662067308463E-3</v>
      </c>
      <c r="CK139" s="189">
        <f>$CF139*AD139</f>
        <v>6.2372422305319091E-3</v>
      </c>
    </row>
    <row r="140" spans="1:89" ht="45">
      <c r="A140" s="18"/>
      <c r="B140" s="54" t="s">
        <v>142</v>
      </c>
      <c r="C140" s="435" t="s">
        <v>121</v>
      </c>
      <c r="D140" s="435">
        <v>0.3346199434702003</v>
      </c>
      <c r="E140" s="797">
        <v>1408.2142859999999</v>
      </c>
      <c r="F140" s="797">
        <v>80</v>
      </c>
      <c r="G140" s="797">
        <v>0</v>
      </c>
      <c r="H140" s="16">
        <f>757/1000*E140*2.2*0.01</f>
        <v>23.452400719044</v>
      </c>
      <c r="P140" s="96">
        <v>140</v>
      </c>
      <c r="Q140" s="96">
        <v>0</v>
      </c>
      <c r="R140" s="96">
        <v>50</v>
      </c>
      <c r="S140" s="54">
        <v>0.1814526380840128</v>
      </c>
      <c r="T140" s="54">
        <v>5.9409999999999998</v>
      </c>
      <c r="U140" s="189">
        <v>1.0040933916203999E-11</v>
      </c>
      <c r="V140" s="189">
        <v>1.5382109589240001E-11</v>
      </c>
      <c r="W140" s="189">
        <v>2.1977455618085499E-11</v>
      </c>
      <c r="X140" s="189">
        <v>1.14038353262019E-12</v>
      </c>
      <c r="Y140" s="189">
        <v>1.19148547693904E-10</v>
      </c>
      <c r="Z140" s="54">
        <v>1</v>
      </c>
      <c r="AA140" s="54">
        <f>Z140*'Input data plant-based products'!$P$271</f>
        <v>1.1904761904761905</v>
      </c>
      <c r="AB140" s="54">
        <f>AA140</f>
        <v>1.1904761904761905</v>
      </c>
      <c r="AC140" s="435">
        <f>AB140/(1-'Common input data'!$F$140)</f>
        <v>1.8371546149323923</v>
      </c>
      <c r="AD140" s="435">
        <f>AC140/(1-'Common input data'!$B$178)</f>
        <v>2.2680921172004842</v>
      </c>
      <c r="AE140" t="s">
        <v>1801</v>
      </c>
      <c r="AF140" s="63" t="s">
        <v>1802</v>
      </c>
      <c r="AG140" t="s">
        <v>1803</v>
      </c>
      <c r="AH140" s="190" t="s">
        <v>1880</v>
      </c>
      <c r="AI140" s="64" t="s">
        <v>1881</v>
      </c>
      <c r="AJ140"/>
      <c r="AK140" s="1118" t="s">
        <v>1798</v>
      </c>
      <c r="AL140" s="64" t="s">
        <v>1881</v>
      </c>
      <c r="AM140" t="s">
        <v>1800</v>
      </c>
      <c r="AO140"/>
    </row>
    <row r="141" spans="1:89" ht="45">
      <c r="A141" s="140"/>
      <c r="B141" s="54" t="s">
        <v>143</v>
      </c>
      <c r="C141" s="435" t="s">
        <v>121</v>
      </c>
      <c r="D141" s="435">
        <v>0.10329858472884944</v>
      </c>
      <c r="E141" s="797">
        <v>743.62857140000006</v>
      </c>
      <c r="F141" s="797">
        <v>121.86495792674633</v>
      </c>
      <c r="G141" s="797">
        <v>0</v>
      </c>
      <c r="H141" s="16">
        <f>757/1000*E141*2.2*0.01</f>
        <v>12.384390228095601</v>
      </c>
      <c r="P141" s="96">
        <v>140</v>
      </c>
      <c r="Q141" s="96">
        <v>0</v>
      </c>
      <c r="R141" s="96">
        <v>23.352762930531323</v>
      </c>
      <c r="S141" s="54">
        <v>0</v>
      </c>
      <c r="T141" s="54">
        <v>3.2223904760666642</v>
      </c>
      <c r="U141" s="189">
        <v>2.1336391939656501E-11</v>
      </c>
      <c r="V141" s="189">
        <v>4.6869580406382098E-11</v>
      </c>
      <c r="W141" s="189">
        <v>9.5329088818223305E-11</v>
      </c>
      <c r="X141" s="189">
        <v>3.4101380252642098E-12</v>
      </c>
      <c r="Y141" s="189">
        <v>2.1673701705016299E-10</v>
      </c>
      <c r="Z141" s="54">
        <v>1</v>
      </c>
      <c r="AA141" s="54">
        <f>Z141*'Input data plant-based products'!$P$271</f>
        <v>1.1904761904761905</v>
      </c>
      <c r="AB141" s="54">
        <f>AA141</f>
        <v>1.1904761904761905</v>
      </c>
      <c r="AC141" s="435">
        <f>AB141/(1-'Common input data'!$F$140)</f>
        <v>1.8371546149323923</v>
      </c>
      <c r="AD141" s="435">
        <f>AC141/(1-'Common input data'!$B$178)</f>
        <v>2.2680921172004842</v>
      </c>
      <c r="AE141" t="s">
        <v>1801</v>
      </c>
      <c r="AF141" s="63" t="s">
        <v>1802</v>
      </c>
      <c r="AG141" t="s">
        <v>1882</v>
      </c>
      <c r="AH141" s="190" t="s">
        <v>1880</v>
      </c>
      <c r="AI141" s="64" t="s">
        <v>1881</v>
      </c>
      <c r="AJ141"/>
      <c r="AK141" s="1118" t="s">
        <v>1798</v>
      </c>
      <c r="AL141" t="s">
        <v>1882</v>
      </c>
      <c r="AM141" t="s">
        <v>1800</v>
      </c>
      <c r="AO141"/>
    </row>
    <row r="142" spans="1:89" ht="45">
      <c r="A142" s="140"/>
      <c r="B142" s="54" t="s">
        <v>134</v>
      </c>
      <c r="C142" s="435" t="s">
        <v>121</v>
      </c>
      <c r="D142" s="435">
        <v>0.56208147180095025</v>
      </c>
      <c r="E142" s="797">
        <v>855.94285709999997</v>
      </c>
      <c r="F142" s="797">
        <v>140.27088829011947</v>
      </c>
      <c r="G142" s="797">
        <v>0</v>
      </c>
      <c r="H142" s="16">
        <f>757/1000*E142*2.2*0.01</f>
        <v>14.254872342143399</v>
      </c>
      <c r="P142" s="96">
        <v>140</v>
      </c>
      <c r="Q142" s="96">
        <v>0</v>
      </c>
      <c r="R142" s="96">
        <v>26.879858295796982</v>
      </c>
      <c r="S142" s="54">
        <v>0.11647985293983218</v>
      </c>
      <c r="T142" s="54">
        <v>3.6356666666666664</v>
      </c>
      <c r="U142" s="189">
        <v>1.0040933916203999E-11</v>
      </c>
      <c r="V142" s="189">
        <v>1.5382109589240001E-11</v>
      </c>
      <c r="W142" s="189">
        <v>2.1977455618085499E-11</v>
      </c>
      <c r="X142" s="189">
        <v>1.14038353262019E-12</v>
      </c>
      <c r="Y142" s="189">
        <v>1.19148547693904E-10</v>
      </c>
      <c r="Z142" s="54">
        <v>1</v>
      </c>
      <c r="AA142" s="54">
        <f>Z142*'Input data plant-based products'!$P$271</f>
        <v>1.1904761904761905</v>
      </c>
      <c r="AB142" s="54">
        <f>AA142</f>
        <v>1.1904761904761905</v>
      </c>
      <c r="AC142" s="435">
        <f>AB142/(1-'Common input data'!$I$140)</f>
        <v>1.6335641232726692</v>
      </c>
      <c r="AD142" s="435">
        <f>AC142/(1-'Common input data'!$B$178)</f>
        <v>2.0167458312008262</v>
      </c>
      <c r="AE142" t="s">
        <v>1801</v>
      </c>
      <c r="AF142" s="63" t="s">
        <v>1802</v>
      </c>
      <c r="AG142" t="s">
        <v>1882</v>
      </c>
      <c r="AH142" s="190" t="s">
        <v>1880</v>
      </c>
      <c r="AI142" s="64" t="s">
        <v>1881</v>
      </c>
      <c r="AJ142"/>
      <c r="AK142" s="1118" t="s">
        <v>1798</v>
      </c>
      <c r="AL142" t="s">
        <v>1882</v>
      </c>
      <c r="AM142" t="s">
        <v>1800</v>
      </c>
      <c r="AO142"/>
    </row>
    <row r="143" spans="1:89">
      <c r="A143" s="139" t="s">
        <v>179</v>
      </c>
      <c r="B143" s="79" t="s">
        <v>120</v>
      </c>
      <c r="C143" s="170" t="s">
        <v>121</v>
      </c>
      <c r="D143" s="170">
        <v>1</v>
      </c>
      <c r="E143" s="798">
        <f>$D144*E144+$D145*E145+$D146*E146+$D147*E147</f>
        <v>2831.2175073865424</v>
      </c>
      <c r="F143" s="798">
        <f>$D144*F144+$D145*F145+$D146*F146+$D147*F147</f>
        <v>33.974610088638514</v>
      </c>
      <c r="G143" s="797">
        <f>$D144*G144+$D145*G145+$D146*G146+$D147*G147</f>
        <v>0</v>
      </c>
      <c r="H143" s="798">
        <f>$D144*H144+$D145*H145+$D146*H146+$D147*H147</f>
        <v>0</v>
      </c>
      <c r="P143" s="798">
        <f>$D144*P144+$D145*P145+$D146*P146+$D147*P147</f>
        <v>140</v>
      </c>
      <c r="Q143" s="798">
        <f>$D144*Q144+$D145*Q145+$D146*Q146+$D147*Q147</f>
        <v>0</v>
      </c>
      <c r="R143" s="798">
        <f>$D144*R144+$D145*R145+$D146*R146+$D147*R147</f>
        <v>33.974610088638514</v>
      </c>
      <c r="S143" s="170">
        <f>$D144*S144+$D145*S145+$D146*S146+$D147*S147</f>
        <v>0.40108490267935215</v>
      </c>
      <c r="U143" s="212">
        <v>4.8167176423319715E-12</v>
      </c>
      <c r="V143" s="212">
        <v>2.0463193417461282E-12</v>
      </c>
      <c r="W143" s="212">
        <v>5.8063140562865166E-12</v>
      </c>
      <c r="X143" s="212">
        <v>6.698704167245917E-12</v>
      </c>
      <c r="Y143" s="212">
        <v>6.1645818928482632E-10</v>
      </c>
      <c r="Z143" s="170">
        <f>$D144*Z144+$D145*Z145+$D146*Z146+$D147*Z147</f>
        <v>1</v>
      </c>
      <c r="AA143" s="170">
        <f>$D144*AA144+$D145*AA145+$D146*AA146+$D147*AA147</f>
        <v>1</v>
      </c>
      <c r="AB143" s="170">
        <f>$D144*AB144+$D145*AB145+$D146*AB146+$D147*AB147</f>
        <v>1</v>
      </c>
      <c r="AC143" s="170">
        <f>$D144*AC144+$D145*AC145+$D146*AC146+$D147*AC147</f>
        <v>1.1934598400763814</v>
      </c>
      <c r="AD143" s="170">
        <f>AC143/(1-'Common input data'!$B$177)</f>
        <v>1.2431873334128973</v>
      </c>
      <c r="AF143" s="63"/>
      <c r="AG143"/>
      <c r="AH143" s="190"/>
      <c r="AI143" s="64"/>
      <c r="AJ143"/>
      <c r="AK143" s="1118"/>
      <c r="AL143"/>
      <c r="AO143"/>
      <c r="AP143" s="170">
        <f>$D144*'Grains, oil crops, sugar'!Y142+$D145*'Grains, oil crops, sugar'!Y138+$D146*'Grains, oil crops, sugar'!Y146+$D147*AP147</f>
        <v>3.8073759682868169</v>
      </c>
      <c r="AQ143" s="170">
        <f>$D144*'Grains, oil crops, sugar'!Z142+$D145*'Grains, oil crops, sugar'!Z138+$D146*'Grains, oil crops, sugar'!Z146+$D147*AQ147</f>
        <v>3.8073759682868169</v>
      </c>
      <c r="AR143" s="170">
        <f>$D144*'Grains, oil crops, sugar'!AA142+$D145*'Grains, oil crops, sugar'!AA138+$D146*'Grains, oil crops, sugar'!AA146+$D147*AR147</f>
        <v>3.8073759682868169</v>
      </c>
      <c r="AS143" s="170">
        <f>$D144*'Grains, oil crops, sugar'!AB142+$D145*'Grains, oil crops, sugar'!AB138+$D146*'Grains, oil crops, sugar'!AB146+$D147*AS147</f>
        <v>3.8073759682868169</v>
      </c>
      <c r="AT143" s="170">
        <f>$D144*'Grains, oil crops, sugar'!AC142+$D145*'Grains, oil crops, sugar'!AC138+$D146*'Grains, oil crops, sugar'!AC146+$D147*AT147</f>
        <v>4.5439503142222417</v>
      </c>
      <c r="AU143" s="170">
        <f>$D144*'Grains, oil crops, sugar'!AD142+$D145*'Grains, oil crops, sugar'!AD138+$D146*'Grains, oil crops, sugar'!AD146+$D147*AU147</f>
        <v>4.7332815773148358</v>
      </c>
      <c r="AV143" s="106"/>
      <c r="AW143" s="212">
        <f>$D144*'Grains, oil crops, sugar'!AF142+$D145*'Grains, oil crops, sugar'!AF138+$D146*'Grains, oil crops, sugar'!AF146+$D147*AW147</f>
        <v>1.2E-2</v>
      </c>
      <c r="AX143" s="212">
        <f>$D144*'Grains, oil crops, sugar'!AG142+$D145*'Grains, oil crops, sugar'!AG138+$D146*'Grains, oil crops, sugar'!AG146+$D147*AX147</f>
        <v>1.2E-2</v>
      </c>
      <c r="AY143" s="212">
        <f>$D144*'Grains, oil crops, sugar'!AH142+$D145*'Grains, oil crops, sugar'!AH138+$D146*'Grains, oil crops, sugar'!AH146+$D147*AY147</f>
        <v>1.2E-2</v>
      </c>
      <c r="AZ143" s="212">
        <f>$D144*'Grains, oil crops, sugar'!AI142+$D145*'Grains, oil crops, sugar'!AI138+$D146*'Grains, oil crops, sugar'!AI146+$D147*AZ147</f>
        <v>1.2E-2</v>
      </c>
      <c r="BA143" s="212">
        <f>$D144*'Grains, oil crops, sugar'!AJ142+$D145*'Grains, oil crops, sugar'!AJ138+$D146*'Grains, oil crops, sugar'!AJ146+$D147*BA147</f>
        <v>1.4321518080916577E-2</v>
      </c>
      <c r="BB143" s="212">
        <f>$D144*'Grains, oil crops, sugar'!AK142+$D145*'Grains, oil crops, sugar'!AK138+$D146*'Grains, oil crops, sugar'!AK146+$D147*BB147</f>
        <v>1.491824800095477E-2</v>
      </c>
      <c r="BC143" s="106"/>
      <c r="BD143" s="212" t="e">
        <f>$D144*'Grains, oil crops, sugar'!AM142+$D145*'Grains, oil crops, sugar'!#REF!+$D146*'Grains, oil crops, sugar'!AM138+$D147*'Grains, oil crops, sugar'!AM146</f>
        <v>#REF!</v>
      </c>
      <c r="BE143" s="212" t="e">
        <f>$D144*'Grains, oil crops, sugar'!AN142+$D145*'Grains, oil crops, sugar'!#REF!+$D146*'Grains, oil crops, sugar'!AN138+$D147*'Grains, oil crops, sugar'!AN146</f>
        <v>#REF!</v>
      </c>
      <c r="BF143" s="212" t="e">
        <f>$D144*'Grains, oil crops, sugar'!AO142+$D145*'Grains, oil crops, sugar'!#REF!+$D146*'Grains, oil crops, sugar'!AO138+$D147*'Grains, oil crops, sugar'!AO146</f>
        <v>#REF!</v>
      </c>
      <c r="BG143" s="212" t="e">
        <f>$D144*'Grains, oil crops, sugar'!AP142+$D145*'Grains, oil crops, sugar'!#REF!+$D146*'Grains, oil crops, sugar'!AP138+$D147*'Grains, oil crops, sugar'!AP146</f>
        <v>#REF!</v>
      </c>
      <c r="BH143" s="212" t="e">
        <f>$D144*'Grains, oil crops, sugar'!AQ142+$D145*'Grains, oil crops, sugar'!#REF!+$D146*'Grains, oil crops, sugar'!AQ138+$D147*'Grains, oil crops, sugar'!AQ146</f>
        <v>#REF!</v>
      </c>
      <c r="BI143" s="212" t="e">
        <f>$D144*'Grains, oil crops, sugar'!AR142+$D145*'Grains, oil crops, sugar'!#REF!+$D146*'Grains, oil crops, sugar'!AR138+$D147*'Grains, oil crops, sugar'!AR146</f>
        <v>#REF!</v>
      </c>
      <c r="BJ143" s="266"/>
      <c r="BK143" s="212" t="e">
        <f>$D144*'Grains, oil crops, sugar'!AT142+$D145*'Grains, oil crops, sugar'!#REF!+$D146*'Grains, oil crops, sugar'!AT138+$D147*'Grains, oil crops, sugar'!AT146</f>
        <v>#REF!</v>
      </c>
      <c r="BL143" s="212" t="e">
        <f>$D144*'Grains, oil crops, sugar'!AU142+$D145*'Grains, oil crops, sugar'!#REF!+$D146*'Grains, oil crops, sugar'!AU138+$D147*'Grains, oil crops, sugar'!AU146</f>
        <v>#REF!</v>
      </c>
      <c r="BM143" s="212" t="e">
        <f>$D144*'Grains, oil crops, sugar'!AV142+$D145*'Grains, oil crops, sugar'!#REF!+$D146*'Grains, oil crops, sugar'!AV138+$D147*'Grains, oil crops, sugar'!AV146</f>
        <v>#REF!</v>
      </c>
      <c r="BN143" s="212" t="e">
        <f>$D144*'Grains, oil crops, sugar'!AW142+$D145*'Grains, oil crops, sugar'!#REF!+$D146*'Grains, oil crops, sugar'!AW138+$D147*'Grains, oil crops, sugar'!AW146</f>
        <v>#REF!</v>
      </c>
      <c r="BO143" s="212" t="e">
        <f>$D144*'Grains, oil crops, sugar'!AX142+$D145*'Grains, oil crops, sugar'!#REF!+$D146*'Grains, oil crops, sugar'!AX138+$D147*'Grains, oil crops, sugar'!AX146</f>
        <v>#REF!</v>
      </c>
      <c r="BP143" s="212" t="e">
        <f>$D144*'Grains, oil crops, sugar'!AY142+$D145*'Grains, oil crops, sugar'!#REF!+$D146*'Grains, oil crops, sugar'!AY138+$D147*'Grains, oil crops, sugar'!AY146</f>
        <v>#REF!</v>
      </c>
      <c r="BQ143" s="266"/>
      <c r="BR143" s="212" t="e">
        <f>$D144*'Grains, oil crops, sugar'!BA142+$D145*'Grains, oil crops, sugar'!#REF!+$D146*'Grains, oil crops, sugar'!BA138+$D147*'Grains, oil crops, sugar'!BA146</f>
        <v>#REF!</v>
      </c>
      <c r="BS143" s="212" t="e">
        <f>$D144*'Grains, oil crops, sugar'!BB142+$D145*'Grains, oil crops, sugar'!#REF!+$D146*'Grains, oil crops, sugar'!BB138+$D147*'Grains, oil crops, sugar'!BB146</f>
        <v>#REF!</v>
      </c>
      <c r="BT143" s="212" t="e">
        <f>$D144*'Grains, oil crops, sugar'!BC142+$D145*'Grains, oil crops, sugar'!#REF!+$D146*'Grains, oil crops, sugar'!BC138+$D147*'Grains, oil crops, sugar'!BC146</f>
        <v>#REF!</v>
      </c>
      <c r="BU143" s="212" t="e">
        <f>$D144*'Grains, oil crops, sugar'!BD142+$D145*'Grains, oil crops, sugar'!#REF!+$D146*'Grains, oil crops, sugar'!BD138+$D147*'Grains, oil crops, sugar'!BD146</f>
        <v>#REF!</v>
      </c>
      <c r="BV143" s="212" t="e">
        <f>$D144*'Grains, oil crops, sugar'!BE142+$D145*'Grains, oil crops, sugar'!#REF!+$D146*'Grains, oil crops, sugar'!BE138+$D147*'Grains, oil crops, sugar'!BE146</f>
        <v>#REF!</v>
      </c>
      <c r="BW143" s="212" t="e">
        <f>$D144*'Grains, oil crops, sugar'!BF142+$D145*'Grains, oil crops, sugar'!#REF!+$D146*'Grains, oil crops, sugar'!BF138+$D147*'Grains, oil crops, sugar'!BF146</f>
        <v>#REF!</v>
      </c>
      <c r="BY143" s="189">
        <f>T143/E143</f>
        <v>0</v>
      </c>
      <c r="BZ143" s="189">
        <f>$BY143*Z143</f>
        <v>0</v>
      </c>
      <c r="CA143" s="189">
        <f>$BY143*AA143</f>
        <v>0</v>
      </c>
      <c r="CB143" s="189">
        <f>$BY143*AB143</f>
        <v>0</v>
      </c>
      <c r="CC143" s="189">
        <f>$BY143*AC143</f>
        <v>0</v>
      </c>
      <c r="CD143" s="189">
        <f>$BY143*AD143</f>
        <v>0</v>
      </c>
      <c r="CF143" s="189">
        <f>(F143/E143*'Common input data'!$B$195+G143/E143*'Common input data'!$B$196)/'Common input data'!$B$198</f>
        <v>3.0640479760119942E-4</v>
      </c>
      <c r="CG143" s="189">
        <f>$CF143*Z143</f>
        <v>3.0640479760119942E-4</v>
      </c>
      <c r="CH143" s="189">
        <f>$CF143*AA143</f>
        <v>3.0640479760119942E-4</v>
      </c>
      <c r="CI143" s="189">
        <f>$CF143*AB143</f>
        <v>3.0640479760119942E-4</v>
      </c>
      <c r="CJ143" s="189">
        <f>$CF143*AC143</f>
        <v>3.6568182074376345E-4</v>
      </c>
      <c r="CK143" s="189">
        <f>$CF143*AD143</f>
        <v>3.8091856327475361E-4</v>
      </c>
    </row>
    <row r="144" spans="1:89" ht="45">
      <c r="A144" s="68"/>
      <c r="B144" s="106" t="s">
        <v>130</v>
      </c>
      <c r="C144" s="435" t="s">
        <v>121</v>
      </c>
      <c r="D144" s="435">
        <v>0.53961549158670563</v>
      </c>
      <c r="E144" s="797">
        <v>2682.9</v>
      </c>
      <c r="F144" s="797">
        <v>32.194800000000001</v>
      </c>
      <c r="G144" s="797">
        <v>0</v>
      </c>
      <c r="H144" s="797">
        <v>0</v>
      </c>
      <c r="P144" s="96">
        <v>140</v>
      </c>
      <c r="Q144" s="797">
        <v>0</v>
      </c>
      <c r="R144" s="797">
        <v>32.194800000000001</v>
      </c>
      <c r="S144" s="54">
        <v>0.53700000000000003</v>
      </c>
      <c r="T144" s="54">
        <v>2.76</v>
      </c>
      <c r="U144" s="189">
        <v>3.7738174209626004E-12</v>
      </c>
      <c r="V144" s="189">
        <v>2.5819413353737599E-12</v>
      </c>
      <c r="W144" s="189">
        <v>3.8726446962259297E-12</v>
      </c>
      <c r="X144" s="189">
        <v>7.3859179387853007E-12</v>
      </c>
      <c r="Y144" s="189">
        <v>6.7025422877374503E-10</v>
      </c>
      <c r="Z144" s="54">
        <v>1</v>
      </c>
      <c r="AA144" s="54">
        <f t="shared" ref="AA144:AB147" si="21">Z144</f>
        <v>1</v>
      </c>
      <c r="AB144" s="54">
        <f t="shared" si="21"/>
        <v>1</v>
      </c>
      <c r="AC144" s="435">
        <f>AB144/(1-'Common input data'!$B$140)</f>
        <v>1.1934598400763814</v>
      </c>
      <c r="AD144" s="435">
        <f>AC144/(1-'Common input data'!$B$177)</f>
        <v>1.2431873334128973</v>
      </c>
      <c r="AE144" t="s">
        <v>1801</v>
      </c>
      <c r="AF144" s="63" t="s">
        <v>1802</v>
      </c>
      <c r="AG144" s="800" t="s">
        <v>1883</v>
      </c>
      <c r="AH144" s="190"/>
      <c r="AI144" s="1121" t="s">
        <v>1862</v>
      </c>
      <c r="AJ144"/>
      <c r="AK144" s="1118" t="s">
        <v>1798</v>
      </c>
      <c r="AL144" t="s">
        <v>1807</v>
      </c>
      <c r="AM144" t="s">
        <v>1800</v>
      </c>
      <c r="AO144"/>
      <c r="BC144"/>
    </row>
    <row r="145" spans="1:102" s="37" customFormat="1" ht="45">
      <c r="A145" s="994"/>
      <c r="B145" s="995" t="s">
        <v>123</v>
      </c>
      <c r="C145" s="822" t="s">
        <v>121</v>
      </c>
      <c r="D145" s="822">
        <v>0</v>
      </c>
      <c r="E145" s="799">
        <v>2314</v>
      </c>
      <c r="F145" s="799">
        <v>40.360465116279116</v>
      </c>
      <c r="G145" s="799">
        <v>11.801464468673897</v>
      </c>
      <c r="H145" s="799">
        <v>0</v>
      </c>
      <c r="P145" s="202">
        <v>140</v>
      </c>
      <c r="Q145" s="799">
        <v>0</v>
      </c>
      <c r="R145" s="799">
        <v>13.453488372093018</v>
      </c>
      <c r="S145" s="50">
        <v>0.12641620654950708</v>
      </c>
      <c r="T145" s="50">
        <v>14.639999999999997</v>
      </c>
      <c r="U145" s="295">
        <v>6.2166574853918297E-12</v>
      </c>
      <c r="V145" s="295">
        <v>1.5894570519760001E-12</v>
      </c>
      <c r="W145" s="295">
        <v>1.33278983729738E-11</v>
      </c>
      <c r="X145" s="295">
        <v>3.2344913345964E-12</v>
      </c>
      <c r="Y145" s="295">
        <v>3.8971536324818501E-10</v>
      </c>
      <c r="Z145" s="50">
        <v>1</v>
      </c>
      <c r="AA145" s="50">
        <f t="shared" si="21"/>
        <v>1</v>
      </c>
      <c r="AB145" s="50">
        <f t="shared" si="21"/>
        <v>1</v>
      </c>
      <c r="AC145" s="822">
        <f>AB145/(1-'Common input data'!$B$140)</f>
        <v>1.1934598400763814</v>
      </c>
      <c r="AD145" s="822">
        <f>AC145/(1-'Common input data'!$B$177)</f>
        <v>1.2431873334128973</v>
      </c>
      <c r="AE145" s="37" t="s">
        <v>1884</v>
      </c>
      <c r="AF145" s="191" t="s">
        <v>1802</v>
      </c>
      <c r="AG145" s="1130" t="s">
        <v>1885</v>
      </c>
      <c r="AH145" s="1131"/>
      <c r="AI145" s="1132" t="s">
        <v>1862</v>
      </c>
      <c r="AK145" s="1133" t="s">
        <v>1798</v>
      </c>
      <c r="AL145" s="37" t="s">
        <v>1807</v>
      </c>
      <c r="AM145" s="37" t="s">
        <v>1800</v>
      </c>
    </row>
    <row r="146" spans="1:102" ht="45">
      <c r="A146" s="140"/>
      <c r="B146" s="106" t="s">
        <v>178</v>
      </c>
      <c r="C146" s="435" t="s">
        <v>121</v>
      </c>
      <c r="D146" s="435">
        <v>0.31596787651230701</v>
      </c>
      <c r="E146" s="797">
        <v>3206.9714290000002</v>
      </c>
      <c r="F146" s="797">
        <v>38.483657148000006</v>
      </c>
      <c r="G146" s="797">
        <v>0</v>
      </c>
      <c r="H146" s="797">
        <v>0</v>
      </c>
      <c r="P146" s="96">
        <v>140</v>
      </c>
      <c r="Q146" s="797">
        <v>0</v>
      </c>
      <c r="R146" s="797">
        <v>38.483657148000006</v>
      </c>
      <c r="S146" s="54">
        <v>0.218</v>
      </c>
      <c r="T146" s="54">
        <v>8.16</v>
      </c>
      <c r="U146" s="189">
        <v>6.3151178323239103E-12</v>
      </c>
      <c r="V146" s="189">
        <v>1.2421010017948899E-12</v>
      </c>
      <c r="W146" s="189">
        <v>7.9332781450439401E-12</v>
      </c>
      <c r="X146" s="189">
        <v>6.0473853504285198E-12</v>
      </c>
      <c r="Y146" s="189">
        <v>5.5959653555187297E-10</v>
      </c>
      <c r="Z146" s="54">
        <v>1</v>
      </c>
      <c r="AA146" s="54">
        <f t="shared" si="21"/>
        <v>1</v>
      </c>
      <c r="AB146" s="54">
        <f t="shared" si="21"/>
        <v>1</v>
      </c>
      <c r="AC146" s="435">
        <f>AB146/(1-'Common input data'!$B$140)</f>
        <v>1.1934598400763814</v>
      </c>
      <c r="AD146" s="435">
        <f>AC146/(1-'Common input data'!$B$177)</f>
        <v>1.2431873334128973</v>
      </c>
      <c r="AE146" t="s">
        <v>1884</v>
      </c>
      <c r="AF146" s="63" t="s">
        <v>1802</v>
      </c>
      <c r="AG146" s="1126" t="s">
        <v>1886</v>
      </c>
      <c r="AH146" s="190"/>
      <c r="AI146" s="1121" t="s">
        <v>1862</v>
      </c>
      <c r="AJ146"/>
      <c r="AK146" s="1118" t="s">
        <v>1798</v>
      </c>
      <c r="AL146" t="s">
        <v>1807</v>
      </c>
      <c r="AM146" t="s">
        <v>1800</v>
      </c>
      <c r="AO146"/>
      <c r="BC146"/>
    </row>
    <row r="147" spans="1:102" ht="45">
      <c r="A147" s="140"/>
      <c r="B147" s="106" t="s">
        <v>125</v>
      </c>
      <c r="C147" s="435" t="s">
        <v>121</v>
      </c>
      <c r="D147" s="435">
        <v>0.14441663190098741</v>
      </c>
      <c r="E147" s="797">
        <v>2563.3000000000002</v>
      </c>
      <c r="F147" s="797">
        <v>30.759600000000002</v>
      </c>
      <c r="G147" s="797">
        <v>0</v>
      </c>
      <c r="H147" s="797">
        <v>0</v>
      </c>
      <c r="P147" s="96">
        <v>140</v>
      </c>
      <c r="Q147" s="797">
        <v>0</v>
      </c>
      <c r="R147" s="797">
        <v>30.759600000000002</v>
      </c>
      <c r="S147" s="54">
        <v>0.29380540218316903</v>
      </c>
      <c r="T147" s="54">
        <v>7.2799999999999994</v>
      </c>
      <c r="U147" s="189">
        <v>5.4351975795594465E-12</v>
      </c>
      <c r="V147" s="189">
        <v>1.80449979638155E-12</v>
      </c>
      <c r="W147" s="189">
        <v>8.3779404047478903E-12</v>
      </c>
      <c r="X147" s="189">
        <v>5.5559315412700742E-12</v>
      </c>
      <c r="Y147" s="189">
        <v>5.3985537585793437E-10</v>
      </c>
      <c r="Z147" s="54">
        <v>1</v>
      </c>
      <c r="AA147" s="54">
        <f t="shared" si="21"/>
        <v>1</v>
      </c>
      <c r="AB147" s="54">
        <f t="shared" si="21"/>
        <v>1</v>
      </c>
      <c r="AC147" s="435">
        <f>AB147/(1-'Common input data'!$B$140)</f>
        <v>1.1934598400763814</v>
      </c>
      <c r="AD147" s="435">
        <f>AC147/(1-'Common input data'!$B$177)</f>
        <v>1.2431873334128973</v>
      </c>
      <c r="AE147" t="s">
        <v>1884</v>
      </c>
      <c r="AF147" s="63" t="s">
        <v>1802</v>
      </c>
      <c r="AG147" s="1126" t="s">
        <v>1886</v>
      </c>
      <c r="AH147" s="190"/>
      <c r="AI147" s="1122" t="s">
        <v>1862</v>
      </c>
      <c r="AJ147"/>
      <c r="AK147" s="1118" t="s">
        <v>1798</v>
      </c>
      <c r="AL147" t="s">
        <v>1807</v>
      </c>
      <c r="AM147" t="s">
        <v>1800</v>
      </c>
      <c r="AO147"/>
      <c r="AP147" s="54">
        <f>1/E147*10^4</f>
        <v>3.9012210821987279</v>
      </c>
      <c r="AQ147" s="54">
        <f>$AP147*Z147</f>
        <v>3.9012210821987279</v>
      </c>
      <c r="AR147" s="54">
        <f>$AP147*AA147</f>
        <v>3.9012210821987279</v>
      </c>
      <c r="AS147" s="54">
        <f>$AP147*AB147</f>
        <v>3.9012210821987279</v>
      </c>
      <c r="AT147" s="54">
        <f>$AP147*AC147</f>
        <v>4.6559506888635012</v>
      </c>
      <c r="AU147" s="54">
        <f>$AP147*AD147</f>
        <v>4.8499486342328142</v>
      </c>
      <c r="AV147"/>
      <c r="AW147" s="189">
        <f>SUM(F147,Q147)/E147</f>
        <v>1.2E-2</v>
      </c>
      <c r="AX147" s="189">
        <f>$AW147*Z147</f>
        <v>1.2E-2</v>
      </c>
      <c r="AY147" s="189">
        <f>$AW147*AA147</f>
        <v>1.2E-2</v>
      </c>
      <c r="AZ147" s="189">
        <f>$AW147*AB147</f>
        <v>1.2E-2</v>
      </c>
      <c r="BA147" s="189">
        <f>$AW147*AC147</f>
        <v>1.4321518080916577E-2</v>
      </c>
      <c r="BB147" s="189">
        <f>$AW147*AD147</f>
        <v>1.4918248000954768E-2</v>
      </c>
      <c r="BC147"/>
    </row>
    <row r="148" spans="1:102">
      <c r="A148" s="139" t="s">
        <v>177</v>
      </c>
      <c r="B148" s="141" t="s">
        <v>120</v>
      </c>
      <c r="C148" s="170" t="s">
        <v>121</v>
      </c>
      <c r="D148" s="170">
        <v>1</v>
      </c>
      <c r="E148" s="798">
        <f>$D149*E149+$D150*E150+$D151*E151+$D152*E152</f>
        <v>2421.6745731141218</v>
      </c>
      <c r="F148" s="798">
        <f>$D149*F149+$D150*F150+$D151*F151+$D152*F152</f>
        <v>37.316479689270693</v>
      </c>
      <c r="G148" s="797">
        <f>$D149*G149+$D150*G150+$D151*G151+$D152*G152</f>
        <v>6.6066757011455044</v>
      </c>
      <c r="H148" s="798">
        <f>$D149*H149+$D150*H150+$D151*H151+$D152*H152</f>
        <v>0</v>
      </c>
      <c r="P148" s="798">
        <f>$D149*P149+$D150*P150+$D151*P151+$D152*P152</f>
        <v>140</v>
      </c>
      <c r="Q148" s="798">
        <f>$D149*Q149+$D150*Q150+$D151*Q151+$D152*Q152</f>
        <v>0</v>
      </c>
      <c r="R148" s="798">
        <f>$D149*R149+$D150*R150+$D151*R151+$D152*R152</f>
        <v>22.253461881695443</v>
      </c>
      <c r="S148" s="170">
        <f>$D149*S149+$D150*S150+$D151*S151+$D152*S152</f>
        <v>0.25912038037803747</v>
      </c>
      <c r="U148" s="212">
        <v>5.5064064654782518E-12</v>
      </c>
      <c r="V148" s="212">
        <v>1.8401375605074625E-12</v>
      </c>
      <c r="W148" s="212">
        <v>9.8669237445518883E-12</v>
      </c>
      <c r="X148" s="212">
        <v>4.8088332113537656E-12</v>
      </c>
      <c r="Y148" s="212">
        <v>4.936136142633393E-10</v>
      </c>
      <c r="Z148" s="170">
        <f>$D149*Z149+$D150*Z150+$D151*Z151+$D152*Z152</f>
        <v>0.99999999999999989</v>
      </c>
      <c r="AA148" s="170">
        <f>$D149*AA149+$D150*AA150+$D151*AA151+$D152*AA152</f>
        <v>5</v>
      </c>
      <c r="AB148" s="170">
        <f>$D149*AB149+$D150*AB150+$D151*AB151+$D152*AB152</f>
        <v>5</v>
      </c>
      <c r="AC148" s="170">
        <f>$D149*AC149+$D150*AC150+$D151*AC151+$D152*AC152</f>
        <v>5.9672992003819072</v>
      </c>
      <c r="AD148" s="170">
        <f>AC148/(1-'Common input data'!$B$177)</f>
        <v>6.2159366670644873</v>
      </c>
      <c r="AF148" s="1123"/>
      <c r="AG148"/>
      <c r="AH148" s="190"/>
      <c r="AI148" s="64"/>
      <c r="AJ148"/>
      <c r="AK148" s="1118"/>
      <c r="AL148"/>
      <c r="AO148"/>
      <c r="AP148" s="170">
        <f>$D149*'Grains, oil crops, sugar'!Y117+$D150*'Grains, oil crops, sugar'!Y121+$D151*'Grains, oil crops, sugar'!Y125+$D152*'Grains, oil crops, sugar'!Y129</f>
        <v>4.2095494605763859</v>
      </c>
      <c r="AQ148" s="170">
        <f>$D149*'Grains, oil crops, sugar'!Z117+$D150*'Grains, oil crops, sugar'!Z121+$D151*'Grains, oil crops, sugar'!Z125+$D152*'Grains, oil crops, sugar'!Z129</f>
        <v>4.2095494605763859</v>
      </c>
      <c r="AR148" s="170">
        <f>$D149*'Grains, oil crops, sugar'!AA117+$D150*'Grains, oil crops, sugar'!AA121+$D151*'Grains, oil crops, sugar'!AA125+$D152*'Grains, oil crops, sugar'!AA129</f>
        <v>21.047747302881927</v>
      </c>
      <c r="AS148" s="170">
        <f>$D149*'Grains, oil crops, sugar'!AB117+$D150*'Grains, oil crops, sugar'!AB121+$D151*'Grains, oil crops, sugar'!AB125+$D152*'Grains, oil crops, sugar'!AB129</f>
        <v>21.047747302881927</v>
      </c>
      <c r="AT148" s="170">
        <f>$D149*'Grains, oil crops, sugar'!AC117+$D150*'Grains, oil crops, sugar'!AC121+$D151*'Grains, oil crops, sugar'!AC125+$D152*'Grains, oil crops, sugar'!AC129</f>
        <v>25.119641130065553</v>
      </c>
      <c r="AU148" s="170">
        <f>$D149*'Grains, oil crops, sugar'!AD117+$D150*'Grains, oil crops, sugar'!AD121+$D151*'Grains, oil crops, sugar'!AD125+$D152*'Grains, oil crops, sugar'!AD129</f>
        <v>26.166292843818294</v>
      </c>
      <c r="AV148" s="106"/>
      <c r="AW148" s="212">
        <f>$D149*'Grains, oil crops, sugar'!AF117+$D150*'Grains, oil crops, sugar'!AF121+$D151*'Grains, oil crops, sugar'!AF125+$D152*'Grains, oil crops, sugar'!AF129</f>
        <v>1.5854548740180094E-2</v>
      </c>
      <c r="AX148" s="212">
        <f>$D149*'Grains, oil crops, sugar'!AG117+$D150*'Grains, oil crops, sugar'!AG121+$D151*'Grains, oil crops, sugar'!AG125+$D152*'Grains, oil crops, sugar'!AG129</f>
        <v>1.5854548740180094E-2</v>
      </c>
      <c r="AY148" s="212">
        <f>$D149*'Grains, oil crops, sugar'!AH117+$D150*'Grains, oil crops, sugar'!AH121+$D151*'Grains, oil crops, sugar'!AH125+$D152*'Grains, oil crops, sugar'!AH129</f>
        <v>7.9272743700900469E-2</v>
      </c>
      <c r="AZ148" s="212">
        <f>$D149*'Grains, oil crops, sugar'!AI117+$D150*'Grains, oil crops, sugar'!AI121+$D151*'Grains, oil crops, sugar'!AI125+$D152*'Grains, oil crops, sugar'!AI129</f>
        <v>7.9272743700900469E-2</v>
      </c>
      <c r="BA148" s="212">
        <f>$D149*'Grains, oil crops, sugar'!AJ117+$D150*'Grains, oil crops, sugar'!AJ121+$D151*'Grains, oil crops, sugar'!AJ125+$D152*'Grains, oil crops, sugar'!AJ129</f>
        <v>9.4608836019692666E-2</v>
      </c>
      <c r="BB148" s="212">
        <f>$D149*'Grains, oil crops, sugar'!AK117+$D150*'Grains, oil crops, sugar'!AK121+$D151*'Grains, oil crops, sugar'!AK125+$D152*'Grains, oil crops, sugar'!AK129</f>
        <v>9.855087085384652E-2</v>
      </c>
      <c r="BC148" s="106"/>
      <c r="BD148" s="212">
        <f>$D149*'Grains, oil crops, sugar'!AM117+$D150*'Grains, oil crops, sugar'!AM121+$D151*'Grains, oil crops, sugar'!AM125+$D152*'Grains, oil crops, sugar'!AM129</f>
        <v>8.8142420351989999E-3</v>
      </c>
      <c r="BE148" s="212">
        <f>$D149*'Grains, oil crops, sugar'!AN117+$D150*'Grains, oil crops, sugar'!AN121+$D151*'Grains, oil crops, sugar'!AN125+$D152*'Grains, oil crops, sugar'!AN129</f>
        <v>8.8142420351989999E-3</v>
      </c>
      <c r="BF148" s="212">
        <f>$D149*'Grains, oil crops, sugar'!AO117+$D150*'Grains, oil crops, sugar'!AO121+$D151*'Grains, oil crops, sugar'!AO125+$D152*'Grains, oil crops, sugar'!AO129</f>
        <v>4.4071210175994996E-2</v>
      </c>
      <c r="BG148" s="212">
        <f>$D149*'Grains, oil crops, sugar'!AP117+$D150*'Grains, oil crops, sugar'!AP121+$D151*'Grains, oil crops, sugar'!AP125+$D152*'Grains, oil crops, sugar'!AP129</f>
        <v>4.4071210175994996E-2</v>
      </c>
      <c r="BH148" s="212">
        <f>$D149*'Grains, oil crops, sugar'!AQ117+$D150*'Grains, oil crops, sugar'!AQ121+$D151*'Grains, oil crops, sugar'!AQ125+$D152*'Grains, oil crops, sugar'!AQ129</f>
        <v>5.259721944861559E-2</v>
      </c>
      <c r="BI148" s="212">
        <f>$D149*'Grains, oil crops, sugar'!AR117+$D150*'Grains, oil crops, sugar'!AR121+$D151*'Grains, oil crops, sugar'!AR125+$D152*'Grains, oil crops, sugar'!AR129</f>
        <v>5.4788770258974571E-2</v>
      </c>
      <c r="BJ148" s="266"/>
      <c r="BK148" s="212">
        <f>$D149*'Grains, oil crops, sugar'!AT117+$D150*'Grains, oil crops, sugar'!AT121+$D151*'Grains, oil crops, sugar'!AT125+$D152*'Grains, oil crops, sugar'!AT129</f>
        <v>0.25912038037803747</v>
      </c>
      <c r="BL148" s="212">
        <f>$D149*'Grains, oil crops, sugar'!AU117+$D150*'Grains, oil crops, sugar'!AU121+$D151*'Grains, oil crops, sugar'!AU125+$D152*'Grains, oil crops, sugar'!AU129</f>
        <v>0.25912038037803747</v>
      </c>
      <c r="BM148" s="212">
        <f>$D149*'Grains, oil crops, sugar'!AV117+$D150*'Grains, oil crops, sugar'!AV121+$D151*'Grains, oil crops, sugar'!AV125+$D152*'Grains, oil crops, sugar'!AV129</f>
        <v>1.2956019018901872</v>
      </c>
      <c r="BN148" s="212">
        <f>$D149*'Grains, oil crops, sugar'!AW117+$D150*'Grains, oil crops, sugar'!AW121+$D151*'Grains, oil crops, sugar'!AW125+$D152*'Grains, oil crops, sugar'!AW129</f>
        <v>1.2956019018901872</v>
      </c>
      <c r="BO148" s="212">
        <f>$D149*'Grains, oil crops, sugar'!AX117+$D150*'Grains, oil crops, sugar'!AX121+$D151*'Grains, oil crops, sugar'!AX125+$D152*'Grains, oil crops, sugar'!AX129</f>
        <v>1.5462488386325186</v>
      </c>
      <c r="BP148" s="212">
        <f>$D149*'Grains, oil crops, sugar'!AY117+$D150*'Grains, oil crops, sugar'!AY121+$D151*'Grains, oil crops, sugar'!AY125+$D152*'Grains, oil crops, sugar'!AY129</f>
        <v>1.6106758735755402</v>
      </c>
      <c r="BQ148" s="266"/>
      <c r="BR148" s="212">
        <f>$D149*'Grains, oil crops, sugar'!BA117+$D150*'Grains, oil crops, sugar'!BA121+$D151*'Grains, oil crops, sugar'!BA125+$D152*'Grains, oil crops, sugar'!BA129</f>
        <v>5.2052997187658575E-9</v>
      </c>
      <c r="BS148" s="212">
        <f>$D149*'Grains, oil crops, sugar'!BB117+$D150*'Grains, oil crops, sugar'!BB121+$D151*'Grains, oil crops, sugar'!BB125+$D152*'Grains, oil crops, sugar'!BB129</f>
        <v>5.2052997187658575E-9</v>
      </c>
      <c r="BT148" s="212">
        <f>$D149*'Grains, oil crops, sugar'!BC117+$D150*'Grains, oil crops, sugar'!BC121+$D151*'Grains, oil crops, sugar'!BC125+$D152*'Grains, oil crops, sugar'!BC129</f>
        <v>2.6026498593829287E-8</v>
      </c>
      <c r="BU148" s="212">
        <f>$D149*'Grains, oil crops, sugar'!BD117+$D150*'Grains, oil crops, sugar'!BD121+$D151*'Grains, oil crops, sugar'!BD125+$D152*'Grains, oil crops, sugar'!BD129</f>
        <v>2.6026498593829287E-8</v>
      </c>
      <c r="BV148" s="212">
        <f>$D149*'Grains, oil crops, sugar'!BE117+$D150*'Grains, oil crops, sugar'!BE121+$D151*'Grains, oil crops, sugar'!BE125+$D152*'Grains, oil crops, sugar'!BE129</f>
        <v>3.1061580849539664E-8</v>
      </c>
      <c r="BW148" s="212">
        <f>$D149*'Grains, oil crops, sugar'!BF117+$D150*'Grains, oil crops, sugar'!BF121+$D151*'Grains, oil crops, sugar'!BF125+$D152*'Grains, oil crops, sugar'!BF129</f>
        <v>3.2355813384937159E-8</v>
      </c>
      <c r="BY148" s="189">
        <f>T148/E148</f>
        <v>0</v>
      </c>
      <c r="BZ148" s="189">
        <f>$BY148*Z148</f>
        <v>0</v>
      </c>
      <c r="CA148" s="189">
        <f>$BY148*AA148</f>
        <v>0</v>
      </c>
      <c r="CB148" s="189">
        <f>$BY148*AB148</f>
        <v>0</v>
      </c>
      <c r="CC148" s="189">
        <f>$BY148*AC148</f>
        <v>0</v>
      </c>
      <c r="CD148" s="189">
        <f>$BY148*AD148</f>
        <v>0</v>
      </c>
      <c r="CF148" s="189">
        <f>(F148/E148*'Common input data'!$B$195+G148/E148*'Common input data'!$B$196)/'Common input data'!$B$198</f>
        <v>9.2220894338091645E-4</v>
      </c>
      <c r="CG148" s="189">
        <f>$CF148*Z148</f>
        <v>9.2220894338091634E-4</v>
      </c>
      <c r="CH148" s="189">
        <f>$CF148*AA148</f>
        <v>4.6110447169045825E-3</v>
      </c>
      <c r="CI148" s="189">
        <f>$CF148*AB148</f>
        <v>4.6110447169045825E-3</v>
      </c>
      <c r="CJ148" s="189">
        <f>$CF148*AC148</f>
        <v>5.5030966904219859E-3</v>
      </c>
      <c r="CK148" s="189">
        <f>$CF148*AD148</f>
        <v>5.7323923858562361E-3</v>
      </c>
    </row>
    <row r="149" spans="1:102" ht="45">
      <c r="A149" s="18"/>
      <c r="B149" s="106" t="s">
        <v>178</v>
      </c>
      <c r="C149" s="435" t="s">
        <v>121</v>
      </c>
      <c r="D149" s="435">
        <v>0.10204122116204796</v>
      </c>
      <c r="E149" s="797">
        <v>3188.42</v>
      </c>
      <c r="F149" s="797">
        <v>38.483657148000006</v>
      </c>
      <c r="G149" s="797">
        <v>0</v>
      </c>
      <c r="H149" s="797">
        <v>0</v>
      </c>
      <c r="P149" s="96">
        <v>140</v>
      </c>
      <c r="Q149" s="96">
        <v>0</v>
      </c>
      <c r="R149" s="96">
        <v>38.483657148000006</v>
      </c>
      <c r="S149" s="54">
        <v>0.218</v>
      </c>
      <c r="T149" s="54">
        <v>8.16</v>
      </c>
      <c r="U149" s="183">
        <v>6.3151178323239103E-12</v>
      </c>
      <c r="V149" s="183">
        <v>1.2421010017948899E-12</v>
      </c>
      <c r="W149" s="189">
        <v>7.9332781450439401E-12</v>
      </c>
      <c r="X149" s="189">
        <v>6.0473853504285198E-12</v>
      </c>
      <c r="Y149" s="189">
        <v>5.5959653555187297E-10</v>
      </c>
      <c r="Z149" s="54">
        <v>1</v>
      </c>
      <c r="AA149" s="54">
        <f>Z149*$C$286</f>
        <v>5</v>
      </c>
      <c r="AB149" s="54">
        <f>AA149</f>
        <v>5</v>
      </c>
      <c r="AC149" s="435">
        <f>AB149/(1-'Common input data'!$B$140)</f>
        <v>5.9672992003819072</v>
      </c>
      <c r="AD149" s="435">
        <f>AC149/(1-'Common input data'!$B$177)</f>
        <v>6.2159366670644873</v>
      </c>
      <c r="AE149" t="s">
        <v>1884</v>
      </c>
      <c r="AF149" s="63" t="s">
        <v>1802</v>
      </c>
      <c r="AG149" s="1126" t="s">
        <v>1886</v>
      </c>
      <c r="AH149" s="189"/>
      <c r="AI149" s="1121" t="s">
        <v>1862</v>
      </c>
      <c r="AJ149"/>
      <c r="AK149" s="1118" t="s">
        <v>1798</v>
      </c>
      <c r="AL149" t="s">
        <v>1807</v>
      </c>
      <c r="AM149" t="s">
        <v>1800</v>
      </c>
      <c r="AO149"/>
      <c r="BC149"/>
    </row>
    <row r="150" spans="1:102" ht="45">
      <c r="A150" s="140"/>
      <c r="B150" s="106" t="s">
        <v>123</v>
      </c>
      <c r="C150" s="435" t="s">
        <v>121</v>
      </c>
      <c r="D150" s="435">
        <v>0.55981829362639102</v>
      </c>
      <c r="E150" s="797">
        <v>2139.54</v>
      </c>
      <c r="F150" s="797">
        <v>40.360465116279116</v>
      </c>
      <c r="G150" s="797">
        <v>11.801464468673897</v>
      </c>
      <c r="H150" s="797">
        <v>0</v>
      </c>
      <c r="P150" s="96">
        <v>140</v>
      </c>
      <c r="Q150" s="96">
        <v>0</v>
      </c>
      <c r="R150" s="96">
        <v>13.453488372093018</v>
      </c>
      <c r="S150" s="54">
        <v>0.12641620654950708</v>
      </c>
      <c r="T150" s="54">
        <v>14.639999999999997</v>
      </c>
      <c r="U150" s="189">
        <v>6.2166574853918297E-12</v>
      </c>
      <c r="V150" s="189">
        <v>1.5894570519760001E-12</v>
      </c>
      <c r="W150" s="189">
        <v>1.33278983729738E-11</v>
      </c>
      <c r="X150" s="189">
        <v>3.2344913345964E-12</v>
      </c>
      <c r="Y150" s="189">
        <v>3.8971536324818501E-10</v>
      </c>
      <c r="Z150" s="54">
        <v>1</v>
      </c>
      <c r="AA150" s="54">
        <f>Z150*$C$286</f>
        <v>5</v>
      </c>
      <c r="AB150" s="54">
        <f>AA150</f>
        <v>5</v>
      </c>
      <c r="AC150" s="435">
        <f>AB150/(1-'Common input data'!$B$140)</f>
        <v>5.9672992003819072</v>
      </c>
      <c r="AD150" s="435">
        <f>AC150/(1-'Common input data'!$B$177)</f>
        <v>6.2159366670644873</v>
      </c>
      <c r="AE150" t="s">
        <v>1884</v>
      </c>
      <c r="AF150" s="63" t="s">
        <v>1802</v>
      </c>
      <c r="AG150" s="800" t="s">
        <v>1885</v>
      </c>
      <c r="AH150" s="189"/>
      <c r="AI150" s="1121" t="s">
        <v>1862</v>
      </c>
      <c r="AJ150"/>
      <c r="AK150" s="1118" t="s">
        <v>1798</v>
      </c>
      <c r="AL150" t="s">
        <v>1807</v>
      </c>
      <c r="AM150" t="s">
        <v>1800</v>
      </c>
      <c r="AO150"/>
      <c r="BC150"/>
    </row>
    <row r="151" spans="1:102" ht="45">
      <c r="A151" s="140"/>
      <c r="B151" s="106" t="s">
        <v>130</v>
      </c>
      <c r="C151" s="435" t="s">
        <v>121</v>
      </c>
      <c r="D151" s="435">
        <v>0.27450358056773322</v>
      </c>
      <c r="E151" s="797">
        <v>2682.9</v>
      </c>
      <c r="F151" s="797">
        <v>32.194800000000001</v>
      </c>
      <c r="G151" s="797">
        <v>0</v>
      </c>
      <c r="H151" s="797">
        <v>0</v>
      </c>
      <c r="P151" s="96">
        <v>140</v>
      </c>
      <c r="Q151" s="96">
        <v>0</v>
      </c>
      <c r="R151" s="96">
        <v>32.194800000000001</v>
      </c>
      <c r="S151" s="54">
        <v>0.53700000000000003</v>
      </c>
      <c r="T151" s="54">
        <v>2.76</v>
      </c>
      <c r="U151" s="189">
        <v>3.7738174209626004E-12</v>
      </c>
      <c r="V151" s="189">
        <v>2.5819413353737599E-12</v>
      </c>
      <c r="W151" s="189">
        <v>3.8726446962259297E-12</v>
      </c>
      <c r="X151" s="189">
        <v>7.3859179387853007E-12</v>
      </c>
      <c r="Y151" s="189">
        <v>6.7025422877374503E-10</v>
      </c>
      <c r="Z151" s="54">
        <v>1</v>
      </c>
      <c r="AA151" s="54">
        <f>Z151*$C$286</f>
        <v>5</v>
      </c>
      <c r="AB151" s="54">
        <f>AA151</f>
        <v>5</v>
      </c>
      <c r="AC151" s="435">
        <f>AB151/(1-'Common input data'!$B$140)</f>
        <v>5.9672992003819072</v>
      </c>
      <c r="AD151" s="435">
        <f>AC151/(1-'Common input data'!$B$177)</f>
        <v>6.2159366670644873</v>
      </c>
      <c r="AE151" t="s">
        <v>1884</v>
      </c>
      <c r="AF151" s="63" t="s">
        <v>1802</v>
      </c>
      <c r="AG151" s="800" t="s">
        <v>1883</v>
      </c>
      <c r="AH151" s="189"/>
      <c r="AI151" s="1121" t="s">
        <v>1862</v>
      </c>
      <c r="AJ151"/>
      <c r="AK151" s="1118" t="s">
        <v>1798</v>
      </c>
      <c r="AL151" t="s">
        <v>1807</v>
      </c>
      <c r="AM151" t="s">
        <v>1800</v>
      </c>
      <c r="AO151"/>
      <c r="BC151"/>
    </row>
    <row r="152" spans="1:102" ht="45">
      <c r="A152" s="142"/>
      <c r="B152" s="143" t="s">
        <v>125</v>
      </c>
      <c r="C152" s="440" t="s">
        <v>121</v>
      </c>
      <c r="D152" s="440">
        <v>6.3636904643827763E-2</v>
      </c>
      <c r="E152" s="801">
        <v>2547.3428570000001</v>
      </c>
      <c r="F152" s="801">
        <v>30.759600000000002</v>
      </c>
      <c r="G152" s="801">
        <v>0</v>
      </c>
      <c r="H152" s="801">
        <v>0</v>
      </c>
      <c r="P152" s="304">
        <v>140</v>
      </c>
      <c r="Q152" s="801">
        <v>0</v>
      </c>
      <c r="R152" s="801">
        <v>30.759600000000002</v>
      </c>
      <c r="S152" s="440">
        <v>0.29380540218316903</v>
      </c>
      <c r="T152" s="54">
        <v>7.2799999999999994</v>
      </c>
      <c r="U152" s="802">
        <v>5.4351975795594465E-12</v>
      </c>
      <c r="V152" s="802">
        <v>1.80449979638155E-12</v>
      </c>
      <c r="W152" s="802">
        <v>8.3779404047478903E-12</v>
      </c>
      <c r="X152" s="210">
        <v>5.5559315412700742E-12</v>
      </c>
      <c r="Y152" s="210">
        <v>5.3985537585793437E-10</v>
      </c>
      <c r="Z152" s="81">
        <v>1</v>
      </c>
      <c r="AA152" s="81">
        <f>Z152*$C$286</f>
        <v>5</v>
      </c>
      <c r="AB152" s="81">
        <f>AA152</f>
        <v>5</v>
      </c>
      <c r="AC152" s="440">
        <f>AB152/(1-'Common input data'!$B$140)</f>
        <v>5.9672992003819072</v>
      </c>
      <c r="AD152" s="440">
        <f>AC152/(1-'Common input data'!$B$177)</f>
        <v>6.2159366670644873</v>
      </c>
      <c r="AE152" t="s">
        <v>1884</v>
      </c>
      <c r="AF152" s="63" t="s">
        <v>1802</v>
      </c>
      <c r="AG152" s="1126" t="s">
        <v>1886</v>
      </c>
      <c r="AH152" s="210"/>
      <c r="AI152" s="1122" t="s">
        <v>1862</v>
      </c>
      <c r="AJ152"/>
      <c r="AK152" s="1118" t="s">
        <v>1798</v>
      </c>
      <c r="AL152" t="s">
        <v>1807</v>
      </c>
      <c r="AM152" t="s">
        <v>1800</v>
      </c>
      <c r="AO152"/>
      <c r="BC152"/>
      <c r="CP152" s="835"/>
      <c r="CQ152" s="835"/>
      <c r="CR152" s="835"/>
      <c r="CS152" s="167"/>
      <c r="CT152" s="167"/>
      <c r="CU152" s="1008"/>
      <c r="CV152" s="268"/>
    </row>
    <row r="153" spans="1:102">
      <c r="A153" s="106" t="s">
        <v>147</v>
      </c>
      <c r="B153" s="106" t="s">
        <v>120</v>
      </c>
      <c r="C153" s="435" t="s">
        <v>121</v>
      </c>
      <c r="D153" s="435">
        <v>1</v>
      </c>
      <c r="E153" s="435">
        <v>10150.868307094024</v>
      </c>
      <c r="F153" s="797">
        <v>20.301736614188044</v>
      </c>
      <c r="G153" s="1136"/>
      <c r="H153" s="1136"/>
      <c r="P153" s="96"/>
      <c r="Q153" s="96"/>
      <c r="R153" s="96"/>
      <c r="U153" s="189"/>
      <c r="V153" s="189"/>
      <c r="W153" s="189"/>
      <c r="X153" s="189"/>
      <c r="Y153" s="54"/>
      <c r="Z153" s="54"/>
      <c r="AA153" s="54"/>
      <c r="AB153" s="54"/>
      <c r="AC153" s="435"/>
      <c r="AD153" s="435"/>
      <c r="AE153" s="54"/>
      <c r="AF153" s="54"/>
      <c r="AG153" s="800"/>
      <c r="AH153" s="189"/>
      <c r="AI153" s="991"/>
      <c r="AJ153"/>
      <c r="AK153" s="1118"/>
      <c r="AL153"/>
      <c r="AO153"/>
      <c r="AP153" s="54">
        <f>1/E153*10^4</f>
        <v>0.9851373988382266</v>
      </c>
      <c r="AQ153" s="54">
        <f>$AP153*Z153</f>
        <v>0</v>
      </c>
      <c r="AR153" s="54">
        <f>$AP153*AA153</f>
        <v>0</v>
      </c>
      <c r="AS153" s="54">
        <f>$AP153*AB153</f>
        <v>0</v>
      </c>
      <c r="AT153" s="54">
        <f>$AP153*AC153</f>
        <v>0</v>
      </c>
      <c r="AU153" s="54">
        <f>$AP153*AD153</f>
        <v>0</v>
      </c>
      <c r="AV153"/>
      <c r="AW153" s="189">
        <f>SUM(F153,AE153)/E153</f>
        <v>1.9999999999999996E-3</v>
      </c>
      <c r="AX153" s="189">
        <f>$AW153*Z153</f>
        <v>0</v>
      </c>
      <c r="AY153" s="189">
        <f>$AW153*AA153</f>
        <v>0</v>
      </c>
      <c r="AZ153" s="189">
        <f>$AW153*AB153</f>
        <v>0</v>
      </c>
      <c r="BA153" s="189">
        <f>$AW153*AC153</f>
        <v>0</v>
      </c>
      <c r="BB153" s="189">
        <f>$AW153*AD153</f>
        <v>0</v>
      </c>
      <c r="BC153"/>
      <c r="BD153" s="189">
        <f>R153/E153</f>
        <v>0</v>
      </c>
      <c r="BE153" s="189">
        <f>$BD153*Z153</f>
        <v>0</v>
      </c>
      <c r="BF153" s="189">
        <f>$BD153*AA153</f>
        <v>0</v>
      </c>
      <c r="BG153" s="189">
        <f>$BD153*AB153</f>
        <v>0</v>
      </c>
      <c r="BH153" s="189">
        <f>$BD153*AC153</f>
        <v>0</v>
      </c>
      <c r="BI153" s="189">
        <f>$BD153*AD153</f>
        <v>0</v>
      </c>
      <c r="BK153" s="189">
        <f>S153</f>
        <v>0</v>
      </c>
      <c r="BL153" s="189">
        <f>$BK153*Z153</f>
        <v>0</v>
      </c>
      <c r="BM153" s="189">
        <f>$BK153*AA153</f>
        <v>0</v>
      </c>
      <c r="BN153" s="189">
        <f>$BK153*AB153</f>
        <v>0</v>
      </c>
      <c r="BO153" s="189">
        <f>$BK153*AC153</f>
        <v>0</v>
      </c>
      <c r="BP153" s="189">
        <f>$BK153*AD153</f>
        <v>0</v>
      </c>
      <c r="BQ153" s="189"/>
      <c r="BR153" s="189">
        <f>(SUM(U153:Y153)*AP153)/('Common input data'!$B$192/10^6)</f>
        <v>0</v>
      </c>
      <c r="BS153" s="189">
        <f>$BR153*Z153</f>
        <v>0</v>
      </c>
      <c r="BT153" s="189">
        <f>$BR153*AA153</f>
        <v>0</v>
      </c>
      <c r="BU153" s="189">
        <f>$BR153*AB153</f>
        <v>0</v>
      </c>
      <c r="BV153" s="189">
        <f>$BR153*AC153</f>
        <v>0</v>
      </c>
      <c r="BW153" s="189">
        <f>$BR153*AD153</f>
        <v>0</v>
      </c>
      <c r="BY153" s="189">
        <f>T153/E153</f>
        <v>0</v>
      </c>
      <c r="BZ153" s="189">
        <f>$BY153*Z153</f>
        <v>0</v>
      </c>
      <c r="CA153" s="189">
        <f>$BY153*AA153</f>
        <v>0</v>
      </c>
      <c r="CB153" s="189">
        <f>$BY153*AB153</f>
        <v>0</v>
      </c>
      <c r="CC153" s="189">
        <f>$BY153*AC153</f>
        <v>0</v>
      </c>
      <c r="CD153" s="189">
        <f>$BY153*AD153</f>
        <v>0</v>
      </c>
      <c r="CF153" s="189">
        <f>(F153/E153*'Common input data'!$B$195+G153/E153*'Common input data'!$B$196)/'Common input data'!$B$198</f>
        <v>5.1067466266866558E-5</v>
      </c>
      <c r="CG153" s="189">
        <f>$CF153*Z153</f>
        <v>0</v>
      </c>
      <c r="CH153" s="189">
        <f>$CF153*AA153</f>
        <v>0</v>
      </c>
      <c r="CI153" s="189">
        <f>$CF153*AB153</f>
        <v>0</v>
      </c>
      <c r="CJ153" s="189">
        <f>$CF153*AC153</f>
        <v>0</v>
      </c>
      <c r="CK153" s="189">
        <f>$CF153*AD153</f>
        <v>0</v>
      </c>
      <c r="CW153" s="5">
        <f>SUMPRODUCT($D154:$D157,CW154:CW157)</f>
        <v>0.65819091155142717</v>
      </c>
      <c r="CX153" s="5">
        <f>SUMPRODUCT($D154:$D157,CX154:CX157)</f>
        <v>0.81258137228571248</v>
      </c>
    </row>
    <row r="154" spans="1:102" ht="45">
      <c r="A154" s="106"/>
      <c r="B154" s="106" t="s">
        <v>130</v>
      </c>
      <c r="C154" s="435" t="s">
        <v>121</v>
      </c>
      <c r="D154" s="435">
        <v>0.1023019506993665</v>
      </c>
      <c r="E154" s="435">
        <v>6607.84</v>
      </c>
      <c r="F154" s="797">
        <v>13.215680000000001</v>
      </c>
      <c r="G154" s="302">
        <v>0</v>
      </c>
      <c r="H154" s="1137">
        <v>0</v>
      </c>
      <c r="P154" s="1136"/>
      <c r="Q154" s="117">
        <v>0</v>
      </c>
      <c r="R154" s="797">
        <v>8.788427200000001</v>
      </c>
      <c r="S154" s="435">
        <v>3.2299318900888899E-2</v>
      </c>
      <c r="T154" s="54">
        <v>2.76</v>
      </c>
      <c r="U154" s="266">
        <v>6.2166574853918297E-12</v>
      </c>
      <c r="V154" s="266">
        <v>1.5894570519760001E-12</v>
      </c>
      <c r="W154" s="266">
        <v>1.33278983729738E-11</v>
      </c>
      <c r="X154" s="189">
        <v>3.2344913345964E-12</v>
      </c>
      <c r="Y154" s="189">
        <v>3.8971536324818501E-10</v>
      </c>
      <c r="Z154" s="54">
        <v>1</v>
      </c>
      <c r="AA154" s="54">
        <f t="shared" ref="AA154:AB157" si="22">Z154</f>
        <v>1</v>
      </c>
      <c r="AB154" s="54">
        <v>1</v>
      </c>
      <c r="AC154" s="996">
        <f>AB154/(1-'Common input data'!$B$140)</f>
        <v>1.1934598400763814</v>
      </c>
      <c r="AD154" s="435">
        <f>AC154/(1-'Common input data'!$B$178)</f>
        <v>1.4734072099708411</v>
      </c>
      <c r="AE154" t="s">
        <v>1801</v>
      </c>
      <c r="AF154" s="63" t="s">
        <v>1802</v>
      </c>
      <c r="AG154" s="1126" t="s">
        <v>1887</v>
      </c>
      <c r="AH154" s="189"/>
      <c r="AI154" s="991"/>
      <c r="AJ154"/>
      <c r="AK154" s="1118" t="s">
        <v>1798</v>
      </c>
      <c r="AL154" t="s">
        <v>1807</v>
      </c>
      <c r="AM154" t="s">
        <v>1800</v>
      </c>
      <c r="AN154" s="1126" t="s">
        <v>1887</v>
      </c>
      <c r="AO154"/>
      <c r="CM154" s="5">
        <v>0.16863536165654999</v>
      </c>
      <c r="CN154" s="5">
        <v>4.5399229217232102E-4</v>
      </c>
      <c r="CO154" s="5">
        <v>8.29474206702528E-5</v>
      </c>
      <c r="CP154" s="5">
        <f>CM154+CN154*'Common input data'!$C$12+CO154*'Common input data'!$E$12</f>
        <v>0.20353779938818167</v>
      </c>
      <c r="CQ154" s="5">
        <f>'Common input data'!$F$19</f>
        <v>-9.1139048141381296E-2</v>
      </c>
      <c r="CR154" s="5">
        <v>0</v>
      </c>
      <c r="CS154" s="5">
        <v>0</v>
      </c>
      <c r="CT154" s="5">
        <f>SUM(CP154:CS154)</f>
        <v>0.11239875124680038</v>
      </c>
      <c r="CU154" s="5">
        <f>'Common input data'!$B$105</f>
        <v>0.05</v>
      </c>
      <c r="CV154" s="5">
        <f>'Common input data'!$B$117+'Common input data'!$C$117</f>
        <v>0.23</v>
      </c>
      <c r="CW154" s="126">
        <f>SUM(CT154:CV154)/(1-'Common input data'!$B$140)</f>
        <v>0.46831215090917816</v>
      </c>
      <c r="CX154" s="5">
        <f>CW154/(1-'Common input data'!$B$178)</f>
        <v>0.57816314927059032</v>
      </c>
    </row>
    <row r="155" spans="1:102" ht="45">
      <c r="A155" s="106"/>
      <c r="B155" s="106" t="s">
        <v>148</v>
      </c>
      <c r="C155" s="435" t="s">
        <v>121</v>
      </c>
      <c r="D155" s="435">
        <v>0.19118735495201655</v>
      </c>
      <c r="E155" s="435">
        <v>5580.68</v>
      </c>
      <c r="F155" s="797">
        <v>11.16136</v>
      </c>
      <c r="G155" s="302">
        <v>0</v>
      </c>
      <c r="H155" s="1137">
        <v>0</v>
      </c>
      <c r="P155" s="1136"/>
      <c r="Q155" s="117">
        <v>0</v>
      </c>
      <c r="R155" s="797">
        <v>7.4223044000000007</v>
      </c>
      <c r="S155" s="435">
        <v>0</v>
      </c>
      <c r="T155" s="54">
        <v>16.78</v>
      </c>
      <c r="U155" s="266">
        <v>1.55658152159693E-12</v>
      </c>
      <c r="V155" s="266">
        <v>1.0618866300510301E-12</v>
      </c>
      <c r="W155" s="266">
        <v>8.8841658719714498E-13</v>
      </c>
      <c r="X155" s="189">
        <v>1.7910327872404899E-13</v>
      </c>
      <c r="Y155" s="189">
        <v>5.2982110291723597E-12</v>
      </c>
      <c r="Z155" s="54">
        <v>1</v>
      </c>
      <c r="AA155" s="54">
        <f t="shared" si="22"/>
        <v>1</v>
      </c>
      <c r="AB155" s="54">
        <f t="shared" si="22"/>
        <v>1</v>
      </c>
      <c r="AC155" s="996">
        <f>AB155/(1-'Common input data'!$C$140)</f>
        <v>1.1810279667422525</v>
      </c>
      <c r="AD155" s="435">
        <f>AC155/(1-'Common input data'!$B$178)</f>
        <v>1.4580592182003116</v>
      </c>
      <c r="AE155" t="s">
        <v>1801</v>
      </c>
      <c r="AF155" s="63" t="s">
        <v>1802</v>
      </c>
      <c r="AG155" s="1126" t="s">
        <v>1887</v>
      </c>
      <c r="AH155" s="189"/>
      <c r="AI155" s="991"/>
      <c r="AJ155"/>
      <c r="AK155" s="1118" t="s">
        <v>1798</v>
      </c>
      <c r="AL155" t="s">
        <v>1807</v>
      </c>
      <c r="AM155" t="s">
        <v>1800</v>
      </c>
      <c r="AN155" s="1126" t="s">
        <v>1887</v>
      </c>
      <c r="AO155"/>
      <c r="CM155" s="5">
        <v>0.16863536165654999</v>
      </c>
      <c r="CN155" s="5">
        <v>4.5399229217232102E-4</v>
      </c>
      <c r="CO155" s="5">
        <v>8.29474206702528E-5</v>
      </c>
      <c r="CP155" s="5">
        <f>CM155+CN155*'Common input data'!$C$12+CO155*'Common input data'!$E$12</f>
        <v>0.20353779938818167</v>
      </c>
      <c r="CQ155" s="5">
        <f>'Common input data'!$F$19</f>
        <v>-9.1139048141381296E-2</v>
      </c>
      <c r="CR155" s="5">
        <v>0</v>
      </c>
      <c r="CS155" s="5">
        <v>0</v>
      </c>
      <c r="CT155" s="5">
        <f t="shared" ref="CT155:CT160" si="23">SUM(CP155:CS155)</f>
        <v>0.11239875124680038</v>
      </c>
      <c r="CU155" s="5">
        <f>'Common input data'!$B$105</f>
        <v>0.05</v>
      </c>
      <c r="CV155" s="5">
        <f>'Common input data'!$B$116+'Common input data'!$C$116</f>
        <v>0.13</v>
      </c>
      <c r="CW155" s="126">
        <f>SUM(CT155:CV155)/(1-'Common input data'!$B$140)</f>
        <v>0.34896616690154003</v>
      </c>
      <c r="CX155" s="5">
        <f>CW155/(1-'Common input data'!$B$178)</f>
        <v>0.4308224282735062</v>
      </c>
    </row>
    <row r="156" spans="1:102" ht="45">
      <c r="A156" s="106"/>
      <c r="B156" s="106" t="s">
        <v>149</v>
      </c>
      <c r="C156" s="440" t="s">
        <v>121</v>
      </c>
      <c r="D156" s="435">
        <v>0.13291099542118801</v>
      </c>
      <c r="E156" s="435">
        <v>17232.82</v>
      </c>
      <c r="F156" s="797">
        <v>34.46564</v>
      </c>
      <c r="G156" s="302">
        <v>0</v>
      </c>
      <c r="H156" s="1137">
        <v>0</v>
      </c>
      <c r="P156" s="1136"/>
      <c r="Q156" s="117">
        <v>0</v>
      </c>
      <c r="R156" s="797">
        <v>22.919650600000001</v>
      </c>
      <c r="S156" s="435">
        <v>0.20963124867163901</v>
      </c>
      <c r="T156" s="54">
        <v>8.6457300000000004</v>
      </c>
      <c r="U156" s="266">
        <v>2.9439715025713399E-12</v>
      </c>
      <c r="V156" s="266">
        <v>4.8477088851861698E-12</v>
      </c>
      <c r="W156" s="266">
        <v>5.2903295905443303E-12</v>
      </c>
      <c r="X156" s="189">
        <v>1.3897687987919499E-12</v>
      </c>
      <c r="Y156" s="189">
        <v>5.5159397779402299E-11</v>
      </c>
      <c r="Z156" s="54">
        <v>1</v>
      </c>
      <c r="AA156" s="54">
        <f t="shared" si="22"/>
        <v>1</v>
      </c>
      <c r="AB156" s="54">
        <f t="shared" si="22"/>
        <v>1</v>
      </c>
      <c r="AC156" s="996">
        <f>AB156/(1-'Common input data'!$I$140)</f>
        <v>1.372193863549042</v>
      </c>
      <c r="AD156" s="435">
        <f>AC156/(1-'Common input data'!$B$178)</f>
        <v>1.6940664982086937</v>
      </c>
      <c r="AE156" t="s">
        <v>1801</v>
      </c>
      <c r="AF156" s="63" t="s">
        <v>1802</v>
      </c>
      <c r="AG156" s="1126" t="s">
        <v>1887</v>
      </c>
      <c r="AH156" s="189"/>
      <c r="AI156" s="991"/>
      <c r="AJ156"/>
      <c r="AK156" s="1118" t="s">
        <v>1798</v>
      </c>
      <c r="AL156" s="1126" t="s">
        <v>1887</v>
      </c>
      <c r="AM156" t="s">
        <v>1800</v>
      </c>
      <c r="AN156" s="1126" t="s">
        <v>1887</v>
      </c>
      <c r="AO156"/>
      <c r="CM156" s="5">
        <v>0.16863536165654999</v>
      </c>
      <c r="CN156" s="5">
        <v>4.5399229217232102E-4</v>
      </c>
      <c r="CO156" s="5">
        <v>8.29474206702528E-5</v>
      </c>
      <c r="CP156" s="5">
        <f>CM156+CN156*'Common input data'!$C$12+CO156*'Common input data'!$E$12</f>
        <v>0.20353779938818167</v>
      </c>
      <c r="CQ156" s="5">
        <f>'Common input data'!$F$19</f>
        <v>-9.1139048141381296E-2</v>
      </c>
      <c r="CR156" s="5">
        <v>0</v>
      </c>
      <c r="CS156" s="5">
        <v>0</v>
      </c>
      <c r="CT156" s="5">
        <f t="shared" si="23"/>
        <v>0.11239875124680038</v>
      </c>
      <c r="CU156" s="5">
        <f>'Common input data'!$B$105</f>
        <v>0.05</v>
      </c>
      <c r="CV156" s="5">
        <f>'Common input data'!$B$123+'Common input data'!$C$123</f>
        <v>0.32999999999999996</v>
      </c>
      <c r="CW156" s="126">
        <f>SUM(CT156:CV156)/(1-'Common input data'!$C$140)</f>
        <v>0.58153669601143276</v>
      </c>
      <c r="CX156" s="5">
        <f>CW156/(1-'Common input data'!$B$178)</f>
        <v>0.71794653828571942</v>
      </c>
    </row>
    <row r="157" spans="1:102" ht="45">
      <c r="A157" s="106"/>
      <c r="B157" s="106" t="s">
        <v>134</v>
      </c>
      <c r="C157" s="435" t="s">
        <v>121</v>
      </c>
      <c r="D157" s="435">
        <v>0.57359969892742901</v>
      </c>
      <c r="E157" s="435">
        <v>10665.08</v>
      </c>
      <c r="F157" s="797">
        <v>21.330159999999999</v>
      </c>
      <c r="G157" s="302">
        <v>0</v>
      </c>
      <c r="H157" s="1137">
        <v>0</v>
      </c>
      <c r="P157" s="1136"/>
      <c r="Q157" s="117">
        <v>0</v>
      </c>
      <c r="R157" s="797">
        <v>14.1845564</v>
      </c>
      <c r="S157" s="435">
        <v>9.6624490873843796E-2</v>
      </c>
      <c r="T157" s="54">
        <v>5.217620000000001</v>
      </c>
      <c r="U157" s="266">
        <v>3.5724035031867E-12</v>
      </c>
      <c r="V157" s="266">
        <v>2.4996841890710665E-12</v>
      </c>
      <c r="W157" s="266">
        <v>6.5022148502384251E-12</v>
      </c>
      <c r="X157" s="189">
        <v>1.6011211373707995E-12</v>
      </c>
      <c r="Y157" s="189">
        <v>1.5005765735225322E-10</v>
      </c>
      <c r="Z157" s="54">
        <v>1</v>
      </c>
      <c r="AA157" s="54">
        <f t="shared" si="22"/>
        <v>1</v>
      </c>
      <c r="AB157" s="54">
        <f t="shared" si="22"/>
        <v>1</v>
      </c>
      <c r="AC157" s="996">
        <f>AB157/(1-'Common input data'!$I$140)</f>
        <v>1.372193863549042</v>
      </c>
      <c r="AD157" s="435">
        <f>AC157/(1-'Common input data'!$B$178)</f>
        <v>1.6940664982086937</v>
      </c>
      <c r="AE157" t="s">
        <v>1801</v>
      </c>
      <c r="AF157" s="63" t="s">
        <v>1802</v>
      </c>
      <c r="AG157" s="1126" t="s">
        <v>1887</v>
      </c>
      <c r="AH157" s="189"/>
      <c r="AI157"/>
      <c r="AJ157"/>
      <c r="AK157" s="1118" t="s">
        <v>1798</v>
      </c>
      <c r="AL157" s="1126" t="s">
        <v>1887</v>
      </c>
      <c r="AM157" t="s">
        <v>1800</v>
      </c>
      <c r="AN157" s="1126" t="s">
        <v>1887</v>
      </c>
      <c r="AO157"/>
      <c r="CM157" s="5">
        <v>0.16863536165654999</v>
      </c>
      <c r="CN157" s="5">
        <v>4.5399229217232102E-4</v>
      </c>
      <c r="CO157" s="5">
        <v>8.29474206702528E-5</v>
      </c>
      <c r="CP157" s="5">
        <f>CM157+CN157*'Common input data'!$C$12+CO157*'Common input data'!$E$12</f>
        <v>0.20353779938818167</v>
      </c>
      <c r="CQ157" s="5">
        <f>'Common input data'!$F$19</f>
        <v>-9.1139048141381296E-2</v>
      </c>
      <c r="CR157" s="5">
        <v>0</v>
      </c>
      <c r="CS157" s="5">
        <v>0</v>
      </c>
      <c r="CT157" s="5">
        <f t="shared" si="23"/>
        <v>0.11239875124680038</v>
      </c>
      <c r="CU157" s="5">
        <f>'Common input data'!$B$105</f>
        <v>0.05</v>
      </c>
      <c r="CV157" s="5">
        <f>'Common input data'!$B$128+'Common input data'!$C$128</f>
        <v>0.43000000000000005</v>
      </c>
      <c r="CW157" s="126">
        <f>SUM(CT157:CV157)/(1-'Common input data'!$I$140)</f>
        <v>0.81288593123497499</v>
      </c>
      <c r="CX157" s="5">
        <f>CW157/(1-'Common input data'!$B$178)</f>
        <v>1.0035628780678703</v>
      </c>
    </row>
    <row r="158" spans="1:102">
      <c r="A158" s="106" t="s">
        <v>197</v>
      </c>
      <c r="B158" s="106" t="s">
        <v>120</v>
      </c>
      <c r="C158" s="435" t="s">
        <v>121</v>
      </c>
      <c r="D158" s="435">
        <v>1</v>
      </c>
      <c r="E158" s="435">
        <v>1646.2368117580554</v>
      </c>
      <c r="F158" s="797">
        <v>37.323148445449462</v>
      </c>
      <c r="G158" s="1137"/>
      <c r="H158" s="1137"/>
      <c r="P158" s="1136"/>
      <c r="Q158" s="96"/>
      <c r="R158" s="797">
        <v>16.992054403617857</v>
      </c>
      <c r="S158" s="435">
        <v>0.1612026431577363</v>
      </c>
      <c r="U158" s="266">
        <v>6.3009290511494896E-12</v>
      </c>
      <c r="V158" s="266">
        <v>5.4657652829191741E-12</v>
      </c>
      <c r="W158" s="266">
        <v>6.6617041536987035E-12</v>
      </c>
      <c r="X158" s="189">
        <v>1.1287238725477931E-12</v>
      </c>
      <c r="Y158" s="189">
        <v>3.4347891487764633E-11</v>
      </c>
      <c r="Z158" s="54"/>
      <c r="AA158" s="54"/>
      <c r="AB158" s="54"/>
      <c r="AC158" s="435"/>
      <c r="AD158" s="435"/>
      <c r="AE158" s="54"/>
      <c r="AF158" s="54"/>
      <c r="AG158" s="800"/>
      <c r="AH158" s="189"/>
      <c r="AI158" s="991"/>
      <c r="AJ158"/>
      <c r="AK158" s="1118"/>
      <c r="AL158"/>
      <c r="AO158"/>
      <c r="AP158" s="54">
        <f>1/E158*10^4</f>
        <v>6.0744602043740974</v>
      </c>
      <c r="AQ158" s="54">
        <f>$AP158*Z158</f>
        <v>0</v>
      </c>
      <c r="AR158" s="54">
        <f>$AP158*AA158</f>
        <v>0</v>
      </c>
      <c r="AS158" s="54">
        <f>$AP158*AB158</f>
        <v>0</v>
      </c>
      <c r="AT158" s="54">
        <f>$AP158*AC158</f>
        <v>0</v>
      </c>
      <c r="AU158" s="54">
        <f>$AP158*AD158</f>
        <v>0</v>
      </c>
      <c r="AV158"/>
      <c r="AW158" s="189">
        <f>SUM(F158,AE158)/E158</f>
        <v>2.2671797993382974E-2</v>
      </c>
      <c r="AX158" s="189">
        <f>$AW158*Z158</f>
        <v>0</v>
      </c>
      <c r="AY158" s="189">
        <f>$AW158*AA158</f>
        <v>0</v>
      </c>
      <c r="AZ158" s="189">
        <f>$AW158*AB158</f>
        <v>0</v>
      </c>
      <c r="BA158" s="189">
        <f>$AW158*AC158</f>
        <v>0</v>
      </c>
      <c r="BB158" s="189">
        <f>$AW158*AD158</f>
        <v>0</v>
      </c>
      <c r="BC158"/>
      <c r="BD158" s="189">
        <f>R158/E158</f>
        <v>1.0321755826533632E-2</v>
      </c>
      <c r="BE158" s="189">
        <f>$BD158*Z158</f>
        <v>0</v>
      </c>
      <c r="BF158" s="189">
        <f>$BD158*AA158</f>
        <v>0</v>
      </c>
      <c r="BG158" s="189">
        <f>$BD158*AB158</f>
        <v>0</v>
      </c>
      <c r="BH158" s="189">
        <f>$BD158*AC158</f>
        <v>0</v>
      </c>
      <c r="BI158" s="189">
        <f>$BD158*AD158</f>
        <v>0</v>
      </c>
      <c r="BK158" s="189">
        <f>S158</f>
        <v>0.1612026431577363</v>
      </c>
      <c r="BL158" s="189">
        <f>$BK158*Z158</f>
        <v>0</v>
      </c>
      <c r="BM158" s="189">
        <f>$BK158*AA158</f>
        <v>0</v>
      </c>
      <c r="BN158" s="189">
        <f>$BK158*AB158</f>
        <v>0</v>
      </c>
      <c r="BO158" s="189">
        <f>$BK158*AC158</f>
        <v>0</v>
      </c>
      <c r="BP158" s="189">
        <f>$BK158*AD158</f>
        <v>0</v>
      </c>
      <c r="BQ158" s="189"/>
      <c r="BR158" s="189">
        <f>(SUM(U158:Y158)*AP158)/('Common input data'!$B$192/10^6)</f>
        <v>8.0649210964359327E-10</v>
      </c>
      <c r="BS158" s="189">
        <f>$BR158*Z158</f>
        <v>0</v>
      </c>
      <c r="BT158" s="189">
        <f>$BR158*AA158</f>
        <v>0</v>
      </c>
      <c r="BU158" s="189">
        <f>$BR158*AB158</f>
        <v>0</v>
      </c>
      <c r="BV158" s="189">
        <f>$BR158*AC158</f>
        <v>0</v>
      </c>
      <c r="BW158" s="189">
        <f>$BR158*AD158</f>
        <v>0</v>
      </c>
      <c r="BY158" s="189">
        <f>T158/E158</f>
        <v>0</v>
      </c>
      <c r="BZ158" s="189">
        <f>$BY158*Z158</f>
        <v>0</v>
      </c>
      <c r="CA158" s="189">
        <f>$BY158*AA158</f>
        <v>0</v>
      </c>
      <c r="CB158" s="189">
        <f>$BY158*AB158</f>
        <v>0</v>
      </c>
      <c r="CC158" s="189">
        <f>$BY158*AC158</f>
        <v>0</v>
      </c>
      <c r="CD158" s="189">
        <f>$BY158*AD158</f>
        <v>0</v>
      </c>
      <c r="CF158" s="189">
        <f>(F158/E158*'Common input data'!$B$195+G158/E158*'Common input data'!$B$196)/'Common input data'!$B$198</f>
        <v>5.7889563961814898E-4</v>
      </c>
      <c r="CG158" s="189">
        <f>$CF158*Z158</f>
        <v>0</v>
      </c>
      <c r="CH158" s="189">
        <f>$CF158*AA158</f>
        <v>0</v>
      </c>
      <c r="CI158" s="189">
        <f>$CF158*AB158</f>
        <v>0</v>
      </c>
      <c r="CJ158" s="189">
        <f>$CF158*AC158</f>
        <v>0</v>
      </c>
      <c r="CK158" s="189">
        <f>$CF158*AD158</f>
        <v>0</v>
      </c>
      <c r="CM158" s="5"/>
      <c r="CN158" s="5"/>
      <c r="CO158" s="5"/>
      <c r="CP158" s="5"/>
      <c r="CQ158" s="5"/>
      <c r="CR158" s="5"/>
      <c r="CS158" s="5"/>
      <c r="CT158" s="5">
        <f t="shared" si="23"/>
        <v>0</v>
      </c>
      <c r="CU158" s="5"/>
      <c r="CV158" s="5"/>
      <c r="CW158" s="5">
        <f>SUMPRODUCT($D159:$D160,CW159:CW160)</f>
        <v>1.7157501367471915</v>
      </c>
      <c r="CX158" s="5">
        <f>SUMPRODUCT($D159:$D160,CX159:CX160)</f>
        <v>2.1182100453669026</v>
      </c>
    </row>
    <row r="159" spans="1:102" ht="45">
      <c r="A159" s="106"/>
      <c r="B159" s="106" t="s">
        <v>149</v>
      </c>
      <c r="C159" s="435" t="s">
        <v>121</v>
      </c>
      <c r="D159" s="435">
        <v>0.11023176936122103</v>
      </c>
      <c r="E159" s="435">
        <v>1433.6</v>
      </c>
      <c r="F159" s="797">
        <v>30</v>
      </c>
      <c r="G159" s="284"/>
      <c r="H159" s="1137"/>
      <c r="P159" s="1136"/>
      <c r="Q159" s="117">
        <v>79</v>
      </c>
      <c r="R159" s="797">
        <v>50</v>
      </c>
      <c r="S159" s="435">
        <v>0.25317847246589997</v>
      </c>
      <c r="T159" s="54">
        <v>4.6079999999999934</v>
      </c>
      <c r="U159" s="266">
        <v>2.9439715025713399E-12</v>
      </c>
      <c r="V159" s="266">
        <v>4.8477088851861698E-12</v>
      </c>
      <c r="W159" s="266">
        <v>5.2903295905443303E-12</v>
      </c>
      <c r="X159" s="189">
        <v>1.3897687987919499E-12</v>
      </c>
      <c r="Y159" s="189">
        <v>5.5159397779402299E-11</v>
      </c>
      <c r="Z159" s="54">
        <v>1</v>
      </c>
      <c r="AA159" s="54">
        <f>$P$275</f>
        <v>1.3793103448275863</v>
      </c>
      <c r="AB159" s="54">
        <f>AA159</f>
        <v>1.3793103448275863</v>
      </c>
      <c r="AC159" s="996">
        <f>AB159/(1-'Common input data'!$C$143)</f>
        <v>1.4665713395295974</v>
      </c>
      <c r="AD159" s="435">
        <f>AC159/(1-'Common input data'!$B$177)</f>
        <v>1.527678478676664</v>
      </c>
      <c r="AE159" t="s">
        <v>1801</v>
      </c>
      <c r="AF159" s="63" t="s">
        <v>1802</v>
      </c>
      <c r="AG159" t="s">
        <v>1803</v>
      </c>
      <c r="AH159" s="189"/>
      <c r="AI159" s="991"/>
      <c r="AJ159" t="s">
        <v>1805</v>
      </c>
      <c r="AK159" s="1118" t="s">
        <v>1798</v>
      </c>
      <c r="AL159" s="1128" t="s">
        <v>1888</v>
      </c>
      <c r="AM159" t="s">
        <v>1800</v>
      </c>
      <c r="AN159" s="1128" t="s">
        <v>1888</v>
      </c>
      <c r="AO159"/>
      <c r="CM159" s="5">
        <v>0.42270550934959999</v>
      </c>
      <c r="CN159" s="5">
        <v>6.9015719410000002E-4</v>
      </c>
      <c r="CO159" s="5">
        <v>1.3859299097400001E-3</v>
      </c>
      <c r="CP159" s="5">
        <f>CM159+CN159*'Common input data'!$C$12+CO159*'Common input data'!$E$12</f>
        <v>0.81969861894932006</v>
      </c>
      <c r="CQ159" s="5">
        <f>'Common input data'!$C$19</f>
        <v>0.23829120623700201</v>
      </c>
      <c r="CR159" s="5">
        <v>0</v>
      </c>
      <c r="CS159" s="5">
        <v>0</v>
      </c>
      <c r="CT159" s="5">
        <f t="shared" si="23"/>
        <v>1.057989825186322</v>
      </c>
      <c r="CU159" s="5">
        <f>'Common input data'!$B$105</f>
        <v>0.05</v>
      </c>
      <c r="CV159" s="5">
        <f>'Common input data'!$B$123+'Common input data'!$C$123</f>
        <v>0.32999999999999996</v>
      </c>
      <c r="CW159" s="5">
        <f>SUM(CT159:CV159)/(1-'Common input data'!$C$143)</f>
        <v>1.5289631315112406</v>
      </c>
      <c r="CX159" s="5">
        <f>CW159/(1-'Common input data'!$B$178)</f>
        <v>1.8876088043348649</v>
      </c>
    </row>
    <row r="160" spans="1:102" ht="45">
      <c r="A160" s="106"/>
      <c r="B160" s="106" t="s">
        <v>134</v>
      </c>
      <c r="C160" s="435" t="s">
        <v>121</v>
      </c>
      <c r="D160" s="435">
        <v>0.88976823063877897</v>
      </c>
      <c r="E160" s="435">
        <v>1672.58</v>
      </c>
      <c r="F160" s="797">
        <v>38.230400000000067</v>
      </c>
      <c r="G160" s="1194"/>
      <c r="H160" s="1137"/>
      <c r="P160" s="1136"/>
      <c r="Q160" s="117">
        <v>79</v>
      </c>
      <c r="R160" s="797">
        <v>12.902759999999992</v>
      </c>
      <c r="S160" s="435">
        <v>0.149807924787284</v>
      </c>
      <c r="T160" s="54">
        <v>5.3482500000000002</v>
      </c>
      <c r="U160" s="266">
        <v>6.7168164221613944E-12</v>
      </c>
      <c r="V160" s="266">
        <v>5.5423351670093497E-12</v>
      </c>
      <c r="W160" s="266">
        <v>6.8316012565037245E-12</v>
      </c>
      <c r="X160" s="189">
        <v>1.096383490961001E-12</v>
      </c>
      <c r="Y160" s="189">
        <v>3.1769591788355902E-11</v>
      </c>
      <c r="Z160" s="54">
        <v>1</v>
      </c>
      <c r="AA160" s="54">
        <f>$P$275</f>
        <v>1.3793103448275863</v>
      </c>
      <c r="AB160" s="54">
        <f>AA160</f>
        <v>1.3793103448275863</v>
      </c>
      <c r="AC160" s="996">
        <f>AB160/(1-'Common input data'!$I$143)</f>
        <v>1.5594837391460907</v>
      </c>
      <c r="AD160" s="435">
        <f>AC160/(1-'Common input data'!$B$177)</f>
        <v>1.6244622282771779</v>
      </c>
      <c r="AE160" t="s">
        <v>1801</v>
      </c>
      <c r="AF160" s="63" t="s">
        <v>1802</v>
      </c>
      <c r="AG160" s="1128" t="s">
        <v>1888</v>
      </c>
      <c r="AH160" s="189"/>
      <c r="AI160" s="991"/>
      <c r="AJ160" t="s">
        <v>1805</v>
      </c>
      <c r="AK160" s="1118" t="s">
        <v>1798</v>
      </c>
      <c r="AL160" s="1128" t="s">
        <v>1888</v>
      </c>
      <c r="AM160" t="s">
        <v>1800</v>
      </c>
      <c r="AN160" s="1128" t="s">
        <v>1888</v>
      </c>
      <c r="AO160"/>
      <c r="CM160" s="5">
        <v>0.42270550934959999</v>
      </c>
      <c r="CN160" s="5">
        <v>6.9015719410000002E-4</v>
      </c>
      <c r="CO160" s="5">
        <v>1.3859299097400001E-3</v>
      </c>
      <c r="CP160" s="5">
        <f>CM160+CN160*'Common input data'!$C$12+CO160*'Common input data'!$E$12</f>
        <v>0.81969861894932006</v>
      </c>
      <c r="CQ160" s="5">
        <f>'Common input data'!$C$19</f>
        <v>0.23829120623700201</v>
      </c>
      <c r="CR160" s="5">
        <v>0</v>
      </c>
      <c r="CS160" s="5">
        <v>0</v>
      </c>
      <c r="CT160" s="5">
        <f t="shared" si="23"/>
        <v>1.057989825186322</v>
      </c>
      <c r="CU160" s="5">
        <f>'Common input data'!$B$105</f>
        <v>0.05</v>
      </c>
      <c r="CV160" s="5">
        <f>'Common input data'!$B$128+'Common input data'!$C$128</f>
        <v>0.43000000000000005</v>
      </c>
      <c r="CW160" s="5">
        <f>SUM(CT160:CV160)/(1-'Common input data'!$I$143)</f>
        <v>1.7388908394289007</v>
      </c>
      <c r="CX160" s="5">
        <f>CW160/(1-'Common input data'!$B$178)</f>
        <v>2.1467788141097537</v>
      </c>
    </row>
    <row r="161" spans="1:102">
      <c r="A161" s="106" t="s">
        <v>144</v>
      </c>
      <c r="B161" s="106" t="s">
        <v>120</v>
      </c>
      <c r="C161" s="435" t="s">
        <v>121</v>
      </c>
      <c r="D161" s="435">
        <v>1</v>
      </c>
      <c r="E161" s="435">
        <v>1455.968712869904</v>
      </c>
      <c r="F161" s="797">
        <v>91.47597224070563</v>
      </c>
      <c r="G161" s="284"/>
      <c r="H161" s="1137"/>
      <c r="P161" s="1136"/>
      <c r="Q161" s="117">
        <f>SUMPRODUCT($D$116:$D$118,Q162:Q164)</f>
        <v>0</v>
      </c>
      <c r="R161" s="797">
        <v>27.046725942556993</v>
      </c>
      <c r="S161" s="435">
        <v>0.95230834712300494</v>
      </c>
      <c r="U161" s="266">
        <v>6.0539443562833213E-12</v>
      </c>
      <c r="V161" s="266">
        <v>7.3501800826791754E-12</v>
      </c>
      <c r="W161" s="266">
        <v>1.3743817729958652E-11</v>
      </c>
      <c r="X161" s="189">
        <v>4.6680626095246759E-12</v>
      </c>
      <c r="Y161" s="189">
        <v>1.0134552198736704E-10</v>
      </c>
      <c r="Z161" s="54"/>
      <c r="AA161" s="54"/>
      <c r="AB161" s="54"/>
      <c r="AC161" s="435"/>
      <c r="AD161" s="435"/>
      <c r="AE161" s="54"/>
      <c r="AF161" s="54"/>
      <c r="AG161" s="800"/>
      <c r="AH161" s="189"/>
      <c r="AI161" s="991"/>
      <c r="AJ161"/>
      <c r="AK161" s="1118"/>
      <c r="AL161"/>
      <c r="AO161"/>
      <c r="AP161" s="54">
        <f>1/E161*10^4</f>
        <v>6.8682794565610532</v>
      </c>
      <c r="AQ161" s="54">
        <f>$AP161*Z161</f>
        <v>0</v>
      </c>
      <c r="AR161" s="54">
        <f>$AP161*AA161</f>
        <v>0</v>
      </c>
      <c r="AS161" s="54">
        <f>$AP161*AB161</f>
        <v>0</v>
      </c>
      <c r="AT161" s="54">
        <f>$AP161*AC161</f>
        <v>0</v>
      </c>
      <c r="AU161" s="54">
        <f>$AP161*AD161</f>
        <v>0</v>
      </c>
      <c r="AV161"/>
      <c r="AW161" s="189">
        <f>SUM(F161,AE161)/E161</f>
        <v>6.2828254090978766E-2</v>
      </c>
      <c r="AX161" s="189">
        <f>$AW161*Z161</f>
        <v>0</v>
      </c>
      <c r="AY161" s="189">
        <f>$AW161*AA161</f>
        <v>0</v>
      </c>
      <c r="AZ161" s="189">
        <f>$AW161*AB161</f>
        <v>0</v>
      </c>
      <c r="BA161" s="189">
        <f>$AW161*AC161</f>
        <v>0</v>
      </c>
      <c r="BB161" s="189">
        <f>$AW161*AD161</f>
        <v>0</v>
      </c>
      <c r="BC161"/>
      <c r="BD161" s="189">
        <f>R161/E161</f>
        <v>1.8576447215850108E-2</v>
      </c>
      <c r="BE161" s="189">
        <f>$BD161*Z161</f>
        <v>0</v>
      </c>
      <c r="BF161" s="189">
        <f>$BD161*AA161</f>
        <v>0</v>
      </c>
      <c r="BG161" s="189">
        <f>$BD161*AB161</f>
        <v>0</v>
      </c>
      <c r="BH161" s="189">
        <f>$BD161*AC161</f>
        <v>0</v>
      </c>
      <c r="BI161" s="189">
        <f>$BD161*AD161</f>
        <v>0</v>
      </c>
      <c r="BK161" s="189">
        <f>S161</f>
        <v>0.95230834712300494</v>
      </c>
      <c r="BL161" s="189">
        <f>$BK161*Z161</f>
        <v>0</v>
      </c>
      <c r="BM161" s="189">
        <f>$BK161*AA161</f>
        <v>0</v>
      </c>
      <c r="BN161" s="189">
        <f>$BK161*AB161</f>
        <v>0</v>
      </c>
      <c r="BO161" s="189">
        <f>$BK161*AC161</f>
        <v>0</v>
      </c>
      <c r="BP161" s="189">
        <f>$BK161*AD161</f>
        <v>0</v>
      </c>
      <c r="BQ161" s="189"/>
      <c r="BR161" s="189">
        <f>(SUM(U161:Y161)*AP161)/('Common input data'!$B$192/10^6)</f>
        <v>2.252630670894651E-9</v>
      </c>
      <c r="BS161" s="189">
        <f>$BR161*Z161</f>
        <v>0</v>
      </c>
      <c r="BT161" s="189">
        <f>$BR161*AA161</f>
        <v>0</v>
      </c>
      <c r="BU161" s="189">
        <f>$BR161*AB161</f>
        <v>0</v>
      </c>
      <c r="BV161" s="189">
        <f>$BR161*AC161</f>
        <v>0</v>
      </c>
      <c r="BW161" s="189">
        <f>$BR161*AD161</f>
        <v>0</v>
      </c>
      <c r="BY161" s="189">
        <f>T161/E161</f>
        <v>0</v>
      </c>
      <c r="BZ161" s="189">
        <f>$BY161*Z161</f>
        <v>0</v>
      </c>
      <c r="CA161" s="189">
        <f>$BY161*AA161</f>
        <v>0</v>
      </c>
      <c r="CB161" s="189">
        <f>$BY161*AB161</f>
        <v>0</v>
      </c>
      <c r="CC161" s="189">
        <f>$BY161*AC161</f>
        <v>0</v>
      </c>
      <c r="CD161" s="189">
        <f>$BY161*AD161</f>
        <v>0</v>
      </c>
      <c r="CF161" s="189">
        <f>(F161/E161*'Common input data'!$B$195+G161/E161*'Common input data'!$B$196)/'Common input data'!$B$198</f>
        <v>1.6042398731985897E-3</v>
      </c>
      <c r="CG161" s="189">
        <f>$CF161*Z161</f>
        <v>0</v>
      </c>
      <c r="CH161" s="189">
        <f>$CF161*AA161</f>
        <v>0</v>
      </c>
      <c r="CI161" s="189">
        <f>$CF161*AB161</f>
        <v>0</v>
      </c>
      <c r="CJ161" s="189">
        <f>$CF161*AC161</f>
        <v>0</v>
      </c>
      <c r="CK161" s="189">
        <f>$CF161*AD161</f>
        <v>0</v>
      </c>
      <c r="CM161" s="5"/>
      <c r="CN161" s="5"/>
      <c r="CO161" s="5"/>
      <c r="CP161" s="5"/>
      <c r="CQ161" s="5"/>
      <c r="CR161" s="5"/>
      <c r="CS161" s="5"/>
      <c r="CT161" s="5"/>
      <c r="CU161" s="5"/>
      <c r="CV161" s="5"/>
      <c r="CW161" s="5">
        <f>SUMPRODUCT($D162:$D164,CW162:CW164)</f>
        <v>7.4292868879006653</v>
      </c>
      <c r="CX161" s="5">
        <f>SUMPRODUCT($D162:$D164,CX162:CX164)</f>
        <v>9.1719591208650186</v>
      </c>
    </row>
    <row r="162" spans="1:102" ht="45">
      <c r="A162" s="106"/>
      <c r="B162" s="106" t="s">
        <v>145</v>
      </c>
      <c r="C162" s="435" t="s">
        <v>121</v>
      </c>
      <c r="D162" s="435">
        <v>0.4089632728</v>
      </c>
      <c r="E162" s="435">
        <v>1074.6600000000001</v>
      </c>
      <c r="F162" s="797">
        <v>130</v>
      </c>
      <c r="G162" s="284"/>
      <c r="H162" s="1137"/>
      <c r="P162" s="1136"/>
      <c r="Q162" s="117">
        <v>0</v>
      </c>
      <c r="R162" s="797">
        <v>50</v>
      </c>
      <c r="S162" s="435">
        <v>0.79780190470707602</v>
      </c>
      <c r="T162" s="54">
        <v>10.287479169000001</v>
      </c>
      <c r="U162" s="266">
        <v>5.2030903191013403E-12</v>
      </c>
      <c r="V162" s="266">
        <v>4.9419949979659597E-12</v>
      </c>
      <c r="W162" s="266">
        <v>8.6233946025098194E-12</v>
      </c>
      <c r="X162" s="189">
        <v>1.2244562254471201E-12</v>
      </c>
      <c r="Y162" s="189">
        <v>4.7831062823681203E-11</v>
      </c>
      <c r="Z162" s="54">
        <v>1</v>
      </c>
      <c r="AA162" s="54">
        <f t="shared" ref="AA162:AB164" si="24">Z162</f>
        <v>1</v>
      </c>
      <c r="AB162" s="54">
        <f t="shared" si="24"/>
        <v>1</v>
      </c>
      <c r="AC162" s="996">
        <f>AB162/(1-'Common input data'!$E$140)</f>
        <v>1.2323770087745243</v>
      </c>
      <c r="AD162" s="435">
        <f>AC162/(1-'Common input data'!$B$178)</f>
        <v>1.5214530972524991</v>
      </c>
      <c r="AE162" t="s">
        <v>1801</v>
      </c>
      <c r="AF162" s="63" t="s">
        <v>1802</v>
      </c>
      <c r="AG162" t="s">
        <v>1803</v>
      </c>
      <c r="AH162" s="189"/>
      <c r="AI162" s="991"/>
      <c r="AJ162"/>
      <c r="AK162" s="1118" t="s">
        <v>1798</v>
      </c>
      <c r="AL162" s="1128" t="s">
        <v>1889</v>
      </c>
      <c r="AM162" t="s">
        <v>1800</v>
      </c>
      <c r="AN162" s="1128" t="s">
        <v>1889</v>
      </c>
      <c r="AO162"/>
      <c r="CM162" s="5">
        <v>4.2159791600000007</v>
      </c>
      <c r="CN162" s="5">
        <v>2.3498257801127999E-2</v>
      </c>
      <c r="CO162" s="5">
        <v>1.3963303587699999E-3</v>
      </c>
      <c r="CP162" s="5">
        <f>CM162+CN162*'Common input data'!$C$12+CO162*'Common input data'!$E$12</f>
        <v>5.2316303085746663</v>
      </c>
      <c r="CQ162" s="5">
        <f>'Common input data'!$F$19</f>
        <v>-9.1139048141381296E-2</v>
      </c>
      <c r="CR162" s="5">
        <v>0</v>
      </c>
      <c r="CS162" s="5">
        <v>0</v>
      </c>
      <c r="CT162" s="5">
        <f>SUM(CP162:CS162)</f>
        <v>5.1404912604332846</v>
      </c>
      <c r="CU162" s="5">
        <f>'Common input data'!$B$107</f>
        <v>0.05</v>
      </c>
      <c r="CV162" s="5">
        <f>'Common input data'!$B$126+'Common input data'!$C$126</f>
        <v>0.53</v>
      </c>
      <c r="CW162" s="5">
        <f>SUM(CT162:CV162)/(1-'Common input data'!$E$140)</f>
        <v>7.0498019082535794</v>
      </c>
      <c r="CX162" s="5">
        <f>CW162/(1-'Common input data'!$B$178)</f>
        <v>8.7034591459920723</v>
      </c>
    </row>
    <row r="163" spans="1:102" ht="45">
      <c r="A163" s="106"/>
      <c r="B163" s="106" t="s">
        <v>146</v>
      </c>
      <c r="C163" s="440" t="s">
        <v>121</v>
      </c>
      <c r="D163" s="435">
        <v>0.2190860208</v>
      </c>
      <c r="E163" s="435">
        <v>2123.08</v>
      </c>
      <c r="F163" s="797">
        <v>80.01869298155745</v>
      </c>
      <c r="G163" s="284"/>
      <c r="H163" s="1137"/>
      <c r="P163" s="1136"/>
      <c r="Q163" s="117">
        <v>0</v>
      </c>
      <c r="R163" s="797">
        <v>13.782251076583973</v>
      </c>
      <c r="S163" s="435">
        <v>1.3324813293756299</v>
      </c>
      <c r="T163" s="54">
        <v>11.125490683815718</v>
      </c>
      <c r="U163" s="266">
        <v>7.3036461651938907E-12</v>
      </c>
      <c r="V163" s="266">
        <v>1.0887230064277701E-11</v>
      </c>
      <c r="W163" s="266">
        <v>2.1264499027956299E-11</v>
      </c>
      <c r="X163" s="189">
        <v>9.7258997229393192E-12</v>
      </c>
      <c r="Y163" s="189">
        <v>1.7994550917344801E-10</v>
      </c>
      <c r="Z163" s="54">
        <v>1</v>
      </c>
      <c r="AA163" s="54">
        <f t="shared" si="24"/>
        <v>1</v>
      </c>
      <c r="AB163" s="54">
        <f t="shared" si="24"/>
        <v>1</v>
      </c>
      <c r="AC163" s="996">
        <f>AB163/(1-'Common input data'!$H$140)</f>
        <v>1.372193863549042</v>
      </c>
      <c r="AD163" s="435">
        <f>AC163/(1-'Common input data'!$B$178)</f>
        <v>1.6940664982086937</v>
      </c>
      <c r="AE163" t="s">
        <v>1801</v>
      </c>
      <c r="AF163" s="63" t="s">
        <v>1802</v>
      </c>
      <c r="AG163" s="1128" t="s">
        <v>1890</v>
      </c>
      <c r="AH163" s="1127"/>
      <c r="AI163" s="991"/>
      <c r="AJ163"/>
      <c r="AK163" s="1118" t="s">
        <v>1798</v>
      </c>
      <c r="AL163" s="1128" t="s">
        <v>1890</v>
      </c>
      <c r="AM163" t="s">
        <v>1800</v>
      </c>
      <c r="AN163" s="1128" t="s">
        <v>1890</v>
      </c>
      <c r="AO163"/>
      <c r="CM163" s="5">
        <v>4.1292928199999999</v>
      </c>
      <c r="CN163" s="5">
        <v>1.0860976924626E-2</v>
      </c>
      <c r="CO163" s="5">
        <v>1.5816981454999997E-3</v>
      </c>
      <c r="CP163" s="5">
        <f>CM163+CN163*'Common input data'!$C$12+CO163*'Common input data'!$E$12</f>
        <v>4.8543427906864016</v>
      </c>
      <c r="CQ163" s="5">
        <f>'Common input data'!$F$19</f>
        <v>-9.1139048141381296E-2</v>
      </c>
      <c r="CR163" s="5">
        <v>0</v>
      </c>
      <c r="CS163" s="5">
        <v>0</v>
      </c>
      <c r="CT163" s="5">
        <f>SUM(CP163:CS163)</f>
        <v>4.76320374254502</v>
      </c>
      <c r="CU163" s="5">
        <f>'Common input data'!$B$107</f>
        <v>0.05</v>
      </c>
      <c r="CV163" s="5">
        <f>'Common input data'!$B$125+'Common input data'!$C$125</f>
        <v>0.43000000000000005</v>
      </c>
      <c r="CW163" s="5">
        <f>SUM(CT163:CV163)/(1-'Common input data'!$D$140)</f>
        <v>8.5359442288075211</v>
      </c>
      <c r="CX163" s="5">
        <f>CW163/(1-'Common input data'!$B$178)</f>
        <v>10.538202751614223</v>
      </c>
    </row>
    <row r="164" spans="1:102" ht="45">
      <c r="A164" s="106"/>
      <c r="B164" s="106" t="s">
        <v>134</v>
      </c>
      <c r="C164" s="435" t="s">
        <v>121</v>
      </c>
      <c r="D164" s="435">
        <v>0.37195070640000005</v>
      </c>
      <c r="E164" s="435">
        <v>1482.28</v>
      </c>
      <c r="F164" s="797">
        <v>55.866998998013727</v>
      </c>
      <c r="G164" s="284"/>
      <c r="H164" s="1137"/>
      <c r="P164" s="1136"/>
      <c r="Q164" s="117">
        <v>0</v>
      </c>
      <c r="R164" s="797">
        <v>9.6224141934354304</v>
      </c>
      <c r="S164" s="435">
        <v>0.89826052521438204</v>
      </c>
      <c r="T164" s="54">
        <v>8.0831708907233502</v>
      </c>
      <c r="U164" s="266">
        <v>6.2533682421476151E-12</v>
      </c>
      <c r="V164" s="266">
        <v>7.9146125311218306E-12</v>
      </c>
      <c r="W164" s="266">
        <v>1.494394681523306E-11</v>
      </c>
      <c r="X164" s="189">
        <v>5.4751779741932196E-12</v>
      </c>
      <c r="Y164" s="189">
        <v>1.1388828599856461E-10</v>
      </c>
      <c r="Z164" s="54">
        <v>1</v>
      </c>
      <c r="AA164" s="54">
        <f t="shared" si="24"/>
        <v>1</v>
      </c>
      <c r="AB164" s="54">
        <f t="shared" si="24"/>
        <v>1</v>
      </c>
      <c r="AC164" s="996">
        <f>AB164/(1-'Common input data'!$I$140)</f>
        <v>1.372193863549042</v>
      </c>
      <c r="AD164" s="435">
        <f>AC164/(1-'Common input data'!$B$178)</f>
        <v>1.6940664982086937</v>
      </c>
      <c r="AE164" t="s">
        <v>1801</v>
      </c>
      <c r="AF164" s="63" t="s">
        <v>1802</v>
      </c>
      <c r="AG164" s="1128" t="s">
        <v>1891</v>
      </c>
      <c r="AH164" s="189"/>
      <c r="AI164"/>
      <c r="AJ164"/>
      <c r="AK164" s="1118" t="s">
        <v>1798</v>
      </c>
      <c r="AL164" s="1128" t="s">
        <v>1891</v>
      </c>
      <c r="AM164" t="s">
        <v>1800</v>
      </c>
      <c r="AN164" s="1128" t="s">
        <v>1891</v>
      </c>
      <c r="AO164"/>
      <c r="CM164" s="5">
        <v>4.1292928199999999</v>
      </c>
      <c r="CN164" s="5">
        <v>1.0860976924626E-2</v>
      </c>
      <c r="CO164" s="5">
        <v>1.5816981454999997E-3</v>
      </c>
      <c r="CP164" s="5">
        <f>CM164+CN164*'Common input data'!$C$12+CO164*'Common input data'!$E$12</f>
        <v>4.8543427906864016</v>
      </c>
      <c r="CQ164" s="5">
        <f>'Common input data'!$F$19</f>
        <v>-9.1139048141381296E-2</v>
      </c>
      <c r="CR164" s="5">
        <v>0</v>
      </c>
      <c r="CS164" s="5">
        <v>0</v>
      </c>
      <c r="CT164" s="5">
        <f>SUM(CP164:CS164)</f>
        <v>4.76320374254502</v>
      </c>
      <c r="CU164" s="5">
        <f>'Common input data'!$B$107</f>
        <v>0.05</v>
      </c>
      <c r="CV164" s="5">
        <f>'Common input data'!$B$128+'Common input data'!$C$128</f>
        <v>0.43000000000000005</v>
      </c>
      <c r="CW164" s="5">
        <f>SUM(CT164:CV164)/(1-'Common input data'!$I$140)</f>
        <v>7.1946920008576472</v>
      </c>
      <c r="CX164" s="5">
        <f>CW164/(1-'Common input data'!$B$178)</f>
        <v>8.8823358035279583</v>
      </c>
    </row>
    <row r="165" spans="1:102">
      <c r="A165" s="106" t="s">
        <v>196</v>
      </c>
      <c r="B165" s="106" t="s">
        <v>120</v>
      </c>
      <c r="C165" s="435" t="s">
        <v>121</v>
      </c>
      <c r="D165" s="435">
        <v>1</v>
      </c>
      <c r="E165" s="435">
        <v>2535.2137861204596</v>
      </c>
      <c r="F165" s="797">
        <v>203.53373143356669</v>
      </c>
      <c r="G165" s="284"/>
      <c r="H165" s="1137"/>
      <c r="P165" s="1136"/>
      <c r="Q165" s="117">
        <v>0</v>
      </c>
      <c r="R165" s="797"/>
      <c r="S165" s="435">
        <v>1.9636502476060862</v>
      </c>
      <c r="U165" s="266">
        <v>3.1805767817575445E-12</v>
      </c>
      <c r="V165" s="266">
        <v>4.2016943036676176E-12</v>
      </c>
      <c r="W165" s="266">
        <v>4.8861199381445944E-12</v>
      </c>
      <c r="X165" s="189">
        <v>3.099388030348311E-12</v>
      </c>
      <c r="Y165" s="189">
        <v>2.3053494761104041E-10</v>
      </c>
      <c r="Z165" s="54"/>
      <c r="AA165" s="54"/>
      <c r="AB165" s="54"/>
      <c r="AC165" s="435"/>
      <c r="AD165" s="435"/>
      <c r="AE165" s="54"/>
      <c r="AF165" s="54"/>
      <c r="AG165" s="189"/>
      <c r="AH165" s="189"/>
      <c r="AI165" s="991"/>
      <c r="AJ165"/>
      <c r="AK165" s="1118"/>
      <c r="AL165"/>
      <c r="AO165"/>
      <c r="AP165" s="54">
        <f>1/E165*10^4</f>
        <v>3.9444405259812885</v>
      </c>
      <c r="AQ165" s="54">
        <f>$AP165*Z165</f>
        <v>0</v>
      </c>
      <c r="AR165" s="54">
        <f>$AP165*AA165</f>
        <v>0</v>
      </c>
      <c r="AS165" s="54">
        <f>$AP165*AB165</f>
        <v>0</v>
      </c>
      <c r="AT165" s="54">
        <f>$AP165*AC165</f>
        <v>0</v>
      </c>
      <c r="AU165" s="54">
        <f>$AP165*AD165</f>
        <v>0</v>
      </c>
      <c r="AV165"/>
      <c r="AW165" s="189">
        <f>SUM(F165,AE165)/E165</f>
        <v>8.0282669867075218E-2</v>
      </c>
      <c r="AX165" s="189">
        <f>$AW165*Z165</f>
        <v>0</v>
      </c>
      <c r="AY165" s="189">
        <f>$AW165*AA165</f>
        <v>0</v>
      </c>
      <c r="AZ165" s="189">
        <f>$AW165*AB165</f>
        <v>0</v>
      </c>
      <c r="BA165" s="189">
        <f>$AW165*AC165</f>
        <v>0</v>
      </c>
      <c r="BB165" s="189">
        <f>$AW165*AD165</f>
        <v>0</v>
      </c>
      <c r="BC165"/>
      <c r="BD165" s="189">
        <f>R165/E165</f>
        <v>0</v>
      </c>
      <c r="BE165" s="189">
        <f>$BD165*Z165</f>
        <v>0</v>
      </c>
      <c r="BF165" s="189">
        <f>$BD165*AA165</f>
        <v>0</v>
      </c>
      <c r="BG165" s="189">
        <f>$BD165*AB165</f>
        <v>0</v>
      </c>
      <c r="BH165" s="189">
        <f>$BD165*AC165</f>
        <v>0</v>
      </c>
      <c r="BI165" s="189">
        <f>$BD165*AD165</f>
        <v>0</v>
      </c>
      <c r="BK165" s="189">
        <f>S165</f>
        <v>1.9636502476060862</v>
      </c>
      <c r="BL165" s="189">
        <f>$BK165*Z165</f>
        <v>0</v>
      </c>
      <c r="BM165" s="189">
        <f>$BK165*AA165</f>
        <v>0</v>
      </c>
      <c r="BN165" s="189">
        <f>$BK165*AB165</f>
        <v>0</v>
      </c>
      <c r="BO165" s="189">
        <f>$BK165*AC165</f>
        <v>0</v>
      </c>
      <c r="BP165" s="189">
        <f>$BK165*AD165</f>
        <v>0</v>
      </c>
      <c r="BQ165" s="189"/>
      <c r="BR165" s="189">
        <f>(SUM(U165:Y165)*AP165)/('Common input data'!$B$192/10^6)</f>
        <v>2.3889773170773176E-9</v>
      </c>
      <c r="BS165" s="189">
        <f>$BR165*Z165</f>
        <v>0</v>
      </c>
      <c r="BT165" s="189">
        <f>$BR165*AA165</f>
        <v>0</v>
      </c>
      <c r="BU165" s="189">
        <f>$BR165*AB165</f>
        <v>0</v>
      </c>
      <c r="BV165" s="189">
        <f>$BR165*AC165</f>
        <v>0</v>
      </c>
      <c r="BW165" s="189">
        <f>$BR165*AD165</f>
        <v>0</v>
      </c>
      <c r="BY165" s="189">
        <f>T165/E165</f>
        <v>0</v>
      </c>
      <c r="BZ165" s="189">
        <f>$BY165*Z165</f>
        <v>0</v>
      </c>
      <c r="CA165" s="189">
        <f>$BY165*AA165</f>
        <v>0</v>
      </c>
      <c r="CB165" s="189">
        <f>$BY165*AB165</f>
        <v>0</v>
      </c>
      <c r="CC165" s="189">
        <f>$BY165*AC165</f>
        <v>0</v>
      </c>
      <c r="CD165" s="189">
        <f>$BY165*AD165</f>
        <v>0</v>
      </c>
      <c r="CF165" s="189">
        <f>(F165/E165*'Common input data'!$B$195+G165/E165*'Common input data'!$B$196)/'Common input data'!$B$198</f>
        <v>2.0499162676254241E-3</v>
      </c>
      <c r="CG165" s="189">
        <f>$CF165*Z165</f>
        <v>0</v>
      </c>
      <c r="CH165" s="189">
        <f>$CF165*AA165</f>
        <v>0</v>
      </c>
      <c r="CI165" s="189">
        <f>$CF165*AB165</f>
        <v>0</v>
      </c>
      <c r="CJ165" s="189">
        <f>$CF165*AC165</f>
        <v>0</v>
      </c>
      <c r="CK165" s="189">
        <f>$CF165*AD165</f>
        <v>0</v>
      </c>
      <c r="CM165" s="5"/>
      <c r="CN165" s="5"/>
      <c r="CO165" s="5"/>
      <c r="CP165" s="5"/>
      <c r="CQ165" s="5"/>
      <c r="CR165" s="5"/>
      <c r="CS165" s="5"/>
      <c r="CT165" s="5"/>
      <c r="CU165" s="5"/>
      <c r="CV165" s="5"/>
      <c r="CW165" s="5">
        <f>SUMPRODUCT($D166:$D167,CW166:CW167)</f>
        <v>4.4871913780850665</v>
      </c>
      <c r="CX165" s="5">
        <f>SUMPRODUCT($D166:$D167,CX166:CX167)</f>
        <v>5.5397424420803292</v>
      </c>
    </row>
    <row r="166" spans="1:102" ht="45">
      <c r="A166" s="106"/>
      <c r="B166" s="106" t="s">
        <v>149</v>
      </c>
      <c r="C166" s="435" t="s">
        <v>121</v>
      </c>
      <c r="D166" s="435">
        <v>0.42976093768132761</v>
      </c>
      <c r="E166" s="435">
        <v>3995.06</v>
      </c>
      <c r="F166" s="797">
        <v>322.18225806451613</v>
      </c>
      <c r="G166" s="284"/>
      <c r="H166" s="1137"/>
      <c r="P166" s="1136"/>
      <c r="Q166" s="117">
        <v>0</v>
      </c>
      <c r="R166" s="797">
        <v>0</v>
      </c>
      <c r="S166" s="435">
        <v>2.03751193918478</v>
      </c>
      <c r="T166" s="54">
        <v>8.1391354838709677</v>
      </c>
      <c r="U166" s="266">
        <v>2.9439715025713399E-12</v>
      </c>
      <c r="V166" s="266">
        <v>4.8477088851861698E-12</v>
      </c>
      <c r="W166" s="266">
        <v>5.2903295905443303E-12</v>
      </c>
      <c r="X166" s="189">
        <v>1.3897687987919499E-12</v>
      </c>
      <c r="Y166" s="189">
        <v>5.5159397779402299E-11</v>
      </c>
      <c r="Z166" s="54">
        <v>1</v>
      </c>
      <c r="AA166" s="54">
        <f>$P$276</f>
        <v>2.2222222222222223</v>
      </c>
      <c r="AB166" s="54">
        <f>AA166</f>
        <v>2.2222222222222223</v>
      </c>
      <c r="AC166" s="996">
        <f>AB166/(1-'Common input data'!$C$143)</f>
        <v>2.36280938035324</v>
      </c>
      <c r="AD166" s="435">
        <f>AC166/(1-'Common input data'!$B$177)</f>
        <v>2.4612597712012918</v>
      </c>
      <c r="AE166" t="s">
        <v>1801</v>
      </c>
      <c r="AF166" s="63" t="s">
        <v>1802</v>
      </c>
      <c r="AG166" s="1128" t="s">
        <v>1892</v>
      </c>
      <c r="AH166" s="189"/>
      <c r="AI166"/>
      <c r="AJ166"/>
      <c r="AK166" s="1118" t="s">
        <v>1798</v>
      </c>
      <c r="AL166" s="1128" t="s">
        <v>1892</v>
      </c>
      <c r="AM166" t="s">
        <v>1800</v>
      </c>
      <c r="AN166" s="1128" t="s">
        <v>1892</v>
      </c>
      <c r="AO166"/>
      <c r="CM166" s="5">
        <v>1.9103286099999999</v>
      </c>
      <c r="CN166" s="5">
        <v>6.2727409641729999E-3</v>
      </c>
      <c r="CO166" s="5">
        <v>3.1787421855899996E-3</v>
      </c>
      <c r="CP166" s="5">
        <f>CM166+CN166*'Common input data'!$C$12+CO166*'Common input data'!$E$12</f>
        <v>2.9474892326987407</v>
      </c>
      <c r="CQ166" s="5">
        <f>'Common input data'!$F$19</f>
        <v>-9.1139048141381296E-2</v>
      </c>
      <c r="CR166" s="5">
        <v>0</v>
      </c>
      <c r="CS166" s="5">
        <v>0</v>
      </c>
      <c r="CT166" s="5">
        <f>SUM(CP166:CS166)</f>
        <v>2.8563501845573596</v>
      </c>
      <c r="CU166" s="5">
        <f>'Common input data'!$B$105</f>
        <v>0.05</v>
      </c>
      <c r="CV166" s="5">
        <f>'Common input data'!$B$123+'Common input data'!$C$123</f>
        <v>0.32999999999999996</v>
      </c>
      <c r="CW166" s="5">
        <f>SUM(CT166:CV166)/(1-'Common input data'!$C$140)</f>
        <v>3.8222200781336917</v>
      </c>
      <c r="CX166" s="5">
        <f>CW166/(1-'Common input data'!$B$178)</f>
        <v>4.7187902199181373</v>
      </c>
    </row>
    <row r="167" spans="1:102" ht="45">
      <c r="A167" s="106"/>
      <c r="B167" s="106" t="s">
        <v>134</v>
      </c>
      <c r="C167" s="435" t="s">
        <v>121</v>
      </c>
      <c r="D167" s="435">
        <v>0.57023906231867239</v>
      </c>
      <c r="E167" s="435">
        <v>1435</v>
      </c>
      <c r="F167" s="797">
        <v>114.11421349999999</v>
      </c>
      <c r="G167" s="284"/>
      <c r="H167" s="1137"/>
      <c r="P167" s="1136"/>
      <c r="Q167" s="117">
        <v>0</v>
      </c>
      <c r="R167" s="797">
        <v>0</v>
      </c>
      <c r="S167" s="435">
        <v>1.90798434898715</v>
      </c>
      <c r="T167" s="54">
        <v>4.0479787096774196</v>
      </c>
      <c r="U167" s="266">
        <v>3.3588944617669699E-12</v>
      </c>
      <c r="V167" s="266">
        <v>3.714825110279965E-12</v>
      </c>
      <c r="W167" s="266">
        <v>4.5814871433851296E-12</v>
      </c>
      <c r="X167" s="189">
        <v>4.3878433687886252E-12</v>
      </c>
      <c r="Y167" s="189">
        <v>3.6270681327657365E-10</v>
      </c>
      <c r="Z167" s="54">
        <v>1</v>
      </c>
      <c r="AA167" s="54">
        <f>$P$276</f>
        <v>2.2222222222222223</v>
      </c>
      <c r="AB167" s="54">
        <f>AA167</f>
        <v>2.2222222222222223</v>
      </c>
      <c r="AC167" s="996">
        <f>AB167/(1-'Common input data'!$I$143)</f>
        <v>2.5125015797353685</v>
      </c>
      <c r="AD167" s="435">
        <f>AC167/(1-'Common input data'!$B$177)</f>
        <v>2.6171891455576755</v>
      </c>
      <c r="AE167" t="s">
        <v>1801</v>
      </c>
      <c r="AF167" s="63" t="s">
        <v>1802</v>
      </c>
      <c r="AG167" s="1128" t="s">
        <v>1893</v>
      </c>
      <c r="AH167" s="189"/>
      <c r="AI167" s="991"/>
      <c r="AJ167"/>
      <c r="AK167" s="1118" t="s">
        <v>1798</v>
      </c>
      <c r="AL167" s="1128" t="s">
        <v>1893</v>
      </c>
      <c r="AM167" t="s">
        <v>1800</v>
      </c>
      <c r="AN167" s="1128" t="s">
        <v>1893</v>
      </c>
      <c r="AO167"/>
      <c r="CM167" s="5">
        <v>2.14762371</v>
      </c>
      <c r="CN167" s="5">
        <v>9.0107059648839999E-3</v>
      </c>
      <c r="CO167" s="5">
        <v>3.1338251414999999E-3</v>
      </c>
      <c r="CP167" s="5">
        <f>CM167+CN167*'Common input data'!$C$12+CO167*'Common input data'!$E$12</f>
        <v>3.2464470346813679</v>
      </c>
      <c r="CQ167" s="5">
        <f>'Common input data'!$F$19</f>
        <v>-9.1139048141381296E-2</v>
      </c>
      <c r="CR167" s="5">
        <v>0</v>
      </c>
      <c r="CS167" s="5">
        <v>0</v>
      </c>
      <c r="CT167" s="5">
        <f>SUM(CP167:CS167)</f>
        <v>3.1553079865399867</v>
      </c>
      <c r="CU167" s="5">
        <f>'Common input data'!$B$105</f>
        <v>0.05</v>
      </c>
      <c r="CV167" s="5">
        <f>'Common input data'!$B$128+'Common input data'!$C$128</f>
        <v>0.43000000000000005</v>
      </c>
      <c r="CW167" s="5">
        <f>SUM(CT167:CV167)/(1-'Common input data'!$I$140)</f>
        <v>4.9883473112409931</v>
      </c>
      <c r="CX167" s="5">
        <f>CW167/(1-'Common input data'!$B$178)</f>
        <v>6.1584534706678919</v>
      </c>
    </row>
    <row r="168" spans="1:102">
      <c r="A168" s="106" t="s">
        <v>500</v>
      </c>
      <c r="B168" s="106" t="s">
        <v>120</v>
      </c>
      <c r="C168" s="435" t="s">
        <v>121</v>
      </c>
      <c r="D168" s="435">
        <v>1</v>
      </c>
      <c r="E168" s="435">
        <v>17338.339501810977</v>
      </c>
      <c r="F168" s="797">
        <v>134.97436702661767</v>
      </c>
      <c r="G168" s="284"/>
      <c r="H168" s="1137"/>
      <c r="P168" s="1136"/>
      <c r="Q168" s="117">
        <f>SUMPRODUCT($D$124:$D$125,Q169:Q170)</f>
        <v>0</v>
      </c>
      <c r="R168" s="797">
        <v>71.696818996044598</v>
      </c>
      <c r="S168" s="435">
        <v>4.5592425738490688E-3</v>
      </c>
      <c r="U168" s="266">
        <v>5.2030903191013403E-12</v>
      </c>
      <c r="V168" s="266">
        <v>4.9419949979659597E-12</v>
      </c>
      <c r="W168" s="266">
        <v>8.6233946025098194E-12</v>
      </c>
      <c r="X168" s="189">
        <v>1.2244562254471201E-12</v>
      </c>
      <c r="Y168" s="189">
        <v>4.7831062823681203E-11</v>
      </c>
      <c r="Z168" s="54"/>
      <c r="AA168" s="54"/>
      <c r="AB168" s="54"/>
      <c r="AC168" s="435"/>
      <c r="AD168" s="435"/>
      <c r="AE168" s="54"/>
      <c r="AF168" s="54"/>
      <c r="AG168" s="800"/>
      <c r="AH168" s="189"/>
      <c r="AI168" s="991"/>
      <c r="AJ168"/>
      <c r="AK168" s="1118"/>
      <c r="AL168"/>
      <c r="AO168"/>
      <c r="AP168" s="54">
        <f>1/E168*10^4</f>
        <v>0.57675649960340825</v>
      </c>
      <c r="AQ168" s="54">
        <f>$AP168*Z168</f>
        <v>0</v>
      </c>
      <c r="AR168" s="54">
        <f>$AP168*AA168</f>
        <v>0</v>
      </c>
      <c r="AS168" s="54">
        <f>$AP168*AB168</f>
        <v>0</v>
      </c>
      <c r="AT168" s="54">
        <f>$AP168*AC168</f>
        <v>0</v>
      </c>
      <c r="AU168" s="54">
        <f>$AP168*AD168</f>
        <v>0</v>
      </c>
      <c r="AV168"/>
      <c r="AW168" s="189">
        <f>SUM(F168,AE168)/E168</f>
        <v>7.7847343462457697E-3</v>
      </c>
      <c r="AX168" s="189">
        <f>$AW168*Z168</f>
        <v>0</v>
      </c>
      <c r="AY168" s="189">
        <f>$AW168*AA168</f>
        <v>0</v>
      </c>
      <c r="AZ168" s="189">
        <f>$AW168*AB168</f>
        <v>0</v>
      </c>
      <c r="BA168" s="189">
        <f>$AW168*AC168</f>
        <v>0</v>
      </c>
      <c r="BB168" s="189">
        <f>$AW168*AD168</f>
        <v>0</v>
      </c>
      <c r="BC168"/>
      <c r="BD168" s="189">
        <f>R168/E168</f>
        <v>4.1351606356857832E-3</v>
      </c>
      <c r="BE168" s="189">
        <f>$BD168*Z168</f>
        <v>0</v>
      </c>
      <c r="BF168" s="189">
        <f>$BD168*AA168</f>
        <v>0</v>
      </c>
      <c r="BG168" s="189">
        <f>$BD168*AB168</f>
        <v>0</v>
      </c>
      <c r="BH168" s="189">
        <f>$BD168*AC168</f>
        <v>0</v>
      </c>
      <c r="BI168" s="189">
        <f>$BD168*AD168</f>
        <v>0</v>
      </c>
      <c r="BK168" s="189">
        <f>S168</f>
        <v>4.5592425738490688E-3</v>
      </c>
      <c r="BL168" s="189">
        <f>$BK168*Z168</f>
        <v>0</v>
      </c>
      <c r="BM168" s="189">
        <f>$BK168*AA168</f>
        <v>0</v>
      </c>
      <c r="BN168" s="189">
        <f>$BK168*AB168</f>
        <v>0</v>
      </c>
      <c r="BO168" s="189">
        <f>$BK168*AC168</f>
        <v>0</v>
      </c>
      <c r="BP168" s="189">
        <f>$BK168*AD168</f>
        <v>0</v>
      </c>
      <c r="BQ168" s="189"/>
      <c r="BR168" s="189">
        <f>(SUM(U168:Y168)*AP168)/('Common input data'!$B$192/10^6)</f>
        <v>9.6347213699898334E-11</v>
      </c>
      <c r="BS168" s="189">
        <f>$BR168*Z168</f>
        <v>0</v>
      </c>
      <c r="BT168" s="189">
        <f>$BR168*AA168</f>
        <v>0</v>
      </c>
      <c r="BU168" s="189">
        <f>$BR168*AB168</f>
        <v>0</v>
      </c>
      <c r="BV168" s="189">
        <f>$BR168*AC168</f>
        <v>0</v>
      </c>
      <c r="BW168" s="189">
        <f>$BR168*AD168</f>
        <v>0</v>
      </c>
      <c r="BY168" s="189">
        <f>T168/E168</f>
        <v>0</v>
      </c>
      <c r="BZ168" s="189">
        <f>$BY168*Z168</f>
        <v>0</v>
      </c>
      <c r="CA168" s="189">
        <f>$BY168*AA168</f>
        <v>0</v>
      </c>
      <c r="CB168" s="189">
        <f>$BY168*AB168</f>
        <v>0</v>
      </c>
      <c r="CC168" s="189">
        <f>$BY168*AC168</f>
        <v>0</v>
      </c>
      <c r="CD168" s="189">
        <f>$BY168*AD168</f>
        <v>0</v>
      </c>
      <c r="CF168" s="189">
        <f>(F168/E168*'Common input data'!$B$195+G168/E168*'Common input data'!$B$196)/'Common input data'!$B$198</f>
        <v>1.9877332931171168E-4</v>
      </c>
      <c r="CG168" s="189">
        <f>$CF168*Z168</f>
        <v>0</v>
      </c>
      <c r="CH168" s="189">
        <f>$CF168*AA168</f>
        <v>0</v>
      </c>
      <c r="CI168" s="189">
        <f>$CF168*AB168</f>
        <v>0</v>
      </c>
      <c r="CJ168" s="189">
        <f>$CF168*AC168</f>
        <v>0</v>
      </c>
      <c r="CK168" s="189">
        <f>$CF168*AD168</f>
        <v>0</v>
      </c>
      <c r="CM168" s="5"/>
      <c r="CN168" s="5"/>
      <c r="CO168" s="5"/>
      <c r="CP168" s="5"/>
      <c r="CQ168" s="5"/>
      <c r="CR168" s="5"/>
      <c r="CS168" s="5"/>
      <c r="CT168" s="5"/>
      <c r="CU168" s="5"/>
      <c r="CV168" s="5"/>
      <c r="CW168" s="5"/>
      <c r="CX168" s="5"/>
    </row>
    <row r="169" spans="1:102" ht="45">
      <c r="A169" s="106"/>
      <c r="B169" s="106" t="s">
        <v>145</v>
      </c>
      <c r="C169" s="435" t="s">
        <v>121</v>
      </c>
      <c r="D169" s="435">
        <v>0.58868589580958097</v>
      </c>
      <c r="E169" s="435">
        <v>21419.760000000002</v>
      </c>
      <c r="F169" s="797">
        <v>125</v>
      </c>
      <c r="G169" s="300"/>
      <c r="H169" s="1137"/>
      <c r="P169" s="1136"/>
      <c r="Q169" s="117">
        <v>0</v>
      </c>
      <c r="R169" s="797">
        <v>50</v>
      </c>
      <c r="S169" s="435">
        <v>4.0092352696275806E-3</v>
      </c>
      <c r="T169" s="1135"/>
      <c r="U169" s="266">
        <v>5.2030903191013403E-12</v>
      </c>
      <c r="V169" s="266">
        <v>4.9419949979659597E-12</v>
      </c>
      <c r="W169" s="266">
        <v>8.6233946025098194E-12</v>
      </c>
      <c r="X169" s="189">
        <v>1.2244562254471201E-12</v>
      </c>
      <c r="Y169" s="189">
        <v>4.7831062823681203E-11</v>
      </c>
      <c r="Z169" s="54">
        <v>1</v>
      </c>
      <c r="AA169" s="54">
        <f>Z169</f>
        <v>1</v>
      </c>
      <c r="AB169" s="54">
        <f>AA169</f>
        <v>1</v>
      </c>
      <c r="AC169" s="996">
        <f>AB169/(1-'Common input data'!$E$142)</f>
        <v>1.360238857943455</v>
      </c>
      <c r="AD169" s="435">
        <f>AC169/(1-'Common input data'!$B$176)</f>
        <v>1.638841997522235</v>
      </c>
      <c r="AE169" t="s">
        <v>1801</v>
      </c>
      <c r="AF169" s="63" t="s">
        <v>1802</v>
      </c>
      <c r="AG169" t="s">
        <v>1803</v>
      </c>
      <c r="AH169" s="189"/>
      <c r="AI169" s="991"/>
      <c r="AJ169"/>
      <c r="AK169" s="1118" t="s">
        <v>1798</v>
      </c>
      <c r="AL169"/>
      <c r="AM169" t="s">
        <v>1800</v>
      </c>
      <c r="AN169" s="1128"/>
      <c r="AO169"/>
      <c r="CM169" s="5"/>
      <c r="CN169" s="5"/>
      <c r="CO169" s="5"/>
      <c r="CP169" s="5"/>
      <c r="CQ169" s="5"/>
      <c r="CR169" s="5"/>
      <c r="CS169" s="5"/>
      <c r="CT169" s="5"/>
      <c r="CU169" s="5"/>
      <c r="CV169" s="5"/>
      <c r="CW169" s="5"/>
      <c r="CX169" s="5"/>
    </row>
    <row r="170" spans="1:102" ht="45">
      <c r="A170" s="106"/>
      <c r="B170" s="106" t="s">
        <v>134</v>
      </c>
      <c r="C170" s="435" t="s">
        <v>121</v>
      </c>
      <c r="D170" s="435">
        <v>0.41131410419041903</v>
      </c>
      <c r="E170" s="435">
        <v>11496.880000000001</v>
      </c>
      <c r="F170" s="797">
        <v>125</v>
      </c>
      <c r="G170" s="284"/>
      <c r="H170" s="1137"/>
      <c r="P170" s="1136"/>
      <c r="Q170" s="117">
        <v>0</v>
      </c>
      <c r="R170" s="797">
        <v>102.75</v>
      </c>
      <c r="S170" s="435">
        <v>5.3464306116255298E-3</v>
      </c>
      <c r="T170" s="1135"/>
      <c r="U170" s="266">
        <v>5.2030903191013403E-12</v>
      </c>
      <c r="V170" s="266">
        <v>4.9419949979659597E-12</v>
      </c>
      <c r="W170" s="266">
        <v>8.6233946025098194E-12</v>
      </c>
      <c r="X170" s="189">
        <v>1.2244562254471201E-12</v>
      </c>
      <c r="Y170" s="189">
        <v>4.7831062823681203E-11</v>
      </c>
      <c r="Z170" s="54">
        <v>1</v>
      </c>
      <c r="AA170" s="54">
        <f>Z170</f>
        <v>1</v>
      </c>
      <c r="AB170" s="54">
        <f>AA170</f>
        <v>1</v>
      </c>
      <c r="AC170" s="996">
        <f>AB170/(1-'Common input data'!$I$142)</f>
        <v>1.429942130241989</v>
      </c>
      <c r="AD170" s="435">
        <f>AC170/(1-'Common input data'!$B$176)</f>
        <v>1.7228218436650471</v>
      </c>
      <c r="AE170" t="s">
        <v>1801</v>
      </c>
      <c r="AF170" s="63" t="s">
        <v>1802</v>
      </c>
      <c r="AG170" s="800" t="s">
        <v>1894</v>
      </c>
      <c r="AH170" s="189"/>
      <c r="AI170" s="991"/>
      <c r="AJ170"/>
      <c r="AK170" s="1118" t="s">
        <v>1798</v>
      </c>
      <c r="AL170"/>
      <c r="AM170" t="s">
        <v>1800</v>
      </c>
      <c r="AN170" s="1128"/>
      <c r="AO170"/>
      <c r="CM170" s="5"/>
      <c r="CN170" s="5"/>
      <c r="CO170" s="5"/>
      <c r="CP170" s="5"/>
      <c r="CQ170" s="5"/>
      <c r="CR170" s="5"/>
      <c r="CS170" s="5"/>
      <c r="CT170" s="5"/>
      <c r="CU170" s="5"/>
      <c r="CV170" s="5"/>
      <c r="CW170" s="5"/>
      <c r="CX170" s="5"/>
    </row>
    <row r="171" spans="1:102">
      <c r="A171" s="106" t="s">
        <v>641</v>
      </c>
      <c r="B171" s="106" t="s">
        <v>120</v>
      </c>
      <c r="C171" s="440" t="s">
        <v>121</v>
      </c>
      <c r="D171" s="435">
        <v>1</v>
      </c>
      <c r="E171" s="435">
        <v>3003.0329056525061</v>
      </c>
      <c r="F171" s="797">
        <v>15.04965336688443</v>
      </c>
      <c r="G171" s="284"/>
      <c r="H171" s="1137"/>
      <c r="P171" s="1136"/>
      <c r="Q171" s="117">
        <f>SUMPRODUCT($D$127:$D$130,Q172:Q175)</f>
        <v>248.75581045610002</v>
      </c>
      <c r="R171" s="797">
        <v>39.672472714319028</v>
      </c>
      <c r="S171" s="435">
        <v>4.6629121136329318E-2</v>
      </c>
      <c r="U171" s="266">
        <v>6.7704158545103709E-12</v>
      </c>
      <c r="V171" s="266">
        <v>8.9540226035991817E-12</v>
      </c>
      <c r="W171" s="266">
        <v>1.1242202327508579E-11</v>
      </c>
      <c r="X171" s="189">
        <v>1.1987086059227903E-12</v>
      </c>
      <c r="Y171" s="189">
        <v>6.8739306823723838E-11</v>
      </c>
      <c r="Z171" s="54"/>
      <c r="AA171" s="54"/>
      <c r="AB171" s="54"/>
      <c r="AC171" s="435"/>
      <c r="AD171" s="435"/>
      <c r="AE171" s="54"/>
      <c r="AF171" s="54"/>
      <c r="AG171" s="800"/>
      <c r="AH171" s="189"/>
      <c r="AI171"/>
      <c r="AJ171" t="s">
        <v>1805</v>
      </c>
      <c r="AK171" s="1118"/>
      <c r="AL171"/>
      <c r="AO171"/>
      <c r="AP171" s="54">
        <f>1/E171*10^4</f>
        <v>3.3299668415811698</v>
      </c>
      <c r="AQ171" s="54">
        <f>$AP171*Z171</f>
        <v>0</v>
      </c>
      <c r="AR171" s="54">
        <f>$AP171*AA171</f>
        <v>0</v>
      </c>
      <c r="AS171" s="54">
        <f>$AP171*AB171</f>
        <v>0</v>
      </c>
      <c r="AT171" s="54">
        <f>$AP171*AC171</f>
        <v>0</v>
      </c>
      <c r="AU171" s="54">
        <f>$AP171*AD171</f>
        <v>0</v>
      </c>
      <c r="AV171"/>
      <c r="AW171" s="189">
        <f>SUM(F171,AE171)/E171</f>
        <v>5.0114846689015566E-3</v>
      </c>
      <c r="AX171" s="189">
        <f>$AW171*Z171</f>
        <v>0</v>
      </c>
      <c r="AY171" s="189">
        <f>$AW171*AA171</f>
        <v>0</v>
      </c>
      <c r="AZ171" s="189">
        <f>$AW171*AB171</f>
        <v>0</v>
      </c>
      <c r="BA171" s="189">
        <f>$AW171*AC171</f>
        <v>0</v>
      </c>
      <c r="BB171" s="189">
        <f>$AW171*AD171</f>
        <v>0</v>
      </c>
      <c r="BC171"/>
      <c r="BD171" s="189">
        <f>R171/E171</f>
        <v>1.321080186622161E-2</v>
      </c>
      <c r="BE171" s="189">
        <f>$BD171*Z171</f>
        <v>0</v>
      </c>
      <c r="BF171" s="189">
        <f>$BD171*AA171</f>
        <v>0</v>
      </c>
      <c r="BG171" s="189">
        <f>$BD171*AB171</f>
        <v>0</v>
      </c>
      <c r="BH171" s="189">
        <f>$BD171*AC171</f>
        <v>0</v>
      </c>
      <c r="BI171" s="189">
        <f>$BD171*AD171</f>
        <v>0</v>
      </c>
      <c r="BK171" s="189">
        <f>S171</f>
        <v>4.6629121136329318E-2</v>
      </c>
      <c r="BL171" s="189">
        <f>$BK171*Z171</f>
        <v>0</v>
      </c>
      <c r="BM171" s="189">
        <f>$BK171*AA171</f>
        <v>0</v>
      </c>
      <c r="BN171" s="189">
        <f>$BK171*AB171</f>
        <v>0</v>
      </c>
      <c r="BO171" s="189">
        <f>$BK171*AC171</f>
        <v>0</v>
      </c>
      <c r="BP171" s="189">
        <f>$BK171*AD171</f>
        <v>0</v>
      </c>
      <c r="BQ171" s="189"/>
      <c r="BR171" s="189">
        <f>(SUM(U171:Y171)*AP171)/('Common input data'!$B$192/10^6)</f>
        <v>7.94781635899742E-10</v>
      </c>
      <c r="BS171" s="189">
        <f>$BR171*Z171</f>
        <v>0</v>
      </c>
      <c r="BT171" s="189">
        <f>$BR171*AA171</f>
        <v>0</v>
      </c>
      <c r="BU171" s="189">
        <f>$BR171*AB171</f>
        <v>0</v>
      </c>
      <c r="BV171" s="189">
        <f>$BR171*AC171</f>
        <v>0</v>
      </c>
      <c r="BW171" s="189">
        <f>$BR171*AD171</f>
        <v>0</v>
      </c>
      <c r="BY171" s="189">
        <f>T171/E171</f>
        <v>0</v>
      </c>
      <c r="BZ171" s="189">
        <f>$BY171*Z171</f>
        <v>0</v>
      </c>
      <c r="CA171" s="189">
        <f>$BY171*AA171</f>
        <v>0</v>
      </c>
      <c r="CB171" s="189">
        <f>$BY171*AB171</f>
        <v>0</v>
      </c>
      <c r="CC171" s="189">
        <f>$BY171*AC171</f>
        <v>0</v>
      </c>
      <c r="CD171" s="189">
        <f>$BY171*AD171</f>
        <v>0</v>
      </c>
      <c r="CF171" s="189">
        <f>(F171/E171*'Common input data'!$B$195+G171/E171*'Common input data'!$B$196)/'Common input data'!$B$198</f>
        <v>1.2796191213802459E-4</v>
      </c>
      <c r="CG171" s="189">
        <f>$CF171*Z171</f>
        <v>0</v>
      </c>
      <c r="CH171" s="189">
        <f>$CF171*AA171</f>
        <v>0</v>
      </c>
      <c r="CI171" s="189">
        <f>$CF171*AB171</f>
        <v>0</v>
      </c>
      <c r="CJ171" s="189">
        <f>$CF171*AC171</f>
        <v>0</v>
      </c>
      <c r="CK171" s="189">
        <f>$CF171*AD171</f>
        <v>0</v>
      </c>
      <c r="CM171" s="5"/>
      <c r="CN171" s="5"/>
      <c r="CO171" s="5"/>
      <c r="CP171" s="5"/>
      <c r="CQ171" s="5"/>
      <c r="CR171" s="5"/>
      <c r="CS171" s="5"/>
      <c r="CT171" s="5"/>
      <c r="CU171" s="5"/>
      <c r="CV171" s="5"/>
      <c r="CW171" s="5"/>
      <c r="CX171" s="5"/>
    </row>
    <row r="172" spans="1:102" ht="45">
      <c r="A172" s="106"/>
      <c r="B172" s="106" t="s">
        <v>149</v>
      </c>
      <c r="C172" s="435" t="s">
        <v>121</v>
      </c>
      <c r="D172" s="435">
        <v>0.32707280280000001</v>
      </c>
      <c r="E172" s="435">
        <v>3239</v>
      </c>
      <c r="F172" s="797">
        <v>30</v>
      </c>
      <c r="G172" s="300"/>
      <c r="H172" s="1137"/>
      <c r="P172" s="1136"/>
      <c r="Q172" s="40">
        <v>207</v>
      </c>
      <c r="R172" s="797">
        <v>60</v>
      </c>
      <c r="S172" s="435">
        <v>9.2364702723536099E-2</v>
      </c>
      <c r="T172" s="54">
        <v>1.6842799999999998</v>
      </c>
      <c r="U172" s="266">
        <v>2.9439715025713399E-12</v>
      </c>
      <c r="V172" s="266">
        <v>4.8477088851861698E-12</v>
      </c>
      <c r="W172" s="266">
        <v>5.2903295905443303E-12</v>
      </c>
      <c r="X172" s="189">
        <v>1.3897687987919499E-12</v>
      </c>
      <c r="Y172" s="189">
        <v>5.5159397779402299E-11</v>
      </c>
      <c r="Z172" s="54">
        <v>1</v>
      </c>
      <c r="AA172" s="54">
        <f t="shared" ref="AA172:AB175" si="25">Z172</f>
        <v>1</v>
      </c>
      <c r="AB172" s="54">
        <f t="shared" si="25"/>
        <v>1</v>
      </c>
      <c r="AC172" s="996">
        <f>AB172/(1-'Common input data'!$C$143)</f>
        <v>1.063264221158958</v>
      </c>
      <c r="AD172" s="435">
        <f>AC172/(1-'Common input data'!$B$177)</f>
        <v>1.1075668970405814</v>
      </c>
      <c r="AE172" t="s">
        <v>1875</v>
      </c>
      <c r="AF172" s="63" t="s">
        <v>1802</v>
      </c>
      <c r="AG172" t="s">
        <v>1803</v>
      </c>
      <c r="AH172" s="189"/>
      <c r="AI172" s="991"/>
      <c r="AJ172" t="s">
        <v>1805</v>
      </c>
      <c r="AK172" s="1118" t="s">
        <v>1798</v>
      </c>
      <c r="AL172" s="1128" t="s">
        <v>1895</v>
      </c>
      <c r="AM172" t="s">
        <v>1800</v>
      </c>
      <c r="AN172" s="1128" t="s">
        <v>1895</v>
      </c>
      <c r="AO172"/>
      <c r="CM172" s="5">
        <v>0.18547241203780995</v>
      </c>
      <c r="CN172" s="5">
        <v>2.4378118117000003E-4</v>
      </c>
      <c r="CO172" s="5">
        <v>7.2190990296999995E-4</v>
      </c>
      <c r="CP172" s="5">
        <f>CM172+CN172*'Common input data'!$C$12+CO172*'Common input data'!$E$12</f>
        <v>0.38913590744020998</v>
      </c>
      <c r="CQ172" s="5">
        <v>0</v>
      </c>
      <c r="CR172" s="5">
        <f>'Common input data'!$AR$27</f>
        <v>0.38997328129269704</v>
      </c>
      <c r="CS172" s="5">
        <v>0</v>
      </c>
      <c r="CT172" s="5">
        <f>SUM(CP172:CS172)</f>
        <v>0.77910918873290702</v>
      </c>
      <c r="CU172" s="5">
        <f>'Common input data'!$B$105</f>
        <v>0.05</v>
      </c>
      <c r="CV172" s="5">
        <f>'Common input data'!$B$123+'Common input data'!$C$123</f>
        <v>0.32999999999999996</v>
      </c>
      <c r="CW172" s="287"/>
      <c r="CX172" s="287"/>
    </row>
    <row r="173" spans="1:102" ht="45">
      <c r="A173" s="106"/>
      <c r="B173" s="106" t="s">
        <v>142</v>
      </c>
      <c r="C173" s="435" t="s">
        <v>121</v>
      </c>
      <c r="D173" s="435">
        <v>0.28777903040000002</v>
      </c>
      <c r="E173" s="435">
        <v>3021.2799999999997</v>
      </c>
      <c r="F173" s="797">
        <v>10</v>
      </c>
      <c r="G173" s="300"/>
      <c r="H173" s="1137"/>
      <c r="P173" s="1136"/>
      <c r="Q173" s="40">
        <v>243</v>
      </c>
      <c r="R173" s="797">
        <v>50</v>
      </c>
      <c r="S173" s="435">
        <v>8.3191495512068404E-4</v>
      </c>
      <c r="T173" s="54">
        <v>4.806</v>
      </c>
      <c r="U173" s="266">
        <v>1.0040933916203999E-11</v>
      </c>
      <c r="V173" s="266">
        <v>1.5382109589240001E-11</v>
      </c>
      <c r="W173" s="266">
        <v>2.1977455618085499E-11</v>
      </c>
      <c r="X173" s="189">
        <v>1.14038353262019E-12</v>
      </c>
      <c r="Y173" s="189">
        <v>1.19148547693904E-10</v>
      </c>
      <c r="Z173" s="54">
        <v>1</v>
      </c>
      <c r="AA173" s="54">
        <f t="shared" si="25"/>
        <v>1</v>
      </c>
      <c r="AB173" s="54">
        <f t="shared" si="25"/>
        <v>1</v>
      </c>
      <c r="AC173" s="996">
        <f>AB173/(1-'Common input data'!$F$143)</f>
        <v>1.1318926603552333</v>
      </c>
      <c r="AD173" s="435">
        <f>AC173/(1-'Common input data'!$B$177)</f>
        <v>1.1790548545367014</v>
      </c>
      <c r="AE173" t="s">
        <v>1875</v>
      </c>
      <c r="AF173" s="63" t="s">
        <v>1802</v>
      </c>
      <c r="AG173" t="s">
        <v>1803</v>
      </c>
      <c r="AH173" s="189"/>
      <c r="AI173" s="991"/>
      <c r="AJ173" t="s">
        <v>1805</v>
      </c>
      <c r="AK173" s="1118" t="s">
        <v>1798</v>
      </c>
      <c r="AL173" s="29" t="s">
        <v>1896</v>
      </c>
      <c r="AM173" t="s">
        <v>1800</v>
      </c>
      <c r="AN173" s="29" t="s">
        <v>1896</v>
      </c>
      <c r="AO173"/>
      <c r="CM173" s="5">
        <v>0.1912694765555</v>
      </c>
      <c r="CN173" s="5">
        <v>3.2151556784999996E-4</v>
      </c>
      <c r="CO173" s="5">
        <v>1.022220856708E-3</v>
      </c>
      <c r="CP173" s="5">
        <f>CM173+CN173*'Common input data'!$C$12+CO173*'Common input data'!$E$12</f>
        <v>0.47901669076873399</v>
      </c>
      <c r="CQ173" s="5">
        <v>0</v>
      </c>
      <c r="CR173" s="5">
        <f>'Common input data'!$AR$27</f>
        <v>0.38997328129269704</v>
      </c>
      <c r="CS173" s="5">
        <v>0</v>
      </c>
      <c r="CT173" s="5">
        <f>SUM(CP173:CS173)</f>
        <v>0.86898997206143103</v>
      </c>
      <c r="CU173" s="5">
        <f>'Common input data'!$B$105</f>
        <v>0.05</v>
      </c>
      <c r="CV173" s="5">
        <f>'Common input data'!$B$123+'Common input data'!$C$123</f>
        <v>0.32999999999999996</v>
      </c>
      <c r="CW173" s="287"/>
      <c r="CX173" s="287"/>
    </row>
    <row r="174" spans="1:102" ht="45">
      <c r="A174" s="106"/>
      <c r="B174" s="106" t="s">
        <v>184</v>
      </c>
      <c r="C174" s="435" t="s">
        <v>121</v>
      </c>
      <c r="D174" s="435">
        <v>0.16764581510000001</v>
      </c>
      <c r="E174" s="435">
        <v>2934.7</v>
      </c>
      <c r="F174" s="797">
        <v>10</v>
      </c>
      <c r="G174" s="300"/>
      <c r="H174" s="1137"/>
      <c r="P174" s="1136"/>
      <c r="Q174" s="40">
        <v>83</v>
      </c>
      <c r="R174" s="797">
        <v>5</v>
      </c>
      <c r="S174" s="435">
        <v>5.3124997988455601E-3</v>
      </c>
      <c r="T174" s="54">
        <v>0.92</v>
      </c>
      <c r="U174" s="266">
        <v>8.2305425252214494E-12</v>
      </c>
      <c r="V174" s="266">
        <v>6.1426753360527396E-12</v>
      </c>
      <c r="W174" s="266">
        <v>5.0398079104976297E-12</v>
      </c>
      <c r="X174" s="189">
        <v>9.6831075647488203E-13</v>
      </c>
      <c r="Y174" s="189">
        <v>1.5708120753030601E-11</v>
      </c>
      <c r="Z174" s="54">
        <v>1</v>
      </c>
      <c r="AA174" s="54">
        <f t="shared" si="25"/>
        <v>1</v>
      </c>
      <c r="AB174" s="54">
        <f t="shared" si="25"/>
        <v>1</v>
      </c>
      <c r="AC174" s="996">
        <f>AB174/(1-'Common input data'!$F$143)</f>
        <v>1.1318926603552333</v>
      </c>
      <c r="AD174" s="435">
        <f>AC174/(1-'Common input data'!$B$177)</f>
        <v>1.1790548545367014</v>
      </c>
      <c r="AE174" t="s">
        <v>1875</v>
      </c>
      <c r="AF174" s="63" t="s">
        <v>1802</v>
      </c>
      <c r="AG174" t="s">
        <v>1803</v>
      </c>
      <c r="AH174" s="189"/>
      <c r="AI174" s="991"/>
      <c r="AJ174" t="s">
        <v>1805</v>
      </c>
      <c r="AK174" s="1118" t="s">
        <v>1798</v>
      </c>
      <c r="AL174" s="1128" t="s">
        <v>1897</v>
      </c>
      <c r="AM174" t="s">
        <v>1800</v>
      </c>
      <c r="AN174" s="1128" t="s">
        <v>1897</v>
      </c>
      <c r="AO174"/>
      <c r="CM174" s="5">
        <v>0.12142468681530003</v>
      </c>
      <c r="CN174" s="5">
        <v>2.0006524148000003E-4</v>
      </c>
      <c r="CO174" s="5">
        <v>5.9190001099999998E-4</v>
      </c>
      <c r="CP174" s="5">
        <f>CM174+CN174*'Common input data'!$C$12+CO174*'Common input data'!$E$12</f>
        <v>0.28841515133826001</v>
      </c>
      <c r="CQ174" s="5">
        <v>0</v>
      </c>
      <c r="CR174" s="5">
        <f>'Common input data'!$AR$27</f>
        <v>0.38997328129269704</v>
      </c>
      <c r="CS174" s="5">
        <v>0</v>
      </c>
      <c r="CT174" s="5">
        <f>SUM(CP174:CS174)</f>
        <v>0.67838843263095705</v>
      </c>
      <c r="CU174" s="5">
        <f>'Common input data'!$B$105</f>
        <v>0.05</v>
      </c>
      <c r="CV174" s="5">
        <f>'Common input data'!$B$123+'Common input data'!$C$123</f>
        <v>0.32999999999999996</v>
      </c>
      <c r="CW174" s="287"/>
      <c r="CX174" s="287"/>
    </row>
    <row r="175" spans="1:102" ht="45">
      <c r="A175" s="106"/>
      <c r="B175" s="106" t="s">
        <v>1254</v>
      </c>
      <c r="C175" s="440" t="s">
        <v>121</v>
      </c>
      <c r="D175" s="435">
        <v>0.21750235169999999</v>
      </c>
      <c r="E175" s="435">
        <v>2676.72</v>
      </c>
      <c r="F175" s="797">
        <v>3.1412112215999999</v>
      </c>
      <c r="G175" s="300"/>
      <c r="H175" s="1137"/>
      <c r="P175" s="1136"/>
      <c r="Q175" s="40">
        <v>161</v>
      </c>
      <c r="R175" s="797">
        <v>22.164927933600001</v>
      </c>
      <c r="S175" s="435">
        <v>7.0294011899631498E-2</v>
      </c>
      <c r="T175" s="54">
        <v>2.2592816454628797</v>
      </c>
      <c r="U175" s="266">
        <v>7.0718159813322624E-12</v>
      </c>
      <c r="V175" s="266">
        <v>8.7908312701596367E-12</v>
      </c>
      <c r="W175" s="266">
        <v>1.076919770637582E-11</v>
      </c>
      <c r="X175" s="189">
        <v>1.1661543626290074E-12</v>
      </c>
      <c r="Y175" s="189">
        <v>6.3338688742112302E-11</v>
      </c>
      <c r="Z175" s="54">
        <v>1</v>
      </c>
      <c r="AA175" s="54">
        <f t="shared" si="25"/>
        <v>1</v>
      </c>
      <c r="AB175" s="54">
        <f t="shared" si="25"/>
        <v>1</v>
      </c>
      <c r="AC175" s="996">
        <f>AB175/(1-'Common input data'!$I$143)</f>
        <v>1.1306257108809157</v>
      </c>
      <c r="AD175" s="435">
        <f>AC175/(1-'Common input data'!$B$177)</f>
        <v>1.1777351155009539</v>
      </c>
      <c r="AE175" t="s">
        <v>1875</v>
      </c>
      <c r="AF175" s="63" t="s">
        <v>1802</v>
      </c>
      <c r="AG175" s="1128" t="s">
        <v>1898</v>
      </c>
      <c r="AH175" s="189"/>
      <c r="AI175" s="991"/>
      <c r="AJ175" t="s">
        <v>1805</v>
      </c>
      <c r="AK175" s="1118" t="s">
        <v>1798</v>
      </c>
      <c r="AL175" s="1128" t="s">
        <v>1898</v>
      </c>
      <c r="AM175" t="s">
        <v>1800</v>
      </c>
      <c r="AN175" s="1128" t="s">
        <v>1898</v>
      </c>
      <c r="AO175"/>
      <c r="CM175" s="5">
        <v>9.4540415309349993E-2</v>
      </c>
      <c r="CN175" s="5">
        <v>1.7934409313999998E-4</v>
      </c>
      <c r="CO175" s="5">
        <v>7.6813350465000012E-4</v>
      </c>
      <c r="CP175" s="5">
        <f>CM175+CN175*'Common input data'!$C$12+CO175*'Common input data'!$E$12</f>
        <v>0.30908315259358005</v>
      </c>
      <c r="CQ175" s="5">
        <v>0</v>
      </c>
      <c r="CR175" s="5">
        <f>'Common input data'!$AR$27</f>
        <v>0.38997328129269704</v>
      </c>
      <c r="CS175" s="5">
        <v>0</v>
      </c>
      <c r="CT175" s="5">
        <f>SUM(CP175:CS175)</f>
        <v>0.69905643388627703</v>
      </c>
      <c r="CU175" s="5">
        <f>'Common input data'!$B$105</f>
        <v>0.05</v>
      </c>
      <c r="CV175" s="5">
        <f>'Common input data'!$B$128+'Common input data'!$C$128</f>
        <v>0.43000000000000005</v>
      </c>
      <c r="CW175" s="287"/>
      <c r="CX175" s="287"/>
    </row>
    <row r="176" spans="1:102">
      <c r="A176" s="106" t="s">
        <v>192</v>
      </c>
      <c r="B176" s="106" t="s">
        <v>120</v>
      </c>
      <c r="C176" s="435" t="s">
        <v>121</v>
      </c>
      <c r="D176" s="435">
        <v>1</v>
      </c>
      <c r="E176" s="435">
        <v>6137.1680877441559</v>
      </c>
      <c r="F176" s="797">
        <v>81.138039363795485</v>
      </c>
      <c r="G176" s="284"/>
      <c r="H176" s="1137"/>
      <c r="P176" s="1136"/>
      <c r="Q176" s="117">
        <f>SUMPRODUCT($D$132:$D$135,Q177:Q180)</f>
        <v>0</v>
      </c>
      <c r="R176" s="797">
        <v>28.151612298795165</v>
      </c>
      <c r="S176" s="435"/>
      <c r="U176" s="266">
        <v>1.1276041622224609E-12</v>
      </c>
      <c r="V176" s="266">
        <v>9.2708114822139284E-13</v>
      </c>
      <c r="W176" s="266">
        <v>2.0916854015172039E-13</v>
      </c>
      <c r="X176" s="189">
        <v>4.6616510014465366E-14</v>
      </c>
      <c r="Y176" s="189">
        <v>7.2398950094584741E-12</v>
      </c>
      <c r="Z176" s="54"/>
      <c r="AA176" s="54"/>
      <c r="AB176" s="54"/>
      <c r="AC176" s="435"/>
      <c r="AD176" s="435"/>
      <c r="AE176" s="54"/>
      <c r="AF176" s="54"/>
      <c r="AG176" s="800"/>
      <c r="AH176" s="189"/>
      <c r="AI176" s="991"/>
      <c r="AJ176"/>
      <c r="AK176" s="1118"/>
      <c r="AL176"/>
      <c r="AO176"/>
      <c r="AP176" s="54">
        <f>1/E176*10^4</f>
        <v>1.6294160200646728</v>
      </c>
      <c r="AQ176" s="54">
        <f>$AP176*Z176</f>
        <v>0</v>
      </c>
      <c r="AR176" s="54">
        <f>$AP176*AA176</f>
        <v>0</v>
      </c>
      <c r="AS176" s="54">
        <f>$AP176*AB176</f>
        <v>0</v>
      </c>
      <c r="AT176" s="54">
        <f>$AP176*AC176</f>
        <v>0</v>
      </c>
      <c r="AU176" s="54">
        <f>$AP176*AD176</f>
        <v>0</v>
      </c>
      <c r="AV176"/>
      <c r="AW176" s="189">
        <f>SUM(F176,AE176)/E176</f>
        <v>1.3220762117600638E-2</v>
      </c>
      <c r="AX176" s="189">
        <f>$AW176*Z176</f>
        <v>0</v>
      </c>
      <c r="AY176" s="189">
        <f>$AW176*AA176</f>
        <v>0</v>
      </c>
      <c r="AZ176" s="189">
        <f>$AW176*AB176</f>
        <v>0</v>
      </c>
      <c r="BA176" s="189">
        <f>$AW176*AC176</f>
        <v>0</v>
      </c>
      <c r="BB176" s="189">
        <f>$AW176*AD176</f>
        <v>0</v>
      </c>
      <c r="BC176"/>
      <c r="BD176" s="189">
        <f>R176/E176</f>
        <v>4.5870688070306503E-3</v>
      </c>
      <c r="BE176" s="189">
        <f>$BD176*Z176</f>
        <v>0</v>
      </c>
      <c r="BF176" s="189">
        <f>$BD176*AA176</f>
        <v>0</v>
      </c>
      <c r="BG176" s="189">
        <f>$BD176*AB176</f>
        <v>0</v>
      </c>
      <c r="BH176" s="189">
        <f>$BD176*AC176</f>
        <v>0</v>
      </c>
      <c r="BI176" s="189">
        <f>$BD176*AD176</f>
        <v>0</v>
      </c>
      <c r="BK176" s="189">
        <f>S176</f>
        <v>0</v>
      </c>
      <c r="BL176" s="189">
        <f>$BK176*Z176</f>
        <v>0</v>
      </c>
      <c r="BM176" s="189">
        <f>$BK176*AA176</f>
        <v>0</v>
      </c>
      <c r="BN176" s="189">
        <f>$BK176*AB176</f>
        <v>0</v>
      </c>
      <c r="BO176" s="189">
        <f>$BK176*AC176</f>
        <v>0</v>
      </c>
      <c r="BP176" s="189">
        <f>$BK176*AD176</f>
        <v>0</v>
      </c>
      <c r="BQ176" s="189"/>
      <c r="BR176" s="189">
        <f>(SUM(U176:Y176)*AP176)/('Common input data'!$B$192/10^6)</f>
        <v>3.8327918847960681E-11</v>
      </c>
      <c r="BS176" s="189">
        <f>$BR176*Z176</f>
        <v>0</v>
      </c>
      <c r="BT176" s="189">
        <f>$BR176*AA176</f>
        <v>0</v>
      </c>
      <c r="BU176" s="189">
        <f>$BR176*AB176</f>
        <v>0</v>
      </c>
      <c r="BV176" s="189">
        <f>$BR176*AC176</f>
        <v>0</v>
      </c>
      <c r="BW176" s="189">
        <f>$BR176*AD176</f>
        <v>0</v>
      </c>
      <c r="BY176" s="189">
        <f>T176/E176</f>
        <v>0</v>
      </c>
      <c r="BZ176" s="189">
        <f>$BY176*Z176</f>
        <v>0</v>
      </c>
      <c r="CA176" s="189">
        <f>$BY176*AA176</f>
        <v>0</v>
      </c>
      <c r="CB176" s="189">
        <f>$BY176*AB176</f>
        <v>0</v>
      </c>
      <c r="CC176" s="189">
        <f>$BY176*AC176</f>
        <v>0</v>
      </c>
      <c r="CD176" s="189">
        <f>$BY176*AD176</f>
        <v>0</v>
      </c>
      <c r="CF176" s="189">
        <f>(F176/E176*'Common input data'!$B$195+G176/E176*'Common input data'!$B$196)/'Common input data'!$B$198</f>
        <v>3.3757541173141898E-4</v>
      </c>
      <c r="CG176" s="189">
        <f>$CF176*Z176</f>
        <v>0</v>
      </c>
      <c r="CH176" s="189">
        <f>$CF176*AA176</f>
        <v>0</v>
      </c>
      <c r="CI176" s="189">
        <f>$CF176*AB176</f>
        <v>0</v>
      </c>
      <c r="CJ176" s="189">
        <f>$CF176*AC176</f>
        <v>0</v>
      </c>
      <c r="CK176" s="189">
        <f>$CF176*AD176</f>
        <v>0</v>
      </c>
      <c r="CM176" s="5"/>
      <c r="CN176" s="5"/>
      <c r="CO176" s="5"/>
      <c r="CP176" s="5"/>
      <c r="CQ176" s="5"/>
      <c r="CR176" s="5"/>
      <c r="CS176" s="5"/>
      <c r="CT176" s="5"/>
      <c r="CU176" s="5"/>
      <c r="CV176" s="5"/>
      <c r="CW176" s="287"/>
      <c r="CX176" s="287"/>
    </row>
    <row r="177" spans="1:102" ht="45">
      <c r="A177" s="106"/>
      <c r="B177" s="106" t="s">
        <v>124</v>
      </c>
      <c r="C177" s="435" t="s">
        <v>121</v>
      </c>
      <c r="D177" s="435">
        <v>0.29812767680000002</v>
      </c>
      <c r="E177" s="435">
        <v>6468.94</v>
      </c>
      <c r="F177" s="797">
        <v>81.8</v>
      </c>
      <c r="G177" s="300"/>
      <c r="H177" s="1137"/>
      <c r="P177" s="1136"/>
      <c r="Q177" s="15">
        <v>0</v>
      </c>
      <c r="R177" s="797">
        <v>28.2</v>
      </c>
      <c r="S177" s="435">
        <v>3.7403547823840698E-3</v>
      </c>
      <c r="T177" s="1135"/>
      <c r="U177" s="266">
        <v>1.4583680426486E-12</v>
      </c>
      <c r="V177" s="266">
        <v>9.2461478395458007E-13</v>
      </c>
      <c r="W177" s="266">
        <v>3.3655517366258998E-13</v>
      </c>
      <c r="X177" s="189">
        <v>3.59608145456086E-14</v>
      </c>
      <c r="Y177" s="189">
        <v>1.31903720847999E-11</v>
      </c>
      <c r="Z177" s="54">
        <v>1</v>
      </c>
      <c r="AA177" s="54">
        <f t="shared" ref="AA177:AB180" si="26">Z177</f>
        <v>1</v>
      </c>
      <c r="AB177" s="54">
        <f t="shared" si="26"/>
        <v>1</v>
      </c>
      <c r="AC177" s="996">
        <f>AB177/(1-'Common input data'!$B$141)</f>
        <v>1.1869627806454799</v>
      </c>
      <c r="AD177" s="435">
        <f>AC177/(1-'Common input data'!$B$175)</f>
        <v>1.5826170408606399</v>
      </c>
      <c r="AE177" t="s">
        <v>1801</v>
      </c>
      <c r="AF177" s="63" t="s">
        <v>1802</v>
      </c>
      <c r="AG177" t="s">
        <v>1803</v>
      </c>
      <c r="AH177" s="189"/>
      <c r="AI177" s="991"/>
      <c r="AJ177"/>
      <c r="AK177" s="1118" t="s">
        <v>1798</v>
      </c>
      <c r="AL177"/>
      <c r="AM177" t="s">
        <v>1800</v>
      </c>
      <c r="AN177" s="1128" t="s">
        <v>1899</v>
      </c>
      <c r="AO177"/>
      <c r="CM177" s="5">
        <v>0.28054369715250005</v>
      </c>
      <c r="CN177" s="5">
        <v>6.9371678671999995E-4</v>
      </c>
      <c r="CO177" s="5">
        <v>5.0106345467000005E-4</v>
      </c>
      <c r="CP177" s="5">
        <f>CM177+CN177*'Common input data'!$C$12+CO177*'Common input data'!$E$12</f>
        <v>0.43606437351885008</v>
      </c>
      <c r="CQ177" s="5">
        <f>'Common input data'!$B$19</f>
        <v>0.108271767984466</v>
      </c>
      <c r="CR177" s="5">
        <v>0</v>
      </c>
      <c r="CS177" s="5">
        <v>0</v>
      </c>
      <c r="CT177" s="5">
        <f>SUM(CP177:CS177)</f>
        <v>0.54433614150331611</v>
      </c>
      <c r="CU177" s="5">
        <f>'Common input data'!$B$105</f>
        <v>0.05</v>
      </c>
      <c r="CV177" s="5">
        <f>'Common input data'!$B$116+'Common input data'!$C$116</f>
        <v>0.13</v>
      </c>
      <c r="CW177" s="287"/>
      <c r="CX177" s="287"/>
    </row>
    <row r="178" spans="1:102" ht="45">
      <c r="A178" s="106"/>
      <c r="B178" s="106" t="s">
        <v>193</v>
      </c>
      <c r="C178" s="435" t="s">
        <v>121</v>
      </c>
      <c r="D178" s="435">
        <v>0.18017193170000001</v>
      </c>
      <c r="E178" s="435">
        <v>4938.88</v>
      </c>
      <c r="F178" s="797">
        <v>83.32582003200001</v>
      </c>
      <c r="G178" s="300"/>
      <c r="H178" s="1137"/>
      <c r="P178" s="1136"/>
      <c r="Q178" s="15">
        <v>0</v>
      </c>
      <c r="R178" s="797">
        <v>28.88257024</v>
      </c>
      <c r="S178" s="435">
        <v>0.57176565564897597</v>
      </c>
      <c r="T178" s="1135"/>
      <c r="U178" s="266">
        <v>8.2790945484344E-13</v>
      </c>
      <c r="V178" s="266">
        <v>9.4014171093695807E-13</v>
      </c>
      <c r="W178" s="266">
        <v>4.70659750456695E-14</v>
      </c>
      <c r="X178" s="189">
        <v>8.9295351327882594E-14</v>
      </c>
      <c r="Y178" s="189">
        <v>3.3138051589153801E-12</v>
      </c>
      <c r="Z178" s="54">
        <v>1</v>
      </c>
      <c r="AA178" s="54">
        <f t="shared" si="26"/>
        <v>1</v>
      </c>
      <c r="AB178" s="54">
        <f t="shared" si="26"/>
        <v>1</v>
      </c>
      <c r="AC178" s="996">
        <f>AB178/(1-'Common input data'!$B$141)</f>
        <v>1.1869627806454799</v>
      </c>
      <c r="AD178" s="435">
        <f>AC178/(1-'Common input data'!$B$175)</f>
        <v>1.5826170408606399</v>
      </c>
      <c r="AE178" t="s">
        <v>1801</v>
      </c>
      <c r="AF178" s="63" t="s">
        <v>1802</v>
      </c>
      <c r="AG178" s="1128" t="s">
        <v>1899</v>
      </c>
      <c r="AH178" s="189"/>
      <c r="AI178"/>
      <c r="AJ178"/>
      <c r="AK178" s="1118" t="s">
        <v>1798</v>
      </c>
      <c r="AL178"/>
      <c r="AM178" t="s">
        <v>1800</v>
      </c>
      <c r="AN178" s="1128" t="s">
        <v>1899</v>
      </c>
      <c r="AO178"/>
      <c r="CM178" s="5">
        <v>0.28054369715250005</v>
      </c>
      <c r="CN178" s="5">
        <v>6.9371678671999995E-4</v>
      </c>
      <c r="CO178" s="5">
        <v>5.0106345467000005E-4</v>
      </c>
      <c r="CP178" s="5">
        <f>CM178+CN178*'Common input data'!$C$12+CO178*'Common input data'!$E$12</f>
        <v>0.43606437351885008</v>
      </c>
      <c r="CQ178" s="5">
        <f>'Common input data'!$B$19</f>
        <v>0.108271767984466</v>
      </c>
      <c r="CR178" s="5">
        <v>0</v>
      </c>
      <c r="CS178" s="5">
        <v>0</v>
      </c>
      <c r="CT178" s="5">
        <f>SUM(CP178:CS178)</f>
        <v>0.54433614150331611</v>
      </c>
      <c r="CU178" s="5">
        <f>'Common input data'!$B$105</f>
        <v>0.05</v>
      </c>
      <c r="CV178" s="5">
        <f>'Common input data'!$B$116+'Common input data'!$C$116</f>
        <v>0.13</v>
      </c>
      <c r="CW178" s="287"/>
      <c r="CX178" s="287"/>
    </row>
    <row r="179" spans="1:102" ht="45">
      <c r="A179" s="106"/>
      <c r="B179" s="106" t="s">
        <v>194</v>
      </c>
      <c r="C179" s="435" t="s">
        <v>121</v>
      </c>
      <c r="D179" s="435">
        <v>0.16120290770000001</v>
      </c>
      <c r="E179" s="435">
        <v>6189.24</v>
      </c>
      <c r="F179" s="797">
        <v>16</v>
      </c>
      <c r="G179" s="300"/>
      <c r="H179" s="1137"/>
      <c r="P179" s="1136"/>
      <c r="Q179" s="15">
        <v>0</v>
      </c>
      <c r="R179" s="797">
        <v>6</v>
      </c>
      <c r="S179" s="435">
        <v>1.40885476694881E-3</v>
      </c>
      <c r="T179" s="1135"/>
      <c r="U179" s="266">
        <v>9.5577716202060599E-13</v>
      </c>
      <c r="V179" s="266">
        <v>9.1680667339062592E-13</v>
      </c>
      <c r="W179" s="266">
        <v>1.9282173409197301E-13</v>
      </c>
      <c r="X179" s="189">
        <v>1.6901554790461501E-14</v>
      </c>
      <c r="Y179" s="189">
        <v>2.5844634886102198E-12</v>
      </c>
      <c r="Z179" s="54">
        <v>1</v>
      </c>
      <c r="AA179" s="54">
        <f t="shared" si="26"/>
        <v>1</v>
      </c>
      <c r="AB179" s="54">
        <f t="shared" si="26"/>
        <v>1</v>
      </c>
      <c r="AC179" s="996">
        <f>AB179/(1-'Common input data'!$B$141)</f>
        <v>1.1869627806454799</v>
      </c>
      <c r="AD179" s="435">
        <f>AC179/(1-'Common input data'!$B$175)</f>
        <v>1.5826170408606399</v>
      </c>
      <c r="AE179" t="s">
        <v>1801</v>
      </c>
      <c r="AF179" s="63" t="s">
        <v>1802</v>
      </c>
      <c r="AG179" t="s">
        <v>1803</v>
      </c>
      <c r="AH179" s="189"/>
      <c r="AI179" s="991"/>
      <c r="AJ179"/>
      <c r="AK179" s="1118" t="s">
        <v>1798</v>
      </c>
      <c r="AL179"/>
      <c r="AM179" t="s">
        <v>1800</v>
      </c>
      <c r="AN179" s="1128" t="s">
        <v>1899</v>
      </c>
      <c r="AO179"/>
      <c r="CM179" s="5">
        <v>0.28054369715250005</v>
      </c>
      <c r="CN179" s="5">
        <v>6.9371678671999995E-4</v>
      </c>
      <c r="CO179" s="5">
        <v>5.0106345467000005E-4</v>
      </c>
      <c r="CP179" s="5">
        <f>CM179+CN179*'Common input data'!$C$12+CO179*'Common input data'!$E$12</f>
        <v>0.43606437351885008</v>
      </c>
      <c r="CQ179" s="5">
        <f>'Common input data'!$B$19</f>
        <v>0.108271767984466</v>
      </c>
      <c r="CR179" s="5">
        <v>0</v>
      </c>
      <c r="CS179" s="5">
        <v>0</v>
      </c>
      <c r="CT179" s="5">
        <f>SUM(CP179:CS179)</f>
        <v>0.54433614150331611</v>
      </c>
      <c r="CU179" s="5">
        <f>'Common input data'!$B$105</f>
        <v>0.05</v>
      </c>
      <c r="CV179" s="5">
        <f>'Common input data'!$B$115+'Common input data'!$C$115</f>
        <v>0.08</v>
      </c>
      <c r="CW179" s="287"/>
      <c r="CX179" s="287"/>
    </row>
    <row r="180" spans="1:102" ht="45">
      <c r="A180" s="106"/>
      <c r="B180" s="106" t="s">
        <v>134</v>
      </c>
      <c r="C180" s="440" t="s">
        <v>121</v>
      </c>
      <c r="D180" s="435">
        <v>0.36049748379999991</v>
      </c>
      <c r="E180" s="435">
        <v>6438.4</v>
      </c>
      <c r="F180" s="797">
        <v>108.62482176</v>
      </c>
      <c r="G180" s="300"/>
      <c r="H180" s="1137"/>
      <c r="P180" s="1136"/>
      <c r="Q180" s="15">
        <v>0</v>
      </c>
      <c r="R180" s="797">
        <v>37.651763199999998</v>
      </c>
      <c r="S180" s="435">
        <v>8.122639559864081E-2</v>
      </c>
      <c r="T180" s="1135"/>
      <c r="U180" s="266">
        <v>1.0806848865042153E-12</v>
      </c>
      <c r="V180" s="266">
        <v>9.2718772276072142E-13</v>
      </c>
      <c r="W180" s="266">
        <v>1.9214762760007748E-13</v>
      </c>
      <c r="X180" s="189">
        <v>4.7385906887984231E-14</v>
      </c>
      <c r="Y180" s="189">
        <v>6.3628802441085004E-12</v>
      </c>
      <c r="Z180" s="54">
        <v>1</v>
      </c>
      <c r="AA180" s="54">
        <f t="shared" si="26"/>
        <v>1</v>
      </c>
      <c r="AB180" s="54">
        <f t="shared" si="26"/>
        <v>1</v>
      </c>
      <c r="AC180" s="996">
        <f>AB180/(1-'Common input data'!$I$141)</f>
        <v>1.1766215372430171</v>
      </c>
      <c r="AD180" s="435">
        <f>AC180/(1-'Common input data'!$B$175)</f>
        <v>1.5688287163240229</v>
      </c>
      <c r="AE180" t="s">
        <v>1801</v>
      </c>
      <c r="AF180" s="63" t="s">
        <v>1802</v>
      </c>
      <c r="AG180" s="1128" t="s">
        <v>1899</v>
      </c>
      <c r="AH180" s="189"/>
      <c r="AI180" s="991"/>
      <c r="AJ180"/>
      <c r="AK180" s="1118" t="s">
        <v>1798</v>
      </c>
      <c r="AL180"/>
      <c r="AM180" t="s">
        <v>1800</v>
      </c>
      <c r="AN180" s="1128" t="s">
        <v>1899</v>
      </c>
      <c r="AO180"/>
      <c r="CM180" s="5">
        <v>0.28054369715250005</v>
      </c>
      <c r="CN180" s="5">
        <v>6.9371678671999995E-4</v>
      </c>
      <c r="CO180" s="5">
        <v>5.0106345467000005E-4</v>
      </c>
      <c r="CP180" s="5">
        <f>CM180+CN180*'Common input data'!$C$12+CO180*'Common input data'!$E$12</f>
        <v>0.43606437351885008</v>
      </c>
      <c r="CQ180" s="5">
        <f>'Common input data'!$B$19</f>
        <v>0.108271767984466</v>
      </c>
      <c r="CR180" s="5">
        <v>0</v>
      </c>
      <c r="CS180" s="5">
        <v>0</v>
      </c>
      <c r="CT180" s="5">
        <f>SUM(CP180:CS180)</f>
        <v>0.54433614150331611</v>
      </c>
      <c r="CU180" s="5">
        <f>'Common input data'!$B$105</f>
        <v>0.05</v>
      </c>
      <c r="CV180" s="5">
        <f>'Common input data'!$B$128+'Common input data'!$C$128</f>
        <v>0.43000000000000005</v>
      </c>
      <c r="CW180" s="287"/>
      <c r="CX180" s="287"/>
    </row>
    <row r="181" spans="1:102">
      <c r="A181" s="106" t="s">
        <v>639</v>
      </c>
      <c r="B181" s="106" t="s">
        <v>120</v>
      </c>
      <c r="C181" s="435" t="s">
        <v>121</v>
      </c>
      <c r="D181" s="435">
        <v>1</v>
      </c>
      <c r="E181" s="435">
        <v>4706.74645646715</v>
      </c>
      <c r="F181" s="797">
        <v>36.899225199034426</v>
      </c>
      <c r="G181" s="284"/>
      <c r="H181" s="1137"/>
      <c r="P181" s="1136"/>
      <c r="Q181" s="117">
        <f>SUMPRODUCT($D$137:$D$139,Q182:Q184)</f>
        <v>0</v>
      </c>
      <c r="R181" s="797">
        <v>23.495693490799734</v>
      </c>
      <c r="S181" s="435">
        <v>7.1739773551679649E-4</v>
      </c>
      <c r="U181" s="266">
        <v>7.5421155237835892E-11</v>
      </c>
      <c r="V181" s="266">
        <v>1.1913425737176123E-10</v>
      </c>
      <c r="W181" s="266">
        <v>7.0905656571171202E-11</v>
      </c>
      <c r="X181" s="189">
        <v>6.992622773155552E-11</v>
      </c>
      <c r="Y181" s="189">
        <v>2.0912499910448498E-9</v>
      </c>
      <c r="Z181" s="54"/>
      <c r="AA181" s="54"/>
      <c r="AB181" s="54"/>
      <c r="AC181" s="435"/>
      <c r="AD181" s="435"/>
      <c r="AE181" s="54"/>
      <c r="AF181" s="54"/>
      <c r="AG181" s="800"/>
      <c r="AH181" s="189"/>
      <c r="AI181"/>
      <c r="AJ181"/>
      <c r="AK181" s="1118"/>
      <c r="AL181"/>
      <c r="AO181"/>
      <c r="AP181" s="54">
        <f>1/E181*10^4</f>
        <v>2.1246098748871058</v>
      </c>
      <c r="AQ181" s="54">
        <f>$AP181*Z181</f>
        <v>0</v>
      </c>
      <c r="AR181" s="54">
        <f>$AP181*AA181</f>
        <v>0</v>
      </c>
      <c r="AS181" s="54">
        <f>$AP181*AB181</f>
        <v>0</v>
      </c>
      <c r="AT181" s="54">
        <f>$AP181*AC181</f>
        <v>0</v>
      </c>
      <c r="AU181" s="54">
        <f>$AP181*AD181</f>
        <v>0</v>
      </c>
      <c r="AV181"/>
      <c r="AW181" s="189">
        <f>SUM(F181,AE181)/E181</f>
        <v>7.839645823355168E-3</v>
      </c>
      <c r="AX181" s="189">
        <f>$AW181*Z181</f>
        <v>0</v>
      </c>
      <c r="AY181" s="189">
        <f>$AW181*AA181</f>
        <v>0</v>
      </c>
      <c r="AZ181" s="189">
        <f>$AW181*AB181</f>
        <v>0</v>
      </c>
      <c r="BA181" s="189">
        <f>$AW181*AC181</f>
        <v>0</v>
      </c>
      <c r="BB181" s="189">
        <f>$AW181*AD181</f>
        <v>0</v>
      </c>
      <c r="BC181"/>
      <c r="BD181" s="189">
        <f>R181/E181</f>
        <v>4.9919182407873811E-3</v>
      </c>
      <c r="BE181" s="189">
        <f>$BD181*Z181</f>
        <v>0</v>
      </c>
      <c r="BF181" s="189">
        <f>$BD181*AA181</f>
        <v>0</v>
      </c>
      <c r="BG181" s="189">
        <f>$BD181*AB181</f>
        <v>0</v>
      </c>
      <c r="BH181" s="189">
        <f>$BD181*AC181</f>
        <v>0</v>
      </c>
      <c r="BI181" s="189">
        <f>$BD181*AD181</f>
        <v>0</v>
      </c>
      <c r="BK181" s="189">
        <f>S181</f>
        <v>7.1739773551679649E-4</v>
      </c>
      <c r="BL181" s="189">
        <f>$BK181*Z181</f>
        <v>0</v>
      </c>
      <c r="BM181" s="189">
        <f>$BK181*AA181</f>
        <v>0</v>
      </c>
      <c r="BN181" s="189">
        <f>$BK181*AB181</f>
        <v>0</v>
      </c>
      <c r="BO181" s="189">
        <f>$BK181*AC181</f>
        <v>0</v>
      </c>
      <c r="BP181" s="189">
        <f>$BK181*AD181</f>
        <v>0</v>
      </c>
      <c r="BQ181" s="189"/>
      <c r="BR181" s="189">
        <f>(SUM(U181:Y181)*AP181)/('Common input data'!$B$192/10^6)</f>
        <v>1.2698351136087969E-8</v>
      </c>
      <c r="BS181" s="189">
        <f>$BR181*Z181</f>
        <v>0</v>
      </c>
      <c r="BT181" s="189">
        <f>$BR181*AA181</f>
        <v>0</v>
      </c>
      <c r="BU181" s="189">
        <f>$BR181*AB181</f>
        <v>0</v>
      </c>
      <c r="BV181" s="189">
        <f>$BR181*AC181</f>
        <v>0</v>
      </c>
      <c r="BW181" s="189">
        <f>$BR181*AD181</f>
        <v>0</v>
      </c>
      <c r="BY181" s="189">
        <f>T181/E181</f>
        <v>0</v>
      </c>
      <c r="BZ181" s="189">
        <f>$BY181*Z181</f>
        <v>0</v>
      </c>
      <c r="CA181" s="189">
        <f>$BY181*AA181</f>
        <v>0</v>
      </c>
      <c r="CB181" s="189">
        <f>$BY181*AB181</f>
        <v>0</v>
      </c>
      <c r="CC181" s="189">
        <f>$BY181*AC181</f>
        <v>0</v>
      </c>
      <c r="CD181" s="189">
        <f>$BY181*AD181</f>
        <v>0</v>
      </c>
      <c r="CF181" s="189">
        <f>(F181/E181*'Common input data'!$B$195+G181/E181*'Common input data'!$B$196)/'Common input data'!$B$198</f>
        <v>2.001754243141857E-4</v>
      </c>
      <c r="CG181" s="189">
        <f>$CF181*Z181</f>
        <v>0</v>
      </c>
      <c r="CH181" s="189">
        <f>$CF181*AA181</f>
        <v>0</v>
      </c>
      <c r="CI181" s="189">
        <f>$CF181*AB181</f>
        <v>0</v>
      </c>
      <c r="CJ181" s="189">
        <f>$CF181*AC181</f>
        <v>0</v>
      </c>
      <c r="CK181" s="189">
        <f>$CF181*AD181</f>
        <v>0</v>
      </c>
      <c r="CM181" s="5"/>
      <c r="CN181" s="5"/>
      <c r="CO181" s="5"/>
      <c r="CP181" s="5"/>
      <c r="CQ181" s="5"/>
      <c r="CR181" s="5"/>
      <c r="CS181" s="5"/>
      <c r="CT181" s="5"/>
      <c r="CU181" s="5"/>
      <c r="CV181" s="5"/>
      <c r="CW181" s="287"/>
      <c r="CX181" s="287"/>
    </row>
    <row r="182" spans="1:102" ht="45">
      <c r="A182" s="106"/>
      <c r="B182" s="106" t="s">
        <v>1900</v>
      </c>
      <c r="C182" s="435" t="s">
        <v>121</v>
      </c>
      <c r="D182" s="435">
        <v>0.45497399219765922</v>
      </c>
      <c r="E182" s="435">
        <v>4095.2</v>
      </c>
      <c r="F182" s="797">
        <v>20</v>
      </c>
      <c r="G182" s="303"/>
      <c r="H182" s="1137"/>
      <c r="P182" s="1136"/>
      <c r="Q182" s="14">
        <v>0</v>
      </c>
      <c r="R182" s="797">
        <v>15</v>
      </c>
      <c r="S182" s="435">
        <v>0</v>
      </c>
      <c r="T182" s="1135"/>
      <c r="U182" s="266">
        <v>7.7918631459423498E-11</v>
      </c>
      <c r="V182" s="266">
        <v>1.2719686165001199E-10</v>
      </c>
      <c r="W182" s="266">
        <v>7.4046050223094695E-11</v>
      </c>
      <c r="X182" s="189">
        <v>7.6916416192197099E-11</v>
      </c>
      <c r="Y182" s="189">
        <v>2.28811680429842E-9</v>
      </c>
      <c r="Z182" s="54">
        <v>1</v>
      </c>
      <c r="AA182" s="54">
        <f t="shared" ref="AA182:AB184" si="27">Z182</f>
        <v>1</v>
      </c>
      <c r="AB182" s="54">
        <f t="shared" si="27"/>
        <v>1</v>
      </c>
      <c r="AC182" s="996">
        <f>AB182/(1-'Common input data'!$D$140)</f>
        <v>1.6280016280016281</v>
      </c>
      <c r="AD182" s="435">
        <f>AC182/(1-'Common input data'!$B$178)</f>
        <v>2.0098785530884298</v>
      </c>
      <c r="AE182" t="s">
        <v>1801</v>
      </c>
      <c r="AF182" s="63" t="s">
        <v>1802</v>
      </c>
      <c r="AG182" t="s">
        <v>1803</v>
      </c>
      <c r="AH182" s="189"/>
      <c r="AI182" s="991"/>
      <c r="AJ182"/>
      <c r="AK182" s="1118" t="s">
        <v>1798</v>
      </c>
      <c r="AL182"/>
      <c r="AM182" t="s">
        <v>1800</v>
      </c>
      <c r="AN182" t="s">
        <v>1901</v>
      </c>
      <c r="AO182"/>
      <c r="CM182" s="5">
        <v>0.27842771686189999</v>
      </c>
      <c r="CN182" s="5">
        <v>9.8465614035000005E-4</v>
      </c>
      <c r="CO182" s="5">
        <v>5.0424314690000001E-4</v>
      </c>
      <c r="CP182" s="5">
        <f>CM182+CN182*'Common input data'!$C$12+CO182*'Common input data'!$E$12</f>
        <v>0.44267181175504999</v>
      </c>
      <c r="CQ182" s="5">
        <f>'Common input data'!$F$19</f>
        <v>-9.1139048141381296E-2</v>
      </c>
      <c r="CR182" s="5">
        <v>0</v>
      </c>
      <c r="CS182" s="5">
        <v>0</v>
      </c>
      <c r="CT182" s="5">
        <f>SUM(CP182:CS182)</f>
        <v>0.3515327636136687</v>
      </c>
      <c r="CU182" s="5">
        <f>'Common input data'!$B$105</f>
        <v>0.05</v>
      </c>
      <c r="CV182" s="5">
        <f>'Common input data'!$B$125+'Common input data'!$C$125</f>
        <v>0.43000000000000005</v>
      </c>
      <c r="CW182" s="287"/>
      <c r="CX182" s="287"/>
    </row>
    <row r="183" spans="1:102" ht="45">
      <c r="A183" s="106"/>
      <c r="B183" s="106" t="s">
        <v>139</v>
      </c>
      <c r="C183" s="435" t="s">
        <v>121</v>
      </c>
      <c r="D183" s="435">
        <v>0.10955786739999999</v>
      </c>
      <c r="E183" s="435">
        <v>5824</v>
      </c>
      <c r="F183" s="797">
        <v>45</v>
      </c>
      <c r="G183" s="301"/>
      <c r="H183" s="1137"/>
      <c r="P183" s="1136"/>
      <c r="Q183" s="16">
        <v>0</v>
      </c>
      <c r="R183" s="797">
        <v>30</v>
      </c>
      <c r="S183" s="435">
        <v>0</v>
      </c>
      <c r="T183" s="1135"/>
      <c r="U183" s="266">
        <v>5.5122676400630499E-11</v>
      </c>
      <c r="V183" s="266">
        <v>5.3604663576149402E-11</v>
      </c>
      <c r="W183" s="266">
        <v>4.5381804318619403E-11</v>
      </c>
      <c r="X183" s="189">
        <v>1.31127969128976E-11</v>
      </c>
      <c r="Y183" s="189">
        <v>4.9119598130720397E-10</v>
      </c>
      <c r="Z183" s="54">
        <v>1</v>
      </c>
      <c r="AA183" s="54">
        <f t="shared" si="27"/>
        <v>1</v>
      </c>
      <c r="AB183" s="54">
        <f t="shared" si="27"/>
        <v>1</v>
      </c>
      <c r="AC183" s="996">
        <f>AB183/(1-'Common input data'!$D$140)</f>
        <v>1.6280016280016281</v>
      </c>
      <c r="AD183" s="435">
        <f>AC183/(1-'Common input data'!$B$178)</f>
        <v>2.0098785530884298</v>
      </c>
      <c r="AE183" t="s">
        <v>1801</v>
      </c>
      <c r="AF183" s="63" t="s">
        <v>1802</v>
      </c>
      <c r="AG183" t="s">
        <v>1803</v>
      </c>
      <c r="AH183" s="189"/>
      <c r="AI183" s="991"/>
      <c r="AJ183"/>
      <c r="AK183" s="1118" t="s">
        <v>1798</v>
      </c>
      <c r="AL183"/>
      <c r="AM183" t="s">
        <v>1800</v>
      </c>
      <c r="AN183" t="s">
        <v>1902</v>
      </c>
      <c r="AO183"/>
      <c r="CM183" s="5">
        <v>0.16553291274000001</v>
      </c>
      <c r="CN183" s="5">
        <v>5.3972765919999997E-4</v>
      </c>
      <c r="CO183" s="5">
        <v>4.0079567700000002E-4</v>
      </c>
      <c r="CP183" s="5">
        <f>CM183+CN183*'Common input data'!$C$12+CO183*'Common input data'!$E$12</f>
        <v>0.28952277935940002</v>
      </c>
      <c r="CQ183" s="5">
        <f>'Common input data'!$F$19</f>
        <v>-9.1139048141381296E-2</v>
      </c>
      <c r="CR183" s="5">
        <v>0</v>
      </c>
      <c r="CS183" s="5">
        <v>0</v>
      </c>
      <c r="CT183" s="5">
        <f>SUM(CP183:CS183)</f>
        <v>0.19838373121801872</v>
      </c>
      <c r="CU183" s="5">
        <f>'Common input data'!$B$105</f>
        <v>0.05</v>
      </c>
      <c r="CV183" s="5">
        <f>'Common input data'!$B$125+'Common input data'!$C$125</f>
        <v>0.43000000000000005</v>
      </c>
      <c r="CW183" s="287"/>
      <c r="CX183" s="287"/>
    </row>
    <row r="184" spans="1:102" ht="45">
      <c r="A184" s="106"/>
      <c r="B184" s="106" t="s">
        <v>134</v>
      </c>
      <c r="C184" s="440" t="s">
        <v>121</v>
      </c>
      <c r="D184" s="435">
        <v>0.43546814040234083</v>
      </c>
      <c r="E184" s="435">
        <v>5064.6000000000004</v>
      </c>
      <c r="F184" s="797">
        <v>52.517369700000003</v>
      </c>
      <c r="G184" s="303"/>
      <c r="H184" s="1137"/>
      <c r="P184" s="1136"/>
      <c r="Q184" s="14">
        <v>0</v>
      </c>
      <c r="R184" s="797">
        <v>30.73553802</v>
      </c>
      <c r="S184" s="435">
        <v>1.6474172711096E-3</v>
      </c>
      <c r="T184" s="1135"/>
      <c r="U184" s="266">
        <v>7.7918631459423498E-11</v>
      </c>
      <c r="V184" s="266">
        <v>1.2719686165001199E-10</v>
      </c>
      <c r="W184" s="266">
        <v>7.4046050223094695E-11</v>
      </c>
      <c r="X184" s="189">
        <v>7.6916416192197099E-11</v>
      </c>
      <c r="Y184" s="189">
        <v>2.28811680429842E-9</v>
      </c>
      <c r="Z184" s="54">
        <v>1</v>
      </c>
      <c r="AA184" s="54">
        <f t="shared" si="27"/>
        <v>1</v>
      </c>
      <c r="AB184" s="54">
        <f t="shared" si="27"/>
        <v>1</v>
      </c>
      <c r="AC184" s="996">
        <f>AB184/(1-'Common input data'!$I$140)</f>
        <v>1.372193863549042</v>
      </c>
      <c r="AD184" s="435">
        <f>AC184/(1-'Common input data'!$B$178)</f>
        <v>1.6940664982086937</v>
      </c>
      <c r="AE184" t="s">
        <v>1801</v>
      </c>
      <c r="AF184" s="63" t="s">
        <v>1802</v>
      </c>
      <c r="AG184" t="s">
        <v>1903</v>
      </c>
      <c r="AH184"/>
      <c r="AI184" s="991"/>
      <c r="AJ184"/>
      <c r="AK184" s="1118" t="s">
        <v>1798</v>
      </c>
      <c r="AL184"/>
      <c r="AM184" t="s">
        <v>1800</v>
      </c>
      <c r="AN184" t="s">
        <v>1903</v>
      </c>
      <c r="AO184"/>
      <c r="CM184" s="5">
        <v>0.24905350919060001</v>
      </c>
      <c r="CN184" s="5">
        <v>8.1152496543999985E-4</v>
      </c>
      <c r="CO184" s="5">
        <v>4.3878353936000001E-4</v>
      </c>
      <c r="CP184" s="5">
        <f>CM184+CN184*'Common input data'!$C$12+CO184*'Common input data'!$E$12</f>
        <v>0.39075258950276004</v>
      </c>
      <c r="CQ184" s="5">
        <f>'Common input data'!$F$19</f>
        <v>-9.1139048141381296E-2</v>
      </c>
      <c r="CR184" s="5">
        <v>0</v>
      </c>
      <c r="CS184" s="5">
        <v>0</v>
      </c>
      <c r="CT184" s="5">
        <f>SUM(CP184:CS184)</f>
        <v>0.29961354136137874</v>
      </c>
      <c r="CU184" s="5">
        <f>'Common input data'!$B$105</f>
        <v>0.05</v>
      </c>
      <c r="CV184" s="5">
        <f>'Common input data'!$B$128+'Common input data'!$C$128</f>
        <v>0.43000000000000005</v>
      </c>
      <c r="CW184" s="287"/>
      <c r="CX184" s="287"/>
    </row>
    <row r="185" spans="1:102">
      <c r="A185" s="106" t="s">
        <v>181</v>
      </c>
      <c r="B185" s="106" t="s">
        <v>120</v>
      </c>
      <c r="C185" s="435" t="s">
        <v>121</v>
      </c>
      <c r="D185" s="435">
        <v>1</v>
      </c>
      <c r="E185" s="435">
        <v>644.7796737603976</v>
      </c>
      <c r="F185" s="797">
        <v>27.940134943234739</v>
      </c>
      <c r="G185" s="284"/>
      <c r="H185" s="1137"/>
      <c r="P185" s="1136"/>
      <c r="Q185" s="117">
        <f>SUMPRODUCT($D$141:$D$143,Q186:Q188)</f>
        <v>0</v>
      </c>
      <c r="R185" s="797">
        <v>16.147469850806957</v>
      </c>
      <c r="S185" s="435">
        <v>0.32834179075402636</v>
      </c>
      <c r="U185" s="266">
        <v>1.9821050884651513E-11</v>
      </c>
      <c r="V185" s="266">
        <v>2.4916535190055253E-11</v>
      </c>
      <c r="W185" s="266">
        <v>1.0255534134199012E-10</v>
      </c>
      <c r="X185" s="189">
        <v>2.0749827658890416E-11</v>
      </c>
      <c r="Y185" s="189">
        <v>4.0044043329981513E-10</v>
      </c>
      <c r="Z185" s="54"/>
      <c r="AA185" s="54"/>
      <c r="AB185" s="54"/>
      <c r="AC185" s="435"/>
      <c r="AD185" s="435"/>
      <c r="AE185" s="54"/>
      <c r="AF185" s="54"/>
      <c r="AG185" s="800"/>
      <c r="AH185"/>
      <c r="AI185" s="991"/>
      <c r="AJ185"/>
      <c r="AK185" s="1118"/>
      <c r="AL185"/>
      <c r="AO185"/>
      <c r="AP185" s="54">
        <f>1/E185*10^4</f>
        <v>15.509173764240025</v>
      </c>
      <c r="AQ185" s="54">
        <f>$AP185*Z185</f>
        <v>0</v>
      </c>
      <c r="AR185" s="54">
        <f>$AP185*AA185</f>
        <v>0</v>
      </c>
      <c r="AS185" s="54">
        <f>$AP185*AB185</f>
        <v>0</v>
      </c>
      <c r="AT185" s="54">
        <f>$AP185*AC185</f>
        <v>0</v>
      </c>
      <c r="AU185" s="54">
        <f>$AP185*AD185</f>
        <v>0</v>
      </c>
      <c r="AV185"/>
      <c r="AW185" s="189">
        <f>SUM(F185,AE185)/E185</f>
        <v>4.3332840783094212E-2</v>
      </c>
      <c r="AX185" s="189">
        <f>$AW185*Z185</f>
        <v>0</v>
      </c>
      <c r="AY185" s="189">
        <f>$AW185*AA185</f>
        <v>0</v>
      </c>
      <c r="AZ185" s="189">
        <f>$AW185*AB185</f>
        <v>0</v>
      </c>
      <c r="BA185" s="189">
        <f>$AW185*AC185</f>
        <v>0</v>
      </c>
      <c r="BB185" s="189">
        <f>$AW185*AD185</f>
        <v>0</v>
      </c>
      <c r="BC185"/>
      <c r="BD185" s="189">
        <f>R185/E185</f>
        <v>2.50433915768992E-2</v>
      </c>
      <c r="BE185" s="189">
        <f>$BD185*Z185</f>
        <v>0</v>
      </c>
      <c r="BF185" s="189">
        <f>$BD185*AA185</f>
        <v>0</v>
      </c>
      <c r="BG185" s="189">
        <f>$BD185*AB185</f>
        <v>0</v>
      </c>
      <c r="BH185" s="189">
        <f>$BD185*AC185</f>
        <v>0</v>
      </c>
      <c r="BI185" s="189">
        <f>$BD185*AD185</f>
        <v>0</v>
      </c>
      <c r="BK185" s="189">
        <f>S185</f>
        <v>0.32834179075402636</v>
      </c>
      <c r="BL185" s="189">
        <f>$BK185*Z185</f>
        <v>0</v>
      </c>
      <c r="BM185" s="189">
        <f>$BK185*AA185</f>
        <v>0</v>
      </c>
      <c r="BN185" s="189">
        <f>$BK185*AB185</f>
        <v>0</v>
      </c>
      <c r="BO185" s="189">
        <f>$BK185*AC185</f>
        <v>0</v>
      </c>
      <c r="BP185" s="189">
        <f>$BK185*AD185</f>
        <v>0</v>
      </c>
      <c r="BQ185" s="189"/>
      <c r="BR185" s="189">
        <f>(SUM(U185:Y185)*AP185)/('Common input data'!$B$192/10^6)</f>
        <v>2.1715486196308742E-8</v>
      </c>
      <c r="BS185" s="189">
        <f>$BR185*Z185</f>
        <v>0</v>
      </c>
      <c r="BT185" s="189">
        <f>$BR185*AA185</f>
        <v>0</v>
      </c>
      <c r="BU185" s="189">
        <f>$BR185*AB185</f>
        <v>0</v>
      </c>
      <c r="BV185" s="189">
        <f>$BR185*AC185</f>
        <v>0</v>
      </c>
      <c r="BW185" s="189">
        <f>$BR185*AD185</f>
        <v>0</v>
      </c>
      <c r="BY185" s="189">
        <f>T185/E185</f>
        <v>0</v>
      </c>
      <c r="BZ185" s="189">
        <f>$BY185*Z185</f>
        <v>0</v>
      </c>
      <c r="CA185" s="189">
        <f>$BY185*AA185</f>
        <v>0</v>
      </c>
      <c r="CB185" s="189">
        <f>$BY185*AB185</f>
        <v>0</v>
      </c>
      <c r="CC185" s="189">
        <f>$BY185*AC185</f>
        <v>0</v>
      </c>
      <c r="CD185" s="189">
        <f>$BY185*AD185</f>
        <v>0</v>
      </c>
      <c r="CF185" s="189">
        <f>(F185/E185*'Common input data'!$B$195+G185/E185*'Common input data'!$B$196)/'Common input data'!$B$198</f>
        <v>1.1064491924690817E-3</v>
      </c>
      <c r="CG185" s="189">
        <f>$CF185*Z185</f>
        <v>0</v>
      </c>
      <c r="CH185" s="189">
        <f>$CF185*AA185</f>
        <v>0</v>
      </c>
      <c r="CI185" s="189">
        <f>$CF185*AB185</f>
        <v>0</v>
      </c>
      <c r="CJ185" s="189">
        <f>$CF185*AC185</f>
        <v>0</v>
      </c>
      <c r="CK185" s="189">
        <f>$CF185*AD185</f>
        <v>0</v>
      </c>
      <c r="CM185" s="5"/>
      <c r="CN185" s="5"/>
      <c r="CO185" s="5"/>
      <c r="CP185" s="5"/>
      <c r="CQ185" s="5"/>
      <c r="CR185" s="5"/>
      <c r="CS185" s="5"/>
      <c r="CT185" s="5"/>
      <c r="CU185" s="5"/>
      <c r="CV185" s="5"/>
      <c r="CW185" s="287"/>
      <c r="CX185" s="287"/>
    </row>
    <row r="186" spans="1:102" ht="45">
      <c r="A186" s="106"/>
      <c r="B186" s="106" t="s">
        <v>146</v>
      </c>
      <c r="C186" s="435" t="s">
        <v>121</v>
      </c>
      <c r="D186" s="435">
        <v>0.32569947067084365</v>
      </c>
      <c r="E186" s="435">
        <v>432.12</v>
      </c>
      <c r="F186" s="797">
        <v>13.635589812000001</v>
      </c>
      <c r="G186" s="759"/>
      <c r="H186" s="1137"/>
      <c r="P186" s="1136"/>
      <c r="Q186" s="757">
        <v>0</v>
      </c>
      <c r="R186" s="797">
        <v>6.6256959599999998</v>
      </c>
      <c r="S186" s="435">
        <v>0.200721742524816</v>
      </c>
      <c r="T186" s="1135"/>
      <c r="U186" s="266">
        <v>7.3036461651938907E-12</v>
      </c>
      <c r="V186" s="266">
        <v>1.0887230064277701E-11</v>
      </c>
      <c r="W186" s="266">
        <v>2.1264499027956299E-11</v>
      </c>
      <c r="X186" s="189">
        <v>9.7258997229393192E-12</v>
      </c>
      <c r="Y186" s="189">
        <v>1.7994550917344801E-10</v>
      </c>
      <c r="Z186" s="54">
        <v>1</v>
      </c>
      <c r="AA186" s="54">
        <f t="shared" ref="AA186:AB188" si="28">Z186</f>
        <v>1</v>
      </c>
      <c r="AB186" s="54">
        <f t="shared" si="28"/>
        <v>1</v>
      </c>
      <c r="AC186" s="996">
        <f>AB186/(1-'Common input data'!$C$143)</f>
        <v>1.063264221158958</v>
      </c>
      <c r="AD186" s="435">
        <f>AC186/(1-'Common input data'!$B$177)</f>
        <v>1.1075668970405814</v>
      </c>
      <c r="AE186" t="s">
        <v>1801</v>
      </c>
      <c r="AF186" s="63" t="s">
        <v>1802</v>
      </c>
      <c r="AG186" t="s">
        <v>1904</v>
      </c>
      <c r="AH186"/>
      <c r="AI186" s="991"/>
      <c r="AJ186"/>
      <c r="AK186" s="1118" t="s">
        <v>1798</v>
      </c>
      <c r="AL186"/>
      <c r="AM186" t="s">
        <v>1800</v>
      </c>
      <c r="AN186" t="s">
        <v>1904</v>
      </c>
      <c r="AO186"/>
      <c r="CM186" s="5">
        <v>2.2473036057031992</v>
      </c>
      <c r="CN186" s="5">
        <v>2.9626362075000001E-3</v>
      </c>
      <c r="CO186" s="5">
        <v>1.0268237973000002E-3</v>
      </c>
      <c r="CP186" s="5">
        <f>CM186+CN186*'Common input data'!$C$12+CO186*'Common input data'!$E$12</f>
        <v>2.6076176799685991</v>
      </c>
      <c r="CQ186" s="5">
        <f>'Common input data'!$D$19</f>
        <v>0.159771495181245</v>
      </c>
      <c r="CR186" s="5">
        <v>0</v>
      </c>
      <c r="CS186" s="5">
        <v>0</v>
      </c>
      <c r="CT186" s="5">
        <f>SUM(CP186:CS186)</f>
        <v>2.7673891751498441</v>
      </c>
      <c r="CU186" s="5">
        <f>'Common input data'!$B$105</f>
        <v>0.05</v>
      </c>
      <c r="CV186" s="5">
        <f>'Common input data'!$B$125+'Common input data'!$C$125</f>
        <v>0.43000000000000005</v>
      </c>
      <c r="CW186" s="287"/>
      <c r="CX186" s="287"/>
    </row>
    <row r="187" spans="1:102" ht="45">
      <c r="A187" s="106"/>
      <c r="B187" s="106" t="s">
        <v>182</v>
      </c>
      <c r="C187" s="435" t="s">
        <v>121</v>
      </c>
      <c r="D187" s="435">
        <v>0.15804256238522199</v>
      </c>
      <c r="E187" s="435">
        <v>1329.4</v>
      </c>
      <c r="F187" s="797">
        <v>90</v>
      </c>
      <c r="G187" s="759"/>
      <c r="H187" s="1137"/>
      <c r="P187" s="1136"/>
      <c r="Q187" s="757">
        <v>0</v>
      </c>
      <c r="R187" s="797">
        <v>60</v>
      </c>
      <c r="S187" s="435">
        <v>2.3671951065381302E-3</v>
      </c>
      <c r="T187" s="1135"/>
      <c r="U187" s="266">
        <v>3.7381158297061303E-11</v>
      </c>
      <c r="V187" s="266">
        <v>4.4597620083569801E-11</v>
      </c>
      <c r="W187" s="266">
        <v>2.16594629411087E-10</v>
      </c>
      <c r="X187" s="189">
        <v>3.6214803266897603E-11</v>
      </c>
      <c r="Y187" s="189">
        <v>7.0976290375820602E-10</v>
      </c>
      <c r="Z187" s="54">
        <v>1</v>
      </c>
      <c r="AA187" s="54">
        <f t="shared" si="28"/>
        <v>1</v>
      </c>
      <c r="AB187" s="54">
        <f t="shared" si="28"/>
        <v>1</v>
      </c>
      <c r="AC187" s="996">
        <f>AB187/(1-'Common input data'!$F$143)</f>
        <v>1.1318926603552333</v>
      </c>
      <c r="AD187" s="435">
        <f>AC187/(1-'Common input data'!$B$177)</f>
        <v>1.1790548545367014</v>
      </c>
      <c r="AE187" t="s">
        <v>1801</v>
      </c>
      <c r="AF187" s="63" t="s">
        <v>1802</v>
      </c>
      <c r="AG187" t="s">
        <v>1803</v>
      </c>
      <c r="AH187"/>
      <c r="AI187" s="991"/>
      <c r="AJ187"/>
      <c r="AK187" s="1118" t="s">
        <v>1798</v>
      </c>
      <c r="AL187"/>
      <c r="AM187" t="s">
        <v>1800</v>
      </c>
      <c r="AN187" t="s">
        <v>1905</v>
      </c>
      <c r="AO187"/>
      <c r="CM187" s="5">
        <v>2.2376608553469</v>
      </c>
      <c r="CN187" s="5">
        <v>2.9693967799000001E-3</v>
      </c>
      <c r="CO187" s="5">
        <v>1.02671280063E-3</v>
      </c>
      <c r="CP187" s="5">
        <f>CM187+CN187*'Common input data'!$C$12+CO187*'Common input data'!$E$12</f>
        <v>2.5981271629761902</v>
      </c>
      <c r="CQ187" s="5">
        <f>'Common input data'!$D$19</f>
        <v>0.159771495181245</v>
      </c>
      <c r="CR187" s="5">
        <v>0</v>
      </c>
      <c r="CS187" s="5">
        <v>0</v>
      </c>
      <c r="CT187" s="5">
        <f>SUM(CP187:CS187)</f>
        <v>2.7578986581574352</v>
      </c>
      <c r="CU187" s="5">
        <f>'Common input data'!$B$105</f>
        <v>0.05</v>
      </c>
      <c r="CV187" s="5">
        <f>'Common input data'!$B$123+'Common input data'!$C$123</f>
        <v>0.32999999999999996</v>
      </c>
      <c r="CW187" s="287"/>
      <c r="CX187" s="287"/>
    </row>
    <row r="188" spans="1:102" ht="45">
      <c r="A188" s="106"/>
      <c r="B188" s="106" t="s">
        <v>134</v>
      </c>
      <c r="C188" s="435" t="s">
        <v>121</v>
      </c>
      <c r="D188" s="435">
        <v>0.51625796694393433</v>
      </c>
      <c r="E188" s="435">
        <v>569.36</v>
      </c>
      <c r="F188" s="797">
        <v>17.966211736000002</v>
      </c>
      <c r="G188" s="759"/>
      <c r="H188" s="1137"/>
      <c r="P188" s="1136"/>
      <c r="Q188" s="757">
        <v>0</v>
      </c>
      <c r="R188" s="797">
        <v>8.7299968799999998</v>
      </c>
      <c r="S188" s="435">
        <v>0.50864630610103301</v>
      </c>
      <c r="T188" s="1135"/>
      <c r="U188" s="266">
        <v>2.2342402231127596E-11</v>
      </c>
      <c r="V188" s="266">
        <v>2.7742425073923752E-11</v>
      </c>
      <c r="W188" s="266">
        <v>1.1892956421952164E-10</v>
      </c>
      <c r="X188" s="189">
        <v>2.297035149491846E-11</v>
      </c>
      <c r="Y188" s="189">
        <v>4.44854206465827E-10</v>
      </c>
      <c r="Z188" s="54">
        <v>1</v>
      </c>
      <c r="AA188" s="54">
        <f t="shared" si="28"/>
        <v>1</v>
      </c>
      <c r="AB188" s="54">
        <f t="shared" si="28"/>
        <v>1</v>
      </c>
      <c r="AC188" s="996">
        <f>AB188/(1-'Common input data'!$I$143)</f>
        <v>1.1306257108809157</v>
      </c>
      <c r="AD188" s="435">
        <f>AC188/(1-'Common input data'!$B$177)</f>
        <v>1.1777351155009539</v>
      </c>
      <c r="AE188" t="s">
        <v>1801</v>
      </c>
      <c r="AF188" s="63" t="s">
        <v>1802</v>
      </c>
      <c r="AG188" t="s">
        <v>1905</v>
      </c>
      <c r="AH188" s="189"/>
      <c r="AI188" s="991"/>
      <c r="AJ188"/>
      <c r="AK188" s="1118" t="s">
        <v>1798</v>
      </c>
      <c r="AL188"/>
      <c r="AM188" t="s">
        <v>1800</v>
      </c>
      <c r="AN188" t="s">
        <v>1905</v>
      </c>
      <c r="AO188"/>
      <c r="CM188" s="5">
        <v>2.2376608553469</v>
      </c>
      <c r="CN188" s="5">
        <v>2.9693967799000001E-3</v>
      </c>
      <c r="CO188" s="5">
        <v>1.02671280063E-3</v>
      </c>
      <c r="CP188" s="5">
        <f>CM188+CN188*'Common input data'!$C$12+CO188*'Common input data'!$E$12</f>
        <v>2.5981271629761902</v>
      </c>
      <c r="CQ188" s="5">
        <f>'Common input data'!$D$19</f>
        <v>0.159771495181245</v>
      </c>
      <c r="CR188" s="5">
        <v>0</v>
      </c>
      <c r="CS188" s="5">
        <v>0</v>
      </c>
      <c r="CT188" s="5">
        <f>SUM(CP188:CS188)</f>
        <v>2.7578986581574352</v>
      </c>
      <c r="CU188" s="5">
        <f>'Common input data'!$B$105</f>
        <v>0.05</v>
      </c>
      <c r="CV188" s="5">
        <f>'Common input data'!$B$128+'Common input data'!$C$128</f>
        <v>0.43000000000000005</v>
      </c>
      <c r="CW188" s="287"/>
      <c r="CX188" s="287"/>
    </row>
    <row r="189" spans="1:102">
      <c r="A189" s="106" t="s">
        <v>185</v>
      </c>
      <c r="B189" s="106" t="s">
        <v>120</v>
      </c>
      <c r="C189" s="440" t="s">
        <v>121</v>
      </c>
      <c r="D189" s="435">
        <v>1</v>
      </c>
      <c r="E189" s="435">
        <v>3003.0329056525061</v>
      </c>
      <c r="F189" s="797">
        <v>15.04965336688443</v>
      </c>
      <c r="G189" s="284"/>
      <c r="H189" s="1137"/>
      <c r="P189" s="1136"/>
      <c r="Q189" s="117">
        <f>SUMPRODUCT($D$145:$D$148,Q190:Q193)</f>
        <v>249.76677444027257</v>
      </c>
      <c r="R189" s="797">
        <v>39.672472714319028</v>
      </c>
      <c r="S189" s="435">
        <v>4.6629121136329318E-2</v>
      </c>
      <c r="U189" s="266">
        <v>6.7704158545103709E-12</v>
      </c>
      <c r="V189" s="266">
        <v>8.9540226035991817E-12</v>
      </c>
      <c r="W189" s="266">
        <v>1.1242202327508579E-11</v>
      </c>
      <c r="X189" s="189">
        <v>1.1987086059227903E-12</v>
      </c>
      <c r="Y189" s="189">
        <v>6.8739306823723838E-11</v>
      </c>
      <c r="Z189" s="54"/>
      <c r="AA189" s="54"/>
      <c r="AB189" s="54"/>
      <c r="AC189" s="435"/>
      <c r="AD189" s="435"/>
      <c r="AE189" s="54"/>
      <c r="AF189" s="54"/>
      <c r="AG189" s="800"/>
      <c r="AH189"/>
      <c r="AI189" s="991"/>
      <c r="AJ189" t="s">
        <v>1805</v>
      </c>
      <c r="AK189" s="1118"/>
      <c r="AL189"/>
      <c r="AO189"/>
      <c r="AP189" s="54">
        <f>1/E189*10^4</f>
        <v>3.3299668415811698</v>
      </c>
      <c r="AQ189" s="54">
        <f>$AP189*Z189</f>
        <v>0</v>
      </c>
      <c r="AR189" s="54">
        <f>$AP189*AA189</f>
        <v>0</v>
      </c>
      <c r="AS189" s="54">
        <f>$AP189*AB189</f>
        <v>0</v>
      </c>
      <c r="AT189" s="54">
        <f>$AP189*AC189</f>
        <v>0</v>
      </c>
      <c r="AU189" s="54">
        <f>$AP189*AD189</f>
        <v>0</v>
      </c>
      <c r="AV189"/>
      <c r="AW189" s="189">
        <f>SUM(F189,AE189)/E189</f>
        <v>5.0114846689015566E-3</v>
      </c>
      <c r="AX189" s="189">
        <f>$AW189*Z189</f>
        <v>0</v>
      </c>
      <c r="AY189" s="189">
        <f>$AW189*AA189</f>
        <v>0</v>
      </c>
      <c r="AZ189" s="189">
        <f>$AW189*AB189</f>
        <v>0</v>
      </c>
      <c r="BA189" s="189">
        <f>$AW189*AC189</f>
        <v>0</v>
      </c>
      <c r="BB189" s="189">
        <f>$AW189*AD189</f>
        <v>0</v>
      </c>
      <c r="BC189"/>
      <c r="BD189" s="189">
        <f>R189/E189</f>
        <v>1.321080186622161E-2</v>
      </c>
      <c r="BE189" s="189">
        <f>$BD189*Z189</f>
        <v>0</v>
      </c>
      <c r="BF189" s="189">
        <f>$BD189*AA189</f>
        <v>0</v>
      </c>
      <c r="BG189" s="189">
        <f>$BD189*AB189</f>
        <v>0</v>
      </c>
      <c r="BH189" s="189">
        <f>$BD189*AC189</f>
        <v>0</v>
      </c>
      <c r="BI189" s="189">
        <f>$BD189*AD189</f>
        <v>0</v>
      </c>
      <c r="BK189" s="189">
        <f>S189</f>
        <v>4.6629121136329318E-2</v>
      </c>
      <c r="BL189" s="189">
        <f>$BK189*Z189</f>
        <v>0</v>
      </c>
      <c r="BM189" s="189">
        <f>$BK189*AA189</f>
        <v>0</v>
      </c>
      <c r="BN189" s="189">
        <f>$BK189*AB189</f>
        <v>0</v>
      </c>
      <c r="BO189" s="189">
        <f>$BK189*AC189</f>
        <v>0</v>
      </c>
      <c r="BP189" s="189">
        <f>$BK189*AD189</f>
        <v>0</v>
      </c>
      <c r="BQ189" s="189"/>
      <c r="BR189" s="189">
        <f>(SUM(U189:Y189)*AP189)/('Common input data'!$B$192/10^6)</f>
        <v>7.94781635899742E-10</v>
      </c>
      <c r="BS189" s="189">
        <f>$BR189*Z189</f>
        <v>0</v>
      </c>
      <c r="BT189" s="189">
        <f>$BR189*AA189</f>
        <v>0</v>
      </c>
      <c r="BU189" s="189">
        <f>$BR189*AB189</f>
        <v>0</v>
      </c>
      <c r="BV189" s="189">
        <f>$BR189*AC189</f>
        <v>0</v>
      </c>
      <c r="BW189" s="189">
        <f>$BR189*AD189</f>
        <v>0</v>
      </c>
      <c r="BY189" s="189">
        <f>T189/E189</f>
        <v>0</v>
      </c>
      <c r="BZ189" s="189">
        <f>$BY189*Z189</f>
        <v>0</v>
      </c>
      <c r="CA189" s="189">
        <f>$BY189*AA189</f>
        <v>0</v>
      </c>
      <c r="CB189" s="189">
        <f>$BY189*AB189</f>
        <v>0</v>
      </c>
      <c r="CC189" s="189">
        <f>$BY189*AC189</f>
        <v>0</v>
      </c>
      <c r="CD189" s="189">
        <f>$BY189*AD189</f>
        <v>0</v>
      </c>
      <c r="CF189" s="189">
        <f>(F189/E189*'Common input data'!$B$195+G189/E189*'Common input data'!$B$196)/'Common input data'!$B$198</f>
        <v>1.2796191213802459E-4</v>
      </c>
      <c r="CG189" s="189">
        <f>$CF189*Z189</f>
        <v>0</v>
      </c>
      <c r="CH189" s="189">
        <f>$CF189*AA189</f>
        <v>0</v>
      </c>
      <c r="CI189" s="189">
        <f>$CF189*AB189</f>
        <v>0</v>
      </c>
      <c r="CJ189" s="189">
        <f>$CF189*AC189</f>
        <v>0</v>
      </c>
      <c r="CK189" s="189">
        <f>$CF189*AD189</f>
        <v>0</v>
      </c>
      <c r="CM189" s="5"/>
      <c r="CN189" s="5"/>
      <c r="CO189" s="5"/>
      <c r="CP189" s="5"/>
      <c r="CQ189" s="5"/>
      <c r="CR189" s="5"/>
      <c r="CS189" s="5"/>
      <c r="CT189" s="5"/>
      <c r="CU189" s="5"/>
      <c r="CV189" s="5"/>
      <c r="CW189" s="287"/>
      <c r="CX189" s="287"/>
    </row>
    <row r="190" spans="1:102" ht="45">
      <c r="A190" s="106"/>
      <c r="B190" s="106" t="s">
        <v>149</v>
      </c>
      <c r="C190" s="435" t="s">
        <v>121</v>
      </c>
      <c r="D190" s="435">
        <v>0.32707280280000001</v>
      </c>
      <c r="E190" s="435">
        <v>3239</v>
      </c>
      <c r="F190" s="797">
        <v>30</v>
      </c>
      <c r="G190" s="301"/>
      <c r="H190" s="1137"/>
      <c r="P190" s="1136"/>
      <c r="Q190" s="16">
        <v>207</v>
      </c>
      <c r="R190" s="797">
        <v>60</v>
      </c>
      <c r="S190" s="435">
        <v>9.2364702723536099E-2</v>
      </c>
      <c r="T190" s="54">
        <v>1.6842799999999998</v>
      </c>
      <c r="U190" s="266">
        <v>2.9439715025713399E-12</v>
      </c>
      <c r="V190" s="266">
        <v>4.8477088851861698E-12</v>
      </c>
      <c r="W190" s="266">
        <v>5.2903295905443303E-12</v>
      </c>
      <c r="X190" s="189">
        <v>1.3897687987919499E-12</v>
      </c>
      <c r="Y190" s="189">
        <v>5.5159397779402299E-11</v>
      </c>
      <c r="Z190" s="54">
        <v>1</v>
      </c>
      <c r="AA190" s="54">
        <f>Z190/'Common input data'!$C$44</f>
        <v>5.5555555555555554</v>
      </c>
      <c r="AB190" s="54">
        <f>AA190*'Common input data'!$D$44</f>
        <v>1.9444444444444442</v>
      </c>
      <c r="AC190" s="996">
        <f>AB190/(1-'Common input data'!$C$143)</f>
        <v>2.0674582078090848</v>
      </c>
      <c r="AD190" s="435">
        <f>AC190/(1-'Common input data'!$B$177)</f>
        <v>2.1536022998011299</v>
      </c>
      <c r="AE190" t="s">
        <v>1875</v>
      </c>
      <c r="AF190" s="63" t="s">
        <v>1802</v>
      </c>
      <c r="AG190" t="s">
        <v>1803</v>
      </c>
      <c r="AH190" s="189"/>
      <c r="AI190" s="991"/>
      <c r="AJ190" t="s">
        <v>1805</v>
      </c>
      <c r="AK190" s="1118" t="s">
        <v>1798</v>
      </c>
      <c r="AL190" s="1128" t="s">
        <v>1895</v>
      </c>
      <c r="AM190" t="s">
        <v>1800</v>
      </c>
      <c r="AN190" s="1128" t="s">
        <v>1895</v>
      </c>
      <c r="AO190"/>
      <c r="CM190" s="5"/>
      <c r="CN190" s="5"/>
      <c r="CO190" s="5"/>
      <c r="CP190" s="5"/>
      <c r="CQ190" s="5"/>
      <c r="CR190" s="5"/>
      <c r="CS190" s="5"/>
      <c r="CT190" s="5">
        <f>CT172/'Common input data'!C$44*'Common input data'!D$44</f>
        <v>1.514934533647319</v>
      </c>
      <c r="CU190" s="5">
        <f>'Common input data'!$B$104</f>
        <v>0.3</v>
      </c>
      <c r="CV190" s="5">
        <f>'Common input data'!$B$123+'Common input data'!$C$123</f>
        <v>0.32999999999999996</v>
      </c>
      <c r="CW190" s="287"/>
      <c r="CX190" s="287"/>
    </row>
    <row r="191" spans="1:102" ht="45">
      <c r="A191" s="106"/>
      <c r="B191" s="106" t="s">
        <v>142</v>
      </c>
      <c r="C191" s="435" t="s">
        <v>121</v>
      </c>
      <c r="D191" s="435">
        <v>0.28777903040000002</v>
      </c>
      <c r="E191" s="435">
        <v>3021.2799999999997</v>
      </c>
      <c r="F191" s="797">
        <v>10</v>
      </c>
      <c r="G191" s="301"/>
      <c r="H191" s="1137"/>
      <c r="P191" s="1136"/>
      <c r="Q191" s="16">
        <v>243</v>
      </c>
      <c r="R191" s="797">
        <v>50</v>
      </c>
      <c r="S191" s="435">
        <v>8.3191495512068404E-4</v>
      </c>
      <c r="T191" s="54">
        <v>4.806</v>
      </c>
      <c r="U191" s="266">
        <v>1.0040933916203999E-11</v>
      </c>
      <c r="V191" s="266">
        <v>1.5382109589240001E-11</v>
      </c>
      <c r="W191" s="266">
        <v>2.1977455618085499E-11</v>
      </c>
      <c r="X191" s="189">
        <v>1.14038353262019E-12</v>
      </c>
      <c r="Y191" s="189">
        <v>1.19148547693904E-10</v>
      </c>
      <c r="Z191" s="54">
        <v>1</v>
      </c>
      <c r="AA191" s="54">
        <f>Z191/'Common input data'!$C$44</f>
        <v>5.5555555555555554</v>
      </c>
      <c r="AB191" s="54">
        <f>AA191*'Common input data'!$D$44</f>
        <v>1.9444444444444442</v>
      </c>
      <c r="AC191" s="996">
        <f>AB191/(1-'Common input data'!$F$143)</f>
        <v>2.2009023951351754</v>
      </c>
      <c r="AD191" s="435">
        <f>AC191/(1-'Common input data'!$B$177)</f>
        <v>2.2926066615991409</v>
      </c>
      <c r="AE191" t="s">
        <v>1875</v>
      </c>
      <c r="AF191" s="63" t="s">
        <v>1802</v>
      </c>
      <c r="AG191" t="s">
        <v>1803</v>
      </c>
      <c r="AH191" s="189"/>
      <c r="AI191" s="991"/>
      <c r="AJ191" t="s">
        <v>1805</v>
      </c>
      <c r="AK191" s="1118" t="s">
        <v>1798</v>
      </c>
      <c r="AL191" s="29" t="s">
        <v>1896</v>
      </c>
      <c r="AM191" t="s">
        <v>1800</v>
      </c>
      <c r="AN191" s="29" t="s">
        <v>1896</v>
      </c>
      <c r="AO191"/>
      <c r="CM191" s="5"/>
      <c r="CN191" s="5"/>
      <c r="CO191" s="5"/>
      <c r="CP191" s="5"/>
      <c r="CQ191" s="5"/>
      <c r="CR191" s="5"/>
      <c r="CS191" s="5"/>
      <c r="CT191" s="5">
        <f>CT173/'Common input data'!C$44*'Common input data'!D$44</f>
        <v>1.6897027234527824</v>
      </c>
      <c r="CU191" s="5">
        <f>'Common input data'!$B$104</f>
        <v>0.3</v>
      </c>
      <c r="CV191" s="5">
        <f>'Common input data'!$B$123+'Common input data'!$C$123</f>
        <v>0.32999999999999996</v>
      </c>
      <c r="CW191" s="287"/>
      <c r="CX191" s="287"/>
    </row>
    <row r="192" spans="1:102" ht="45">
      <c r="A192" s="106"/>
      <c r="B192" s="106" t="s">
        <v>184</v>
      </c>
      <c r="C192" s="435" t="s">
        <v>121</v>
      </c>
      <c r="D192" s="435">
        <v>0.16764581510000001</v>
      </c>
      <c r="E192" s="435">
        <v>2934.7</v>
      </c>
      <c r="F192" s="797">
        <v>10</v>
      </c>
      <c r="G192" s="301"/>
      <c r="H192" s="1137"/>
      <c r="P192" s="1136"/>
      <c r="Q192" s="16">
        <v>83</v>
      </c>
      <c r="R192" s="797">
        <v>5</v>
      </c>
      <c r="S192" s="435">
        <v>5.3124997988455601E-3</v>
      </c>
      <c r="T192" s="54">
        <v>0.92</v>
      </c>
      <c r="U192" s="266">
        <v>8.2305425252214494E-12</v>
      </c>
      <c r="V192" s="266">
        <v>6.1426753360527396E-12</v>
      </c>
      <c r="W192" s="266">
        <v>5.0398079104976297E-12</v>
      </c>
      <c r="X192" s="189">
        <v>9.6831075647488203E-13</v>
      </c>
      <c r="Y192" s="189">
        <v>1.5708120753030601E-11</v>
      </c>
      <c r="Z192" s="54">
        <v>1</v>
      </c>
      <c r="AA192" s="54">
        <f>Z192/'Common input data'!$C$44</f>
        <v>5.5555555555555554</v>
      </c>
      <c r="AB192" s="54">
        <f>AA192*'Common input data'!$D$44</f>
        <v>1.9444444444444442</v>
      </c>
      <c r="AC192" s="996">
        <f>AB192/(1-'Common input data'!$F$143)</f>
        <v>2.2009023951351754</v>
      </c>
      <c r="AD192" s="435">
        <f>AC192/(1-'Common input data'!$B$177)</f>
        <v>2.2926066615991409</v>
      </c>
      <c r="AE192" t="s">
        <v>1875</v>
      </c>
      <c r="AF192" s="63" t="s">
        <v>1802</v>
      </c>
      <c r="AG192" t="s">
        <v>1803</v>
      </c>
      <c r="AH192" s="189"/>
      <c r="AI192" s="991"/>
      <c r="AJ192" t="s">
        <v>1805</v>
      </c>
      <c r="AK192" s="1118" t="s">
        <v>1798</v>
      </c>
      <c r="AL192" s="1128" t="s">
        <v>1897</v>
      </c>
      <c r="AM192" t="s">
        <v>1800</v>
      </c>
      <c r="AN192" s="1128" t="s">
        <v>1897</v>
      </c>
      <c r="AO192"/>
      <c r="CM192" s="5"/>
      <c r="CN192" s="5"/>
      <c r="CO192" s="5"/>
      <c r="CP192" s="5"/>
      <c r="CQ192" s="5"/>
      <c r="CR192" s="5"/>
      <c r="CS192" s="5"/>
      <c r="CT192" s="5">
        <f>CT174/'Common input data'!C$44*'Common input data'!D$44</f>
        <v>1.3190886190046387</v>
      </c>
      <c r="CU192" s="5">
        <f>'Common input data'!$B$104</f>
        <v>0.3</v>
      </c>
      <c r="CV192" s="5">
        <f>'Common input data'!$B$123+'Common input data'!$C$123</f>
        <v>0.32999999999999996</v>
      </c>
      <c r="CW192" s="287"/>
      <c r="CX192" s="287"/>
    </row>
    <row r="193" spans="1:102" ht="45">
      <c r="A193" s="106"/>
      <c r="B193" s="106" t="s">
        <v>1254</v>
      </c>
      <c r="C193" s="440" t="s">
        <v>121</v>
      </c>
      <c r="D193" s="435">
        <v>0.21750235169999999</v>
      </c>
      <c r="E193" s="435">
        <v>2676.72</v>
      </c>
      <c r="F193" s="797">
        <v>3.1412112215999999</v>
      </c>
      <c r="G193" s="301"/>
      <c r="H193" s="1137"/>
      <c r="P193" s="1136"/>
      <c r="Q193" s="16">
        <v>161</v>
      </c>
      <c r="R193" s="797">
        <v>22.164927933600001</v>
      </c>
      <c r="S193" s="435">
        <v>7.0294011899631498E-2</v>
      </c>
      <c r="T193" s="54">
        <v>2.2592816454628797</v>
      </c>
      <c r="U193" s="266">
        <v>7.0718159813322624E-12</v>
      </c>
      <c r="V193" s="266">
        <v>8.7908312701596367E-12</v>
      </c>
      <c r="W193" s="266">
        <v>1.076919770637582E-11</v>
      </c>
      <c r="X193" s="189">
        <v>1.1661543626290074E-12</v>
      </c>
      <c r="Y193" s="189">
        <v>6.3338688742112302E-11</v>
      </c>
      <c r="Z193" s="54">
        <v>1</v>
      </c>
      <c r="AA193" s="54">
        <f>Z193/'Common input data'!$C$44</f>
        <v>5.5555555555555554</v>
      </c>
      <c r="AB193" s="54">
        <f>AA193*'Common input data'!$D$44</f>
        <v>1.9444444444444442</v>
      </c>
      <c r="AC193" s="996">
        <f>AB193/(1-'Common input data'!$I$143)</f>
        <v>2.1984388822684471</v>
      </c>
      <c r="AD193" s="435">
        <f>AC193/(1-'Common input data'!$B$177)</f>
        <v>2.2900405023629657</v>
      </c>
      <c r="AE193" t="s">
        <v>1875</v>
      </c>
      <c r="AF193" s="63" t="s">
        <v>1802</v>
      </c>
      <c r="AG193" s="1128" t="s">
        <v>1898</v>
      </c>
      <c r="AH193" s="189"/>
      <c r="AI193" s="991"/>
      <c r="AJ193" t="s">
        <v>1805</v>
      </c>
      <c r="AK193" s="1118" t="s">
        <v>1798</v>
      </c>
      <c r="AL193" s="1128" t="s">
        <v>1898</v>
      </c>
      <c r="AM193" t="s">
        <v>1800</v>
      </c>
      <c r="AN193" s="1128" t="s">
        <v>1898</v>
      </c>
      <c r="AO193"/>
      <c r="CM193" s="5"/>
      <c r="CN193" s="5"/>
      <c r="CO193" s="5"/>
      <c r="CP193" s="5"/>
      <c r="CQ193" s="5"/>
      <c r="CR193" s="5"/>
      <c r="CS193" s="5"/>
      <c r="CT193" s="5">
        <f>CT175/'Common input data'!C$44*'Common input data'!D$44</f>
        <v>1.3592763992233163</v>
      </c>
      <c r="CU193" s="5">
        <f>'Common input data'!$B$104</f>
        <v>0.3</v>
      </c>
      <c r="CV193" s="5">
        <f>'Common input data'!$B$128+'Common input data'!$C$128</f>
        <v>0.43000000000000005</v>
      </c>
      <c r="CW193" s="287"/>
      <c r="CX193" s="287"/>
    </row>
    <row r="194" spans="1:102">
      <c r="A194" s="106" t="s">
        <v>465</v>
      </c>
      <c r="B194" s="106" t="s">
        <v>120</v>
      </c>
      <c r="C194" s="435" t="s">
        <v>121</v>
      </c>
      <c r="D194" s="435">
        <v>1</v>
      </c>
      <c r="E194" s="435">
        <v>1920.0206065245914</v>
      </c>
      <c r="F194" s="797">
        <v>93.631415822207202</v>
      </c>
      <c r="G194" s="284"/>
      <c r="H194" s="1137"/>
      <c r="P194" s="1136"/>
      <c r="Q194" s="117">
        <f>SUMPRODUCT($D$150:$D$151,Q195:Q196)</f>
        <v>0</v>
      </c>
      <c r="R194" s="797">
        <v>65.537710918853008</v>
      </c>
      <c r="S194" s="435">
        <v>0.10281717585131399</v>
      </c>
      <c r="U194" s="266">
        <v>2.0321018994265801E-12</v>
      </c>
      <c r="V194" s="266">
        <v>1.25706113532964E-12</v>
      </c>
      <c r="W194" s="266">
        <v>2.7214600985099602E-12</v>
      </c>
      <c r="X194" s="189">
        <v>1.24426858277234E-12</v>
      </c>
      <c r="Y194" s="189">
        <v>1.0980413467666899E-10</v>
      </c>
      <c r="Z194" s="54"/>
      <c r="AA194" s="54"/>
      <c r="AB194" s="54"/>
      <c r="AC194" s="435"/>
      <c r="AD194" s="435"/>
      <c r="AE194" s="54"/>
      <c r="AF194" s="54"/>
      <c r="AG194" s="800"/>
      <c r="AH194"/>
      <c r="AI194" s="991"/>
      <c r="AJ194"/>
      <c r="AK194" s="1118"/>
      <c r="AL194"/>
      <c r="AO194"/>
      <c r="AP194" s="54">
        <f>1/E194*10^4</f>
        <v>5.2082774351577887</v>
      </c>
      <c r="AQ194" s="54">
        <f>$AP194*Z194</f>
        <v>0</v>
      </c>
      <c r="AR194" s="54">
        <f>$AP194*AA194</f>
        <v>0</v>
      </c>
      <c r="AS194" s="54">
        <f>$AP194*AB194</f>
        <v>0</v>
      </c>
      <c r="AT194" s="54">
        <f>$AP194*AC194</f>
        <v>0</v>
      </c>
      <c r="AU194" s="54">
        <f>$AP194*AD194</f>
        <v>0</v>
      </c>
      <c r="AV194"/>
      <c r="AW194" s="189">
        <f>SUM(F194,AE194)/E194</f>
        <v>4.8765839024867773E-2</v>
      </c>
      <c r="AX194" s="189">
        <f>$AW194*Z194</f>
        <v>0</v>
      </c>
      <c r="AY194" s="189">
        <f>$AW194*AA194</f>
        <v>0</v>
      </c>
      <c r="AZ194" s="189">
        <f>$AW194*AB194</f>
        <v>0</v>
      </c>
      <c r="BA194" s="189">
        <f>$AW194*AC194</f>
        <v>0</v>
      </c>
      <c r="BB194" s="189">
        <f>$AW194*AD194</f>
        <v>0</v>
      </c>
      <c r="BC194"/>
      <c r="BD194" s="189">
        <f>R194/E194</f>
        <v>3.4133858093055636E-2</v>
      </c>
      <c r="BE194" s="189">
        <f>$BD194*Z194</f>
        <v>0</v>
      </c>
      <c r="BF194" s="189">
        <f>$BD194*AA194</f>
        <v>0</v>
      </c>
      <c r="BG194" s="189">
        <f>$BD194*AB194</f>
        <v>0</v>
      </c>
      <c r="BH194" s="189">
        <f>$BD194*AC194</f>
        <v>0</v>
      </c>
      <c r="BI194" s="189">
        <f>$BD194*AD194</f>
        <v>0</v>
      </c>
      <c r="BK194" s="189">
        <f>S194</f>
        <v>0.10281717585131399</v>
      </c>
      <c r="BL194" s="189">
        <f>$BK194*Z194</f>
        <v>0</v>
      </c>
      <c r="BM194" s="189">
        <f>$BK194*AA194</f>
        <v>0</v>
      </c>
      <c r="BN194" s="189">
        <f>$BK194*AB194</f>
        <v>0</v>
      </c>
      <c r="BO194" s="189">
        <f>$BK194*AC194</f>
        <v>0</v>
      </c>
      <c r="BP194" s="189">
        <f>$BK194*AD194</f>
        <v>0</v>
      </c>
      <c r="BQ194" s="189"/>
      <c r="BR194" s="189">
        <f>(SUM(U194:Y194)*AP194)/('Common input data'!$B$192/10^6)</f>
        <v>1.5016277573032157E-9</v>
      </c>
      <c r="BS194" s="189">
        <f>$BR194*Z194</f>
        <v>0</v>
      </c>
      <c r="BT194" s="189">
        <f>$BR194*AA194</f>
        <v>0</v>
      </c>
      <c r="BU194" s="189">
        <f>$BR194*AB194</f>
        <v>0</v>
      </c>
      <c r="BV194" s="189">
        <f>$BR194*AC194</f>
        <v>0</v>
      </c>
      <c r="BW194" s="189">
        <f>$BR194*AD194</f>
        <v>0</v>
      </c>
      <c r="BY194" s="189">
        <f>T194/E194</f>
        <v>0</v>
      </c>
      <c r="BZ194" s="189">
        <f>$BY194*Z194</f>
        <v>0</v>
      </c>
      <c r="CA194" s="189">
        <f>$BY194*AA194</f>
        <v>0</v>
      </c>
      <c r="CB194" s="189">
        <f>$BY194*AB194</f>
        <v>0</v>
      </c>
      <c r="CC194" s="189">
        <f>$BY194*AC194</f>
        <v>0</v>
      </c>
      <c r="CD194" s="189">
        <f>$BY194*AD194</f>
        <v>0</v>
      </c>
      <c r="CF194" s="189">
        <f>(F194/E194*'Common input data'!$B$195+G194/E194*'Common input data'!$B$196)/'Common input data'!$B$198</f>
        <v>1.2451739196889403E-3</v>
      </c>
      <c r="CG194" s="189">
        <f>$CF194*Z194</f>
        <v>0</v>
      </c>
      <c r="CH194" s="189">
        <f>$CF194*AA194</f>
        <v>0</v>
      </c>
      <c r="CI194" s="189">
        <f>$CF194*AB194</f>
        <v>0</v>
      </c>
      <c r="CJ194" s="189">
        <f>$CF194*AC194</f>
        <v>0</v>
      </c>
      <c r="CK194" s="189">
        <f>$CF194*AD194</f>
        <v>0</v>
      </c>
      <c r="CM194" s="5"/>
      <c r="CN194" s="5"/>
      <c r="CO194" s="5"/>
      <c r="CP194" s="5"/>
      <c r="CQ194" s="5"/>
      <c r="CR194" s="5"/>
      <c r="CS194" s="5"/>
      <c r="CT194" s="5"/>
      <c r="CU194" s="5"/>
      <c r="CV194" s="5"/>
      <c r="CW194" s="287"/>
      <c r="CX194" s="287"/>
    </row>
    <row r="195" spans="1:102" ht="45">
      <c r="A195" s="106"/>
      <c r="B195" s="106" t="s">
        <v>161</v>
      </c>
      <c r="C195" s="435" t="s">
        <v>121</v>
      </c>
      <c r="D195" s="435">
        <v>0.3295701577155068</v>
      </c>
      <c r="E195" s="435">
        <v>2257.2199999999998</v>
      </c>
      <c r="F195" s="797">
        <v>130</v>
      </c>
      <c r="G195" s="1137"/>
      <c r="H195" s="1137"/>
      <c r="P195" s="1136"/>
      <c r="Q195" s="117">
        <v>0</v>
      </c>
      <c r="R195" s="797">
        <v>80</v>
      </c>
      <c r="S195" s="435">
        <v>1.08966556123909E-2</v>
      </c>
      <c r="T195" s="1135"/>
      <c r="U195" s="266">
        <v>2.0321018994265801E-12</v>
      </c>
      <c r="V195" s="266">
        <v>1.25706113532964E-12</v>
      </c>
      <c r="W195" s="266">
        <v>2.7214600985099602E-12</v>
      </c>
      <c r="X195" s="189">
        <v>1.24426858277234E-12</v>
      </c>
      <c r="Y195" s="189">
        <v>1.0980413467666901E-10</v>
      </c>
      <c r="Z195" s="54">
        <v>1</v>
      </c>
      <c r="AA195" s="54">
        <f>Z195/'Common input data'!$C$45</f>
        <v>2.5</v>
      </c>
      <c r="AB195" s="54">
        <f>AA195*'Common input data'!$D$45</f>
        <v>2.0499999999999998</v>
      </c>
      <c r="AC195" s="996">
        <f>AB195/(1-'Common input data'!$B$143)</f>
        <v>2.201708740783701</v>
      </c>
      <c r="AD195" s="435">
        <f>AC195/(1-'Common input data'!$B$177)</f>
        <v>2.2934466049830222</v>
      </c>
      <c r="AE195" t="s">
        <v>1801</v>
      </c>
      <c r="AF195" s="63" t="s">
        <v>1802</v>
      </c>
      <c r="AG195" t="s">
        <v>1803</v>
      </c>
      <c r="AH195" s="189"/>
      <c r="AI195" s="991"/>
      <c r="AJ195"/>
      <c r="AK195" s="1118" t="s">
        <v>1798</v>
      </c>
      <c r="AL195"/>
      <c r="AM195" t="s">
        <v>1800</v>
      </c>
      <c r="AO195"/>
      <c r="CM195" s="5"/>
      <c r="CN195" s="5"/>
      <c r="CO195" s="5"/>
      <c r="CP195" s="5"/>
      <c r="CQ195" s="5"/>
      <c r="CR195" s="5"/>
      <c r="CS195" s="5"/>
      <c r="CT195" s="5"/>
      <c r="CU195" s="5"/>
      <c r="CV195" s="5"/>
      <c r="CW195" s="287"/>
      <c r="CX195" s="287"/>
    </row>
    <row r="196" spans="1:102" ht="45">
      <c r="A196" s="106"/>
      <c r="B196" s="106" t="s">
        <v>134</v>
      </c>
      <c r="C196" s="435" t="s">
        <v>121</v>
      </c>
      <c r="D196" s="435">
        <v>0.6704298422844932</v>
      </c>
      <c r="E196" s="435">
        <v>1754.26</v>
      </c>
      <c r="F196" s="797">
        <v>130</v>
      </c>
      <c r="G196" s="1137"/>
      <c r="H196" s="1137"/>
      <c r="P196" s="1136"/>
      <c r="Q196" s="117">
        <v>0</v>
      </c>
      <c r="R196" s="797">
        <v>80</v>
      </c>
      <c r="S196" s="435">
        <v>0.14800350026850501</v>
      </c>
      <c r="T196" s="1135"/>
      <c r="U196" s="266">
        <v>2.0321018994265801E-12</v>
      </c>
      <c r="V196" s="266">
        <v>1.25706113532964E-12</v>
      </c>
      <c r="W196" s="266">
        <v>2.7214600985099602E-12</v>
      </c>
      <c r="X196" s="189">
        <v>1.24426858277234E-12</v>
      </c>
      <c r="Y196" s="189">
        <v>1.0980413467666901E-10</v>
      </c>
      <c r="Z196" s="54">
        <v>1</v>
      </c>
      <c r="AA196" s="54">
        <f>Z196/'Common input data'!$C$45</f>
        <v>2.5</v>
      </c>
      <c r="AB196" s="54">
        <f>AA196*'Common input data'!$D$45</f>
        <v>2.0499999999999998</v>
      </c>
      <c r="AC196" s="996">
        <f>AB196/(1-'Common input data'!$I$143)</f>
        <v>2.3177827073058772</v>
      </c>
      <c r="AD196" s="435">
        <f>AC196/(1-'Common input data'!$B$177)</f>
        <v>2.4143569867769554</v>
      </c>
      <c r="AE196" t="s">
        <v>1801</v>
      </c>
      <c r="AF196" s="63" t="s">
        <v>1802</v>
      </c>
      <c r="AG196" s="800" t="s">
        <v>1894</v>
      </c>
      <c r="AH196" s="189"/>
      <c r="AI196" s="991"/>
      <c r="AJ196"/>
      <c r="AK196" s="1118" t="s">
        <v>1798</v>
      </c>
      <c r="AL196"/>
      <c r="AM196" t="s">
        <v>1800</v>
      </c>
      <c r="AO196"/>
      <c r="CM196" s="5"/>
      <c r="CN196" s="5"/>
      <c r="CO196" s="5"/>
      <c r="CP196" s="5"/>
      <c r="CQ196" s="5"/>
      <c r="CR196" s="5"/>
      <c r="CS196" s="5"/>
      <c r="CT196" s="5"/>
      <c r="CU196" s="5"/>
      <c r="CV196" s="5"/>
      <c r="CW196" s="287"/>
      <c r="CX196" s="287"/>
    </row>
    <row r="197" spans="1:102">
      <c r="A197" s="106" t="s">
        <v>187</v>
      </c>
      <c r="B197" s="106" t="s">
        <v>120</v>
      </c>
      <c r="C197" s="435" t="s">
        <v>121</v>
      </c>
      <c r="D197" s="435">
        <v>1</v>
      </c>
      <c r="E197" s="435">
        <v>16867.331577776211</v>
      </c>
      <c r="F197" s="797">
        <v>95.5532734393</v>
      </c>
      <c r="G197" s="284"/>
      <c r="H197" s="1137"/>
      <c r="P197" s="1136"/>
      <c r="Q197" s="117">
        <v>0</v>
      </c>
      <c r="R197" s="797">
        <v>32.097762909408502</v>
      </c>
      <c r="S197" s="435">
        <v>1.1353592114544593E-4</v>
      </c>
      <c r="U197" s="266">
        <v>5.09081285710455E-11</v>
      </c>
      <c r="V197" s="266">
        <v>3.11345818839793E-11</v>
      </c>
      <c r="W197" s="266">
        <v>6.9772431446159505E-11</v>
      </c>
      <c r="X197" s="189">
        <v>2.5116023940210599E-11</v>
      </c>
      <c r="Y197" s="189">
        <v>5.9944513267527204E-10</v>
      </c>
      <c r="Z197" s="54"/>
      <c r="AA197" s="54"/>
      <c r="AB197" s="54"/>
      <c r="AC197" s="435"/>
      <c r="AD197" s="435"/>
      <c r="AE197" s="54"/>
      <c r="AF197" s="63"/>
      <c r="AG197" s="800"/>
      <c r="AH197" s="189"/>
      <c r="AI197" s="991"/>
      <c r="AJ197"/>
      <c r="AK197" s="1118"/>
      <c r="AL197"/>
      <c r="AO197"/>
      <c r="AP197" s="54">
        <f>1/E197*10^4</f>
        <v>0.59286200392097821</v>
      </c>
      <c r="AQ197" s="54">
        <f>$AP197*Z197</f>
        <v>0</v>
      </c>
      <c r="AR197" s="54">
        <f>$AP197*AA197</f>
        <v>0</v>
      </c>
      <c r="AS197" s="54">
        <f>$AP197*AB197</f>
        <v>0</v>
      </c>
      <c r="AT197" s="54">
        <f>$AP197*AC197</f>
        <v>0</v>
      </c>
      <c r="AU197" s="54">
        <f>$AP197*AD197</f>
        <v>0</v>
      </c>
      <c r="AV197"/>
      <c r="AW197" s="189">
        <f>SUM(F197,AE197)/E197</f>
        <v>5.6649905172432586E-3</v>
      </c>
      <c r="AX197" s="189">
        <f>$AW197*Z197</f>
        <v>0</v>
      </c>
      <c r="AY197" s="189">
        <f>$AW197*AA197</f>
        <v>0</v>
      </c>
      <c r="AZ197" s="189">
        <f>$AW197*AB197</f>
        <v>0</v>
      </c>
      <c r="BA197" s="189">
        <f>$AW197*AC197</f>
        <v>0</v>
      </c>
      <c r="BB197" s="189">
        <f>$AW197*AD197</f>
        <v>0</v>
      </c>
      <c r="BC197"/>
      <c r="BD197" s="189">
        <f>R197/E197</f>
        <v>1.9029544039852373E-3</v>
      </c>
      <c r="BE197" s="189">
        <f>$BD197*Z197</f>
        <v>0</v>
      </c>
      <c r="BF197" s="189">
        <f>$BD197*AA197</f>
        <v>0</v>
      </c>
      <c r="BG197" s="189">
        <f>$BD197*AB197</f>
        <v>0</v>
      </c>
      <c r="BH197" s="189">
        <f>$BD197*AC197</f>
        <v>0</v>
      </c>
      <c r="BI197" s="189">
        <f>$BD197*AD197</f>
        <v>0</v>
      </c>
      <c r="BK197" s="189">
        <f>S197</f>
        <v>1.1353592114544593E-4</v>
      </c>
      <c r="BL197" s="189">
        <f>$BK197*Z197</f>
        <v>0</v>
      </c>
      <c r="BM197" s="189">
        <f>$BK197*AA197</f>
        <v>0</v>
      </c>
      <c r="BN197" s="189">
        <f>$BK197*AB197</f>
        <v>0</v>
      </c>
      <c r="BO197" s="189">
        <f>$BK197*AC197</f>
        <v>0</v>
      </c>
      <c r="BP197" s="189">
        <f>$BK197*AD197</f>
        <v>0</v>
      </c>
      <c r="BQ197" s="189"/>
      <c r="BR197" s="189">
        <f>(SUM(U197:Y197)*AP197)/('Common input data'!$B$192/10^6)</f>
        <v>1.133676530468074E-9</v>
      </c>
      <c r="BS197" s="189">
        <f>$BR197*Z197</f>
        <v>0</v>
      </c>
      <c r="BT197" s="189">
        <f>$BR197*AA197</f>
        <v>0</v>
      </c>
      <c r="BU197" s="189">
        <f>$BR197*AB197</f>
        <v>0</v>
      </c>
      <c r="BV197" s="189">
        <f>$BR197*AC197</f>
        <v>0</v>
      </c>
      <c r="BW197" s="189">
        <f>$BR197*AD197</f>
        <v>0</v>
      </c>
      <c r="BY197" s="189">
        <f>T197/E197</f>
        <v>0</v>
      </c>
      <c r="BZ197" s="189">
        <f>$BY197*Z197</f>
        <v>0</v>
      </c>
      <c r="CA197" s="189">
        <f>$BY197*AA197</f>
        <v>0</v>
      </c>
      <c r="CB197" s="189">
        <f>$BY197*AB197</f>
        <v>0</v>
      </c>
      <c r="CC197" s="189">
        <f>$BY197*AC197</f>
        <v>0</v>
      </c>
      <c r="CD197" s="189">
        <f>$BY197*AD197</f>
        <v>0</v>
      </c>
      <c r="CF197" s="189">
        <f>(F197/E197*'Common input data'!$B$195+G197/E197*'Common input data'!$B$196)/'Common input data'!$B$198</f>
        <v>1.4464835607071953E-4</v>
      </c>
      <c r="CG197" s="189">
        <f>$CF197*Z197</f>
        <v>0</v>
      </c>
      <c r="CH197" s="189">
        <f>$CF197*AA197</f>
        <v>0</v>
      </c>
      <c r="CI197" s="189">
        <f>$CF197*AB197</f>
        <v>0</v>
      </c>
      <c r="CJ197" s="189">
        <f>$CF197*AC197</f>
        <v>0</v>
      </c>
      <c r="CK197" s="189">
        <f>$CF197*AD197</f>
        <v>0</v>
      </c>
      <c r="CM197" s="5"/>
      <c r="CN197" s="5"/>
      <c r="CO197" s="5"/>
      <c r="CP197" s="5"/>
      <c r="CQ197" s="5"/>
      <c r="CR197" s="5"/>
      <c r="CS197" s="5"/>
      <c r="CT197" s="5"/>
      <c r="CU197" s="5"/>
      <c r="CV197" s="5"/>
      <c r="CW197" s="287"/>
      <c r="CX197" s="287"/>
    </row>
    <row r="198" spans="1:102" ht="45">
      <c r="A198" s="106"/>
      <c r="B198" s="106" t="s">
        <v>188</v>
      </c>
      <c r="C198" s="440" t="s">
        <v>121</v>
      </c>
      <c r="D198" s="435">
        <v>0.51376096997063825</v>
      </c>
      <c r="E198" s="435">
        <v>19178.98</v>
      </c>
      <c r="F198" s="797">
        <v>100</v>
      </c>
      <c r="G198" s="759"/>
      <c r="H198" s="1137"/>
      <c r="P198" s="1136"/>
      <c r="Q198" s="758">
        <v>0</v>
      </c>
      <c r="R198" s="797">
        <v>45</v>
      </c>
      <c r="S198" s="435">
        <v>0</v>
      </c>
      <c r="T198" s="54">
        <v>1.33790592880856</v>
      </c>
      <c r="U198" s="266">
        <v>5.09081285710455E-11</v>
      </c>
      <c r="V198" s="266">
        <v>3.11345818839793E-11</v>
      </c>
      <c r="W198" s="266">
        <v>6.9772431446159505E-11</v>
      </c>
      <c r="X198" s="189">
        <v>2.5116023940210599E-11</v>
      </c>
      <c r="Y198" s="189">
        <v>5.9944513267527204E-10</v>
      </c>
      <c r="Z198" s="54">
        <v>1</v>
      </c>
      <c r="AA198" s="54">
        <f>Z198/'Common input data'!$C$46</f>
        <v>5</v>
      </c>
      <c r="AB198" s="54">
        <f>AA198*'Common input data'!$D$46</f>
        <v>4.25</v>
      </c>
      <c r="AC198" s="996">
        <f>AB198/(1-'Common input data'!$D$143)</f>
        <v>5.3025312412664194</v>
      </c>
      <c r="AD198" s="435">
        <f>AC198/(1-'Common input data'!$B$177)</f>
        <v>5.5234700429858536</v>
      </c>
      <c r="AE198" t="s">
        <v>1801</v>
      </c>
      <c r="AF198" s="63" t="s">
        <v>1802</v>
      </c>
      <c r="AG198" t="s">
        <v>1803</v>
      </c>
      <c r="AH198" s="189"/>
      <c r="AI198" s="991"/>
      <c r="AJ198"/>
      <c r="AK198" s="1118" t="s">
        <v>1798</v>
      </c>
      <c r="AL198" s="1090" t="s">
        <v>1906</v>
      </c>
      <c r="AM198" t="s">
        <v>1800</v>
      </c>
      <c r="AN198" s="1090" t="s">
        <v>1906</v>
      </c>
      <c r="AO198"/>
      <c r="CM198" s="5">
        <v>2.0132992527317</v>
      </c>
      <c r="CN198" s="5">
        <v>5.6311691139000004E-4</v>
      </c>
      <c r="CO198" s="5">
        <v>8.1365068739999995E-4</v>
      </c>
      <c r="CP198" s="5">
        <f>CM198+CN198*'Common input data'!$C$12+CO198*'Common input data'!$E$12</f>
        <v>2.2506300469994298</v>
      </c>
      <c r="CQ198" s="5"/>
      <c r="CR198" s="5"/>
      <c r="CS198" s="5"/>
      <c r="CT198" s="5">
        <f>SUM(CP198:CS198)</f>
        <v>2.2506300469994298</v>
      </c>
      <c r="CU198" s="5">
        <f>'Common input data'!$B$104</f>
        <v>0.3</v>
      </c>
      <c r="CV198" s="5">
        <f>'Common input data'!$B$125+'Common input data'!$C$125</f>
        <v>0.43000000000000005</v>
      </c>
      <c r="CW198" s="287"/>
      <c r="CX198" s="287"/>
    </row>
    <row r="199" spans="1:102" ht="45">
      <c r="A199" s="106"/>
      <c r="B199" s="106" t="s">
        <v>139</v>
      </c>
      <c r="C199" s="440" t="s">
        <v>121</v>
      </c>
      <c r="D199" s="435">
        <v>0.10199698240000001</v>
      </c>
      <c r="E199" s="435">
        <v>17070.919999999998</v>
      </c>
      <c r="F199" s="797">
        <v>95</v>
      </c>
      <c r="G199" s="759"/>
      <c r="H199" s="1137"/>
      <c r="P199" s="1136"/>
      <c r="Q199" s="758">
        <v>0</v>
      </c>
      <c r="R199" s="797">
        <v>30</v>
      </c>
      <c r="S199" s="435">
        <v>0</v>
      </c>
      <c r="T199" s="54">
        <v>2.6</v>
      </c>
      <c r="U199" s="266">
        <v>5.5122676400630499E-11</v>
      </c>
      <c r="V199" s="266">
        <v>5.3604663576149402E-11</v>
      </c>
      <c r="W199" s="266">
        <v>4.5381804318619403E-11</v>
      </c>
      <c r="X199" s="189">
        <v>1.31127969128976E-11</v>
      </c>
      <c r="Y199" s="189">
        <v>4.9119598130720397E-10</v>
      </c>
      <c r="Z199" s="54">
        <v>1</v>
      </c>
      <c r="AA199" s="54">
        <f>Z199/'Common input data'!$C$46</f>
        <v>5</v>
      </c>
      <c r="AB199" s="54">
        <f>AA199*'Common input data'!$D$46</f>
        <v>4.25</v>
      </c>
      <c r="AC199" s="996">
        <f>AB199/(1-'Common input data'!$D$143)</f>
        <v>5.3025312412664194</v>
      </c>
      <c r="AD199" s="435">
        <f>AC199/(1-'Common input data'!$B$177)</f>
        <v>5.5234700429858536</v>
      </c>
      <c r="AE199" t="s">
        <v>1801</v>
      </c>
      <c r="AF199" s="63" t="s">
        <v>1802</v>
      </c>
      <c r="AG199" t="s">
        <v>1803</v>
      </c>
      <c r="AH199" s="189"/>
      <c r="AI199" s="991"/>
      <c r="AJ199"/>
      <c r="AK199" s="1118" t="s">
        <v>1798</v>
      </c>
      <c r="AL199" s="1090" t="s">
        <v>1574</v>
      </c>
      <c r="AM199" t="s">
        <v>1800</v>
      </c>
      <c r="AN199" s="1090" t="s">
        <v>1907</v>
      </c>
      <c r="AO199"/>
      <c r="CM199" s="5">
        <v>1.9940335862117</v>
      </c>
      <c r="CN199" s="5">
        <v>5.238561466E-4</v>
      </c>
      <c r="CO199" s="5">
        <v>7.7394162530000003E-4</v>
      </c>
      <c r="CP199" s="5">
        <f>CM199+CN199*'Common input data'!$C$12+CO199*'Common input data'!$E$12</f>
        <v>2.2194637658767999</v>
      </c>
      <c r="CQ199" s="5"/>
      <c r="CR199" s="5"/>
      <c r="CS199" s="5"/>
      <c r="CT199" s="5">
        <f>SUM(CP199:CS199)</f>
        <v>2.2194637658767999</v>
      </c>
      <c r="CU199" s="5">
        <f>'Common input data'!$B$104</f>
        <v>0.3</v>
      </c>
      <c r="CV199" s="5">
        <f>'Common input data'!$B$125+'Common input data'!$C$125</f>
        <v>0.43000000000000005</v>
      </c>
      <c r="CW199" s="287"/>
      <c r="CX199" s="287"/>
    </row>
    <row r="200" spans="1:102" ht="45">
      <c r="A200" s="106"/>
      <c r="B200" s="106" t="s">
        <v>134</v>
      </c>
      <c r="C200" s="435" t="s">
        <v>121</v>
      </c>
      <c r="D200" s="435">
        <v>0.38424204762936176</v>
      </c>
      <c r="E200" s="435">
        <v>14424.84</v>
      </c>
      <c r="F200" s="797">
        <v>90.854854740000007</v>
      </c>
      <c r="G200" s="759"/>
      <c r="H200" s="1137"/>
      <c r="P200" s="1136"/>
      <c r="Q200" s="758">
        <v>0</v>
      </c>
      <c r="R200" s="797">
        <v>18.465237683999998</v>
      </c>
      <c r="S200" s="435">
        <v>2.3349816475775302E-4</v>
      </c>
      <c r="T200" s="54">
        <v>1.0062620096644799</v>
      </c>
      <c r="U200" s="266">
        <v>5.09081285710455E-11</v>
      </c>
      <c r="V200" s="266">
        <v>3.11345818839793E-11</v>
      </c>
      <c r="W200" s="266">
        <v>6.9772431446159505E-11</v>
      </c>
      <c r="X200" s="189">
        <v>2.5116023940210599E-11</v>
      </c>
      <c r="Y200" s="189">
        <v>5.9944513267527204E-10</v>
      </c>
      <c r="Z200" s="54">
        <v>1</v>
      </c>
      <c r="AA200" s="54">
        <f>Z200/'Common input data'!$C$46</f>
        <v>5</v>
      </c>
      <c r="AB200" s="54">
        <f>AA200*'Common input data'!$D$46</f>
        <v>4.25</v>
      </c>
      <c r="AC200" s="996">
        <f>AB200/(1-'Common input data'!$I$143)</f>
        <v>4.805159271243892</v>
      </c>
      <c r="AD200" s="435">
        <f>AC200/(1-'Common input data'!$B$177)</f>
        <v>5.0053742408790542</v>
      </c>
      <c r="AE200" t="s">
        <v>1801</v>
      </c>
      <c r="AF200" s="63" t="s">
        <v>1802</v>
      </c>
      <c r="AG200" t="s">
        <v>1908</v>
      </c>
      <c r="AH200" s="189"/>
      <c r="AI200" s="991"/>
      <c r="AJ200"/>
      <c r="AK200" s="1118" t="s">
        <v>1798</v>
      </c>
      <c r="AL200" s="1090" t="s">
        <v>1906</v>
      </c>
      <c r="AM200" t="s">
        <v>1800</v>
      </c>
      <c r="AN200" s="1090" t="s">
        <v>1906</v>
      </c>
      <c r="AO200"/>
      <c r="CM200" s="5">
        <v>1.9940335862117</v>
      </c>
      <c r="CN200" s="5">
        <v>5.238561466E-4</v>
      </c>
      <c r="CO200" s="5">
        <v>7.7394162530000003E-4</v>
      </c>
      <c r="CP200" s="5">
        <f>CM200+CN200*'Common input data'!$C$12+CO200*'Common input data'!$E$12</f>
        <v>2.2194637658767999</v>
      </c>
      <c r="CQ200" s="5"/>
      <c r="CR200" s="5"/>
      <c r="CS200" s="5"/>
      <c r="CT200" s="5">
        <f>SUM(CP200:CS200)</f>
        <v>2.2194637658767999</v>
      </c>
      <c r="CU200" s="5">
        <f>'Common input data'!$B$104</f>
        <v>0.3</v>
      </c>
      <c r="CV200" s="5">
        <f>'Common input data'!$B$128+'Common input data'!$C$128</f>
        <v>0.43000000000000005</v>
      </c>
      <c r="CW200" s="287"/>
      <c r="CX200" s="287"/>
    </row>
    <row r="201" spans="1:102">
      <c r="A201" s="106" t="s">
        <v>191</v>
      </c>
      <c r="B201" s="106" t="s">
        <v>120</v>
      </c>
      <c r="C201" s="435" t="s">
        <v>121</v>
      </c>
      <c r="D201" s="435">
        <v>1</v>
      </c>
      <c r="E201" s="435">
        <v>5150.63</v>
      </c>
      <c r="F201" s="797">
        <v>49.43401205596335</v>
      </c>
      <c r="G201" s="284"/>
      <c r="H201" s="1137"/>
      <c r="P201" s="1136"/>
      <c r="Q201" s="117">
        <f>SUMPRODUCT($D$156:$D$159,Q202:Q205)</f>
        <v>0</v>
      </c>
      <c r="R201" s="797">
        <v>27.231318413394497</v>
      </c>
      <c r="S201" s="435">
        <v>4.6127683591068805E-4</v>
      </c>
      <c r="U201" s="266">
        <v>4.9422833605287561E-11</v>
      </c>
      <c r="V201" s="266">
        <v>6.572337579345338E-11</v>
      </c>
      <c r="W201" s="266">
        <v>4.8057847048285167E-11</v>
      </c>
      <c r="X201" s="189">
        <v>3.2816881914615845E-11</v>
      </c>
      <c r="Y201" s="189">
        <v>9.8712525169113728E-10</v>
      </c>
      <c r="Z201" s="54"/>
      <c r="AA201" s="54"/>
      <c r="AB201" s="54"/>
      <c r="AC201" s="435"/>
      <c r="AD201" s="435"/>
      <c r="AE201" s="54"/>
      <c r="AF201" s="54"/>
      <c r="AG201" s="189"/>
      <c r="AH201" s="189"/>
      <c r="AI201" s="991"/>
      <c r="AJ201"/>
      <c r="AK201" s="1118"/>
      <c r="AL201"/>
      <c r="AO201"/>
      <c r="AP201" s="54">
        <f>1/E201*10^4</f>
        <v>1.941510067700456</v>
      </c>
      <c r="AQ201" s="54">
        <f>$AP201*Z201</f>
        <v>0</v>
      </c>
      <c r="AR201" s="54">
        <f>$AP201*AA201</f>
        <v>0</v>
      </c>
      <c r="AS201" s="54">
        <f>$AP201*AB201</f>
        <v>0</v>
      </c>
      <c r="AT201" s="54">
        <f>$AP201*AC201</f>
        <v>0</v>
      </c>
      <c r="AU201" s="54">
        <f>$AP201*AD201</f>
        <v>0</v>
      </c>
      <c r="AV201"/>
      <c r="AW201" s="189">
        <f>SUM(F201,AE201)/E201</f>
        <v>9.5976632093478561E-3</v>
      </c>
      <c r="AX201" s="189">
        <f>$AW201*Z201</f>
        <v>0</v>
      </c>
      <c r="AY201" s="189">
        <f>$AW201*AA201</f>
        <v>0</v>
      </c>
      <c r="AZ201" s="189">
        <f>$AW201*AB201</f>
        <v>0</v>
      </c>
      <c r="BA201" s="189">
        <f>$AW201*AC201</f>
        <v>0</v>
      </c>
      <c r="BB201" s="189">
        <f>$AW201*AD201</f>
        <v>0</v>
      </c>
      <c r="BC201"/>
      <c r="BD201" s="189">
        <f>R201/E201</f>
        <v>5.2869878856362223E-3</v>
      </c>
      <c r="BE201" s="189">
        <f>$BD201*Z201</f>
        <v>0</v>
      </c>
      <c r="BF201" s="189">
        <f>$BD201*AA201</f>
        <v>0</v>
      </c>
      <c r="BG201" s="189">
        <f>$BD201*AB201</f>
        <v>0</v>
      </c>
      <c r="BH201" s="189">
        <f>$BD201*AC201</f>
        <v>0</v>
      </c>
      <c r="BI201" s="189">
        <f>$BD201*AD201</f>
        <v>0</v>
      </c>
      <c r="BK201" s="189">
        <f>S201</f>
        <v>4.6127683591068805E-4</v>
      </c>
      <c r="BL201" s="189">
        <f>$BK201*Z201</f>
        <v>0</v>
      </c>
      <c r="BM201" s="189">
        <f>$BK201*AA201</f>
        <v>0</v>
      </c>
      <c r="BN201" s="189">
        <f>$BK201*AB201</f>
        <v>0</v>
      </c>
      <c r="BO201" s="189">
        <f>$BK201*AC201</f>
        <v>0</v>
      </c>
      <c r="BP201" s="189">
        <f>$BK201*AD201</f>
        <v>0</v>
      </c>
      <c r="BQ201" s="189"/>
      <c r="BR201" s="189">
        <f>(SUM(U201:Y201)*AP201)/('Common input data'!$B$192/10^6)</f>
        <v>5.6577183802096208E-9</v>
      </c>
      <c r="BS201" s="189">
        <f>$BR201*Z201</f>
        <v>0</v>
      </c>
      <c r="BT201" s="189">
        <f>$BR201*AA201</f>
        <v>0</v>
      </c>
      <c r="BU201" s="189">
        <f>$BR201*AB201</f>
        <v>0</v>
      </c>
      <c r="BV201" s="189">
        <f>$BR201*AC201</f>
        <v>0</v>
      </c>
      <c r="BW201" s="189">
        <f>$BR201*AD201</f>
        <v>0</v>
      </c>
      <c r="BY201" s="189">
        <f>T201/E201</f>
        <v>0</v>
      </c>
      <c r="BZ201" s="189">
        <f>$BY201*Z201</f>
        <v>0</v>
      </c>
      <c r="CA201" s="189">
        <f>$BY201*AA201</f>
        <v>0</v>
      </c>
      <c r="CB201" s="189">
        <f>$BY201*AB201</f>
        <v>0</v>
      </c>
      <c r="CC201" s="189">
        <f>$BY201*AC201</f>
        <v>0</v>
      </c>
      <c r="CD201" s="189">
        <f>$BY201*AD201</f>
        <v>0</v>
      </c>
      <c r="CF201" s="189">
        <f>(F201/E201*'Common input data'!$B$195+G201/E201*'Common input data'!$B$196)/'Common input data'!$B$198</f>
        <v>2.4506417109205895E-4</v>
      </c>
      <c r="CG201" s="189">
        <f>$CF201*Z201</f>
        <v>0</v>
      </c>
      <c r="CH201" s="189">
        <f>$CF201*AA201</f>
        <v>0</v>
      </c>
      <c r="CI201" s="189">
        <f>$CF201*AB201</f>
        <v>0</v>
      </c>
      <c r="CJ201" s="189">
        <f>$CF201*AC201</f>
        <v>0</v>
      </c>
      <c r="CK201" s="189">
        <f>$CF201*AD201</f>
        <v>0</v>
      </c>
      <c r="CM201" s="5"/>
      <c r="CN201" s="5"/>
      <c r="CO201" s="5"/>
      <c r="CP201" s="5"/>
      <c r="CQ201" s="5"/>
      <c r="CR201" s="5"/>
      <c r="CS201" s="5"/>
      <c r="CT201" s="5"/>
      <c r="CU201" s="5"/>
      <c r="CV201" s="5"/>
      <c r="CW201" s="287"/>
      <c r="CX201" s="287"/>
    </row>
    <row r="202" spans="1:102" ht="45">
      <c r="A202" s="106"/>
      <c r="B202" s="106" t="s">
        <v>139</v>
      </c>
      <c r="C202" s="435" t="s">
        <v>121</v>
      </c>
      <c r="D202" s="435">
        <v>0.31</v>
      </c>
      <c r="E202" s="435">
        <v>5824</v>
      </c>
      <c r="F202" s="797">
        <v>45</v>
      </c>
      <c r="G202" s="1195"/>
      <c r="H202" s="1137"/>
      <c r="P202" s="1136"/>
      <c r="Q202" s="117">
        <v>0</v>
      </c>
      <c r="R202" s="797">
        <v>30</v>
      </c>
      <c r="S202" s="435">
        <v>0</v>
      </c>
      <c r="T202" s="1135"/>
      <c r="U202" s="266">
        <v>5.5122676400630499E-11</v>
      </c>
      <c r="V202" s="266">
        <v>5.3604663576149402E-11</v>
      </c>
      <c r="W202" s="266">
        <v>4.5381804318619403E-11</v>
      </c>
      <c r="X202" s="189">
        <v>1.31127969128976E-11</v>
      </c>
      <c r="Y202" s="189">
        <v>4.9119598130720397E-10</v>
      </c>
      <c r="Z202" s="54">
        <v>1</v>
      </c>
      <c r="AA202" s="54">
        <f>Z202*$D$286</f>
        <v>2.8</v>
      </c>
      <c r="AB202" s="54">
        <f>AA202</f>
        <v>2.8</v>
      </c>
      <c r="AC202" s="996">
        <f>AB202/(1-'Common input data'!$D$143)</f>
        <v>3.4934323471872877</v>
      </c>
      <c r="AD202" s="435">
        <f>AC202/(1-'Common input data'!$B$177)</f>
        <v>3.6389920283200916</v>
      </c>
      <c r="AE202" t="s">
        <v>1875</v>
      </c>
      <c r="AF202" s="63" t="s">
        <v>1802</v>
      </c>
      <c r="AG202" t="s">
        <v>1803</v>
      </c>
      <c r="AH202" s="189"/>
      <c r="AI202" s="991"/>
      <c r="AJ202"/>
      <c r="AK202" s="1118" t="s">
        <v>1798</v>
      </c>
      <c r="AL202"/>
      <c r="AM202" t="s">
        <v>1800</v>
      </c>
      <c r="AN202" t="s">
        <v>1902</v>
      </c>
      <c r="AO202"/>
      <c r="CM202" s="5">
        <v>1.3837455518100001</v>
      </c>
      <c r="CN202" s="5">
        <v>3.3184858396000006E-3</v>
      </c>
      <c r="CO202" s="5">
        <v>1.3611753955E-3</v>
      </c>
      <c r="CP202" s="5">
        <f>CM202+CN202*'Common input data'!$C$12+CO202*'Common input data'!$E$12</f>
        <v>1.8449455524507001</v>
      </c>
      <c r="CQ202" s="5"/>
      <c r="CR202" s="5"/>
      <c r="CS202" s="5"/>
      <c r="CT202" s="5">
        <f>SUM(CP202:CS202)</f>
        <v>1.8449455524507001</v>
      </c>
      <c r="CU202" s="5">
        <f>'Common input data'!$B$104</f>
        <v>0.3</v>
      </c>
      <c r="CV202" s="5">
        <f>'Common input data'!$B$125+'Common input data'!$C$125</f>
        <v>0.43000000000000005</v>
      </c>
      <c r="CW202" s="287"/>
      <c r="CX202" s="287"/>
    </row>
    <row r="203" spans="1:102" ht="45">
      <c r="A203" s="106"/>
      <c r="B203" s="106" t="s">
        <v>190</v>
      </c>
      <c r="C203" s="440" t="s">
        <v>121</v>
      </c>
      <c r="D203" s="435">
        <v>0.23</v>
      </c>
      <c r="E203" s="435">
        <v>4095</v>
      </c>
      <c r="F203" s="797">
        <v>20</v>
      </c>
      <c r="G203" s="1195"/>
      <c r="H203" s="1137"/>
      <c r="P203" s="1136"/>
      <c r="Q203" s="117">
        <v>0</v>
      </c>
      <c r="R203" s="797">
        <v>15</v>
      </c>
      <c r="S203" s="435">
        <v>0</v>
      </c>
      <c r="T203" s="1135"/>
      <c r="U203" s="266">
        <v>7.7918631459423498E-11</v>
      </c>
      <c r="V203" s="266">
        <v>1.2719686165001199E-10</v>
      </c>
      <c r="W203" s="266">
        <v>7.4046050223094695E-11</v>
      </c>
      <c r="X203" s="189">
        <v>7.6916416192197099E-11</v>
      </c>
      <c r="Y203" s="189">
        <v>2.28811680429842E-9</v>
      </c>
      <c r="Z203" s="54">
        <v>1</v>
      </c>
      <c r="AA203" s="54">
        <f>Z203*$D$286</f>
        <v>2.8</v>
      </c>
      <c r="AB203" s="54">
        <f>AA203</f>
        <v>2.8</v>
      </c>
      <c r="AC203" s="996">
        <f>AB203/(1-'Common input data'!$D$143)</f>
        <v>3.4934323471872877</v>
      </c>
      <c r="AD203" s="435">
        <f>AC203/(1-'Common input data'!$B$177)</f>
        <v>3.6389920283200916</v>
      </c>
      <c r="AE203" t="s">
        <v>1875</v>
      </c>
      <c r="AF203" s="63" t="s">
        <v>1802</v>
      </c>
      <c r="AG203" t="s">
        <v>1803</v>
      </c>
      <c r="AH203" s="189"/>
      <c r="AI203" s="991"/>
      <c r="AJ203"/>
      <c r="AK203" s="1118" t="s">
        <v>1798</v>
      </c>
      <c r="AL203"/>
      <c r="AM203" t="s">
        <v>1800</v>
      </c>
      <c r="AN203" t="s">
        <v>1901</v>
      </c>
      <c r="AO203"/>
      <c r="CM203" s="5">
        <v>1.3287313264440002</v>
      </c>
      <c r="CN203" s="5">
        <v>3.2539964910000001E-3</v>
      </c>
      <c r="CO203" s="5">
        <v>1.5048263893000001E-3</v>
      </c>
      <c r="CP203" s="5">
        <f>CM203+CN203*'Common input data'!$C$12+CO203*'Common input data'!$E$12</f>
        <v>1.8274068359799003</v>
      </c>
      <c r="CQ203" s="5"/>
      <c r="CR203" s="5"/>
      <c r="CS203" s="5"/>
      <c r="CT203" s="5">
        <f>SUM(CP203:CS203)</f>
        <v>1.8274068359799003</v>
      </c>
      <c r="CU203" s="5">
        <f>'Common input data'!$B$104</f>
        <v>0.3</v>
      </c>
      <c r="CV203" s="5">
        <f>'Common input data'!$B$125+'Common input data'!$C$125</f>
        <v>0.43000000000000005</v>
      </c>
      <c r="CW203" s="287"/>
      <c r="CX203" s="287"/>
    </row>
    <row r="204" spans="1:102" ht="45">
      <c r="A204" s="106"/>
      <c r="B204" s="106" t="s">
        <v>146</v>
      </c>
      <c r="C204" s="435" t="s">
        <v>121</v>
      </c>
      <c r="D204" s="435">
        <v>0.18</v>
      </c>
      <c r="E204" s="435">
        <v>5473</v>
      </c>
      <c r="F204" s="797">
        <v>89.877706422018605</v>
      </c>
      <c r="G204" s="284"/>
      <c r="H204" s="1137"/>
      <c r="P204" s="1136"/>
      <c r="Q204" s="117">
        <v>0</v>
      </c>
      <c r="R204" s="797">
        <v>32.63715596330276</v>
      </c>
      <c r="S204" s="435">
        <v>0</v>
      </c>
      <c r="T204" s="1135"/>
      <c r="U204" s="266">
        <v>7.3036461651938907E-12</v>
      </c>
      <c r="V204" s="266">
        <v>1.0887230064277701E-11</v>
      </c>
      <c r="W204" s="266">
        <v>2.1264499027956299E-11</v>
      </c>
      <c r="X204" s="189">
        <v>9.7258997229393192E-12</v>
      </c>
      <c r="Y204" s="189">
        <v>1.7994550917344801E-10</v>
      </c>
      <c r="Z204" s="54">
        <v>1</v>
      </c>
      <c r="AA204" s="54">
        <f>Z204*$D$286</f>
        <v>2.8</v>
      </c>
      <c r="AB204" s="54">
        <f>AA204</f>
        <v>2.8</v>
      </c>
      <c r="AC204" s="996">
        <f>AB204/(1-'Common input data'!$H$143)</f>
        <v>3.1657519904665641</v>
      </c>
      <c r="AD204" s="435">
        <f>AC204/(1-'Common input data'!$B$177)</f>
        <v>3.2976583234026711</v>
      </c>
      <c r="AE204" t="s">
        <v>1875</v>
      </c>
      <c r="AF204" s="63" t="s">
        <v>1802</v>
      </c>
      <c r="AG204" t="s">
        <v>1909</v>
      </c>
      <c r="AH204"/>
      <c r="AI204" s="991"/>
      <c r="AJ204"/>
      <c r="AK204" s="1118" t="s">
        <v>1798</v>
      </c>
      <c r="AL204"/>
      <c r="AM204" t="s">
        <v>1800</v>
      </c>
      <c r="AN204" t="s">
        <v>1909</v>
      </c>
      <c r="AO204"/>
      <c r="CM204" s="5">
        <v>1.3837455518100001</v>
      </c>
      <c r="CN204" s="5">
        <v>3.3184858396000006E-3</v>
      </c>
      <c r="CO204" s="5">
        <v>1.3611753955E-3</v>
      </c>
      <c r="CP204" s="5">
        <f>CM204+CN204*'Common input data'!$C$12+CO204*'Common input data'!$E$12</f>
        <v>1.8449455524507001</v>
      </c>
      <c r="CQ204" s="5"/>
      <c r="CR204" s="5"/>
      <c r="CS204" s="5"/>
      <c r="CT204" s="5">
        <f>SUM(CP204:CS204)</f>
        <v>1.8449455524507001</v>
      </c>
      <c r="CU204" s="5">
        <f>'Common input data'!$B$104</f>
        <v>0.3</v>
      </c>
      <c r="CV204" s="5">
        <f>'Common input data'!$B$125+'Common input data'!$C$125</f>
        <v>0.43000000000000005</v>
      </c>
      <c r="CW204" s="287"/>
      <c r="CX204" s="287"/>
    </row>
    <row r="205" spans="1:102" ht="45">
      <c r="A205" s="106"/>
      <c r="B205" s="106" t="s">
        <v>1254</v>
      </c>
      <c r="C205" s="435" t="s">
        <v>121</v>
      </c>
      <c r="D205" s="435">
        <v>0.28000000000000003</v>
      </c>
      <c r="E205" s="435">
        <v>5065</v>
      </c>
      <c r="F205" s="797">
        <v>52.521517500000002</v>
      </c>
      <c r="G205" s="284"/>
      <c r="H205" s="1137"/>
      <c r="P205" s="1136"/>
      <c r="Q205" s="117">
        <v>0</v>
      </c>
      <c r="R205" s="797">
        <v>30.737965499999998</v>
      </c>
      <c r="S205" s="435">
        <v>1.6474172711096E-3</v>
      </c>
      <c r="T205" s="1135"/>
      <c r="U205" s="266">
        <v>4.6781651341749304E-11</v>
      </c>
      <c r="V205" s="266">
        <v>6.38962517634797E-11</v>
      </c>
      <c r="W205" s="266">
        <v>4.6897451189890137E-11</v>
      </c>
      <c r="X205" s="189">
        <v>3.3251704276011336E-11</v>
      </c>
      <c r="Y205" s="189">
        <v>9.8641943159302406E-10</v>
      </c>
      <c r="Z205" s="54">
        <v>1</v>
      </c>
      <c r="AA205" s="54">
        <f>Z205*$D$286</f>
        <v>2.8</v>
      </c>
      <c r="AB205" s="54">
        <f>AA205</f>
        <v>2.8</v>
      </c>
      <c r="AC205" s="996">
        <f>AB205/(1-'Common input data'!$I$143)</f>
        <v>3.1657519904665641</v>
      </c>
      <c r="AD205" s="435">
        <f>AC205/(1-'Common input data'!$B$177)</f>
        <v>3.2976583234026711</v>
      </c>
      <c r="AE205" t="s">
        <v>1875</v>
      </c>
      <c r="AF205" s="63" t="s">
        <v>1802</v>
      </c>
      <c r="AG205" t="s">
        <v>1903</v>
      </c>
      <c r="AH205"/>
      <c r="AI205" s="991"/>
      <c r="AJ205"/>
      <c r="AK205" s="1118" t="s">
        <v>1798</v>
      </c>
      <c r="AL205"/>
      <c r="AM205" t="s">
        <v>1800</v>
      </c>
      <c r="AN205" t="s">
        <v>1903</v>
      </c>
      <c r="AO205"/>
      <c r="CM205" s="5">
        <v>1.3837455518100001</v>
      </c>
      <c r="CN205" s="5">
        <v>3.3184858396000006E-3</v>
      </c>
      <c r="CO205" s="5">
        <v>1.3611753955E-3</v>
      </c>
      <c r="CP205" s="5">
        <f>CM205+CN205*'Common input data'!$C$12+CO205*'Common input data'!$E$12</f>
        <v>1.8449455524507001</v>
      </c>
      <c r="CQ205" s="5"/>
      <c r="CR205" s="5"/>
      <c r="CS205" s="5"/>
      <c r="CT205" s="5">
        <f>SUM(CP205:CS205)</f>
        <v>1.8449455524507001</v>
      </c>
      <c r="CU205" s="5">
        <f>'Common input data'!$B$104</f>
        <v>0.3</v>
      </c>
      <c r="CV205" s="5">
        <f>'Common input data'!$B$128+'Common input data'!$C$128</f>
        <v>0.43000000000000005</v>
      </c>
      <c r="CW205" s="287"/>
      <c r="CX205" s="287"/>
    </row>
    <row r="206" spans="1:102">
      <c r="A206" s="106" t="s">
        <v>195</v>
      </c>
      <c r="B206" s="106" t="s">
        <v>120</v>
      </c>
      <c r="C206" s="435" t="s">
        <v>121</v>
      </c>
      <c r="D206" s="435">
        <v>1</v>
      </c>
      <c r="E206" s="435">
        <v>9500.4045194249738</v>
      </c>
      <c r="F206" s="797">
        <v>96.46485385413331</v>
      </c>
      <c r="G206" s="1137"/>
      <c r="H206" s="1137"/>
      <c r="P206" s="1136"/>
      <c r="Q206" s="96"/>
      <c r="R206" s="797">
        <v>33.384747068646789</v>
      </c>
      <c r="S206" s="435">
        <v>3.3235905833965067E-2</v>
      </c>
      <c r="U206" s="266">
        <v>1.7062692541126844E-12</v>
      </c>
      <c r="V206" s="266">
        <v>1.0717265982953199E-12</v>
      </c>
      <c r="W206" s="266">
        <v>1.3394051689280925E-12</v>
      </c>
      <c r="X206" s="189">
        <v>4.6489941400598775E-13</v>
      </c>
      <c r="Y206" s="189">
        <v>3.3813886983578486E-11</v>
      </c>
      <c r="Z206" s="54"/>
      <c r="AA206" s="54"/>
      <c r="AB206" s="54"/>
      <c r="AC206" s="435"/>
      <c r="AD206" s="435"/>
      <c r="AE206" s="54"/>
      <c r="AF206" s="54"/>
      <c r="AG206" s="189"/>
      <c r="AH206"/>
      <c r="AI206" s="991"/>
      <c r="AJ206"/>
      <c r="AK206" s="1118"/>
      <c r="AL206"/>
      <c r="AO206"/>
      <c r="AP206" s="54">
        <f>1/E206*10^4</f>
        <v>1.0525867587589066</v>
      </c>
      <c r="AQ206" s="54">
        <f>$AP206*Z206</f>
        <v>0</v>
      </c>
      <c r="AR206" s="54">
        <f>$AP206*AA206</f>
        <v>0</v>
      </c>
      <c r="AS206" s="54">
        <f>$AP206*AB206</f>
        <v>0</v>
      </c>
      <c r="AT206" s="54">
        <f>$AP206*AC206</f>
        <v>0</v>
      </c>
      <c r="AU206" s="54">
        <f>$AP206*AD206</f>
        <v>0</v>
      </c>
      <c r="AV206"/>
      <c r="AW206" s="189">
        <f>SUM(F206,AE206)/E206</f>
        <v>1.0153762785247379E-2</v>
      </c>
      <c r="AX206" s="189">
        <f>$AW206*Z206</f>
        <v>0</v>
      </c>
      <c r="AY206" s="189">
        <f>$AW206*AA206</f>
        <v>0</v>
      </c>
      <c r="AZ206" s="189">
        <f>$AW206*AB206</f>
        <v>0</v>
      </c>
      <c r="BA206" s="189">
        <f>$AW206*AC206</f>
        <v>0</v>
      </c>
      <c r="BB206" s="189">
        <f>$AW206*AD206</f>
        <v>0</v>
      </c>
      <c r="BC206"/>
      <c r="BD206" s="189">
        <f>R206/E206</f>
        <v>3.514034270897283E-3</v>
      </c>
      <c r="BE206" s="189">
        <f>$BD206*Z206</f>
        <v>0</v>
      </c>
      <c r="BF206" s="189">
        <f>$BD206*AA206</f>
        <v>0</v>
      </c>
      <c r="BG206" s="189">
        <f>$BD206*AB206</f>
        <v>0</v>
      </c>
      <c r="BH206" s="189">
        <f>$BD206*AC206</f>
        <v>0</v>
      </c>
      <c r="BI206" s="189">
        <f>$BD206*AD206</f>
        <v>0</v>
      </c>
      <c r="BK206" s="189">
        <f>S206</f>
        <v>3.3235905833965067E-2</v>
      </c>
      <c r="BL206" s="189">
        <f>$BK206*Z206</f>
        <v>0</v>
      </c>
      <c r="BM206" s="189">
        <f>$BK206*AA206</f>
        <v>0</v>
      </c>
      <c r="BN206" s="189">
        <f>$BK206*AB206</f>
        <v>0</v>
      </c>
      <c r="BO206" s="189">
        <f>$BK206*AC206</f>
        <v>0</v>
      </c>
      <c r="BP206" s="189">
        <f>$BK206*AD206</f>
        <v>0</v>
      </c>
      <c r="BQ206" s="189"/>
      <c r="BR206" s="189">
        <f>(SUM(U206:Y206)*AP206)/('Common input data'!$B$192/10^6)</f>
        <v>9.9542667579569739E-11</v>
      </c>
      <c r="BS206" s="189">
        <f>$BR206*Z206</f>
        <v>0</v>
      </c>
      <c r="BT206" s="189">
        <f>$BR206*AA206</f>
        <v>0</v>
      </c>
      <c r="BU206" s="189">
        <f>$BR206*AB206</f>
        <v>0</v>
      </c>
      <c r="BV206" s="189">
        <f>$BR206*AC206</f>
        <v>0</v>
      </c>
      <c r="BW206" s="189">
        <f>$BR206*AD206</f>
        <v>0</v>
      </c>
      <c r="BY206" s="189">
        <f>T206/E206</f>
        <v>0</v>
      </c>
      <c r="BZ206" s="189">
        <f>$BY206*Z206</f>
        <v>0</v>
      </c>
      <c r="CA206" s="189">
        <f>$BY206*AA206</f>
        <v>0</v>
      </c>
      <c r="CB206" s="189">
        <f>$BY206*AB206</f>
        <v>0</v>
      </c>
      <c r="CC206" s="189">
        <f>$BY206*AC206</f>
        <v>0</v>
      </c>
      <c r="CD206" s="189">
        <f>$BY206*AD206</f>
        <v>0</v>
      </c>
      <c r="CF206" s="189">
        <f>(F206/E206*'Common input data'!$B$195+G206/E206*'Common input data'!$B$196)/'Common input data'!$B$198</f>
        <v>2.592634692586928E-4</v>
      </c>
      <c r="CG206" s="189">
        <f>$CF206*Z206</f>
        <v>0</v>
      </c>
      <c r="CH206" s="189">
        <f>$CF206*AA206</f>
        <v>0</v>
      </c>
      <c r="CI206" s="189">
        <f>$CF206*AB206</f>
        <v>0</v>
      </c>
      <c r="CJ206" s="189">
        <f>$CF206*AC206</f>
        <v>0</v>
      </c>
      <c r="CK206" s="189">
        <f>$CF206*AD206</f>
        <v>0</v>
      </c>
      <c r="CM206" s="5"/>
      <c r="CN206" s="5"/>
      <c r="CO206" s="5"/>
      <c r="CP206" s="5"/>
      <c r="CQ206" s="5"/>
      <c r="CR206" s="5"/>
      <c r="CS206" s="5"/>
      <c r="CT206" s="5"/>
      <c r="CU206" s="5"/>
      <c r="CV206" s="5"/>
      <c r="CW206" s="287"/>
      <c r="CX206" s="287"/>
    </row>
    <row r="207" spans="1:102" ht="45">
      <c r="A207" s="106"/>
      <c r="B207" s="106" t="s">
        <v>126</v>
      </c>
      <c r="C207" s="435" t="s">
        <v>121</v>
      </c>
      <c r="D207" s="435">
        <v>0.62041107282879882</v>
      </c>
      <c r="E207" s="435">
        <v>10705.62</v>
      </c>
      <c r="F207" s="797">
        <v>80</v>
      </c>
      <c r="G207" s="284"/>
      <c r="H207" s="1137"/>
      <c r="P207" s="1136"/>
      <c r="Q207" s="117">
        <v>0</v>
      </c>
      <c r="R207" s="797">
        <v>30</v>
      </c>
      <c r="S207" s="435">
        <v>9.8981246218269605E-4</v>
      </c>
      <c r="T207" s="1135"/>
      <c r="U207" s="266">
        <v>1.58499831683658E-12</v>
      </c>
      <c r="V207" s="266">
        <v>1.00274734364104E-12</v>
      </c>
      <c r="W207" s="266">
        <v>8.25021177367055E-13</v>
      </c>
      <c r="X207" s="189">
        <v>1.74827713273418E-13</v>
      </c>
      <c r="Y207" s="189">
        <v>5.5312434421168498E-12</v>
      </c>
      <c r="Z207" s="54">
        <v>1</v>
      </c>
      <c r="AA207" s="54">
        <f>Z207*$E$286</f>
        <v>20</v>
      </c>
      <c r="AB207" s="54">
        <f>AA207</f>
        <v>20</v>
      </c>
      <c r="AC207" s="996">
        <f>AB207/(1-'Common input data'!$B$143)</f>
        <v>21.480085275938549</v>
      </c>
      <c r="AD207" s="435">
        <f>AC207/(1-'Common input data'!$B$177)</f>
        <v>22.375088829102655</v>
      </c>
      <c r="AE207" t="s">
        <v>1801</v>
      </c>
      <c r="AF207" s="63" t="s">
        <v>1802</v>
      </c>
      <c r="AG207" t="s">
        <v>1803</v>
      </c>
      <c r="AH207" s="189"/>
      <c r="AI207" s="991"/>
      <c r="AJ207"/>
      <c r="AK207" s="1118" t="s">
        <v>1798</v>
      </c>
      <c r="AL207"/>
      <c r="AM207" t="s">
        <v>1800</v>
      </c>
      <c r="AN207" t="s">
        <v>1910</v>
      </c>
      <c r="AO207"/>
      <c r="CM207" s="5">
        <v>5.6108739430500005</v>
      </c>
      <c r="CN207" s="5">
        <v>1.3874335734399999E-2</v>
      </c>
      <c r="CO207" s="5">
        <v>1.0021269093400001E-2</v>
      </c>
      <c r="CP207" s="5">
        <f>CM207+CN207*'Common input data'!$C$12+CO207*'Common input data'!$E$12</f>
        <v>8.7212874703770016</v>
      </c>
      <c r="CQ207" s="5"/>
      <c r="CR207" s="5"/>
      <c r="CS207" s="5"/>
      <c r="CT207" s="5">
        <f>SUM(CP207:CS207)</f>
        <v>8.7212874703770016</v>
      </c>
      <c r="CU207" s="5">
        <f>'Common input data'!$B$104</f>
        <v>0.3</v>
      </c>
      <c r="CV207" s="5">
        <f>'Common input data'!$B$116+'Common input data'!$C$116</f>
        <v>0.13</v>
      </c>
      <c r="CW207" s="287"/>
      <c r="CX207" s="287"/>
    </row>
    <row r="208" spans="1:102" ht="45">
      <c r="A208" s="106"/>
      <c r="B208" s="106" t="s">
        <v>161</v>
      </c>
      <c r="C208" s="440" t="s">
        <v>121</v>
      </c>
      <c r="D208" s="435">
        <v>0.16288463823214921</v>
      </c>
      <c r="E208" s="435">
        <v>8983.6</v>
      </c>
      <c r="F208" s="797">
        <v>151.56590904000001</v>
      </c>
      <c r="G208" s="284"/>
      <c r="H208" s="1137"/>
      <c r="P208" s="1136"/>
      <c r="Q208" s="117">
        <v>0</v>
      </c>
      <c r="R208" s="797">
        <v>52.536092799999999</v>
      </c>
      <c r="S208" s="435">
        <v>9.2210702520091198E-2</v>
      </c>
      <c r="T208" s="1135"/>
      <c r="U208" s="266">
        <v>2.0321018994265801E-12</v>
      </c>
      <c r="V208" s="266">
        <v>1.25706113532964E-12</v>
      </c>
      <c r="W208" s="266">
        <v>2.7214600985099602E-12</v>
      </c>
      <c r="X208" s="189">
        <v>1.24426858277234E-12</v>
      </c>
      <c r="Y208" s="189">
        <v>1.0980413467666901E-10</v>
      </c>
      <c r="Z208" s="54">
        <v>1</v>
      </c>
      <c r="AA208" s="54">
        <f>Z208*$E$286</f>
        <v>20</v>
      </c>
      <c r="AB208" s="54">
        <f>AA208</f>
        <v>20</v>
      </c>
      <c r="AC208" s="996">
        <f>AB208/(1-'Common input data'!$B$143)</f>
        <v>21.480085275938549</v>
      </c>
      <c r="AD208" s="435">
        <f>AC208/(1-'Common input data'!$B$177)</f>
        <v>22.375088829102655</v>
      </c>
      <c r="AE208" t="s">
        <v>1801</v>
      </c>
      <c r="AF208" s="63" t="s">
        <v>1802</v>
      </c>
      <c r="AG208" t="s">
        <v>1910</v>
      </c>
      <c r="AH208" s="189"/>
      <c r="AI208" s="991"/>
      <c r="AJ208"/>
      <c r="AK208" s="1118" t="s">
        <v>1798</v>
      </c>
      <c r="AL208"/>
      <c r="AM208" t="s">
        <v>1800</v>
      </c>
      <c r="AN208" t="s">
        <v>1910</v>
      </c>
      <c r="AO208"/>
      <c r="CM208" s="5">
        <v>5.6108739430500005</v>
      </c>
      <c r="CN208" s="5">
        <v>1.3874335734399999E-2</v>
      </c>
      <c r="CO208" s="5">
        <v>1.0021269093400001E-2</v>
      </c>
      <c r="CP208" s="5">
        <f>CM208+CN208*'Common input data'!$C$12+CO208*'Common input data'!$E$12</f>
        <v>8.7212874703770016</v>
      </c>
      <c r="CQ208" s="5"/>
      <c r="CR208" s="5"/>
      <c r="CS208" s="5"/>
      <c r="CT208" s="5">
        <f>SUM(CP208:CS208)</f>
        <v>8.7212874703770016</v>
      </c>
      <c r="CU208" s="5">
        <f>'Common input data'!$B$104</f>
        <v>0.3</v>
      </c>
      <c r="CV208" s="5">
        <f>'Common input data'!$B$116+'Common input data'!$C$116</f>
        <v>0.13</v>
      </c>
      <c r="CW208" s="287"/>
      <c r="CX208" s="287"/>
    </row>
    <row r="209" spans="1:102" ht="45">
      <c r="A209" s="106"/>
      <c r="B209" s="106" t="s">
        <v>1254</v>
      </c>
      <c r="C209" s="435" t="s">
        <v>121</v>
      </c>
      <c r="D209" s="435">
        <v>0.21670428893905203</v>
      </c>
      <c r="E209" s="435">
        <v>6438.4</v>
      </c>
      <c r="F209" s="797">
        <v>108.62482176</v>
      </c>
      <c r="G209" s="1196"/>
      <c r="H209" s="1137"/>
      <c r="P209" s="1136"/>
      <c r="Q209" s="117">
        <v>0</v>
      </c>
      <c r="R209" s="797">
        <v>37.651763199999998</v>
      </c>
      <c r="S209" s="435">
        <v>8.122639559864081E-2</v>
      </c>
      <c r="T209" s="1135"/>
      <c r="U209" s="266">
        <v>1.8085501081315801E-12</v>
      </c>
      <c r="V209" s="266">
        <v>1.12990423948534E-12</v>
      </c>
      <c r="W209" s="266">
        <v>1.7732406379385077E-12</v>
      </c>
      <c r="X209" s="189">
        <v>7.0954814802287898E-13</v>
      </c>
      <c r="Y209" s="189">
        <v>5.7667689059392928E-11</v>
      </c>
      <c r="Z209" s="54">
        <v>1</v>
      </c>
      <c r="AA209" s="54">
        <f>Z209*$E$286</f>
        <v>20</v>
      </c>
      <c r="AB209" s="54">
        <f>AA209</f>
        <v>20</v>
      </c>
      <c r="AC209" s="996">
        <f>AB209/(1-'Common input data'!$I$143)</f>
        <v>22.612514217618315</v>
      </c>
      <c r="AD209" s="435">
        <f>AC209/(1-'Common input data'!$B$177)</f>
        <v>23.554702310019078</v>
      </c>
      <c r="AE209" t="s">
        <v>1801</v>
      </c>
      <c r="AF209" s="63" t="s">
        <v>1802</v>
      </c>
      <c r="AG209" t="s">
        <v>1910</v>
      </c>
      <c r="AH209" s="189"/>
      <c r="AI209" s="991"/>
      <c r="AJ209"/>
      <c r="AK209" s="1118" t="s">
        <v>1798</v>
      </c>
      <c r="AL209"/>
      <c r="AM209" t="s">
        <v>1800</v>
      </c>
      <c r="AN209" t="s">
        <v>1910</v>
      </c>
      <c r="AO209"/>
      <c r="CM209" s="5">
        <v>5.6108739430500005</v>
      </c>
      <c r="CN209" s="5">
        <v>1.3874335734400001E-2</v>
      </c>
      <c r="CO209" s="5">
        <v>1.0021269093400001E-2</v>
      </c>
      <c r="CP209" s="5">
        <f>CM209+CN209*'Common input data'!$C$12+CO209*'Common input data'!$E$12</f>
        <v>8.7212874703770016</v>
      </c>
      <c r="CQ209" s="5"/>
      <c r="CR209" s="5"/>
      <c r="CS209" s="5"/>
      <c r="CT209" s="5">
        <f>SUM(CP209:CS209)</f>
        <v>8.7212874703770016</v>
      </c>
      <c r="CU209" s="5">
        <f>'Common input data'!$B$104</f>
        <v>0.3</v>
      </c>
      <c r="CV209" s="5">
        <f>'Common input data'!$B$128+'Common input data'!$C$128</f>
        <v>0.43000000000000005</v>
      </c>
      <c r="CW209" s="287"/>
      <c r="CX209" s="287"/>
    </row>
    <row r="210" spans="1:102">
      <c r="A210" s="106" t="s">
        <v>151</v>
      </c>
      <c r="B210" s="106" t="s">
        <v>120</v>
      </c>
      <c r="C210" s="435" t="s">
        <v>121</v>
      </c>
      <c r="D210" s="435"/>
      <c r="E210" s="435">
        <v>33301.85</v>
      </c>
      <c r="F210" s="797">
        <v>161.56479999999999</v>
      </c>
      <c r="G210" s="284">
        <v>0</v>
      </c>
      <c r="H210" s="1137">
        <v>0</v>
      </c>
      <c r="P210" s="1136"/>
      <c r="Q210" s="117">
        <f>SUMPRODUCT($D$163:$D$165,Q211:Q213)</f>
        <v>0</v>
      </c>
      <c r="R210" s="797">
        <v>49.481799999999993</v>
      </c>
      <c r="S210" s="435">
        <v>9.758087306241936E-2</v>
      </c>
      <c r="U210" s="266">
        <v>5.4136181569998562E-12</v>
      </c>
      <c r="V210" s="266">
        <v>5.2033322339048375E-12</v>
      </c>
      <c r="W210" s="266">
        <v>5.3720338481135931E-12</v>
      </c>
      <c r="X210" s="189">
        <v>4.2863294074316891E-12</v>
      </c>
      <c r="Y210" s="189">
        <v>3.8456359594408047E-10</v>
      </c>
      <c r="Z210" s="54"/>
      <c r="AA210" s="54"/>
      <c r="AB210" s="54"/>
      <c r="AC210" s="435"/>
      <c r="AD210" s="435"/>
      <c r="AE210" s="54"/>
      <c r="AF210" s="54"/>
      <c r="AG210" s="189"/>
      <c r="AH210" s="189"/>
      <c r="AI210" s="991"/>
      <c r="AJ210"/>
      <c r="AK210" s="1118"/>
      <c r="AL210"/>
      <c r="AO210"/>
      <c r="AP210" s="54">
        <f>1/E210*10^4</f>
        <v>0.30028361787708491</v>
      </c>
      <c r="AQ210" s="54">
        <f t="shared" ref="AQ210:AU214" si="29">$AP210*Z210</f>
        <v>0</v>
      </c>
      <c r="AR210" s="54">
        <f t="shared" si="29"/>
        <v>0</v>
      </c>
      <c r="AS210" s="54">
        <f t="shared" si="29"/>
        <v>0</v>
      </c>
      <c r="AT210" s="54">
        <f t="shared" si="29"/>
        <v>0</v>
      </c>
      <c r="AU210" s="54">
        <f t="shared" si="29"/>
        <v>0</v>
      </c>
      <c r="AV210"/>
      <c r="AW210" s="189">
        <f>SUM(F210,AE210)/E210</f>
        <v>4.8515262665587647E-3</v>
      </c>
      <c r="AX210" s="189">
        <f t="shared" ref="AX210:BB214" si="30">$AW210*Z210</f>
        <v>0</v>
      </c>
      <c r="AY210" s="189">
        <f t="shared" si="30"/>
        <v>0</v>
      </c>
      <c r="AZ210" s="189">
        <f t="shared" si="30"/>
        <v>0</v>
      </c>
      <c r="BA210" s="189">
        <f t="shared" si="30"/>
        <v>0</v>
      </c>
      <c r="BB210" s="189">
        <f t="shared" si="30"/>
        <v>0</v>
      </c>
      <c r="BC210"/>
      <c r="BD210" s="189">
        <f>R210/E210</f>
        <v>1.4858573923070338E-3</v>
      </c>
      <c r="BE210" s="189">
        <f t="shared" ref="BE210:BI214" si="31">$BD210*Z210</f>
        <v>0</v>
      </c>
      <c r="BF210" s="189">
        <f t="shared" si="31"/>
        <v>0</v>
      </c>
      <c r="BG210" s="189">
        <f t="shared" si="31"/>
        <v>0</v>
      </c>
      <c r="BH210" s="189">
        <f t="shared" si="31"/>
        <v>0</v>
      </c>
      <c r="BI210" s="189">
        <f t="shared" si="31"/>
        <v>0</v>
      </c>
      <c r="BK210" s="189">
        <f>S210</f>
        <v>9.758087306241936E-2</v>
      </c>
      <c r="BL210" s="189">
        <f t="shared" ref="BL210:BP214" si="32">$BK210*Z210</f>
        <v>0</v>
      </c>
      <c r="BM210" s="189">
        <f t="shared" si="32"/>
        <v>0</v>
      </c>
      <c r="BN210" s="189">
        <f t="shared" si="32"/>
        <v>0</v>
      </c>
      <c r="BO210" s="189">
        <f t="shared" si="32"/>
        <v>0</v>
      </c>
      <c r="BP210" s="189">
        <f t="shared" si="32"/>
        <v>0</v>
      </c>
      <c r="BQ210" s="189"/>
      <c r="BR210" s="189">
        <f>(SUM(U210:Y210)*AP210)/('Common input data'!$B$192/10^6)</f>
        <v>2.994174833852826E-10</v>
      </c>
      <c r="BS210" s="189">
        <f t="shared" ref="BS210:BW214" si="33">$BR210*Z210</f>
        <v>0</v>
      </c>
      <c r="BT210" s="189">
        <f t="shared" si="33"/>
        <v>0</v>
      </c>
      <c r="BU210" s="189">
        <f t="shared" si="33"/>
        <v>0</v>
      </c>
      <c r="BV210" s="189">
        <f t="shared" si="33"/>
        <v>0</v>
      </c>
      <c r="BW210" s="189">
        <f t="shared" si="33"/>
        <v>0</v>
      </c>
      <c r="BY210" s="189">
        <f>T210/E210</f>
        <v>0</v>
      </c>
      <c r="BZ210" s="189">
        <f t="shared" ref="BZ210:CD214" si="34">$BY210*Z210</f>
        <v>0</v>
      </c>
      <c r="CA210" s="189">
        <f t="shared" si="34"/>
        <v>0</v>
      </c>
      <c r="CB210" s="189">
        <f t="shared" si="34"/>
        <v>0</v>
      </c>
      <c r="CC210" s="189">
        <f t="shared" si="34"/>
        <v>0</v>
      </c>
      <c r="CD210" s="189">
        <f t="shared" si="34"/>
        <v>0</v>
      </c>
      <c r="CF210" s="189">
        <f>(F210/E210*'Common input data'!$B$195+G210/E210*'Common input data'!$B$196)/'Common input data'!$B$198</f>
        <v>1.238775769801534E-4</v>
      </c>
      <c r="CG210" s="189">
        <f t="shared" ref="CG210:CK214" si="35">$CF210*Z210</f>
        <v>0</v>
      </c>
      <c r="CH210" s="189">
        <f t="shared" si="35"/>
        <v>0</v>
      </c>
      <c r="CI210" s="189">
        <f t="shared" si="35"/>
        <v>0</v>
      </c>
      <c r="CJ210" s="189">
        <f t="shared" si="35"/>
        <v>0</v>
      </c>
      <c r="CK210" s="189">
        <f t="shared" si="35"/>
        <v>0</v>
      </c>
      <c r="CM210" s="5"/>
      <c r="CN210" s="5"/>
      <c r="CO210" s="5"/>
      <c r="CP210" s="5"/>
      <c r="CQ210" s="5"/>
      <c r="CR210" s="5"/>
      <c r="CS210" s="5"/>
      <c r="CT210" s="5"/>
      <c r="CU210" s="5"/>
      <c r="CV210" s="5"/>
      <c r="CW210" s="5"/>
      <c r="CX210" s="5"/>
    </row>
    <row r="211" spans="1:102" ht="45">
      <c r="A211" s="106"/>
      <c r="B211" s="106" t="s">
        <v>152</v>
      </c>
      <c r="C211" s="435" t="s">
        <v>121</v>
      </c>
      <c r="D211" s="435">
        <v>0.17</v>
      </c>
      <c r="E211" s="435">
        <v>66327</v>
      </c>
      <c r="F211" s="797">
        <v>200</v>
      </c>
      <c r="G211" s="284">
        <v>0</v>
      </c>
      <c r="H211" s="1137">
        <v>0</v>
      </c>
      <c r="P211" s="1136"/>
      <c r="Q211" s="117">
        <v>0</v>
      </c>
      <c r="R211" s="797">
        <v>30</v>
      </c>
      <c r="S211" s="435">
        <v>0.120391152018846</v>
      </c>
      <c r="T211" s="1135"/>
      <c r="U211" s="266">
        <v>3.2397473191894899E-12</v>
      </c>
      <c r="V211" s="266">
        <v>8.8217891048520498E-13</v>
      </c>
      <c r="W211" s="266">
        <v>2.6125956395547101E-12</v>
      </c>
      <c r="X211" s="189">
        <v>5.98722877504757E-12</v>
      </c>
      <c r="Y211" s="189">
        <v>1.01543438971689E-10</v>
      </c>
      <c r="Z211" s="54">
        <v>1</v>
      </c>
      <c r="AA211" s="54">
        <f t="shared" ref="AA211:AB213" si="36">Z211</f>
        <v>1</v>
      </c>
      <c r="AB211" s="54">
        <f t="shared" si="36"/>
        <v>1</v>
      </c>
      <c r="AC211" s="996">
        <f>AB211/(1-'Common input data'!$H$140)</f>
        <v>1.372193863549042</v>
      </c>
      <c r="AD211" s="435">
        <f>AC211/(1-'Common input data'!$B$178)</f>
        <v>1.6940664982086937</v>
      </c>
      <c r="AE211" t="s">
        <v>1801</v>
      </c>
      <c r="AF211" s="63" t="s">
        <v>1802</v>
      </c>
      <c r="AG211" t="s">
        <v>1803</v>
      </c>
      <c r="AH211" s="189"/>
      <c r="AI211" s="991"/>
      <c r="AJ211"/>
      <c r="AK211" s="1118" t="s">
        <v>1798</v>
      </c>
      <c r="AL211"/>
      <c r="AM211" t="s">
        <v>1800</v>
      </c>
      <c r="AO211"/>
      <c r="AP211" s="54">
        <f>1/E211*10^4</f>
        <v>0.15076816379453314</v>
      </c>
      <c r="AQ211" s="54">
        <f t="shared" si="29"/>
        <v>0.15076816379453314</v>
      </c>
      <c r="AR211" s="54">
        <f t="shared" si="29"/>
        <v>0.15076816379453314</v>
      </c>
      <c r="AS211" s="54">
        <f t="shared" si="29"/>
        <v>0.15076816379453314</v>
      </c>
      <c r="AT211" s="54">
        <f t="shared" si="29"/>
        <v>0.20688314917741524</v>
      </c>
      <c r="AU211" s="54">
        <f t="shared" si="29"/>
        <v>0.25541129528075951</v>
      </c>
      <c r="AV211"/>
      <c r="AW211" s="189">
        <f>SUM(F211,AE211)/E211</f>
        <v>3.0153632758906628E-3</v>
      </c>
      <c r="AX211" s="189">
        <f t="shared" si="30"/>
        <v>3.0153632758906628E-3</v>
      </c>
      <c r="AY211" s="189">
        <f t="shared" si="30"/>
        <v>3.0153632758906628E-3</v>
      </c>
      <c r="AZ211" s="189">
        <f t="shared" si="30"/>
        <v>3.0153632758906628E-3</v>
      </c>
      <c r="BA211" s="189">
        <f t="shared" si="30"/>
        <v>4.1376629835483047E-3</v>
      </c>
      <c r="BB211" s="189">
        <f t="shared" si="30"/>
        <v>5.1082259056151906E-3</v>
      </c>
      <c r="BC211"/>
      <c r="BD211" s="189">
        <f>R211/E211</f>
        <v>4.5230449138359944E-4</v>
      </c>
      <c r="BE211" s="189">
        <f t="shared" si="31"/>
        <v>4.5230449138359944E-4</v>
      </c>
      <c r="BF211" s="189">
        <f t="shared" si="31"/>
        <v>4.5230449138359944E-4</v>
      </c>
      <c r="BG211" s="189">
        <f t="shared" si="31"/>
        <v>4.5230449138359944E-4</v>
      </c>
      <c r="BH211" s="189">
        <f t="shared" si="31"/>
        <v>6.2064944753224577E-4</v>
      </c>
      <c r="BI211" s="189">
        <f t="shared" si="31"/>
        <v>7.6623388584227861E-4</v>
      </c>
      <c r="BK211" s="189">
        <f>S211</f>
        <v>0.120391152018846</v>
      </c>
      <c r="BL211" s="189">
        <f t="shared" si="32"/>
        <v>0.120391152018846</v>
      </c>
      <c r="BM211" s="189">
        <f t="shared" si="32"/>
        <v>0.120391152018846</v>
      </c>
      <c r="BN211" s="189">
        <f t="shared" si="32"/>
        <v>0.120391152018846</v>
      </c>
      <c r="BO211" s="189">
        <f t="shared" si="32"/>
        <v>0.16520000002586033</v>
      </c>
      <c r="BP211" s="189">
        <f t="shared" si="32"/>
        <v>0.20395061731587694</v>
      </c>
      <c r="BQ211" s="189"/>
      <c r="BR211" s="189">
        <f>(SUM(U211:Y211)*AP211)/('Common input data'!$B$192/10^6)</f>
        <v>4.2431351011140973E-11</v>
      </c>
      <c r="BS211" s="189">
        <f t="shared" si="33"/>
        <v>4.2431351011140973E-11</v>
      </c>
      <c r="BT211" s="189">
        <f t="shared" si="33"/>
        <v>4.2431351011140973E-11</v>
      </c>
      <c r="BU211" s="189">
        <f t="shared" si="33"/>
        <v>4.2431351011140973E-11</v>
      </c>
      <c r="BV211" s="189">
        <f t="shared" si="33"/>
        <v>5.8224039479583078E-11</v>
      </c>
      <c r="BW211" s="189">
        <f t="shared" si="33"/>
        <v>7.1881530221707506E-11</v>
      </c>
      <c r="BY211" s="189">
        <f>T211/E211</f>
        <v>0</v>
      </c>
      <c r="BZ211" s="189">
        <f t="shared" si="34"/>
        <v>0</v>
      </c>
      <c r="CA211" s="189">
        <f t="shared" si="34"/>
        <v>0</v>
      </c>
      <c r="CB211" s="189">
        <f t="shared" si="34"/>
        <v>0</v>
      </c>
      <c r="CC211" s="189">
        <f t="shared" si="34"/>
        <v>0</v>
      </c>
      <c r="CD211" s="189">
        <f t="shared" si="34"/>
        <v>0</v>
      </c>
      <c r="CF211" s="189">
        <f>(F211/E211*'Common input data'!$B$195+G211/E211*'Common input data'!$B$196)/'Common input data'!$B$198</f>
        <v>7.6993481186947343E-5</v>
      </c>
      <c r="CG211" s="189">
        <f t="shared" si="35"/>
        <v>7.6993481186947343E-5</v>
      </c>
      <c r="CH211" s="189">
        <f t="shared" si="35"/>
        <v>7.6993481186947343E-5</v>
      </c>
      <c r="CI211" s="189">
        <f t="shared" si="35"/>
        <v>7.6993481186947343E-5</v>
      </c>
      <c r="CJ211" s="189">
        <f t="shared" si="35"/>
        <v>1.0564998241800776E-4</v>
      </c>
      <c r="CK211" s="189">
        <f t="shared" si="35"/>
        <v>1.3043207705926881E-4</v>
      </c>
      <c r="CM211" s="5"/>
      <c r="CN211" s="5"/>
      <c r="CO211" s="5"/>
      <c r="CP211" s="5"/>
      <c r="CQ211" s="5"/>
      <c r="CR211" s="5"/>
      <c r="CS211" s="5"/>
      <c r="CT211" s="5"/>
      <c r="CU211" s="5"/>
      <c r="CV211" s="5"/>
      <c r="CW211" s="5"/>
      <c r="CX211" s="5"/>
    </row>
    <row r="212" spans="1:102" ht="45">
      <c r="A212" s="106"/>
      <c r="B212" s="106" t="s">
        <v>153</v>
      </c>
      <c r="C212" s="440" t="s">
        <v>121</v>
      </c>
      <c r="D212" s="435">
        <v>0.12</v>
      </c>
      <c r="E212" s="435">
        <v>30417</v>
      </c>
      <c r="F212" s="797">
        <v>80.400000000000006</v>
      </c>
      <c r="G212" s="284">
        <v>0</v>
      </c>
      <c r="H212" s="1137">
        <v>0</v>
      </c>
      <c r="P212" s="1136"/>
      <c r="Q212" s="117">
        <v>0</v>
      </c>
      <c r="R212" s="797">
        <v>33.9</v>
      </c>
      <c r="S212" s="435">
        <v>0.13883957177605599</v>
      </c>
      <c r="T212" s="1135"/>
      <c r="U212" s="266">
        <v>7.8163175040534198E-12</v>
      </c>
      <c r="V212" s="266">
        <v>9.9793438018949592E-12</v>
      </c>
      <c r="W212" s="266">
        <v>8.42193923652078E-12</v>
      </c>
      <c r="X212" s="189">
        <v>2.4063880011193998E-12</v>
      </c>
      <c r="Y212" s="189">
        <v>6.9737534838724998E-10</v>
      </c>
      <c r="Z212" s="54">
        <v>1</v>
      </c>
      <c r="AA212" s="54">
        <f t="shared" si="36"/>
        <v>1</v>
      </c>
      <c r="AB212" s="54">
        <f t="shared" si="36"/>
        <v>1</v>
      </c>
      <c r="AC212" s="996">
        <f>AB212/(1-'Common input data'!$G$140)</f>
        <v>1.6280016280016281</v>
      </c>
      <c r="AD212" s="435">
        <f>AC212/(1-'Common input data'!$B$178)</f>
        <v>2.0098785530884298</v>
      </c>
      <c r="AE212" t="s">
        <v>1801</v>
      </c>
      <c r="AF212" s="63" t="s">
        <v>1802</v>
      </c>
      <c r="AG212" t="s">
        <v>1803</v>
      </c>
      <c r="AH212" s="189"/>
      <c r="AI212" s="991"/>
      <c r="AJ212"/>
      <c r="AK212" s="1118" t="s">
        <v>1798</v>
      </c>
      <c r="AL212"/>
      <c r="AM212" t="s">
        <v>1800</v>
      </c>
      <c r="AO212"/>
      <c r="AP212" s="54">
        <f>1/E212*10^4</f>
        <v>0.32876352039977641</v>
      </c>
      <c r="AQ212" s="54">
        <f t="shared" si="29"/>
        <v>0.32876352039977641</v>
      </c>
      <c r="AR212" s="54">
        <f t="shared" si="29"/>
        <v>0.32876352039977641</v>
      </c>
      <c r="AS212" s="54">
        <f t="shared" si="29"/>
        <v>0.32876352039977641</v>
      </c>
      <c r="AT212" s="54">
        <f t="shared" si="29"/>
        <v>0.53522754643838244</v>
      </c>
      <c r="AU212" s="54">
        <f t="shared" si="29"/>
        <v>0.66077474868936104</v>
      </c>
      <c r="AV212"/>
      <c r="AW212" s="189">
        <f>SUM(F212,AE212)/E212</f>
        <v>2.6432587040142027E-3</v>
      </c>
      <c r="AX212" s="189">
        <f t="shared" si="30"/>
        <v>2.6432587040142027E-3</v>
      </c>
      <c r="AY212" s="189">
        <f t="shared" si="30"/>
        <v>2.6432587040142027E-3</v>
      </c>
      <c r="AZ212" s="189">
        <f t="shared" si="30"/>
        <v>2.6432587040142027E-3</v>
      </c>
      <c r="BA212" s="189">
        <f t="shared" si="30"/>
        <v>4.3032294733645953E-3</v>
      </c>
      <c r="BB212" s="189">
        <f t="shared" si="30"/>
        <v>5.3126289794624641E-3</v>
      </c>
      <c r="BC212"/>
      <c r="BD212" s="189">
        <f>R212/E212</f>
        <v>1.1145083341552421E-3</v>
      </c>
      <c r="BE212" s="189">
        <f t="shared" si="31"/>
        <v>1.1145083341552421E-3</v>
      </c>
      <c r="BF212" s="189">
        <f t="shared" si="31"/>
        <v>1.1145083341552421E-3</v>
      </c>
      <c r="BG212" s="189">
        <f t="shared" si="31"/>
        <v>1.1145083341552421E-3</v>
      </c>
      <c r="BH212" s="189">
        <f t="shared" si="31"/>
        <v>1.8144213824261165E-3</v>
      </c>
      <c r="BI212" s="189">
        <f t="shared" si="31"/>
        <v>2.2400263980569342E-3</v>
      </c>
      <c r="BK212" s="189">
        <f>S212</f>
        <v>0.13883957177605599</v>
      </c>
      <c r="BL212" s="189">
        <f t="shared" si="32"/>
        <v>0.13883957177605599</v>
      </c>
      <c r="BM212" s="189">
        <f t="shared" si="32"/>
        <v>0.13883957177605599</v>
      </c>
      <c r="BN212" s="189">
        <f t="shared" si="32"/>
        <v>0.13883957177605599</v>
      </c>
      <c r="BO212" s="189">
        <f t="shared" si="32"/>
        <v>0.22603104888246806</v>
      </c>
      <c r="BP212" s="189">
        <f t="shared" si="32"/>
        <v>0.2790506776326766</v>
      </c>
      <c r="BQ212" s="189"/>
      <c r="BR212" s="189">
        <f>(SUM(U212:Y212)*AP212)/('Common input data'!$B$192/10^6)</f>
        <v>5.8787246081940321E-10</v>
      </c>
      <c r="BS212" s="189">
        <f t="shared" si="33"/>
        <v>5.8787246081940321E-10</v>
      </c>
      <c r="BT212" s="189">
        <f t="shared" si="33"/>
        <v>5.8787246081940321E-10</v>
      </c>
      <c r="BU212" s="189">
        <f t="shared" si="33"/>
        <v>5.8787246081940321E-10</v>
      </c>
      <c r="BV212" s="189">
        <f t="shared" si="33"/>
        <v>9.5705732327131182E-10</v>
      </c>
      <c r="BW212" s="189">
        <f t="shared" si="33"/>
        <v>1.1815522509522367E-9</v>
      </c>
      <c r="BY212" s="189">
        <f>T212/E212</f>
        <v>0</v>
      </c>
      <c r="BZ212" s="189">
        <f t="shared" si="34"/>
        <v>0</v>
      </c>
      <c r="CA212" s="189">
        <f t="shared" si="34"/>
        <v>0</v>
      </c>
      <c r="CB212" s="189">
        <f t="shared" si="34"/>
        <v>0</v>
      </c>
      <c r="CC212" s="189">
        <f t="shared" si="34"/>
        <v>0</v>
      </c>
      <c r="CD212" s="189">
        <f t="shared" si="34"/>
        <v>0</v>
      </c>
      <c r="CF212" s="189">
        <f>(F212/E212*'Common input data'!$B$195+G212/E212*'Common input data'!$B$196)/'Common input data'!$B$198</f>
        <v>6.7492262350923358E-5</v>
      </c>
      <c r="CG212" s="189">
        <f t="shared" si="35"/>
        <v>6.7492262350923358E-5</v>
      </c>
      <c r="CH212" s="189">
        <f t="shared" si="35"/>
        <v>6.7492262350923358E-5</v>
      </c>
      <c r="CI212" s="189">
        <f t="shared" si="35"/>
        <v>6.7492262350923358E-5</v>
      </c>
      <c r="CJ212" s="189">
        <f t="shared" si="35"/>
        <v>1.0987751298481621E-4</v>
      </c>
      <c r="CK212" s="189">
        <f t="shared" si="35"/>
        <v>1.3565125059853854E-4</v>
      </c>
      <c r="CM212" s="5"/>
      <c r="CN212" s="5"/>
      <c r="CO212" s="5"/>
      <c r="CP212" s="5"/>
      <c r="CQ212" s="5"/>
      <c r="CR212" s="5"/>
      <c r="CS212" s="5"/>
      <c r="CT212" s="5"/>
      <c r="CU212" s="5"/>
      <c r="CV212" s="5"/>
      <c r="CW212" s="5"/>
      <c r="CX212" s="5"/>
    </row>
    <row r="213" spans="1:102" ht="45">
      <c r="A213" s="106"/>
      <c r="B213" s="106" t="s">
        <v>134</v>
      </c>
      <c r="C213" s="435" t="s">
        <v>121</v>
      </c>
      <c r="D213" s="435">
        <v>0.71</v>
      </c>
      <c r="E213" s="435">
        <v>25882</v>
      </c>
      <c r="F213" s="797">
        <v>140.19999999999999</v>
      </c>
      <c r="G213" s="284">
        <v>0</v>
      </c>
      <c r="H213" s="1137">
        <v>0</v>
      </c>
      <c r="P213" s="1136"/>
      <c r="Q213" s="117">
        <v>0</v>
      </c>
      <c r="R213" s="797">
        <v>31.95</v>
      </c>
      <c r="S213" s="435">
        <v>8.5145955783223704E-2</v>
      </c>
      <c r="T213" s="1135"/>
      <c r="U213" s="266">
        <v>5.5280324116214546E-12</v>
      </c>
      <c r="V213" s="266">
        <v>5.4307613561900819E-12</v>
      </c>
      <c r="W213" s="266">
        <v>5.5172674380377455E-12</v>
      </c>
      <c r="X213" s="189">
        <v>4.1968083880834851E-12</v>
      </c>
      <c r="Y213" s="189">
        <v>3.9945939367946951E-10</v>
      </c>
      <c r="Z213" s="54">
        <v>1</v>
      </c>
      <c r="AA213" s="54">
        <f t="shared" si="36"/>
        <v>1</v>
      </c>
      <c r="AB213" s="54">
        <f t="shared" si="36"/>
        <v>1</v>
      </c>
      <c r="AC213" s="996">
        <f>AB213/(1-'Common input data'!$I$140)</f>
        <v>1.372193863549042</v>
      </c>
      <c r="AD213" s="435">
        <f>AC213/(1-'Common input data'!$B$178)</f>
        <v>1.6940664982086937</v>
      </c>
      <c r="AE213" t="s">
        <v>1801</v>
      </c>
      <c r="AF213" s="63" t="s">
        <v>1802</v>
      </c>
      <c r="AG213" s="800" t="s">
        <v>1894</v>
      </c>
      <c r="AH213" s="189"/>
      <c r="AI213" s="991"/>
      <c r="AJ213"/>
      <c r="AK213" s="1118" t="s">
        <v>1798</v>
      </c>
      <c r="AL213"/>
      <c r="AM213" t="s">
        <v>1800</v>
      </c>
      <c r="AO213"/>
      <c r="AP213" s="54">
        <f>1/E213*10^4</f>
        <v>0.38636890503052312</v>
      </c>
      <c r="AQ213" s="54">
        <f t="shared" si="29"/>
        <v>0.38636890503052312</v>
      </c>
      <c r="AR213" s="54">
        <f t="shared" si="29"/>
        <v>0.38636890503052312</v>
      </c>
      <c r="AS213" s="54">
        <f t="shared" si="29"/>
        <v>0.38636890503052312</v>
      </c>
      <c r="AT213" s="54">
        <f t="shared" si="29"/>
        <v>0.53017304054904646</v>
      </c>
      <c r="AU213" s="54">
        <f t="shared" si="29"/>
        <v>0.65453461796178569</v>
      </c>
      <c r="AV213"/>
      <c r="AW213" s="189">
        <f>SUM(F213,AE213)/E213</f>
        <v>5.4168920485279338E-3</v>
      </c>
      <c r="AX213" s="189">
        <f t="shared" si="30"/>
        <v>5.4168920485279338E-3</v>
      </c>
      <c r="AY213" s="189">
        <f t="shared" si="30"/>
        <v>5.4168920485279338E-3</v>
      </c>
      <c r="AZ213" s="189">
        <f t="shared" si="30"/>
        <v>5.4168920485279338E-3</v>
      </c>
      <c r="BA213" s="189">
        <f t="shared" si="30"/>
        <v>7.4330260284976302E-3</v>
      </c>
      <c r="BB213" s="189">
        <f t="shared" si="30"/>
        <v>9.176575343824234E-3</v>
      </c>
      <c r="BC213"/>
      <c r="BD213" s="189">
        <f>R213/E213</f>
        <v>1.2344486515725214E-3</v>
      </c>
      <c r="BE213" s="189">
        <f t="shared" si="31"/>
        <v>1.2344486515725214E-3</v>
      </c>
      <c r="BF213" s="189">
        <f t="shared" si="31"/>
        <v>1.2344486515725214E-3</v>
      </c>
      <c r="BG213" s="189">
        <f t="shared" si="31"/>
        <v>1.2344486515725214E-3</v>
      </c>
      <c r="BH213" s="189">
        <f t="shared" si="31"/>
        <v>1.6939028645542034E-3</v>
      </c>
      <c r="BI213" s="189">
        <f t="shared" si="31"/>
        <v>2.091238104387905E-3</v>
      </c>
      <c r="BK213" s="189">
        <f>S213</f>
        <v>8.5145955783223704E-2</v>
      </c>
      <c r="BL213" s="189">
        <f t="shared" si="32"/>
        <v>8.5145955783223704E-2</v>
      </c>
      <c r="BM213" s="189">
        <f t="shared" si="32"/>
        <v>8.5145955783223704E-2</v>
      </c>
      <c r="BN213" s="189">
        <f t="shared" si="32"/>
        <v>8.5145955783223704E-2</v>
      </c>
      <c r="BO213" s="189">
        <f t="shared" si="32"/>
        <v>0.11683675803175764</v>
      </c>
      <c r="BP213" s="189">
        <f t="shared" si="32"/>
        <v>0.14424291115031806</v>
      </c>
      <c r="BQ213" s="189"/>
      <c r="BR213" s="189">
        <f>(SUM(U213:Y213)*AP213)/('Common input data'!$B$192/10^6)</f>
        <v>3.9980799125376197E-10</v>
      </c>
      <c r="BS213" s="189">
        <f t="shared" si="33"/>
        <v>3.9980799125376197E-10</v>
      </c>
      <c r="BT213" s="189">
        <f t="shared" si="33"/>
        <v>3.9980799125376197E-10</v>
      </c>
      <c r="BU213" s="189">
        <f t="shared" si="33"/>
        <v>3.9980799125376197E-10</v>
      </c>
      <c r="BV213" s="189">
        <f t="shared" si="33"/>
        <v>5.4861407219628123E-10</v>
      </c>
      <c r="BW213" s="189">
        <f t="shared" si="33"/>
        <v>6.7730132369911263E-10</v>
      </c>
      <c r="BY213" s="189">
        <f>T213/E213</f>
        <v>0</v>
      </c>
      <c r="BZ213" s="189">
        <f t="shared" si="34"/>
        <v>0</v>
      </c>
      <c r="CA213" s="189">
        <f t="shared" si="34"/>
        <v>0</v>
      </c>
      <c r="CB213" s="189">
        <f t="shared" si="34"/>
        <v>0</v>
      </c>
      <c r="CC213" s="189">
        <f t="shared" si="34"/>
        <v>0</v>
      </c>
      <c r="CD213" s="189">
        <f t="shared" si="34"/>
        <v>0</v>
      </c>
      <c r="CF213" s="189">
        <f>(F213/E213*'Common input data'!$B$195+G213/E213*'Common input data'!$B$196)/'Common input data'!$B$198</f>
        <v>1.3831347597972898E-4</v>
      </c>
      <c r="CG213" s="189">
        <f t="shared" si="35"/>
        <v>1.3831347597972898E-4</v>
      </c>
      <c r="CH213" s="189">
        <f t="shared" si="35"/>
        <v>1.3831347597972898E-4</v>
      </c>
      <c r="CI213" s="189">
        <f t="shared" si="35"/>
        <v>1.3831347597972898E-4</v>
      </c>
      <c r="CJ213" s="189">
        <f t="shared" si="35"/>
        <v>1.8979290298552193E-4</v>
      </c>
      <c r="CK213" s="189">
        <f t="shared" si="35"/>
        <v>2.3431222590805173E-4</v>
      </c>
      <c r="CM213" s="5"/>
      <c r="CN213" s="5"/>
      <c r="CO213" s="5"/>
      <c r="CP213" s="5"/>
      <c r="CQ213" s="5"/>
      <c r="CR213" s="5"/>
      <c r="CS213" s="5"/>
      <c r="CT213" s="5"/>
      <c r="CU213" s="5"/>
      <c r="CV213" s="5"/>
      <c r="CW213" s="5"/>
      <c r="CX213" s="5"/>
    </row>
    <row r="214" spans="1:102">
      <c r="A214" s="106" t="s">
        <v>533</v>
      </c>
      <c r="B214" s="106" t="s">
        <v>120</v>
      </c>
      <c r="C214" s="435" t="s">
        <v>121</v>
      </c>
      <c r="D214" s="435"/>
      <c r="E214" s="435">
        <v>8345.2000000000007</v>
      </c>
      <c r="F214" s="797">
        <v>215</v>
      </c>
      <c r="G214" s="1137">
        <v>0</v>
      </c>
      <c r="H214" s="1137">
        <v>0</v>
      </c>
      <c r="P214" s="1136"/>
      <c r="Q214" s="96"/>
      <c r="R214" s="797">
        <v>63.800000000000004</v>
      </c>
      <c r="S214" s="435">
        <v>2.550982361497783E-2</v>
      </c>
      <c r="U214" s="266">
        <v>2.8069320749155E-11</v>
      </c>
      <c r="V214" s="266">
        <v>1.2232335473857399E-10</v>
      </c>
      <c r="W214" s="266">
        <v>4.9263984029028195E-10</v>
      </c>
      <c r="X214" s="189">
        <v>3.2041086675044798E-11</v>
      </c>
      <c r="Y214" s="189">
        <v>5.714936496920461E-9</v>
      </c>
      <c r="Z214" s="54"/>
      <c r="AA214" s="54"/>
      <c r="AB214" s="54"/>
      <c r="AC214" s="435"/>
      <c r="AD214" s="435"/>
      <c r="AE214" s="54"/>
      <c r="AF214" s="54"/>
      <c r="AG214" s="189"/>
      <c r="AH214" s="189"/>
      <c r="AI214" s="991"/>
      <c r="AJ214"/>
      <c r="AK214" s="1118"/>
      <c r="AL214"/>
      <c r="AO214"/>
      <c r="AP214" s="54">
        <f>1/E214*10^4</f>
        <v>1.1982936298710636</v>
      </c>
      <c r="AQ214" s="54">
        <f t="shared" si="29"/>
        <v>0</v>
      </c>
      <c r="AR214" s="54">
        <f t="shared" si="29"/>
        <v>0</v>
      </c>
      <c r="AS214" s="54">
        <f t="shared" si="29"/>
        <v>0</v>
      </c>
      <c r="AT214" s="54">
        <f t="shared" si="29"/>
        <v>0</v>
      </c>
      <c r="AU214" s="54">
        <f t="shared" si="29"/>
        <v>0</v>
      </c>
      <c r="AV214"/>
      <c r="AW214" s="189">
        <f>SUM(F214,AE214)/E214</f>
        <v>2.5763313042227867E-2</v>
      </c>
      <c r="AX214" s="189">
        <f t="shared" si="30"/>
        <v>0</v>
      </c>
      <c r="AY214" s="189">
        <f t="shared" si="30"/>
        <v>0</v>
      </c>
      <c r="AZ214" s="189">
        <f t="shared" si="30"/>
        <v>0</v>
      </c>
      <c r="BA214" s="189">
        <f t="shared" si="30"/>
        <v>0</v>
      </c>
      <c r="BB214" s="189">
        <f t="shared" si="30"/>
        <v>0</v>
      </c>
      <c r="BC214"/>
      <c r="BD214" s="189">
        <f>R214/E214</f>
        <v>7.6451133585773859E-3</v>
      </c>
      <c r="BE214" s="189">
        <f t="shared" si="31"/>
        <v>0</v>
      </c>
      <c r="BF214" s="189">
        <f t="shared" si="31"/>
        <v>0</v>
      </c>
      <c r="BG214" s="189">
        <f t="shared" si="31"/>
        <v>0</v>
      </c>
      <c r="BH214" s="189">
        <f t="shared" si="31"/>
        <v>0</v>
      </c>
      <c r="BI214" s="189">
        <f t="shared" si="31"/>
        <v>0</v>
      </c>
      <c r="BK214" s="189">
        <f>S214</f>
        <v>2.550982361497783E-2</v>
      </c>
      <c r="BL214" s="189">
        <f t="shared" si="32"/>
        <v>0</v>
      </c>
      <c r="BM214" s="189">
        <f t="shared" si="32"/>
        <v>0</v>
      </c>
      <c r="BN214" s="189">
        <f t="shared" si="32"/>
        <v>0</v>
      </c>
      <c r="BO214" s="189">
        <f t="shared" si="32"/>
        <v>0</v>
      </c>
      <c r="BP214" s="189">
        <f t="shared" si="32"/>
        <v>0</v>
      </c>
      <c r="BQ214" s="189"/>
      <c r="BR214" s="189">
        <f>(SUM(U214:Y214)*AP214)/('Common input data'!$B$192/10^6)</f>
        <v>1.8859408381298606E-8</v>
      </c>
      <c r="BS214" s="189">
        <f t="shared" si="33"/>
        <v>0</v>
      </c>
      <c r="BT214" s="189">
        <f t="shared" si="33"/>
        <v>0</v>
      </c>
      <c r="BU214" s="189">
        <f t="shared" si="33"/>
        <v>0</v>
      </c>
      <c r="BV214" s="189">
        <f t="shared" si="33"/>
        <v>0</v>
      </c>
      <c r="BW214" s="189">
        <f t="shared" si="33"/>
        <v>0</v>
      </c>
      <c r="BY214" s="189">
        <f>T214/E214</f>
        <v>0</v>
      </c>
      <c r="BZ214" s="189">
        <f t="shared" si="34"/>
        <v>0</v>
      </c>
      <c r="CA214" s="189">
        <f t="shared" si="34"/>
        <v>0</v>
      </c>
      <c r="CB214" s="189">
        <f t="shared" si="34"/>
        <v>0</v>
      </c>
      <c r="CC214" s="189">
        <f t="shared" si="34"/>
        <v>0</v>
      </c>
      <c r="CD214" s="189">
        <f t="shared" si="34"/>
        <v>0</v>
      </c>
      <c r="CF214" s="189">
        <f>(F214/E214*'Common input data'!$B$195+G214/E214*'Common input data'!$B$196)/'Common input data'!$B$198</f>
        <v>6.5783355985334752E-4</v>
      </c>
      <c r="CG214" s="189">
        <f t="shared" si="35"/>
        <v>0</v>
      </c>
      <c r="CH214" s="189">
        <f t="shared" si="35"/>
        <v>0</v>
      </c>
      <c r="CI214" s="189">
        <f t="shared" si="35"/>
        <v>0</v>
      </c>
      <c r="CJ214" s="189">
        <f t="shared" si="35"/>
        <v>0</v>
      </c>
      <c r="CK214" s="189">
        <f t="shared" si="35"/>
        <v>0</v>
      </c>
      <c r="CM214" s="5"/>
      <c r="CN214" s="5"/>
      <c r="CO214" s="5"/>
      <c r="CP214" s="5"/>
      <c r="CQ214" s="5"/>
      <c r="CR214" s="5"/>
      <c r="CS214" s="5"/>
      <c r="CT214" s="5"/>
      <c r="CU214" s="5"/>
      <c r="CV214" s="5"/>
      <c r="CW214" s="5"/>
      <c r="CX214" s="5"/>
    </row>
    <row r="215" spans="1:102" ht="45">
      <c r="A215" s="106"/>
      <c r="B215" s="106" t="s">
        <v>133</v>
      </c>
      <c r="C215" s="435" t="s">
        <v>121</v>
      </c>
      <c r="D215" s="435">
        <v>0.1</v>
      </c>
      <c r="E215" s="435">
        <v>20812</v>
      </c>
      <c r="F215" s="797">
        <v>80</v>
      </c>
      <c r="G215" s="284">
        <v>0</v>
      </c>
      <c r="H215" s="1137">
        <v>0</v>
      </c>
      <c r="P215" s="1136"/>
      <c r="Q215" s="117">
        <v>0</v>
      </c>
      <c r="R215" s="797">
        <v>80</v>
      </c>
      <c r="S215" s="435">
        <v>1.25221951424644E-2</v>
      </c>
      <c r="T215" s="1135"/>
      <c r="U215" s="266">
        <v>2.8069320749155E-11</v>
      </c>
      <c r="V215" s="266">
        <v>1.2232335473857399E-10</v>
      </c>
      <c r="W215" s="266">
        <v>4.9263984029028195E-10</v>
      </c>
      <c r="X215" s="189">
        <v>3.2041086675044798E-11</v>
      </c>
      <c r="Y215" s="189">
        <v>5.7149364969204602E-9</v>
      </c>
      <c r="Z215" s="54">
        <v>1</v>
      </c>
      <c r="AA215" s="54">
        <f>Z215</f>
        <v>1</v>
      </c>
      <c r="AB215" s="54">
        <f>AA215</f>
        <v>1</v>
      </c>
      <c r="AC215" s="996">
        <f>AB215/(1-'Common input data'!$F$140)</f>
        <v>1.5432098765432096</v>
      </c>
      <c r="AD215" s="435">
        <f>AC215/(1-'Common input data'!$B$178)</f>
        <v>1.9051973784484069</v>
      </c>
      <c r="AE215" t="s">
        <v>1801</v>
      </c>
      <c r="AF215" s="63" t="s">
        <v>1802</v>
      </c>
      <c r="AG215" t="s">
        <v>1803</v>
      </c>
      <c r="AH215" s="189"/>
      <c r="AI215" s="991"/>
      <c r="AJ215"/>
      <c r="AK215" s="1118" t="s">
        <v>1798</v>
      </c>
      <c r="AL215"/>
      <c r="AM215" t="s">
        <v>1800</v>
      </c>
      <c r="AO215"/>
      <c r="CM215" s="5"/>
      <c r="CN215" s="5"/>
      <c r="CO215" s="5"/>
      <c r="CP215" s="5"/>
      <c r="CQ215" s="5"/>
      <c r="CR215" s="5"/>
      <c r="CS215" s="5"/>
      <c r="CT215" s="5"/>
      <c r="CU215" s="5"/>
      <c r="CV215" s="5"/>
      <c r="CW215" s="5"/>
      <c r="CX215" s="5"/>
    </row>
    <row r="216" spans="1:102" ht="45">
      <c r="A216" s="106"/>
      <c r="B216" s="106" t="s">
        <v>134</v>
      </c>
      <c r="C216" s="435" t="s">
        <v>121</v>
      </c>
      <c r="D216" s="435">
        <v>0.9</v>
      </c>
      <c r="E216" s="435">
        <v>6960</v>
      </c>
      <c r="F216" s="797">
        <v>80</v>
      </c>
      <c r="G216" s="284">
        <v>0</v>
      </c>
      <c r="H216" s="1137">
        <v>0</v>
      </c>
      <c r="P216" s="1136"/>
      <c r="Q216" s="117">
        <v>0</v>
      </c>
      <c r="R216" s="797">
        <v>80</v>
      </c>
      <c r="S216" s="435">
        <v>2.6952893445257101E-2</v>
      </c>
      <c r="T216" s="1135"/>
      <c r="U216" s="266">
        <v>2.8069320749155E-11</v>
      </c>
      <c r="V216" s="266">
        <v>1.2232335473857399E-10</v>
      </c>
      <c r="W216" s="266">
        <v>4.9263984029028195E-10</v>
      </c>
      <c r="X216" s="189">
        <v>3.2041086675044798E-11</v>
      </c>
      <c r="Y216" s="189">
        <v>5.7149364969204602E-9</v>
      </c>
      <c r="Z216" s="54">
        <v>1</v>
      </c>
      <c r="AA216" s="54">
        <f>Z216</f>
        <v>1</v>
      </c>
      <c r="AB216" s="54">
        <f>AA216</f>
        <v>1</v>
      </c>
      <c r="AC216" s="996">
        <f>AB216/(1-'Common input data'!$I$140)</f>
        <v>1.372193863549042</v>
      </c>
      <c r="AD216" s="435">
        <f>AC216/(1-'Common input data'!$B$178)</f>
        <v>1.6940664982086937</v>
      </c>
      <c r="AE216" t="s">
        <v>1801</v>
      </c>
      <c r="AF216" s="63" t="s">
        <v>1802</v>
      </c>
      <c r="AG216" s="800" t="s">
        <v>1894</v>
      </c>
      <c r="AH216" s="189"/>
      <c r="AI216" s="991"/>
      <c r="AJ216"/>
      <c r="AK216" s="1118" t="s">
        <v>1798</v>
      </c>
      <c r="AL216"/>
      <c r="AM216" t="s">
        <v>1800</v>
      </c>
      <c r="AO216"/>
      <c r="CM216" s="5"/>
      <c r="CN216" s="5"/>
      <c r="CO216" s="5"/>
      <c r="CP216" s="5"/>
      <c r="CQ216" s="5"/>
      <c r="CR216" s="5"/>
      <c r="CS216" s="5"/>
      <c r="CT216" s="5"/>
      <c r="CU216" s="5"/>
      <c r="CV216" s="5"/>
      <c r="CW216" s="5"/>
      <c r="CX216" s="5"/>
    </row>
    <row r="217" spans="1:102">
      <c r="A217" s="106" t="s">
        <v>154</v>
      </c>
      <c r="B217" s="106" t="s">
        <v>120</v>
      </c>
      <c r="C217" s="440" t="s">
        <v>121</v>
      </c>
      <c r="D217" s="435"/>
      <c r="E217" s="435">
        <v>31931.965089827212</v>
      </c>
      <c r="F217" s="797">
        <v>96.045773301265584</v>
      </c>
      <c r="G217" s="284"/>
      <c r="H217" s="1137"/>
      <c r="P217" s="1136"/>
      <c r="Q217" s="117">
        <f>SUMPRODUCT($D$169:$D$170,Q218:Q219)</f>
        <v>0</v>
      </c>
      <c r="R217" s="797">
        <v>45.314158502345805</v>
      </c>
      <c r="S217" s="435">
        <v>8.3827277697582133E-3</v>
      </c>
      <c r="U217" s="266">
        <v>7.6343638303280303E-11</v>
      </c>
      <c r="V217" s="266">
        <v>1.44702291444119E-10</v>
      </c>
      <c r="W217" s="266">
        <v>4.8377321815888295E-10</v>
      </c>
      <c r="X217" s="189">
        <v>5.7562426863878097E-12</v>
      </c>
      <c r="Y217" s="189">
        <v>1.8951828575781802E-9</v>
      </c>
      <c r="Z217" s="54"/>
      <c r="AA217" s="54"/>
      <c r="AB217" s="54"/>
      <c r="AC217" s="996"/>
      <c r="AD217" s="996"/>
      <c r="AE217" s="54"/>
      <c r="AF217" s="54"/>
      <c r="AG217" s="189"/>
      <c r="AH217" s="189"/>
      <c r="AI217" s="991"/>
      <c r="AJ217"/>
      <c r="AK217" s="1118"/>
      <c r="AL217"/>
      <c r="AO217"/>
      <c r="AP217" s="54">
        <f>1/E217*10^4</f>
        <v>0.31316581901142598</v>
      </c>
      <c r="AQ217" s="54">
        <f>$AP217*Z217</f>
        <v>0</v>
      </c>
      <c r="AR217" s="54">
        <f>$AP217*AA217</f>
        <v>0</v>
      </c>
      <c r="AS217" s="54">
        <f>$AP217*AB217</f>
        <v>0</v>
      </c>
      <c r="AT217" s="54">
        <f>$AP217*AC217</f>
        <v>0</v>
      </c>
      <c r="AU217" s="54">
        <f>$AP217*AD217</f>
        <v>0</v>
      </c>
      <c r="AV217"/>
      <c r="AW217" s="189">
        <f>SUM(F217,AE217)/E217</f>
        <v>3.0078253258476583E-3</v>
      </c>
      <c r="AX217" s="189">
        <f>$AW217*Z217</f>
        <v>0</v>
      </c>
      <c r="AY217" s="189">
        <f>$AW217*AA217</f>
        <v>0</v>
      </c>
      <c r="AZ217" s="189">
        <f>$AW217*AB217</f>
        <v>0</v>
      </c>
      <c r="BA217" s="189">
        <f>$AW217*AC217</f>
        <v>0</v>
      </c>
      <c r="BB217" s="189">
        <f>$AW217*AD217</f>
        <v>0</v>
      </c>
      <c r="BC217"/>
      <c r="BD217" s="189">
        <f>R217/E217</f>
        <v>1.4190845560200693E-3</v>
      </c>
      <c r="BE217" s="189">
        <f>$BD217*Z217</f>
        <v>0</v>
      </c>
      <c r="BF217" s="189">
        <f>$BD217*AA217</f>
        <v>0</v>
      </c>
      <c r="BG217" s="189">
        <f>$BD217*AB217</f>
        <v>0</v>
      </c>
      <c r="BH217" s="189">
        <f>$BD217*AC217</f>
        <v>0</v>
      </c>
      <c r="BI217" s="189">
        <f>$BD217*AD217</f>
        <v>0</v>
      </c>
      <c r="BK217" s="189">
        <f>S217</f>
        <v>8.3827277697582133E-3</v>
      </c>
      <c r="BL217" s="189">
        <f>$BK217*Z217</f>
        <v>0</v>
      </c>
      <c r="BM217" s="189">
        <f>$BK217*AA217</f>
        <v>0</v>
      </c>
      <c r="BN217" s="189">
        <f>$BK217*AB217</f>
        <v>0</v>
      </c>
      <c r="BO217" s="189">
        <f>$BK217*AC217</f>
        <v>0</v>
      </c>
      <c r="BP217" s="189">
        <f>$BK217*AD217</f>
        <v>0</v>
      </c>
      <c r="BQ217" s="189"/>
      <c r="BR217" s="189">
        <f>(SUM(U217:Y217)*AP217)/('Common input data'!$B$192/10^6)</f>
        <v>2.0098874804418682E-9</v>
      </c>
      <c r="BS217" s="189">
        <f>$BR217*Z217</f>
        <v>0</v>
      </c>
      <c r="BT217" s="189">
        <f>$BR217*AA217</f>
        <v>0</v>
      </c>
      <c r="BU217" s="189">
        <f>$BR217*AB217</f>
        <v>0</v>
      </c>
      <c r="BV217" s="189">
        <f>$BR217*AC217</f>
        <v>0</v>
      </c>
      <c r="BW217" s="189">
        <f>$BR217*AD217</f>
        <v>0</v>
      </c>
      <c r="BY217" s="189">
        <f>T217/E217</f>
        <v>0</v>
      </c>
      <c r="BZ217" s="189">
        <f>$BY217*Z217</f>
        <v>0</v>
      </c>
      <c r="CA217" s="189">
        <f>$BY217*AA217</f>
        <v>0</v>
      </c>
      <c r="CB217" s="189">
        <f>$BY217*AB217</f>
        <v>0</v>
      </c>
      <c r="CC217" s="189">
        <f>$BY217*AC217</f>
        <v>0</v>
      </c>
      <c r="CD217" s="189">
        <f>$BY217*AD217</f>
        <v>0</v>
      </c>
      <c r="CF217" s="189">
        <f>(F217/E217*'Common input data'!$B$195+G217/E217*'Common input data'!$B$196)/'Common input data'!$B$198</f>
        <v>7.6801009182176123E-5</v>
      </c>
      <c r="CG217" s="189">
        <f>$CF217*Z217</f>
        <v>0</v>
      </c>
      <c r="CH217" s="189">
        <f>$CF217*AA217</f>
        <v>0</v>
      </c>
      <c r="CI217" s="189">
        <f>$CF217*AB217</f>
        <v>0</v>
      </c>
      <c r="CJ217" s="189">
        <f>$CF217*AC217</f>
        <v>0</v>
      </c>
      <c r="CK217" s="189">
        <f>$CF217*AD217</f>
        <v>0</v>
      </c>
      <c r="CM217" s="5"/>
      <c r="CN217" s="5"/>
      <c r="CO217" s="5"/>
      <c r="CP217" s="5"/>
      <c r="CQ217" s="5"/>
      <c r="CR217" s="5"/>
      <c r="CS217" s="5"/>
      <c r="CT217" s="5"/>
      <c r="CU217" s="5"/>
      <c r="CV217" s="5"/>
      <c r="CW217" s="287"/>
      <c r="CX217" s="287"/>
    </row>
    <row r="218" spans="1:102" ht="45">
      <c r="A218" s="106"/>
      <c r="B218" s="106" t="s">
        <v>131</v>
      </c>
      <c r="C218" s="435" t="s">
        <v>121</v>
      </c>
      <c r="D218" s="435">
        <v>0.15802723423732692</v>
      </c>
      <c r="E218" s="435">
        <v>68674.039999999994</v>
      </c>
      <c r="F218" s="797">
        <v>200</v>
      </c>
      <c r="G218" s="284"/>
      <c r="H218" s="1137"/>
      <c r="P218" s="1136"/>
      <c r="Q218" s="117">
        <v>0</v>
      </c>
      <c r="R218" s="797">
        <v>100</v>
      </c>
      <c r="S218" s="435">
        <v>5.5043344928261094E-3</v>
      </c>
      <c r="T218" s="1135"/>
      <c r="U218" s="266">
        <v>7.6343638303280303E-11</v>
      </c>
      <c r="V218" s="266">
        <v>1.44702291444119E-10</v>
      </c>
      <c r="W218" s="266">
        <v>4.8377321815888295E-10</v>
      </c>
      <c r="X218" s="189">
        <v>5.7562426863878097E-12</v>
      </c>
      <c r="Y218" s="189">
        <v>1.8951828575781802E-9</v>
      </c>
      <c r="Z218" s="54">
        <v>1</v>
      </c>
      <c r="AA218" s="54">
        <f>Z218</f>
        <v>1</v>
      </c>
      <c r="AB218" s="54">
        <f>AA218</f>
        <v>1</v>
      </c>
      <c r="AC218" s="996">
        <f>AB218/(1-'Common input data'!$F$140)</f>
        <v>1.5432098765432096</v>
      </c>
      <c r="AD218" s="435">
        <f>AC218/(1-'Common input data'!$B$178)</f>
        <v>1.9051973784484069</v>
      </c>
      <c r="AE218" t="s">
        <v>1801</v>
      </c>
      <c r="AF218" s="63" t="s">
        <v>1802</v>
      </c>
      <c r="AG218" t="s">
        <v>1803</v>
      </c>
      <c r="AH218" s="189"/>
      <c r="AI218" s="991"/>
      <c r="AJ218"/>
      <c r="AK218" s="1118" t="s">
        <v>1798</v>
      </c>
      <c r="AL218"/>
      <c r="AM218" t="s">
        <v>1800</v>
      </c>
      <c r="AN218" t="s">
        <v>1911</v>
      </c>
      <c r="AO218"/>
      <c r="CM218" s="5">
        <v>5.0490875490389997E-2</v>
      </c>
      <c r="CN218" s="5">
        <v>1.3533587575000002E-4</v>
      </c>
      <c r="CO218" s="5">
        <v>1.0911277082300001E-4</v>
      </c>
      <c r="CP218" s="5">
        <f>CM218+CN218*'Common input data'!$C$12+CO218*'Common input data'!$E$12</f>
        <v>8.3932730570318997E-2</v>
      </c>
      <c r="CQ218" s="5">
        <f>'Common input data'!$F$19</f>
        <v>-9.1139048141381296E-2</v>
      </c>
      <c r="CR218" s="5">
        <v>0</v>
      </c>
      <c r="CS218" s="5"/>
      <c r="CT218" s="5">
        <f>SUM(CP218:CS218)</f>
        <v>-7.2063175710622984E-3</v>
      </c>
      <c r="CU218" s="5">
        <f>'Common input data'!$B$105</f>
        <v>0.05</v>
      </c>
      <c r="CV218" s="5">
        <f>'Common input data'!$B$123+'Common input data'!$C$123</f>
        <v>0.32999999999999996</v>
      </c>
      <c r="CW218" s="287"/>
      <c r="CX218" s="287"/>
    </row>
    <row r="219" spans="1:102" ht="45">
      <c r="A219" s="106"/>
      <c r="B219" s="106" t="s">
        <v>134</v>
      </c>
      <c r="C219" s="435" t="s">
        <v>121</v>
      </c>
      <c r="D219" s="435">
        <v>0.8419727657626731</v>
      </c>
      <c r="E219" s="435">
        <v>25035.96</v>
      </c>
      <c r="F219" s="797">
        <v>76.534929719999994</v>
      </c>
      <c r="G219" s="284"/>
      <c r="H219" s="1137"/>
      <c r="P219" s="1136"/>
      <c r="Q219" s="117">
        <v>0</v>
      </c>
      <c r="R219" s="797">
        <v>35.050343999999996</v>
      </c>
      <c r="S219" s="435">
        <v>8.9229643986578101E-3</v>
      </c>
      <c r="T219" s="1135"/>
      <c r="U219" s="266">
        <v>7.6343638303280303E-11</v>
      </c>
      <c r="V219" s="266">
        <v>1.44702291444119E-10</v>
      </c>
      <c r="W219" s="266">
        <v>4.8377321815888295E-10</v>
      </c>
      <c r="X219" s="189">
        <v>5.7562426863878097E-12</v>
      </c>
      <c r="Y219" s="189">
        <v>1.8951828575781802E-9</v>
      </c>
      <c r="Z219" s="54">
        <v>1</v>
      </c>
      <c r="AA219" s="54">
        <f>Z219</f>
        <v>1</v>
      </c>
      <c r="AB219" s="54">
        <f>AA219</f>
        <v>1</v>
      </c>
      <c r="AC219" s="996">
        <f>AB219/(1-'Common input data'!$I$140)</f>
        <v>1.372193863549042</v>
      </c>
      <c r="AD219" s="435">
        <f>AC219/(1-'Common input data'!$B$178)</f>
        <v>1.6940664982086937</v>
      </c>
      <c r="AE219" t="s">
        <v>1801</v>
      </c>
      <c r="AF219" s="63" t="s">
        <v>1802</v>
      </c>
      <c r="AG219" t="s">
        <v>1911</v>
      </c>
      <c r="AH219" s="189"/>
      <c r="AI219" s="991"/>
      <c r="AJ219"/>
      <c r="AK219" s="1118" t="s">
        <v>1798</v>
      </c>
      <c r="AL219"/>
      <c r="AM219" t="s">
        <v>1800</v>
      </c>
      <c r="AN219" t="s">
        <v>1911</v>
      </c>
      <c r="AO219"/>
      <c r="CM219" s="5">
        <v>5.0490875490389997E-2</v>
      </c>
      <c r="CN219" s="5">
        <v>1.3533587575000002E-4</v>
      </c>
      <c r="CO219" s="5">
        <v>1.0911277082300001E-4</v>
      </c>
      <c r="CP219" s="5">
        <f>CM219+CN219*'Common input data'!$C$12+CO219*'Common input data'!$E$12</f>
        <v>8.3932730570318997E-2</v>
      </c>
      <c r="CQ219" s="5">
        <f>'Common input data'!$F$19</f>
        <v>-9.1139048141381296E-2</v>
      </c>
      <c r="CR219" s="5">
        <v>0</v>
      </c>
      <c r="CS219" s="5"/>
      <c r="CT219" s="5">
        <f>SUM(CP219:CS219)</f>
        <v>-7.2063175710622984E-3</v>
      </c>
      <c r="CU219" s="5">
        <f>'Common input data'!$B$105</f>
        <v>0.05</v>
      </c>
      <c r="CV219" s="5">
        <f>'Common input data'!$B$128+'Common input data'!$C$128</f>
        <v>0.43000000000000005</v>
      </c>
      <c r="CW219" s="287"/>
      <c r="CX219" s="287"/>
    </row>
    <row r="220" spans="1:102">
      <c r="A220" s="106" t="s">
        <v>155</v>
      </c>
      <c r="B220" s="106" t="s">
        <v>120</v>
      </c>
      <c r="C220" s="435" t="s">
        <v>121</v>
      </c>
      <c r="D220" s="435"/>
      <c r="E220" s="435">
        <v>6942.9299999999994</v>
      </c>
      <c r="F220" s="797">
        <v>0</v>
      </c>
      <c r="G220" s="284"/>
      <c r="H220" s="1137"/>
      <c r="P220" s="1136"/>
      <c r="Q220" s="117">
        <f>SUMPRODUCT($D$172:$D$174,Q221:Q223)</f>
        <v>0</v>
      </c>
      <c r="R220" s="797">
        <v>245.50200480000001</v>
      </c>
      <c r="S220" s="435">
        <v>1.8799351510194331</v>
      </c>
      <c r="U220" s="266">
        <v>2.830125594429763E-12</v>
      </c>
      <c r="V220" s="266">
        <v>1.0495404678940852E-12</v>
      </c>
      <c r="W220" s="266">
        <v>1.1229109239231896E-12</v>
      </c>
      <c r="X220" s="189">
        <v>3.299871133627684E-12</v>
      </c>
      <c r="Y220" s="189">
        <v>2.3573449127991346E-11</v>
      </c>
      <c r="Z220" s="54"/>
      <c r="AA220" s="54"/>
      <c r="AB220" s="54"/>
      <c r="AC220" s="435"/>
      <c r="AD220" s="435"/>
      <c r="AE220" s="54"/>
      <c r="AF220" s="54"/>
      <c r="AG220" s="800"/>
      <c r="AH220" s="189"/>
      <c r="AI220" s="991"/>
      <c r="AJ220"/>
      <c r="AK220" s="1118"/>
      <c r="AL220"/>
      <c r="AO220"/>
      <c r="AP220" s="54">
        <f>1/E220*10^4</f>
        <v>1.4403141036997349</v>
      </c>
      <c r="AQ220" s="54">
        <f>$AP220*Z220</f>
        <v>0</v>
      </c>
      <c r="AR220" s="54">
        <f>$AP220*AA220</f>
        <v>0</v>
      </c>
      <c r="AS220" s="54">
        <f>$AP220*AB220</f>
        <v>0</v>
      </c>
      <c r="AT220" s="54">
        <f>$AP220*AC220</f>
        <v>0</v>
      </c>
      <c r="AU220" s="54">
        <f>$AP220*AD220</f>
        <v>0</v>
      </c>
      <c r="AV220"/>
      <c r="AW220" s="189">
        <f>SUM(F220,AE220)/E220</f>
        <v>0</v>
      </c>
      <c r="AX220" s="189">
        <f>$AW220*Z220</f>
        <v>0</v>
      </c>
      <c r="AY220" s="189">
        <f>$AW220*AA220</f>
        <v>0</v>
      </c>
      <c r="AZ220" s="189">
        <f>$AW220*AB220</f>
        <v>0</v>
      </c>
      <c r="BA220" s="189">
        <f>$AW220*AC220</f>
        <v>0</v>
      </c>
      <c r="BB220" s="189">
        <f>$AW220*AD220</f>
        <v>0</v>
      </c>
      <c r="BC220"/>
      <c r="BD220" s="189">
        <f>R220/E220</f>
        <v>3.5360000000000003E-2</v>
      </c>
      <c r="BE220" s="189">
        <f>$BD220*Z220</f>
        <v>0</v>
      </c>
      <c r="BF220" s="189">
        <f>$BD220*AA220</f>
        <v>0</v>
      </c>
      <c r="BG220" s="189">
        <f>$BD220*AB220</f>
        <v>0</v>
      </c>
      <c r="BH220" s="189">
        <f>$BD220*AC220</f>
        <v>0</v>
      </c>
      <c r="BI220" s="189">
        <f>$BD220*AD220</f>
        <v>0</v>
      </c>
      <c r="BK220" s="189">
        <f>S220</f>
        <v>1.8799351510194331</v>
      </c>
      <c r="BL220" s="189">
        <f>$BK220*Z220</f>
        <v>0</v>
      </c>
      <c r="BM220" s="189">
        <f>$BK220*AA220</f>
        <v>0</v>
      </c>
      <c r="BN220" s="189">
        <f>$BK220*AB220</f>
        <v>0</v>
      </c>
      <c r="BO220" s="189">
        <f>$BK220*AC220</f>
        <v>0</v>
      </c>
      <c r="BP220" s="189">
        <f>$BK220*AD220</f>
        <v>0</v>
      </c>
      <c r="BQ220" s="189"/>
      <c r="BR220" s="189">
        <f>(SUM(U220:Y220)*AP220)/('Common input data'!$B$192/10^6)</f>
        <v>1.1307924527520273E-10</v>
      </c>
      <c r="BS220" s="189">
        <f>$BR220*Z220</f>
        <v>0</v>
      </c>
      <c r="BT220" s="189">
        <f>$BR220*AA220</f>
        <v>0</v>
      </c>
      <c r="BU220" s="189">
        <f>$BR220*AB220</f>
        <v>0</v>
      </c>
      <c r="BV220" s="189">
        <f>$BR220*AC220</f>
        <v>0</v>
      </c>
      <c r="BW220" s="189">
        <f>$BR220*AD220</f>
        <v>0</v>
      </c>
      <c r="BY220" s="189">
        <f>T220/E220</f>
        <v>0</v>
      </c>
      <c r="BZ220" s="189">
        <f>$BY220*Z220</f>
        <v>0</v>
      </c>
      <c r="CA220" s="189">
        <f>$BY220*AA220</f>
        <v>0</v>
      </c>
      <c r="CB220" s="189">
        <f>$BY220*AB220</f>
        <v>0</v>
      </c>
      <c r="CC220" s="189">
        <f>$BY220*AC220</f>
        <v>0</v>
      </c>
      <c r="CD220" s="189">
        <f>$BY220*AD220</f>
        <v>0</v>
      </c>
      <c r="CF220" s="189">
        <f>(F220/E220*'Common input data'!$B$195+G220/E220*'Common input data'!$B$196)/'Common input data'!$B$198</f>
        <v>0</v>
      </c>
      <c r="CG220" s="189">
        <f>$CF220*Z220</f>
        <v>0</v>
      </c>
      <c r="CH220" s="189">
        <f>$CF220*AA220</f>
        <v>0</v>
      </c>
      <c r="CI220" s="189">
        <f>$CF220*AB220</f>
        <v>0</v>
      </c>
      <c r="CJ220" s="189">
        <f>$CF220*AC220</f>
        <v>0</v>
      </c>
      <c r="CK220" s="189">
        <f>$CF220*AD220</f>
        <v>0</v>
      </c>
      <c r="CM220" s="5"/>
      <c r="CN220" s="5"/>
      <c r="CO220" s="5"/>
      <c r="CP220" s="5"/>
      <c r="CQ220" s="5"/>
      <c r="CR220" s="5"/>
      <c r="CS220" s="5"/>
      <c r="CT220" s="5"/>
      <c r="CU220" s="5"/>
      <c r="CV220" s="5"/>
      <c r="CW220" s="287"/>
      <c r="CX220" s="287"/>
    </row>
    <row r="221" spans="1:102" ht="45">
      <c r="A221" s="106"/>
      <c r="B221" s="106" t="s">
        <v>156</v>
      </c>
      <c r="C221" s="440" t="s">
        <v>121</v>
      </c>
      <c r="D221" s="435">
        <v>0.42</v>
      </c>
      <c r="E221" s="435">
        <v>6121</v>
      </c>
      <c r="F221" s="797">
        <v>0</v>
      </c>
      <c r="G221" s="284"/>
      <c r="H221" s="1137"/>
      <c r="P221" s="1136"/>
      <c r="Q221" s="117">
        <v>0</v>
      </c>
      <c r="R221" s="797">
        <v>216.43856000000002</v>
      </c>
      <c r="S221" s="435">
        <v>2.2806145516435099</v>
      </c>
      <c r="T221" s="1135"/>
      <c r="U221" s="266">
        <v>3.9851089927207496E-12</v>
      </c>
      <c r="V221" s="266">
        <v>1.1341276694676501E-12</v>
      </c>
      <c r="W221" s="266">
        <v>1.6656807196105199E-12</v>
      </c>
      <c r="X221" s="189">
        <v>4.2280620238658397E-12</v>
      </c>
      <c r="Y221" s="189">
        <v>3.4173476524956598E-11</v>
      </c>
      <c r="Z221" s="54">
        <v>1</v>
      </c>
      <c r="AA221" s="54">
        <f t="shared" ref="AA221:AB223" si="37">Z221</f>
        <v>1</v>
      </c>
      <c r="AB221" s="54">
        <f t="shared" si="37"/>
        <v>1</v>
      </c>
      <c r="AC221" s="996">
        <f>AB221/(1-'Common input data'!$H$140)</f>
        <v>1.372193863549042</v>
      </c>
      <c r="AD221" s="435">
        <f>AC221/(1-'Common input data'!$B$178)</f>
        <v>1.6940664982086937</v>
      </c>
      <c r="AE221" t="s">
        <v>1801</v>
      </c>
      <c r="AF221" s="63" t="s">
        <v>1802</v>
      </c>
      <c r="AG221" t="s">
        <v>1912</v>
      </c>
      <c r="AH221" s="189"/>
      <c r="AI221" s="991"/>
      <c r="AJ221"/>
      <c r="AK221" s="1118" t="s">
        <v>1798</v>
      </c>
      <c r="AL221"/>
      <c r="AM221" t="s">
        <v>1800</v>
      </c>
      <c r="AN221" t="s">
        <v>1912</v>
      </c>
      <c r="AO221"/>
      <c r="CM221" s="5">
        <v>0.33241909199779995</v>
      </c>
      <c r="CN221" s="5">
        <v>6.5709062037000009E-4</v>
      </c>
      <c r="CO221" s="5">
        <v>4.812414699999999E-3</v>
      </c>
      <c r="CP221" s="5">
        <f>CM221+CN221*'Common input data'!$C$12+CO221*'Common input data'!$E$12</f>
        <v>1.6639497518477897</v>
      </c>
      <c r="CQ221" s="5">
        <f>'Common input data'!$F$19</f>
        <v>-9.1139048141381296E-2</v>
      </c>
      <c r="CR221" s="5">
        <v>0</v>
      </c>
      <c r="CS221" s="5"/>
      <c r="CT221" s="5">
        <f>SUM(CP221:CS221)</f>
        <v>1.5728107037064083</v>
      </c>
      <c r="CU221" s="5">
        <f>'Common input data'!$B$105</f>
        <v>0.05</v>
      </c>
      <c r="CV221" s="5">
        <f>'Common input data'!$B$118+'Common input data'!$C$118</f>
        <v>0.32999999999999996</v>
      </c>
      <c r="CW221" s="287"/>
      <c r="CX221" s="287"/>
    </row>
    <row r="222" spans="1:102" ht="45">
      <c r="A222" s="106"/>
      <c r="B222" s="106" t="s">
        <v>157</v>
      </c>
      <c r="C222" s="435" t="s">
        <v>121</v>
      </c>
      <c r="D222" s="435">
        <v>0.11</v>
      </c>
      <c r="E222" s="435">
        <v>8735</v>
      </c>
      <c r="F222" s="797">
        <v>0</v>
      </c>
      <c r="G222" s="284"/>
      <c r="H222" s="1137"/>
      <c r="P222" s="1136"/>
      <c r="Q222" s="117">
        <v>0</v>
      </c>
      <c r="R222" s="797">
        <v>308.86960000000005</v>
      </c>
      <c r="S222" s="435">
        <v>3.0423681404558902</v>
      </c>
      <c r="T222" s="1135"/>
      <c r="U222" s="266">
        <v>6.3733102665992001E-13</v>
      </c>
      <c r="V222" s="266">
        <v>8.8894737505152003E-13</v>
      </c>
      <c r="W222" s="266">
        <v>9.2434935009563006E-14</v>
      </c>
      <c r="X222" s="189">
        <v>1.5376536463639399E-12</v>
      </c>
      <c r="Y222" s="189">
        <v>3.4487594323036999E-12</v>
      </c>
      <c r="Z222" s="54">
        <v>1</v>
      </c>
      <c r="AA222" s="54">
        <f t="shared" si="37"/>
        <v>1</v>
      </c>
      <c r="AB222" s="54">
        <f t="shared" si="37"/>
        <v>1</v>
      </c>
      <c r="AC222" s="996">
        <f>AB222/(1-'Common input data'!$H$140)</f>
        <v>1.372193863549042</v>
      </c>
      <c r="AD222" s="435">
        <f>AC222/(1-'Common input data'!$B$178)</f>
        <v>1.6940664982086937</v>
      </c>
      <c r="AE222" t="s">
        <v>1801</v>
      </c>
      <c r="AF222" s="63" t="s">
        <v>1802</v>
      </c>
      <c r="AG222" t="s">
        <v>1912</v>
      </c>
      <c r="AH222" s="189"/>
      <c r="AI222" s="991"/>
      <c r="AJ222"/>
      <c r="AK222" s="1118" t="s">
        <v>1798</v>
      </c>
      <c r="AL222"/>
      <c r="AM222" t="s">
        <v>1800</v>
      </c>
      <c r="AN222" t="s">
        <v>1912</v>
      </c>
      <c r="AO222"/>
      <c r="CM222" s="5">
        <v>0.33241909199779995</v>
      </c>
      <c r="CN222" s="5">
        <v>6.5709062037000009E-4</v>
      </c>
      <c r="CO222" s="5">
        <v>4.812414699999999E-3</v>
      </c>
      <c r="CP222" s="5">
        <f>CM222+CN222*'Common input data'!$C$12+CO222*'Common input data'!$E$12</f>
        <v>1.6639497518477897</v>
      </c>
      <c r="CQ222" s="5">
        <f>'Common input data'!$F$19</f>
        <v>-9.1139048141381296E-2</v>
      </c>
      <c r="CR222" s="5">
        <v>0</v>
      </c>
      <c r="CS222" s="5"/>
      <c r="CT222" s="5">
        <f>SUM(CP222:CS222)</f>
        <v>1.5728107037064083</v>
      </c>
      <c r="CU222" s="5">
        <f>'Common input data'!$B$105</f>
        <v>0.05</v>
      </c>
      <c r="CV222" s="5">
        <f>'Common input data'!$B$118+'Common input data'!$C$118</f>
        <v>0.32999999999999996</v>
      </c>
      <c r="CW222" s="287"/>
      <c r="CX222" s="287"/>
    </row>
    <row r="223" spans="1:102" ht="45">
      <c r="A223" s="106"/>
      <c r="B223" s="106" t="s">
        <v>134</v>
      </c>
      <c r="C223" s="435" t="s">
        <v>121</v>
      </c>
      <c r="D223" s="116">
        <v>0.47</v>
      </c>
      <c r="E223" s="435">
        <v>7258</v>
      </c>
      <c r="F223" s="797">
        <v>0</v>
      </c>
      <c r="G223" s="284"/>
      <c r="H223" s="1137"/>
      <c r="P223" s="1136"/>
      <c r="Q223" s="117">
        <v>0</v>
      </c>
      <c r="R223" s="797">
        <v>256.64287999999999</v>
      </c>
      <c r="S223" s="435">
        <v>1.24982243378513</v>
      </c>
      <c r="T223" s="1135"/>
      <c r="U223" s="266">
        <v>2.3112200096903348E-12</v>
      </c>
      <c r="V223" s="266">
        <v>1.0115375222595851E-12</v>
      </c>
      <c r="W223" s="266">
        <v>8.7905782731004146E-13</v>
      </c>
      <c r="X223" s="189">
        <v>2.8828578351148898E-12</v>
      </c>
      <c r="Y223" s="189">
        <v>1.8811117978630148E-11</v>
      </c>
      <c r="Z223" s="54">
        <v>1</v>
      </c>
      <c r="AA223" s="54">
        <f t="shared" si="37"/>
        <v>1</v>
      </c>
      <c r="AB223" s="54">
        <f t="shared" si="37"/>
        <v>1</v>
      </c>
      <c r="AC223" s="996">
        <f>AB223/(1-'Common input data'!$I$140)</f>
        <v>1.372193863549042</v>
      </c>
      <c r="AD223" s="435">
        <f>AC223/(1-'Common input data'!$B$178)</f>
        <v>1.6940664982086937</v>
      </c>
      <c r="AE223" t="s">
        <v>1801</v>
      </c>
      <c r="AF223" s="63" t="s">
        <v>1802</v>
      </c>
      <c r="AG223" t="s">
        <v>1912</v>
      </c>
      <c r="AH223" s="189"/>
      <c r="AI223" s="991"/>
      <c r="AJ223"/>
      <c r="AK223" s="1118" t="s">
        <v>1798</v>
      </c>
      <c r="AL223"/>
      <c r="AM223" t="s">
        <v>1800</v>
      </c>
      <c r="AN223" t="s">
        <v>1912</v>
      </c>
      <c r="AO223"/>
      <c r="CM223" s="5">
        <v>0.33241909199779995</v>
      </c>
      <c r="CN223" s="5">
        <v>6.5709062037000009E-4</v>
      </c>
      <c r="CO223" s="5">
        <v>4.812414699999999E-3</v>
      </c>
      <c r="CP223" s="5">
        <f>CM223+CN223*'Common input data'!$C$12+CO223*'Common input data'!$E$12</f>
        <v>1.6639497518477897</v>
      </c>
      <c r="CQ223" s="5">
        <f>'Common input data'!$F$19</f>
        <v>-9.1139048141381296E-2</v>
      </c>
      <c r="CR223" s="5">
        <v>0</v>
      </c>
      <c r="CS223" s="5"/>
      <c r="CT223" s="5">
        <f>SUM(CP223:CS223)</f>
        <v>1.5728107037064083</v>
      </c>
      <c r="CU223" s="5">
        <f>'Common input data'!$B$105</f>
        <v>0.05</v>
      </c>
      <c r="CV223" s="5">
        <f>'Common input data'!$B$128+'Common input data'!$C$128</f>
        <v>0.43000000000000005</v>
      </c>
      <c r="CW223" s="287"/>
      <c r="CX223" s="287"/>
    </row>
    <row r="224" spans="1:102">
      <c r="A224" s="106" t="s">
        <v>158</v>
      </c>
      <c r="B224" s="106" t="s">
        <v>120</v>
      </c>
      <c r="C224" s="435"/>
      <c r="D224" s="435"/>
      <c r="E224" s="797"/>
      <c r="F224" s="797"/>
      <c r="G224" s="1137"/>
      <c r="H224" s="1137"/>
      <c r="P224" s="1136"/>
      <c r="Q224" s="797"/>
      <c r="R224" s="797"/>
      <c r="S224" s="435"/>
      <c r="U224" s="266"/>
      <c r="V224" s="266"/>
      <c r="W224" s="266"/>
      <c r="X224" s="189"/>
      <c r="Y224" s="189"/>
      <c r="Z224" s="54"/>
      <c r="AA224" s="54"/>
      <c r="AB224" s="54"/>
      <c r="AC224" s="435"/>
      <c r="AD224" s="435"/>
      <c r="AE224" s="54"/>
      <c r="AF224" s="54"/>
      <c r="AG224" s="800"/>
      <c r="AH224" s="189"/>
      <c r="AI224" s="991"/>
      <c r="AJ224"/>
      <c r="AK224" s="1118"/>
      <c r="AL224"/>
      <c r="AO224"/>
      <c r="AP224" s="54"/>
      <c r="AQ224" s="54"/>
      <c r="AR224" s="54"/>
      <c r="AS224" s="54"/>
      <c r="AT224" s="54"/>
      <c r="AU224" s="54"/>
      <c r="AV224"/>
      <c r="BC224"/>
      <c r="BP224" s="189"/>
      <c r="BQ224" s="189"/>
      <c r="BR224" s="189"/>
      <c r="BS224" s="189"/>
      <c r="BT224" s="189"/>
      <c r="BU224" s="189"/>
      <c r="BV224" s="189"/>
      <c r="BW224" s="189"/>
      <c r="CM224" s="5"/>
      <c r="CN224" s="5"/>
      <c r="CO224" s="5"/>
      <c r="CP224" s="5"/>
      <c r="CQ224" s="5"/>
      <c r="CR224" s="5"/>
      <c r="CS224" s="5"/>
      <c r="CT224" s="5"/>
      <c r="CU224" s="5"/>
      <c r="CV224" s="5"/>
      <c r="CW224" s="287"/>
      <c r="CX224" s="287"/>
    </row>
    <row r="225" spans="1:112" ht="45">
      <c r="A225" s="106"/>
      <c r="B225" s="106" t="s">
        <v>130</v>
      </c>
      <c r="C225" s="440" t="s">
        <v>121</v>
      </c>
      <c r="D225" s="435">
        <v>0.56000000000000005</v>
      </c>
      <c r="E225" s="797">
        <v>16536.96</v>
      </c>
      <c r="F225" s="797">
        <v>8.5747200000000063</v>
      </c>
      <c r="G225" s="1136"/>
      <c r="H225" s="1137"/>
      <c r="P225" s="1136"/>
      <c r="Q225" s="797">
        <v>0</v>
      </c>
      <c r="R225" s="797">
        <v>33.686400000000049</v>
      </c>
      <c r="S225" s="435">
        <v>0.22372933982401302</v>
      </c>
      <c r="T225" s="54">
        <v>2.76</v>
      </c>
      <c r="U225" s="189">
        <v>3.7738174209626004E-12</v>
      </c>
      <c r="V225" s="189">
        <v>2.5819413353737599E-12</v>
      </c>
      <c r="W225" s="189">
        <v>3.8726446962259297E-12</v>
      </c>
      <c r="X225" s="189">
        <v>7.3859179387853007E-12</v>
      </c>
      <c r="Y225" s="189">
        <v>6.7025422877374503E-10</v>
      </c>
      <c r="Z225" s="54">
        <v>1</v>
      </c>
      <c r="AA225" s="54">
        <f t="shared" ref="AA225:AB227" si="38">Z225</f>
        <v>1</v>
      </c>
      <c r="AB225" s="54">
        <f t="shared" si="38"/>
        <v>1</v>
      </c>
      <c r="AC225" s="996">
        <f>AB225/(1-'Common input data'!$B$140)</f>
        <v>1.1934598400763814</v>
      </c>
      <c r="AD225" s="435">
        <f>AC225/(1-'Common input data'!$B$178)</f>
        <v>1.4734072099708411</v>
      </c>
      <c r="AE225" s="54" t="s">
        <v>1829</v>
      </c>
      <c r="AF225" s="63" t="s">
        <v>1830</v>
      </c>
      <c r="AG225" t="s">
        <v>1913</v>
      </c>
      <c r="AH225" s="189"/>
      <c r="AI225" s="991"/>
      <c r="AJ225"/>
      <c r="AK225" s="1118" t="s">
        <v>1798</v>
      </c>
      <c r="AL225" t="s">
        <v>1807</v>
      </c>
      <c r="AM225" t="s">
        <v>1800</v>
      </c>
      <c r="AN225" t="s">
        <v>1913</v>
      </c>
      <c r="AO225"/>
      <c r="AP225" s="54"/>
      <c r="AQ225" s="54"/>
      <c r="AR225" s="54"/>
      <c r="AS225" s="54"/>
      <c r="AT225" s="54"/>
      <c r="AU225" s="54"/>
      <c r="AV225"/>
      <c r="BC225"/>
      <c r="BP225" s="189"/>
      <c r="BQ225" s="189"/>
      <c r="BR225" s="189"/>
      <c r="BS225" s="189"/>
      <c r="BT225" s="189"/>
      <c r="BU225" s="189"/>
      <c r="BV225" s="189"/>
      <c r="BW225" s="189"/>
      <c r="CM225" s="5">
        <v>0.14928121099999997</v>
      </c>
      <c r="CN225" s="5">
        <v>5.4982895546139992E-4</v>
      </c>
      <c r="CO225" s="5">
        <v>3.6078544044000005E-5</v>
      </c>
      <c r="CP225" s="5">
        <f>CM225+CN225*'Common input data'!$C$12+CO225*'Common input data'!$E$12</f>
        <v>0.17397603532146977</v>
      </c>
      <c r="CQ225" s="5">
        <f>'Common input data'!$F$19</f>
        <v>-9.1139048141381296E-2</v>
      </c>
      <c r="CR225" s="5">
        <v>0</v>
      </c>
      <c r="CS225" s="5"/>
      <c r="CT225" s="5">
        <f>SUM(CP225:CS225)</f>
        <v>8.2836987180088473E-2</v>
      </c>
      <c r="CU225" s="5">
        <f>'Common input data'!$B$105</f>
        <v>0.05</v>
      </c>
      <c r="CV225" s="5">
        <f>'Common input data'!$B$117+'Common input data'!$C$117</f>
        <v>0.23</v>
      </c>
      <c r="CW225" s="287"/>
      <c r="CX225" s="287"/>
    </row>
    <row r="226" spans="1:112" ht="45">
      <c r="A226" s="106"/>
      <c r="B226" s="106" t="s">
        <v>1914</v>
      </c>
      <c r="C226" s="435" t="s">
        <v>121</v>
      </c>
      <c r="D226" s="435">
        <v>0.43</v>
      </c>
      <c r="E226" s="797">
        <v>18791.7</v>
      </c>
      <c r="F226" s="797">
        <v>55.520931818181737</v>
      </c>
      <c r="G226" s="1136"/>
      <c r="H226" s="1137"/>
      <c r="P226" s="1136"/>
      <c r="Q226" s="797">
        <v>0</v>
      </c>
      <c r="R226" s="797">
        <v>25.62504545454539</v>
      </c>
      <c r="S226" s="435">
        <v>7.6415678880759896E-2</v>
      </c>
      <c r="T226" s="54">
        <v>14.639999999999997</v>
      </c>
      <c r="U226" s="266">
        <v>6.2166574853918297E-12</v>
      </c>
      <c r="V226" s="266">
        <v>1.5894570519760001E-12</v>
      </c>
      <c r="W226" s="266">
        <v>1.33278983729738E-11</v>
      </c>
      <c r="X226" s="189">
        <v>3.2344913345964E-12</v>
      </c>
      <c r="Y226" s="189">
        <v>3.8971536324818501E-10</v>
      </c>
      <c r="Z226" s="54">
        <v>1</v>
      </c>
      <c r="AA226" s="54">
        <f t="shared" si="38"/>
        <v>1</v>
      </c>
      <c r="AB226" s="54">
        <f t="shared" si="38"/>
        <v>1</v>
      </c>
      <c r="AC226" s="996">
        <f>AB226/(1-'Common input data'!$B$140)</f>
        <v>1.1934598400763814</v>
      </c>
      <c r="AD226" s="435">
        <f>AC226/(1-'Common input data'!$B$178)</f>
        <v>1.4734072099708411</v>
      </c>
      <c r="AE226" s="54" t="s">
        <v>1829</v>
      </c>
      <c r="AF226" s="63" t="s">
        <v>1830</v>
      </c>
      <c r="AG226" t="s">
        <v>1915</v>
      </c>
      <c r="AH226" s="189"/>
      <c r="AI226" s="991"/>
      <c r="AJ226"/>
      <c r="AK226" s="1118" t="s">
        <v>1798</v>
      </c>
      <c r="AL226" t="s">
        <v>1807</v>
      </c>
      <c r="AM226" t="s">
        <v>1800</v>
      </c>
      <c r="AN226" t="s">
        <v>1915</v>
      </c>
      <c r="AO226"/>
      <c r="AP226" s="54"/>
      <c r="AQ226" s="54"/>
      <c r="AR226" s="54"/>
      <c r="AS226" s="54"/>
      <c r="AT226" s="54"/>
      <c r="AU226" s="54"/>
      <c r="AV226"/>
      <c r="BC226"/>
      <c r="BP226" s="189"/>
      <c r="BQ226" s="189"/>
      <c r="BR226" s="189"/>
      <c r="BS226" s="189"/>
      <c r="BT226" s="189"/>
      <c r="BU226" s="189"/>
      <c r="BV226" s="189"/>
      <c r="BW226" s="189"/>
      <c r="CM226" s="5">
        <v>0.19358220599999998</v>
      </c>
      <c r="CN226" s="5">
        <v>5.2921808741110009E-4</v>
      </c>
      <c r="CO226" s="5">
        <v>1.22227683825E-4</v>
      </c>
      <c r="CP226" s="5">
        <f>CM226+CN226*'Common input data'!$C$12+CO226*'Common input data'!$E$12</f>
        <v>0.24123925204432467</v>
      </c>
      <c r="CQ226" s="5">
        <f>'Common input data'!$F$19</f>
        <v>-9.1139048141381296E-2</v>
      </c>
      <c r="CR226" s="5">
        <v>0</v>
      </c>
      <c r="CS226" s="5"/>
      <c r="CT226" s="5">
        <f>SUM(CP226:CS226)</f>
        <v>0.15010020390294337</v>
      </c>
      <c r="CU226" s="5">
        <f>'Common input data'!$B$105</f>
        <v>0.05</v>
      </c>
      <c r="CV226" s="5">
        <f>'Common input data'!$B$117+'Common input data'!$C$117</f>
        <v>0.23</v>
      </c>
      <c r="CW226" s="287"/>
      <c r="CX226" s="287"/>
    </row>
    <row r="227" spans="1:112" ht="45">
      <c r="A227" s="106"/>
      <c r="B227" s="106" t="s">
        <v>134</v>
      </c>
      <c r="C227" s="435" t="s">
        <v>121</v>
      </c>
      <c r="D227" s="435">
        <v>1.0000000000000009E-2</v>
      </c>
      <c r="E227" s="797">
        <v>14305.819999999998</v>
      </c>
      <c r="F227" s="797">
        <v>152.59541333333377</v>
      </c>
      <c r="G227" s="1136"/>
      <c r="H227" s="1137"/>
      <c r="P227" s="1136"/>
      <c r="Q227" s="797">
        <v>0</v>
      </c>
      <c r="R227" s="797">
        <v>38.148853333333378</v>
      </c>
      <c r="S227" s="435">
        <v>0.18786023078889899</v>
      </c>
      <c r="T227" s="54">
        <v>13.285338173333336</v>
      </c>
      <c r="U227" s="266">
        <v>4.9952374531772146E-12</v>
      </c>
      <c r="V227" s="266">
        <v>2.0856991936748801E-12</v>
      </c>
      <c r="W227" s="266">
        <v>8.6002715345998645E-12</v>
      </c>
      <c r="X227" s="266">
        <v>5.3102046366908505E-12</v>
      </c>
      <c r="Y227" s="266">
        <v>5.2998479601096507E-10</v>
      </c>
      <c r="Z227" s="54">
        <v>1</v>
      </c>
      <c r="AA227" s="54">
        <f t="shared" si="38"/>
        <v>1</v>
      </c>
      <c r="AB227" s="54">
        <f t="shared" si="38"/>
        <v>1</v>
      </c>
      <c r="AC227" s="996">
        <f>AB227/(1-'Common input data'!$I$140)</f>
        <v>1.372193863549042</v>
      </c>
      <c r="AD227" s="435">
        <f>AC227/(1-'Common input data'!$B$178)</f>
        <v>1.6940664982086937</v>
      </c>
      <c r="AE227" s="54" t="s">
        <v>1829</v>
      </c>
      <c r="AF227" s="63" t="s">
        <v>1830</v>
      </c>
      <c r="AG227" t="s">
        <v>1916</v>
      </c>
      <c r="AH227" s="189"/>
      <c r="AI227" s="991"/>
      <c r="AJ227"/>
      <c r="AK227" s="1118" t="s">
        <v>1798</v>
      </c>
      <c r="AL227" t="s">
        <v>1916</v>
      </c>
      <c r="AM227" t="s">
        <v>1800</v>
      </c>
      <c r="AN227" t="s">
        <v>1916</v>
      </c>
      <c r="AO227"/>
      <c r="AP227" s="54"/>
      <c r="AQ227" s="54"/>
      <c r="AR227" s="54"/>
      <c r="AS227" s="54"/>
      <c r="AT227" s="54"/>
      <c r="AU227" s="54"/>
      <c r="AV227"/>
      <c r="BC227"/>
      <c r="BP227" s="189"/>
      <c r="BQ227" s="189"/>
      <c r="BR227" s="189"/>
      <c r="BS227" s="189"/>
      <c r="BT227" s="189"/>
      <c r="BU227" s="189"/>
      <c r="BV227" s="189"/>
      <c r="BW227" s="189"/>
      <c r="CM227" s="5">
        <v>0.375541024</v>
      </c>
      <c r="CN227" s="5">
        <v>1.0421853576358E-3</v>
      </c>
      <c r="CO227" s="5">
        <v>2.8023282523299999E-4</v>
      </c>
      <c r="CP227" s="5">
        <f>CM227+CN227*'Common input data'!$C$12+CO227*'Common input data'!$E$12</f>
        <v>0.48018358994477561</v>
      </c>
      <c r="CQ227" s="5">
        <f>'Common input data'!$F$19</f>
        <v>-9.1139048141381296E-2</v>
      </c>
      <c r="CR227" s="5">
        <v>0</v>
      </c>
      <c r="CS227" s="5"/>
      <c r="CT227" s="5">
        <f>SUM(CP227:CS227)</f>
        <v>0.38904454180339432</v>
      </c>
      <c r="CU227" s="5">
        <f>'Common input data'!$B$105</f>
        <v>0.05</v>
      </c>
      <c r="CV227" s="5">
        <f>'Common input data'!$B$128+'Common input data'!$C$128</f>
        <v>0.43000000000000005</v>
      </c>
      <c r="CW227" s="287"/>
      <c r="CX227" s="287"/>
    </row>
    <row r="228" spans="1:112">
      <c r="A228" s="106" t="s">
        <v>1917</v>
      </c>
      <c r="B228" s="106" t="s">
        <v>120</v>
      </c>
      <c r="C228" s="435"/>
      <c r="D228" s="435"/>
      <c r="E228" s="797"/>
      <c r="F228" s="797"/>
      <c r="G228" s="1137"/>
      <c r="H228" s="1137"/>
      <c r="P228" s="1136"/>
      <c r="Q228" s="797"/>
      <c r="R228" s="797"/>
      <c r="S228" s="435"/>
      <c r="U228" s="266"/>
      <c r="V228" s="266"/>
      <c r="W228" s="266"/>
      <c r="X228" s="189"/>
      <c r="Y228" s="189"/>
      <c r="Z228" s="54"/>
      <c r="AA228" s="54"/>
      <c r="AB228" s="54"/>
      <c r="AC228" s="435"/>
      <c r="AD228" s="435"/>
      <c r="AE228" s="54"/>
      <c r="AF228" s="54"/>
      <c r="AG228" s="800"/>
      <c r="AH228" s="189"/>
      <c r="AI228" s="991"/>
      <c r="AJ228"/>
      <c r="AK228" s="1118"/>
      <c r="AL228"/>
      <c r="AO228"/>
      <c r="AP228" s="54"/>
      <c r="AQ228" s="54"/>
      <c r="AR228" s="54"/>
      <c r="AS228" s="54"/>
      <c r="AT228" s="54"/>
      <c r="AU228" s="54"/>
      <c r="AV228"/>
      <c r="BC228"/>
      <c r="BP228" s="189"/>
      <c r="BQ228" s="189"/>
      <c r="BR228" s="189"/>
      <c r="BS228" s="189"/>
      <c r="BT228" s="189"/>
      <c r="BU228" s="189"/>
      <c r="BV228" s="189"/>
      <c r="BW228" s="189"/>
      <c r="CM228" s="5"/>
      <c r="CN228" s="5"/>
      <c r="CO228" s="5"/>
      <c r="CP228" s="5"/>
      <c r="CQ228" s="5"/>
      <c r="CR228" s="5"/>
      <c r="CS228" s="5"/>
      <c r="CT228" s="5"/>
      <c r="CU228" s="5"/>
      <c r="CV228" s="5"/>
      <c r="CW228" s="287"/>
      <c r="CX228" s="287"/>
    </row>
    <row r="229" spans="1:112" ht="63">
      <c r="A229" s="106"/>
      <c r="B229" s="106" t="s">
        <v>122</v>
      </c>
      <c r="C229" s="435" t="s">
        <v>1918</v>
      </c>
      <c r="D229" s="435">
        <v>0.41</v>
      </c>
      <c r="E229" s="797">
        <v>3000000</v>
      </c>
      <c r="F229" s="797"/>
      <c r="G229" s="1137"/>
      <c r="H229" s="1137"/>
      <c r="P229" s="1136"/>
      <c r="Q229" s="797"/>
      <c r="R229" s="797"/>
      <c r="S229" s="435"/>
      <c r="U229" s="266">
        <v>4.9926191507892996E-13</v>
      </c>
      <c r="V229" s="266">
        <v>7.6196994155457501E-13</v>
      </c>
      <c r="W229" s="266">
        <v>6.9410319174027301E-14</v>
      </c>
      <c r="X229" s="266">
        <v>7.1402612381482693E-15</v>
      </c>
      <c r="Y229" s="266">
        <v>1.53428969970343E-12</v>
      </c>
      <c r="Z229" s="54">
        <v>1</v>
      </c>
      <c r="AA229" s="54">
        <f t="shared" ref="AA229:AB233" si="39">Z229</f>
        <v>1</v>
      </c>
      <c r="AB229" s="54">
        <f t="shared" si="39"/>
        <v>1</v>
      </c>
      <c r="AC229" s="996">
        <f>AB229/(1-'Common input data'!$B$143)</f>
        <v>1.0740042637969274</v>
      </c>
      <c r="AD229" s="435">
        <f>AC229/(1-'Common input data'!$B$177)</f>
        <v>1.1187544414551327</v>
      </c>
      <c r="AE229" t="s">
        <v>1802</v>
      </c>
      <c r="AF229" s="1124" t="s">
        <v>1919</v>
      </c>
      <c r="AG229"/>
      <c r="AH229" s="189"/>
      <c r="AI229" s="991"/>
      <c r="AJ229"/>
      <c r="AK229" s="1118" t="s">
        <v>1798</v>
      </c>
      <c r="AL229"/>
      <c r="AM229" t="s">
        <v>1800</v>
      </c>
      <c r="AN229" t="s">
        <v>1920</v>
      </c>
      <c r="AO229"/>
      <c r="AP229" s="54"/>
      <c r="AQ229" s="54"/>
      <c r="AR229" s="54"/>
      <c r="AS229" s="54"/>
      <c r="AT229" s="54"/>
      <c r="AU229" s="54"/>
      <c r="AV229"/>
      <c r="BC229"/>
      <c r="BP229" s="189"/>
      <c r="BQ229" s="189"/>
      <c r="BR229" s="189"/>
      <c r="BS229" s="189"/>
      <c r="BT229" s="189"/>
      <c r="BU229" s="189"/>
      <c r="BV229" s="189"/>
      <c r="BW229" s="189"/>
      <c r="CM229" s="5">
        <v>1.3633333333333333</v>
      </c>
      <c r="CN229" s="5">
        <v>0</v>
      </c>
      <c r="CO229" s="5">
        <v>0</v>
      </c>
      <c r="CP229" s="5">
        <f>CM229+CN229*'Common input data'!$C$12+CO229*'Common input data'!$E$12</f>
        <v>1.3633333333333333</v>
      </c>
      <c r="CQ229" s="5">
        <v>0</v>
      </c>
      <c r="CR229" s="5">
        <v>0</v>
      </c>
      <c r="CS229" s="5"/>
      <c r="CT229" s="5">
        <f>SUM(CP229:CS229)</f>
        <v>1.3633333333333333</v>
      </c>
      <c r="CU229" s="5">
        <v>0</v>
      </c>
      <c r="CV229" s="5">
        <f>'Common input data'!$C$115</f>
        <v>0.03</v>
      </c>
      <c r="CW229" s="287"/>
      <c r="CX229" s="287"/>
    </row>
    <row r="230" spans="1:112" ht="63">
      <c r="A230" s="106"/>
      <c r="B230" s="106" t="s">
        <v>176</v>
      </c>
      <c r="C230" s="435" t="s">
        <v>1918</v>
      </c>
      <c r="D230" s="435">
        <v>0.21535270252584743</v>
      </c>
      <c r="E230" s="797">
        <v>2000000</v>
      </c>
      <c r="F230" s="797"/>
      <c r="G230" s="1137"/>
      <c r="H230" s="1137"/>
      <c r="P230" s="1136"/>
      <c r="Q230" s="797"/>
      <c r="R230" s="797"/>
      <c r="S230" s="435"/>
      <c r="U230" s="993">
        <v>7.6128299319703802E-13</v>
      </c>
      <c r="V230" s="993">
        <v>9.9114588119145104E-13</v>
      </c>
      <c r="W230" s="993">
        <v>4.44587622408846E-13</v>
      </c>
      <c r="X230" s="993">
        <v>5.4963460178550003E-14</v>
      </c>
      <c r="Y230" s="993">
        <v>1.35691374688038E-11</v>
      </c>
      <c r="Z230" s="54">
        <v>1</v>
      </c>
      <c r="AA230" s="54">
        <f t="shared" si="39"/>
        <v>1</v>
      </c>
      <c r="AB230" s="54">
        <f t="shared" si="39"/>
        <v>1</v>
      </c>
      <c r="AC230" s="996">
        <f>AB230/(1-'Common input data'!$B$143)</f>
        <v>1.0740042637969274</v>
      </c>
      <c r="AD230" s="435">
        <f>AC230/(1-'Common input data'!$B$177)</f>
        <v>1.1187544414551327</v>
      </c>
      <c r="AE230" s="54" t="s">
        <v>1801</v>
      </c>
      <c r="AF230" s="1124" t="s">
        <v>1921</v>
      </c>
      <c r="AG230" s="800"/>
      <c r="AH230" s="189"/>
      <c r="AI230" s="991"/>
      <c r="AJ230"/>
      <c r="AK230" s="1118" t="s">
        <v>1798</v>
      </c>
      <c r="AL230"/>
      <c r="AM230" t="s">
        <v>1800</v>
      </c>
      <c r="AN230" t="s">
        <v>1920</v>
      </c>
      <c r="AO230"/>
      <c r="AP230" s="54"/>
      <c r="AQ230" s="54"/>
      <c r="AR230" s="54"/>
      <c r="AS230" s="54"/>
      <c r="AT230" s="54"/>
      <c r="AU230" s="54"/>
      <c r="AV230"/>
      <c r="BC230"/>
      <c r="BP230" s="189"/>
      <c r="BQ230" s="189"/>
      <c r="BR230" s="189"/>
      <c r="BS230" s="189"/>
      <c r="BT230" s="189"/>
      <c r="BU230" s="189"/>
      <c r="BV230" s="189"/>
      <c r="BW230" s="189"/>
      <c r="CM230" s="5">
        <v>1.3633333333333333</v>
      </c>
      <c r="CN230" s="5">
        <v>0</v>
      </c>
      <c r="CO230" s="5">
        <v>0</v>
      </c>
      <c r="CP230" s="5">
        <f>CM230+CN230*'Common input data'!$C$12+CO230*'Common input data'!$E$12</f>
        <v>1.3633333333333333</v>
      </c>
      <c r="CQ230" s="5">
        <v>0</v>
      </c>
      <c r="CR230" s="5">
        <v>0</v>
      </c>
      <c r="CS230" s="5"/>
      <c r="CT230" s="5">
        <f>SUM(CP230:CS230)</f>
        <v>1.3633333333333333</v>
      </c>
      <c r="CU230" s="5">
        <v>0</v>
      </c>
      <c r="CV230" s="5">
        <f>'Common input data'!$B$115+'Common input data'!$C$115</f>
        <v>0.08</v>
      </c>
      <c r="CW230" s="287"/>
      <c r="CX230" s="287"/>
    </row>
    <row r="231" spans="1:112" ht="63">
      <c r="A231" s="106"/>
      <c r="B231" s="106" t="s">
        <v>161</v>
      </c>
      <c r="C231" s="435" t="s">
        <v>1918</v>
      </c>
      <c r="D231" s="435">
        <v>0.13764864982768399</v>
      </c>
      <c r="E231" s="797">
        <v>2199999.9999999995</v>
      </c>
      <c r="F231" s="797"/>
      <c r="G231" s="1137"/>
      <c r="H231" s="1137"/>
      <c r="P231" s="1136"/>
      <c r="Q231" s="797"/>
      <c r="R231" s="797"/>
      <c r="S231" s="435"/>
      <c r="U231" s="266">
        <v>2.0321018994265801E-12</v>
      </c>
      <c r="V231" s="266">
        <v>1.25706113532964E-12</v>
      </c>
      <c r="W231" s="266">
        <v>2.7214600985099602E-12</v>
      </c>
      <c r="X231" s="189">
        <v>1.24426858277234E-12</v>
      </c>
      <c r="Y231" s="189">
        <v>1.0980413467666901E-10</v>
      </c>
      <c r="Z231" s="54">
        <v>1</v>
      </c>
      <c r="AA231" s="54">
        <f t="shared" si="39"/>
        <v>1</v>
      </c>
      <c r="AB231" s="54">
        <f t="shared" si="39"/>
        <v>1</v>
      </c>
      <c r="AC231" s="996">
        <f>AB231/(1-'Common input data'!$B$143)</f>
        <v>1.0740042637969274</v>
      </c>
      <c r="AD231" s="435">
        <f>AC231/(1-'Common input data'!$B$177)</f>
        <v>1.1187544414551327</v>
      </c>
      <c r="AE231" s="54" t="s">
        <v>1801</v>
      </c>
      <c r="AF231" s="1124" t="s">
        <v>1921</v>
      </c>
      <c r="AG231" s="800"/>
      <c r="AH231" s="189"/>
      <c r="AI231" s="991"/>
      <c r="AJ231"/>
      <c r="AK231" s="1118" t="s">
        <v>1798</v>
      </c>
      <c r="AL231"/>
      <c r="AM231" t="s">
        <v>1800</v>
      </c>
      <c r="AN231" t="s">
        <v>1920</v>
      </c>
      <c r="AO231"/>
      <c r="AP231" s="54"/>
      <c r="AQ231" s="54"/>
      <c r="AR231" s="54"/>
      <c r="AS231" s="54"/>
      <c r="AT231" s="54"/>
      <c r="AU231" s="54"/>
      <c r="AV231"/>
      <c r="BC231"/>
      <c r="BP231" s="189"/>
      <c r="BQ231" s="189"/>
      <c r="BR231" s="189"/>
      <c r="BS231" s="189"/>
      <c r="BT231" s="189"/>
      <c r="BU231" s="189"/>
      <c r="BV231" s="189"/>
      <c r="BW231" s="189"/>
      <c r="CM231" s="5">
        <v>1.3633333333333333</v>
      </c>
      <c r="CN231" s="5">
        <v>0</v>
      </c>
      <c r="CO231" s="5">
        <v>0</v>
      </c>
      <c r="CP231" s="5">
        <f>CM231+CN231*'Common input data'!$C$12+CO231*'Common input data'!$E$12</f>
        <v>1.3633333333333333</v>
      </c>
      <c r="CQ231" s="5">
        <v>0</v>
      </c>
      <c r="CR231" s="5">
        <v>0</v>
      </c>
      <c r="CS231" s="5"/>
      <c r="CT231" s="5">
        <f>SUM(CP231:CS231)</f>
        <v>1.3633333333333333</v>
      </c>
      <c r="CU231" s="5">
        <v>0</v>
      </c>
      <c r="CV231" s="5">
        <f>'Common input data'!$B$116+'Common input data'!$C$116</f>
        <v>0.13</v>
      </c>
      <c r="CW231" s="287"/>
      <c r="CX231" s="287"/>
    </row>
    <row r="232" spans="1:112" ht="63">
      <c r="A232" s="106"/>
      <c r="B232" s="106" t="s">
        <v>126</v>
      </c>
      <c r="C232" s="435" t="s">
        <v>1918</v>
      </c>
      <c r="D232" s="435">
        <v>0.11515333944073637</v>
      </c>
      <c r="E232" s="797">
        <v>2600000</v>
      </c>
      <c r="F232" s="797"/>
      <c r="G232" s="1137"/>
      <c r="H232" s="1137"/>
      <c r="P232" s="1136"/>
      <c r="Q232" s="797"/>
      <c r="R232" s="797"/>
      <c r="S232" s="435"/>
      <c r="U232" s="266">
        <v>1.58499831683658E-12</v>
      </c>
      <c r="V232" s="266">
        <v>1.00274734364104E-12</v>
      </c>
      <c r="W232" s="266">
        <v>8.25021177367055E-13</v>
      </c>
      <c r="X232" s="189">
        <v>1.74827713273418E-13</v>
      </c>
      <c r="Y232" s="189">
        <v>5.5312434421168498E-12</v>
      </c>
      <c r="Z232" s="54">
        <v>1</v>
      </c>
      <c r="AA232" s="54">
        <f t="shared" si="39"/>
        <v>1</v>
      </c>
      <c r="AB232" s="54">
        <f t="shared" si="39"/>
        <v>1</v>
      </c>
      <c r="AC232" s="996">
        <f>AB232/(1-'Common input data'!$B$143)</f>
        <v>1.0740042637969274</v>
      </c>
      <c r="AD232" s="435">
        <f>AC232/(1-'Common input data'!$B$177)</f>
        <v>1.1187544414551327</v>
      </c>
      <c r="AE232" s="54" t="s">
        <v>1801</v>
      </c>
      <c r="AF232" s="1124" t="s">
        <v>1921</v>
      </c>
      <c r="AG232" s="800"/>
      <c r="AH232" s="189"/>
      <c r="AI232" s="991"/>
      <c r="AJ232"/>
      <c r="AK232" s="1118" t="s">
        <v>1798</v>
      </c>
      <c r="AL232"/>
      <c r="AM232" t="s">
        <v>1800</v>
      </c>
      <c r="AN232" t="s">
        <v>1920</v>
      </c>
      <c r="AO232"/>
      <c r="AP232" s="54"/>
      <c r="AQ232" s="54"/>
      <c r="AR232" s="54"/>
      <c r="AS232" s="54"/>
      <c r="AT232" s="54"/>
      <c r="AU232" s="54"/>
      <c r="AV232"/>
      <c r="BC232"/>
      <c r="BP232" s="189"/>
      <c r="BQ232" s="189"/>
      <c r="BR232" s="189"/>
      <c r="BS232" s="189"/>
      <c r="BT232" s="189"/>
      <c r="BU232" s="189"/>
      <c r="BV232" s="189"/>
      <c r="BW232" s="189"/>
      <c r="CM232" s="5">
        <v>1.3633333333333333</v>
      </c>
      <c r="CN232" s="5">
        <v>0</v>
      </c>
      <c r="CO232" s="5">
        <v>0</v>
      </c>
      <c r="CP232" s="5">
        <f>CM232+CN232*'Common input data'!$C$12+CO232*'Common input data'!$E$12</f>
        <v>1.3633333333333333</v>
      </c>
      <c r="CQ232" s="5">
        <v>0</v>
      </c>
      <c r="CR232" s="5">
        <v>0</v>
      </c>
      <c r="CS232" s="5"/>
      <c r="CT232" s="5">
        <f>SUM(CP232:CS232)</f>
        <v>1.3633333333333333</v>
      </c>
      <c r="CU232" s="5">
        <v>0</v>
      </c>
      <c r="CV232" s="5">
        <f>'Common input data'!$B$116+'Common input data'!$C$116</f>
        <v>0.13</v>
      </c>
      <c r="CW232" s="287"/>
      <c r="CX232" s="287"/>
    </row>
    <row r="233" spans="1:112" ht="63">
      <c r="A233" s="106"/>
      <c r="B233" s="106" t="s">
        <v>134</v>
      </c>
      <c r="C233" s="435" t="s">
        <v>1918</v>
      </c>
      <c r="D233" s="435">
        <v>0.12184530820573225</v>
      </c>
      <c r="E233" s="797">
        <v>2391637.6306620208</v>
      </c>
      <c r="F233" s="797"/>
      <c r="G233" s="1137"/>
      <c r="H233" s="1137"/>
      <c r="P233" s="1136"/>
      <c r="Q233" s="797"/>
      <c r="R233" s="797"/>
      <c r="S233" s="435"/>
      <c r="U233" s="189">
        <v>1.2194112811347821E-12</v>
      </c>
      <c r="V233" s="189">
        <v>1.0032310754291765E-12</v>
      </c>
      <c r="W233" s="189">
        <v>1.0151198043649722E-12</v>
      </c>
      <c r="X233" s="189">
        <v>3.7030000436561405E-13</v>
      </c>
      <c r="Y233" s="189">
        <v>3.260970132182327E-11</v>
      </c>
      <c r="Z233" s="54">
        <v>1</v>
      </c>
      <c r="AA233" s="54">
        <f t="shared" si="39"/>
        <v>1</v>
      </c>
      <c r="AB233" s="54">
        <f t="shared" si="39"/>
        <v>1</v>
      </c>
      <c r="AC233" s="996">
        <f>AB233/(1-'Common input data'!$I$143)</f>
        <v>1.1306257108809157</v>
      </c>
      <c r="AD233" s="435">
        <f>AC233/(1-'Common input data'!$B$177)</f>
        <v>1.1777351155009539</v>
      </c>
      <c r="AE233" s="54" t="s">
        <v>1801</v>
      </c>
      <c r="AF233" s="1124" t="s">
        <v>1921</v>
      </c>
      <c r="AG233" s="800"/>
      <c r="AH233" s="189"/>
      <c r="AI233" s="991"/>
      <c r="AJ233"/>
      <c r="AK233" s="1118" t="s">
        <v>1798</v>
      </c>
      <c r="AL233"/>
      <c r="AM233" t="s">
        <v>1800</v>
      </c>
      <c r="AN233" t="s">
        <v>1920</v>
      </c>
      <c r="AO233"/>
      <c r="AP233" s="54"/>
      <c r="AQ233" s="54"/>
      <c r="AR233" s="54"/>
      <c r="AS233" s="54"/>
      <c r="AT233" s="54"/>
      <c r="AU233" s="54"/>
      <c r="AV233"/>
      <c r="BC233"/>
      <c r="BP233" s="189"/>
      <c r="BQ233" s="189"/>
      <c r="BR233" s="189"/>
      <c r="BS233" s="189"/>
      <c r="BT233" s="189"/>
      <c r="BU233" s="189"/>
      <c r="BV233" s="189"/>
      <c r="BW233" s="189"/>
      <c r="CM233" s="5">
        <v>1.3633333333333333</v>
      </c>
      <c r="CN233" s="5">
        <v>0</v>
      </c>
      <c r="CO233" s="5">
        <v>0</v>
      </c>
      <c r="CP233" s="5">
        <f>CM233+CN233*'Common input data'!$C$12+CO233*'Common input data'!$E$12</f>
        <v>1.3633333333333333</v>
      </c>
      <c r="CQ233" s="5">
        <v>0</v>
      </c>
      <c r="CR233" s="5">
        <v>0</v>
      </c>
      <c r="CS233" s="5"/>
      <c r="CT233" s="5">
        <f>SUM(CP233:CS233)</f>
        <v>1.3633333333333333</v>
      </c>
      <c r="CU233" s="5">
        <v>0</v>
      </c>
      <c r="CV233" s="5">
        <f>'Common input data'!$B$128+'Common input data'!$C$128</f>
        <v>0.43000000000000005</v>
      </c>
      <c r="CW233" s="287"/>
      <c r="CX233" s="287"/>
    </row>
    <row r="234" spans="1:112" ht="15.75">
      <c r="A234" s="1140" t="s">
        <v>1922</v>
      </c>
      <c r="G234" s="1136"/>
      <c r="H234" s="1136"/>
      <c r="P234" s="293"/>
    </row>
    <row r="235" spans="1:112" ht="15.75">
      <c r="A235" s="55" t="s">
        <v>1923</v>
      </c>
      <c r="B235" s="55" t="s">
        <v>122</v>
      </c>
      <c r="C235" s="435" t="s">
        <v>121</v>
      </c>
      <c r="D235" s="1142">
        <v>6.2085317164806503E-2</v>
      </c>
      <c r="E235" s="1144">
        <v>4811.4285714285697</v>
      </c>
      <c r="F235" s="1144">
        <v>90.306813186813159</v>
      </c>
      <c r="G235" s="1136"/>
      <c r="H235" s="1136"/>
      <c r="P235" s="293"/>
      <c r="R235" s="1144">
        <v>25.907692307692297</v>
      </c>
      <c r="S235" s="1143">
        <v>3.4163989856297566E-2</v>
      </c>
      <c r="U235" s="1145">
        <v>4.9926191507892996E-13</v>
      </c>
      <c r="V235" s="1145">
        <v>7.6196994155457501E-13</v>
      </c>
      <c r="W235" s="1145">
        <v>6.9410319174027301E-14</v>
      </c>
      <c r="X235" s="1145">
        <v>7.1402612381482693E-15</v>
      </c>
      <c r="Y235" s="1145">
        <v>1.53428969970343E-12</v>
      </c>
      <c r="Z235">
        <v>1</v>
      </c>
      <c r="AA235">
        <f t="shared" ref="AA235:AB239" si="40">Z235</f>
        <v>1</v>
      </c>
      <c r="AB235">
        <f t="shared" si="40"/>
        <v>1</v>
      </c>
      <c r="AC235" s="996">
        <f>AB235/(1-'Common input data'!$B$140)</f>
        <v>1.1934598400763814</v>
      </c>
      <c r="AD235" s="435">
        <f>AC235/(1-'Common input data'!$B$178)</f>
        <v>1.4734072099708411</v>
      </c>
      <c r="AN235" t="s">
        <v>1924</v>
      </c>
      <c r="CM235" s="5">
        <v>0.42900000000000005</v>
      </c>
      <c r="CN235" s="5">
        <v>0</v>
      </c>
      <c r="CO235" s="5">
        <v>0</v>
      </c>
      <c r="CP235" s="5">
        <f>CM235+CN235*'Common input data'!$C$12+CO235*'Common input data'!$E$12</f>
        <v>0.42900000000000005</v>
      </c>
      <c r="CQ235" s="5">
        <f>'Common input data'!$E$19</f>
        <v>3.9989486962957101E-2</v>
      </c>
      <c r="CR235" s="5">
        <v>0</v>
      </c>
      <c r="CS235" s="5">
        <v>0.25</v>
      </c>
      <c r="CT235" s="5">
        <f>SUM(CP235:CS235)</f>
        <v>0.71898948696295717</v>
      </c>
      <c r="CU235">
        <f>'Common input data'!$B$105</f>
        <v>0.05</v>
      </c>
      <c r="CV235" s="5">
        <f>'Common input data'!$C$115</f>
        <v>0.03</v>
      </c>
      <c r="CW235" s="287"/>
      <c r="CX235" s="287"/>
    </row>
    <row r="236" spans="1:112" ht="15.75">
      <c r="A236" s="55" t="s">
        <v>1925</v>
      </c>
      <c r="B236" s="55" t="s">
        <v>122</v>
      </c>
      <c r="C236" s="435" t="s">
        <v>121</v>
      </c>
      <c r="D236" s="1142">
        <v>6.2085317164806503E-2</v>
      </c>
      <c r="E236" s="1144">
        <v>6410.2564102564102</v>
      </c>
      <c r="F236" s="1144">
        <v>121.08262108262109</v>
      </c>
      <c r="G236" s="1136"/>
      <c r="H236" s="1136"/>
      <c r="P236" s="293"/>
      <c r="R236" s="1144">
        <v>21.36752136752137</v>
      </c>
      <c r="S236" s="1143">
        <v>2.3741690408357052E-2</v>
      </c>
      <c r="U236" s="1145">
        <v>4.9926191507892996E-13</v>
      </c>
      <c r="V236" s="1145">
        <v>7.6196994155457501E-13</v>
      </c>
      <c r="W236" s="1145">
        <v>6.9410319174027301E-14</v>
      </c>
      <c r="X236" s="1145">
        <v>7.1402612381482693E-15</v>
      </c>
      <c r="Y236" s="1145">
        <v>1.53428969970343E-12</v>
      </c>
      <c r="Z236">
        <v>1</v>
      </c>
      <c r="AA236">
        <f t="shared" si="40"/>
        <v>1</v>
      </c>
      <c r="AB236">
        <f t="shared" si="40"/>
        <v>1</v>
      </c>
      <c r="AC236" s="996">
        <f>AB236/(1-'Common input data'!$B$140)</f>
        <v>1.1934598400763814</v>
      </c>
      <c r="AD236" s="435">
        <f>AC236/(1-'Common input data'!$B$178)</f>
        <v>1.4734072099708411</v>
      </c>
      <c r="AN236" t="s">
        <v>1924</v>
      </c>
      <c r="CM236" s="5">
        <v>0.34500000000000003</v>
      </c>
      <c r="CN236" s="5">
        <v>0</v>
      </c>
      <c r="CO236" s="5">
        <v>0</v>
      </c>
      <c r="CP236" s="5">
        <f>CM236+CN236*'Common input data'!$C$12+CO236*'Common input data'!$E$12</f>
        <v>0.34500000000000003</v>
      </c>
      <c r="CQ236" s="5">
        <f>'Common input data'!$E$19</f>
        <v>3.9989486962957101E-2</v>
      </c>
      <c r="CR236" s="5">
        <v>0</v>
      </c>
      <c r="CS236" s="5">
        <v>0.25</v>
      </c>
      <c r="CT236" s="5">
        <f>SUM(CP236:CS236)</f>
        <v>0.63498948696295709</v>
      </c>
      <c r="CU236">
        <f>'Common input data'!$B$105</f>
        <v>0.05</v>
      </c>
      <c r="CV236" s="5">
        <f>'Common input data'!$C$115</f>
        <v>0.03</v>
      </c>
      <c r="CW236" s="287"/>
      <c r="CX236" s="287"/>
    </row>
    <row r="237" spans="1:112" ht="31.5">
      <c r="A237" s="1141" t="s">
        <v>1926</v>
      </c>
      <c r="B237" s="1141" t="s">
        <v>146</v>
      </c>
      <c r="C237" s="1141" t="s">
        <v>121</v>
      </c>
      <c r="D237" s="1142">
        <v>0.37936410893521699</v>
      </c>
      <c r="E237" s="1144">
        <v>7005.0933333333342</v>
      </c>
      <c r="G237" s="1136"/>
      <c r="H237" s="1136"/>
      <c r="P237" s="293"/>
      <c r="S237" s="1143"/>
      <c r="U237" s="1145">
        <v>7.3036461651938907E-12</v>
      </c>
      <c r="V237" s="1145">
        <v>1.0887230064277701E-11</v>
      </c>
      <c r="W237" s="1145">
        <v>2.1264499027956299E-11</v>
      </c>
      <c r="X237" s="1145">
        <v>9.7258997229393192E-12</v>
      </c>
      <c r="Y237" s="1145">
        <v>1.7994550917344801E-10</v>
      </c>
      <c r="Z237">
        <v>1</v>
      </c>
      <c r="AA237">
        <f t="shared" si="40"/>
        <v>1</v>
      </c>
      <c r="AB237">
        <f t="shared" si="40"/>
        <v>1</v>
      </c>
      <c r="AC237" s="996">
        <f>AB237/(1-'Common input data'!$H$140)</f>
        <v>1.372193863549042</v>
      </c>
      <c r="AD237" s="435">
        <f>AC237/(1-'Common input data'!$B$178)</f>
        <v>1.6940664982086937</v>
      </c>
    </row>
    <row r="238" spans="1:112" ht="31.5">
      <c r="A238" s="1141" t="s">
        <v>1926</v>
      </c>
      <c r="B238" s="1141" t="s">
        <v>145</v>
      </c>
      <c r="C238" s="1141" t="s">
        <v>121</v>
      </c>
      <c r="D238" s="1142">
        <v>8.9165900414728674E-2</v>
      </c>
      <c r="E238" s="1144">
        <v>2951.6133333333332</v>
      </c>
      <c r="G238" s="1136"/>
      <c r="H238" s="1136"/>
      <c r="P238" s="293"/>
      <c r="U238" s="1145">
        <v>5.2030903191013403E-12</v>
      </c>
      <c r="V238" s="1145">
        <v>4.9419949979659597E-12</v>
      </c>
      <c r="W238" s="1145">
        <v>8.6233946025098194E-12</v>
      </c>
      <c r="X238" s="1145">
        <v>1.2244562254471201E-12</v>
      </c>
      <c r="Y238" s="1145">
        <v>4.7831062823681203E-11</v>
      </c>
      <c r="Z238">
        <v>1</v>
      </c>
      <c r="AA238">
        <f t="shared" si="40"/>
        <v>1</v>
      </c>
      <c r="AB238">
        <f t="shared" si="40"/>
        <v>1</v>
      </c>
      <c r="AC238" s="996">
        <f>AB238/(1-'Common input data'!$E$140)</f>
        <v>1.2323770087745243</v>
      </c>
      <c r="AD238" s="435">
        <f>AC238/(1-'Common input data'!$B$178)</f>
        <v>1.5214530972524991</v>
      </c>
    </row>
    <row r="239" spans="1:112" ht="31.5">
      <c r="A239" s="1146" t="s">
        <v>1926</v>
      </c>
      <c r="B239" s="1146" t="s">
        <v>134</v>
      </c>
      <c r="C239" s="1146" t="s">
        <v>121</v>
      </c>
      <c r="D239" s="1147">
        <v>0.40729935632044112</v>
      </c>
      <c r="E239" s="1148">
        <v>3889.7866666666664</v>
      </c>
      <c r="G239" s="1136"/>
      <c r="H239" s="1136"/>
      <c r="P239" s="293"/>
      <c r="U239" s="1149">
        <v>4.3353327997913868E-12</v>
      </c>
      <c r="V239" s="1149">
        <v>5.5303983345994114E-12</v>
      </c>
      <c r="W239" s="1149">
        <v>9.9857679832133815E-12</v>
      </c>
      <c r="X239" s="1149">
        <v>3.6524987365415296E-12</v>
      </c>
      <c r="Y239" s="1149">
        <v>7.6436953898944219E-11</v>
      </c>
      <c r="Z239">
        <v>1</v>
      </c>
      <c r="AA239">
        <f t="shared" si="40"/>
        <v>1</v>
      </c>
      <c r="AB239">
        <f t="shared" si="40"/>
        <v>1</v>
      </c>
      <c r="AC239" s="996">
        <f>AB239/(1-'Common input data'!$I$140)</f>
        <v>1.372193863549042</v>
      </c>
      <c r="AD239" s="435">
        <f>AC239/(1-'Common input data'!$B$178)</f>
        <v>1.6940664982086937</v>
      </c>
    </row>
    <row r="240" spans="1:112">
      <c r="CM240" s="37"/>
      <c r="CN240" s="37"/>
      <c r="CO240" s="37"/>
      <c r="CP240" s="37"/>
      <c r="CQ240" s="37"/>
      <c r="CR240" s="37"/>
      <c r="CS240" s="37"/>
      <c r="CT240" s="37"/>
      <c r="CU240" s="37"/>
      <c r="CV240" s="37"/>
      <c r="CW240" s="37"/>
      <c r="CX240" s="37"/>
      <c r="CY240" s="37"/>
      <c r="CZ240" s="37"/>
      <c r="DA240" s="37"/>
      <c r="DB240" s="194"/>
      <c r="DC240" s="37"/>
      <c r="DD240" s="37"/>
      <c r="DE240" s="37"/>
      <c r="DF240" s="37"/>
      <c r="DG240" s="37"/>
      <c r="DH240" s="750"/>
    </row>
    <row r="241" spans="1:102">
      <c r="A241" t="s">
        <v>1927</v>
      </c>
      <c r="AO241"/>
      <c r="AP241"/>
    </row>
    <row r="242" spans="1:102">
      <c r="B242" t="s">
        <v>125</v>
      </c>
      <c r="C242"/>
      <c r="AN242" t="s">
        <v>1928</v>
      </c>
      <c r="CM242" s="5">
        <v>0.16749367018795</v>
      </c>
      <c r="CN242" s="5">
        <v>2.9850767609468338E-4</v>
      </c>
      <c r="CO242" s="5">
        <v>6.6890730607899998E-6</v>
      </c>
      <c r="CP242" s="5">
        <f>CM242+CN242*'Common input data'!$C$12+CO242*'Common input data'!$E$12</f>
        <v>0.17737949438810213</v>
      </c>
      <c r="CQ242" s="5">
        <v>0</v>
      </c>
      <c r="CR242" s="5">
        <v>0</v>
      </c>
      <c r="CT242" s="5">
        <f>SUM(CP242:CS242)</f>
        <v>0.17737949438810213</v>
      </c>
      <c r="CU242" s="5">
        <f>'Common input data'!$B$107</f>
        <v>0.05</v>
      </c>
      <c r="CV242" s="5">
        <f>'Common input data'!$B$119+'Common input data'!$C$119</f>
        <v>0.23000000000000004</v>
      </c>
      <c r="CW242" s="287"/>
      <c r="CX242" s="287"/>
    </row>
    <row r="243" spans="1:102">
      <c r="A243"/>
      <c r="B243" s="5"/>
      <c r="C243"/>
    </row>
    <row r="244" spans="1:102">
      <c r="A244" s="106"/>
      <c r="B244" s="106"/>
      <c r="C244" s="435"/>
      <c r="D244" s="435"/>
      <c r="E244" s="797"/>
      <c r="F244" s="797"/>
      <c r="G244" s="797"/>
      <c r="H244" s="797"/>
      <c r="J244" s="797"/>
      <c r="K244" s="797"/>
      <c r="L244" s="435"/>
      <c r="N244" s="266"/>
      <c r="O244" s="266"/>
      <c r="Z244" s="800"/>
      <c r="AA244" s="189"/>
      <c r="AB244" s="991"/>
      <c r="AG244"/>
      <c r="AM244" s="54"/>
      <c r="AN244" s="54"/>
      <c r="AO244"/>
      <c r="AU244" s="189"/>
      <c r="AV244"/>
      <c r="BP244" s="189"/>
    </row>
    <row r="245" spans="1:102">
      <c r="A245" s="106"/>
      <c r="B245" s="106"/>
      <c r="C245" s="435"/>
      <c r="D245" s="435"/>
      <c r="E245" s="797"/>
      <c r="F245" s="797"/>
      <c r="G245" s="797"/>
      <c r="H245" s="797"/>
      <c r="J245" s="797"/>
      <c r="K245" s="797"/>
      <c r="L245" s="435"/>
      <c r="N245" s="266"/>
      <c r="O245" s="266"/>
      <c r="Z245" s="800"/>
      <c r="AA245" s="189"/>
      <c r="AB245" s="991"/>
      <c r="AG245"/>
      <c r="AM245" s="54"/>
      <c r="AN245" s="54"/>
      <c r="AO245"/>
      <c r="AU245" s="189"/>
      <c r="AV245"/>
      <c r="BP245" s="189"/>
    </row>
    <row r="246" spans="1:102">
      <c r="A246" s="106"/>
      <c r="B246" s="106"/>
      <c r="C246" s="435"/>
      <c r="D246" s="435"/>
      <c r="E246" s="797"/>
      <c r="F246" s="797"/>
      <c r="G246" s="797"/>
      <c r="H246" s="797"/>
      <c r="J246" s="797"/>
      <c r="K246" s="797"/>
      <c r="L246" s="435"/>
      <c r="N246" s="266"/>
      <c r="O246" s="266"/>
      <c r="Z246" s="800"/>
      <c r="AA246" s="189"/>
      <c r="AB246" s="991"/>
      <c r="AG246"/>
      <c r="AM246" s="54"/>
      <c r="AN246" s="54"/>
      <c r="AO246"/>
      <c r="AU246" s="189"/>
      <c r="AV246"/>
      <c r="BP246" s="189"/>
    </row>
    <row r="247" spans="1:102">
      <c r="A247" s="106"/>
      <c r="B247" s="106"/>
      <c r="C247" s="435"/>
      <c r="D247" s="435"/>
      <c r="E247" s="797"/>
      <c r="F247" s="797"/>
      <c r="G247" s="797"/>
      <c r="H247" s="797"/>
      <c r="J247" s="797"/>
      <c r="K247" s="797"/>
      <c r="L247" s="435"/>
      <c r="N247" s="266"/>
      <c r="O247" s="266"/>
      <c r="Z247" s="800"/>
      <c r="AA247" s="189"/>
      <c r="AB247" s="991"/>
      <c r="AG247"/>
      <c r="AM247" s="54"/>
      <c r="AN247" s="54"/>
      <c r="AO247"/>
      <c r="AU247" s="189"/>
      <c r="AV247"/>
      <c r="BP247" s="189"/>
    </row>
    <row r="248" spans="1:102">
      <c r="A248" t="s">
        <v>1929</v>
      </c>
      <c r="B248" s="106"/>
      <c r="C248" s="435"/>
      <c r="D248" s="435"/>
      <c r="E248" s="797"/>
      <c r="F248" s="797"/>
      <c r="G248" s="797"/>
      <c r="H248" s="797"/>
    </row>
    <row r="249" spans="1:102" s="43" customFormat="1">
      <c r="A249" s="294" t="s">
        <v>1930</v>
      </c>
      <c r="B249" s="803"/>
      <c r="C249" s="435"/>
      <c r="D249" s="54"/>
      <c r="E249" s="96"/>
      <c r="F249" s="96"/>
      <c r="G249" s="96"/>
      <c r="H249" s="96"/>
      <c r="I249" s="96"/>
      <c r="J249" s="96"/>
      <c r="K249" s="96"/>
      <c r="L249" s="54"/>
      <c r="M249" s="189"/>
      <c r="N249" s="189"/>
      <c r="O249" s="189"/>
      <c r="AG249" s="54"/>
      <c r="AH249" s="54"/>
      <c r="AI249" s="54"/>
      <c r="AJ249" s="54"/>
      <c r="AK249" s="54"/>
      <c r="AL249" s="54"/>
      <c r="AO249" s="189"/>
      <c r="AP249" s="189"/>
      <c r="AQ249" s="189"/>
      <c r="AR249" s="189"/>
      <c r="AS249" s="189"/>
      <c r="AT249" s="189"/>
      <c r="AV249" s="189"/>
      <c r="AW249" s="189"/>
      <c r="AX249" s="189"/>
      <c r="AY249" s="189"/>
      <c r="AZ249" s="189"/>
      <c r="BA249" s="189"/>
      <c r="BB249" s="189"/>
      <c r="BC249" s="189"/>
      <c r="BD249" s="189"/>
      <c r="BE249" s="189"/>
      <c r="BF249" s="189"/>
      <c r="BG249" s="189"/>
      <c r="BH249" s="189"/>
      <c r="BI249" s="189"/>
      <c r="BJ249" s="189"/>
      <c r="BK249" s="189"/>
      <c r="BL249" s="189"/>
      <c r="BM249" s="189"/>
      <c r="BN249" s="189"/>
      <c r="BO249" s="189"/>
    </row>
    <row r="250" spans="1:102">
      <c r="A250"/>
      <c r="B250" s="106"/>
      <c r="C250" s="435"/>
    </row>
    <row r="251" spans="1:102">
      <c r="A251" t="s">
        <v>1931</v>
      </c>
      <c r="B251" s="106"/>
      <c r="C251" s="435"/>
    </row>
    <row r="252" spans="1:102">
      <c r="A252" s="190" t="s">
        <v>1932</v>
      </c>
      <c r="B252" s="106"/>
      <c r="C252" s="435"/>
    </row>
    <row r="253" spans="1:102">
      <c r="A253" s="294" t="s">
        <v>1933</v>
      </c>
      <c r="D253" s="804"/>
      <c r="E253" s="805"/>
      <c r="F253" s="805"/>
    </row>
    <row r="254" spans="1:102">
      <c r="A254" s="294" t="s">
        <v>1934</v>
      </c>
    </row>
    <row r="256" spans="1:102">
      <c r="A256" s="288" t="s">
        <v>1935</v>
      </c>
    </row>
    <row r="257" spans="1:35">
      <c r="A257" s="331" t="s">
        <v>1936</v>
      </c>
      <c r="B257" s="417">
        <v>0.01</v>
      </c>
      <c r="C257" s="806" t="s">
        <v>1937</v>
      </c>
      <c r="D257" s="291" t="s">
        <v>608</v>
      </c>
    </row>
    <row r="258" spans="1:35" ht="45">
      <c r="A258" s="140" t="s">
        <v>1938</v>
      </c>
      <c r="B258" s="55">
        <v>1.6E-2</v>
      </c>
      <c r="C258" s="807" t="s">
        <v>1937</v>
      </c>
      <c r="D258" s="54" t="s">
        <v>1812</v>
      </c>
    </row>
    <row r="259" spans="1:35" ht="60">
      <c r="A259" s="140" t="s">
        <v>1939</v>
      </c>
      <c r="B259" s="55">
        <v>6.0000000000000001E-3</v>
      </c>
      <c r="C259" s="807" t="s">
        <v>1937</v>
      </c>
      <c r="D259" s="291"/>
    </row>
    <row r="260" spans="1:35" ht="30">
      <c r="A260" s="140" t="s">
        <v>1940</v>
      </c>
      <c r="B260" s="55">
        <v>5.0000000000000001E-3</v>
      </c>
      <c r="C260" s="807" t="s">
        <v>1937</v>
      </c>
      <c r="D260" s="291"/>
    </row>
    <row r="261" spans="1:35">
      <c r="A261" s="71" t="s">
        <v>1941</v>
      </c>
      <c r="B261" s="1335">
        <v>0.1</v>
      </c>
      <c r="C261" s="1334" t="s">
        <v>1942</v>
      </c>
    </row>
    <row r="262" spans="1:35">
      <c r="A262" s="294" t="s">
        <v>1943</v>
      </c>
      <c r="AB262" s="106"/>
      <c r="AC262" s="106"/>
      <c r="AD262" s="106"/>
      <c r="AE262" s="106"/>
      <c r="AF262" s="106"/>
      <c r="AG262" s="435"/>
      <c r="AH262" s="435"/>
      <c r="AI262" s="435"/>
    </row>
    <row r="263" spans="1:35">
      <c r="A263" s="190" t="s">
        <v>1944</v>
      </c>
    </row>
    <row r="265" spans="1:35" ht="14.65" customHeight="1">
      <c r="A265" s="85" t="s">
        <v>1945</v>
      </c>
      <c r="B265" s="417"/>
      <c r="C265" s="808"/>
      <c r="D265" s="808"/>
      <c r="E265" s="809"/>
      <c r="F265" s="809"/>
      <c r="G265" s="809"/>
      <c r="H265" s="809"/>
      <c r="I265" s="809"/>
      <c r="J265" s="809"/>
      <c r="K265" s="809"/>
      <c r="L265" s="808"/>
      <c r="M265" s="283"/>
      <c r="N265" s="283"/>
      <c r="O265" s="283"/>
      <c r="P265" s="198"/>
      <c r="Q265" s="292" t="s">
        <v>608</v>
      </c>
      <c r="R265" s="189"/>
    </row>
    <row r="266" spans="1:35" ht="135">
      <c r="A266" s="68"/>
      <c r="B266" s="294" t="s">
        <v>1946</v>
      </c>
      <c r="C266" s="435" t="s">
        <v>1947</v>
      </c>
      <c r="D266" s="435" t="s">
        <v>1948</v>
      </c>
      <c r="E266" s="797" t="s">
        <v>1949</v>
      </c>
      <c r="F266" s="797" t="s">
        <v>1950</v>
      </c>
      <c r="G266" s="797" t="s">
        <v>1951</v>
      </c>
      <c r="H266" s="797" t="s">
        <v>1952</v>
      </c>
      <c r="I266" s="797" t="s">
        <v>1953</v>
      </c>
      <c r="J266" s="797" t="s">
        <v>1954</v>
      </c>
      <c r="K266" s="797" t="s">
        <v>1955</v>
      </c>
      <c r="L266" s="435" t="s">
        <v>1956</v>
      </c>
      <c r="M266" s="266" t="s">
        <v>1287</v>
      </c>
      <c r="N266" s="266" t="s">
        <v>1288</v>
      </c>
      <c r="O266" s="266" t="s">
        <v>1957</v>
      </c>
      <c r="P266" s="810" t="s">
        <v>1958</v>
      </c>
      <c r="Q266" s="268" t="s">
        <v>1959</v>
      </c>
      <c r="R266" s="268" t="s">
        <v>1960</v>
      </c>
      <c r="S266" s="268" t="s">
        <v>1961</v>
      </c>
      <c r="T266" s="804"/>
      <c r="U266" s="804"/>
      <c r="V266" s="435"/>
      <c r="W266" s="106"/>
      <c r="Y266" s="106"/>
      <c r="Z266" s="106"/>
    </row>
    <row r="267" spans="1:35">
      <c r="A267" s="68" t="s">
        <v>624</v>
      </c>
      <c r="B267" s="54">
        <v>1.1299999999999999E-2</v>
      </c>
      <c r="C267" s="435">
        <v>1.8800000000000001E-2</v>
      </c>
      <c r="D267" s="435"/>
      <c r="E267" s="797">
        <v>7.05934469200524E-3</v>
      </c>
      <c r="F267" s="1045">
        <v>1.1069444444444443</v>
      </c>
      <c r="G267" s="797"/>
      <c r="H267" s="797"/>
      <c r="M267" s="189">
        <v>20</v>
      </c>
      <c r="N267" s="266">
        <v>14</v>
      </c>
      <c r="O267" s="266">
        <f>1/((100-M267)/(100-N267))</f>
        <v>1.075</v>
      </c>
      <c r="P267" s="199"/>
      <c r="Q267" s="991" t="s">
        <v>1962</v>
      </c>
      <c r="R267" s="189" t="s">
        <v>1207</v>
      </c>
    </row>
    <row r="268" spans="1:35">
      <c r="A268" s="68" t="s">
        <v>1963</v>
      </c>
      <c r="B268" s="54">
        <v>1.1299999999999999E-2</v>
      </c>
      <c r="C268" s="435">
        <v>1.8800000000000001E-2</v>
      </c>
      <c r="D268" s="435"/>
      <c r="E268" s="797"/>
      <c r="F268" s="1045"/>
      <c r="G268" s="797"/>
      <c r="H268" s="797"/>
      <c r="M268" s="189">
        <v>21.5</v>
      </c>
      <c r="N268" s="266">
        <v>18</v>
      </c>
      <c r="O268" s="266">
        <f>1/((100-M268)/(100-N268))</f>
        <v>1.0445859872611465</v>
      </c>
      <c r="P268" s="199"/>
      <c r="Q268" s="991" t="s">
        <v>1964</v>
      </c>
      <c r="R268" s="189" t="s">
        <v>1836</v>
      </c>
    </row>
    <row r="269" spans="1:35">
      <c r="A269" s="68" t="s">
        <v>59</v>
      </c>
      <c r="B269" s="54">
        <v>1.61E-2</v>
      </c>
      <c r="C269" s="435">
        <v>0.17799999999999999</v>
      </c>
      <c r="D269" s="435"/>
      <c r="E269" s="797"/>
      <c r="F269" s="1045">
        <v>1.95E-2</v>
      </c>
      <c r="G269" s="797"/>
      <c r="H269" s="797"/>
      <c r="M269" s="189">
        <v>25</v>
      </c>
      <c r="N269" s="189">
        <v>14</v>
      </c>
      <c r="O269" s="266">
        <f>1/((100-M269)/(100-N269))</f>
        <v>1.1466666666666667</v>
      </c>
      <c r="P269" s="199"/>
      <c r="Q269" s="991" t="s">
        <v>1965</v>
      </c>
      <c r="R269" s="189" t="s">
        <v>1597</v>
      </c>
    </row>
    <row r="270" spans="1:35">
      <c r="A270" s="68" t="s">
        <v>1966</v>
      </c>
      <c r="B270" s="54">
        <v>1.7000000000000001E-2</v>
      </c>
      <c r="C270" s="435">
        <v>1.78E-2</v>
      </c>
      <c r="D270" s="435"/>
      <c r="E270" s="797"/>
      <c r="F270" s="797"/>
      <c r="G270" s="797">
        <v>5.0999999999999997E-2</v>
      </c>
      <c r="H270" s="797">
        <v>0.20399999999999999</v>
      </c>
      <c r="M270" s="189">
        <v>15</v>
      </c>
      <c r="N270" s="189">
        <v>9</v>
      </c>
      <c r="O270" s="266">
        <f>1/((100-M270)/(100-N270))</f>
        <v>1.0705882352941176</v>
      </c>
      <c r="P270" s="199"/>
      <c r="Q270" s="991" t="s">
        <v>1967</v>
      </c>
      <c r="R270" s="189" t="s">
        <v>1207</v>
      </c>
    </row>
    <row r="271" spans="1:35">
      <c r="A271" s="68" t="s">
        <v>91</v>
      </c>
      <c r="C271" s="435">
        <v>0.17899999999999999</v>
      </c>
      <c r="D271" s="435">
        <v>1.288</v>
      </c>
      <c r="E271" s="797"/>
      <c r="F271" s="1045"/>
      <c r="G271" s="797"/>
      <c r="H271" s="797"/>
      <c r="M271" s="189">
        <v>50</v>
      </c>
      <c r="N271" s="189">
        <f>AVERAGE(8,13)</f>
        <v>10.5</v>
      </c>
      <c r="O271" s="266">
        <f>1/((100-M271)/(100-N271))</f>
        <v>1.79</v>
      </c>
      <c r="P271" s="199">
        <f>1/0.84</f>
        <v>1.1904761904761905</v>
      </c>
      <c r="Q271" s="991" t="s">
        <v>1968</v>
      </c>
      <c r="R271" s="189" t="s">
        <v>1969</v>
      </c>
      <c r="S271" s="54" t="s">
        <v>1970</v>
      </c>
    </row>
    <row r="272" spans="1:35">
      <c r="A272" s="68" t="s">
        <v>179</v>
      </c>
      <c r="B272" s="54"/>
      <c r="C272" s="435"/>
      <c r="D272" s="435"/>
      <c r="E272" s="797"/>
      <c r="F272" s="797"/>
      <c r="G272" s="797">
        <v>5.0999999999999997E-2</v>
      </c>
      <c r="H272" s="797">
        <v>0.20399999999999999</v>
      </c>
      <c r="O272" s="266"/>
      <c r="P272" s="199"/>
      <c r="Q272" s="991" t="s">
        <v>1971</v>
      </c>
      <c r="R272" s="189"/>
    </row>
    <row r="273" spans="1:18">
      <c r="A273" s="68" t="s">
        <v>671</v>
      </c>
      <c r="B273" s="54"/>
      <c r="C273" s="435"/>
      <c r="D273" s="435"/>
      <c r="E273" s="797"/>
      <c r="F273" s="797"/>
      <c r="G273" s="797"/>
      <c r="H273" s="797"/>
      <c r="I273" s="96">
        <v>8.5999999999999993E-2</v>
      </c>
      <c r="J273" s="96">
        <v>0.14280000000000001</v>
      </c>
      <c r="K273" s="96">
        <v>1.32E-2</v>
      </c>
      <c r="L273" s="54">
        <v>4.4000000000000003E-3</v>
      </c>
      <c r="O273" s="266">
        <v>6.5</v>
      </c>
      <c r="P273" s="199"/>
      <c r="Q273" s="991" t="s">
        <v>1055</v>
      </c>
      <c r="R273" s="189" t="s">
        <v>1972</v>
      </c>
    </row>
    <row r="274" spans="1:18">
      <c r="A274" s="68" t="s">
        <v>136</v>
      </c>
      <c r="B274" s="54"/>
      <c r="C274" s="435"/>
      <c r="D274" s="435"/>
      <c r="E274" s="797"/>
      <c r="F274" s="797"/>
      <c r="G274" s="797"/>
      <c r="H274" s="797"/>
      <c r="M274" s="189">
        <v>60</v>
      </c>
      <c r="N274" s="189">
        <v>7.5</v>
      </c>
      <c r="O274" s="266">
        <f>1/((100-M274)/(100-N274))</f>
        <v>2.3125</v>
      </c>
      <c r="P274" s="199"/>
      <c r="Q274" s="991"/>
      <c r="R274" s="189" t="s">
        <v>1973</v>
      </c>
    </row>
    <row r="275" spans="1:18">
      <c r="A275" s="68" t="s">
        <v>197</v>
      </c>
      <c r="B275" s="54"/>
      <c r="C275" s="435"/>
      <c r="D275" s="435"/>
      <c r="E275" s="797"/>
      <c r="F275" s="797"/>
      <c r="G275" s="797"/>
      <c r="H275" s="797"/>
      <c r="O275" s="266"/>
      <c r="P275" s="199">
        <f>1/0.725</f>
        <v>1.3793103448275863</v>
      </c>
      <c r="Q275" s="37" t="s">
        <v>1974</v>
      </c>
      <c r="R275" s="189"/>
    </row>
    <row r="276" spans="1:18" ht="15.75">
      <c r="A276" s="71" t="s">
        <v>196</v>
      </c>
      <c r="B276" s="56"/>
      <c r="C276" s="81"/>
      <c r="D276" s="81"/>
      <c r="E276" s="304"/>
      <c r="F276" s="304"/>
      <c r="G276" s="304"/>
      <c r="H276" s="1046"/>
      <c r="I276" s="1047"/>
      <c r="J276" s="304"/>
      <c r="K276" s="304"/>
      <c r="L276" s="81"/>
      <c r="M276" s="210"/>
      <c r="N276" s="210"/>
      <c r="O276" s="210"/>
      <c r="P276" s="264">
        <f>1/0.45</f>
        <v>2.2222222222222223</v>
      </c>
      <c r="Q276" s="37" t="s">
        <v>1975</v>
      </c>
    </row>
    <row r="277" spans="1:18" ht="15.75">
      <c r="H277" s="299"/>
      <c r="I277" s="37"/>
      <c r="Q277" s="37"/>
    </row>
    <row r="278" spans="1:18" ht="15.75">
      <c r="A278" s="175" t="s">
        <v>1976</v>
      </c>
      <c r="B278" s="150"/>
      <c r="C278" s="150"/>
      <c r="H278" s="299"/>
      <c r="I278" s="37"/>
      <c r="Q278" s="37"/>
    </row>
    <row r="279" spans="1:18" ht="15.75">
      <c r="A279" s="1199" t="s">
        <v>1977</v>
      </c>
      <c r="B279" s="1198">
        <v>0.311</v>
      </c>
      <c r="C279" s="23" t="s">
        <v>608</v>
      </c>
      <c r="H279" s="299"/>
      <c r="I279" s="37"/>
      <c r="Q279" s="37"/>
    </row>
    <row r="280" spans="1:18" ht="15.75">
      <c r="A280" s="545" t="s">
        <v>1978</v>
      </c>
      <c r="B280" s="620">
        <v>1.264</v>
      </c>
      <c r="C280" s="150" t="s">
        <v>1979</v>
      </c>
      <c r="H280" s="299"/>
      <c r="I280" s="37"/>
      <c r="Q280" s="37"/>
    </row>
    <row r="281" spans="1:18" ht="15.75">
      <c r="A281" s="545" t="s">
        <v>1980</v>
      </c>
      <c r="B281" s="620">
        <v>0.22900000000000001</v>
      </c>
      <c r="C281" s="150"/>
      <c r="H281" s="299"/>
      <c r="I281" s="37"/>
      <c r="Q281" s="37"/>
    </row>
    <row r="282" spans="1:18" ht="15.75">
      <c r="A282" s="545" t="s">
        <v>1981</v>
      </c>
      <c r="B282" s="620">
        <v>0.193</v>
      </c>
      <c r="C282" s="150"/>
      <c r="H282" s="299"/>
      <c r="I282" s="37"/>
      <c r="Q282" s="37"/>
    </row>
    <row r="283" spans="1:18" ht="15.75">
      <c r="A283" s="1068" t="s">
        <v>1982</v>
      </c>
      <c r="B283" s="561">
        <v>0.66</v>
      </c>
      <c r="C283" s="150"/>
      <c r="H283" s="299"/>
      <c r="I283" s="37"/>
      <c r="Q283" s="37"/>
    </row>
    <row r="284" spans="1:18" ht="15.75">
      <c r="H284" s="299"/>
      <c r="I284" s="37"/>
      <c r="Q284" s="37"/>
    </row>
    <row r="285" spans="1:18">
      <c r="A285" s="1051" t="s">
        <v>1983</v>
      </c>
      <c r="B285" s="417" t="s">
        <v>1984</v>
      </c>
      <c r="C285" s="808" t="s">
        <v>1985</v>
      </c>
      <c r="D285" s="808" t="s">
        <v>1986</v>
      </c>
      <c r="E285" s="809" t="s">
        <v>1987</v>
      </c>
      <c r="F285" s="809" t="s">
        <v>1988</v>
      </c>
      <c r="G285" s="1050" t="s">
        <v>1989</v>
      </c>
      <c r="H285" s="999" t="s">
        <v>1990</v>
      </c>
      <c r="I285" s="291" t="s">
        <v>608</v>
      </c>
      <c r="P285" s="811"/>
    </row>
    <row r="286" spans="1:18">
      <c r="A286" s="71" t="s">
        <v>1991</v>
      </c>
      <c r="B286" s="1049">
        <f>1/0.4</f>
        <v>2.5</v>
      </c>
      <c r="C286" s="81">
        <f>1/0.2</f>
        <v>5</v>
      </c>
      <c r="D286" s="81">
        <v>2.8</v>
      </c>
      <c r="E286" s="304">
        <v>20</v>
      </c>
      <c r="F286" s="304">
        <v>2</v>
      </c>
      <c r="G286" s="1047">
        <v>2</v>
      </c>
      <c r="H286" s="1003">
        <v>2.5</v>
      </c>
      <c r="I286" s="54" t="s">
        <v>1992</v>
      </c>
      <c r="L286" s="96"/>
    </row>
    <row r="287" spans="1:18" ht="15.75">
      <c r="A287" s="294"/>
      <c r="H287" s="298"/>
      <c r="I287" s="37"/>
      <c r="L287" s="96"/>
    </row>
    <row r="288" spans="1:18" ht="15.75">
      <c r="H288" s="298"/>
      <c r="I288" s="37"/>
    </row>
    <row r="289" spans="1:24" ht="15.75">
      <c r="A289" s="1052" t="s">
        <v>1993</v>
      </c>
      <c r="B289" s="417" t="s">
        <v>136</v>
      </c>
      <c r="C289" s="1053" t="s">
        <v>91</v>
      </c>
      <c r="D289" s="291" t="s">
        <v>608</v>
      </c>
      <c r="H289" s="298"/>
      <c r="I289" s="37"/>
    </row>
    <row r="290" spans="1:24">
      <c r="A290" s="71" t="s">
        <v>1994</v>
      </c>
      <c r="B290" s="56">
        <v>0.2</v>
      </c>
      <c r="C290" s="1054">
        <v>0.1</v>
      </c>
      <c r="D290" s="54" t="s">
        <v>1995</v>
      </c>
    </row>
    <row r="291" spans="1:24">
      <c r="C291" s="296"/>
    </row>
    <row r="293" spans="1:24">
      <c r="A293" s="288" t="s">
        <v>1996</v>
      </c>
      <c r="N293" s="268"/>
      <c r="Q293" s="292" t="s">
        <v>608</v>
      </c>
      <c r="R293" s="291"/>
      <c r="S293" s="291"/>
      <c r="T293" s="291"/>
    </row>
    <row r="294" spans="1:24" ht="105">
      <c r="A294" s="331"/>
      <c r="B294" s="146" t="s">
        <v>1997</v>
      </c>
      <c r="C294" s="812" t="s">
        <v>1998</v>
      </c>
      <c r="D294" s="812" t="s">
        <v>1999</v>
      </c>
      <c r="E294" s="813" t="s">
        <v>2000</v>
      </c>
      <c r="F294" s="813" t="s">
        <v>2001</v>
      </c>
      <c r="G294" s="813" t="s">
        <v>2002</v>
      </c>
      <c r="H294" s="813" t="s">
        <v>2003</v>
      </c>
      <c r="I294" s="813" t="s">
        <v>2004</v>
      </c>
      <c r="J294" s="813" t="s">
        <v>2005</v>
      </c>
      <c r="K294" s="813" t="s">
        <v>2006</v>
      </c>
      <c r="L294" s="812" t="s">
        <v>2007</v>
      </c>
      <c r="M294" s="777" t="s">
        <v>2008</v>
      </c>
      <c r="N294" s="777" t="s">
        <v>2009</v>
      </c>
      <c r="O294" s="777" t="s">
        <v>2010</v>
      </c>
      <c r="P294" s="781" t="s">
        <v>2011</v>
      </c>
      <c r="Q294" s="268" t="s">
        <v>2012</v>
      </c>
      <c r="R294" s="804"/>
      <c r="S294" s="804"/>
      <c r="T294" s="804"/>
      <c r="U294" s="804" t="s">
        <v>2008</v>
      </c>
      <c r="V294" s="825"/>
      <c r="W294" s="814"/>
    </row>
    <row r="295" spans="1:24">
      <c r="A295" s="140" t="s">
        <v>27</v>
      </c>
      <c r="B295" s="106" t="s">
        <v>122</v>
      </c>
      <c r="C295" s="54">
        <f>11.088*1000*1000</f>
        <v>11088000</v>
      </c>
      <c r="D295" s="54">
        <v>0.54077451584303193</v>
      </c>
      <c r="E295" s="54">
        <v>2.0879236834276064E-2</v>
      </c>
      <c r="F295" s="54">
        <v>9.7318313361661572E-3</v>
      </c>
      <c r="G295" s="54">
        <v>0.19112858096094473</v>
      </c>
      <c r="H295" s="54">
        <v>2.6208933511616767E-2</v>
      </c>
      <c r="I295" s="54">
        <v>0.14479761236543065</v>
      </c>
      <c r="J295" s="54">
        <v>5.7847139073304063E-2</v>
      </c>
      <c r="K295" s="96">
        <v>8.6321500752295326E-3</v>
      </c>
      <c r="L295" s="54">
        <v>0.98033333333333328</v>
      </c>
      <c r="M295" s="189">
        <v>0.51</v>
      </c>
      <c r="N295" s="189">
        <f>C295*(D295*'Common input data'!E66+E295*'Common input data'!F66+F295*'Common input data'!G66+G295*'Common input data'!I66+H295*'Common input data'!B80/3.6+I295*'Common input data'!C66+J295*'Common input data'!B66+K295*'Common input data'!D66)</f>
        <v>228790.68868654472</v>
      </c>
      <c r="O295" s="189">
        <f>C295*(D295*'Common input data'!E67+E295*'Common input data'!F67+F295*'Common input data'!G67+G295*'Common input data'!I67+I295*'Common input data'!C67+J295*'Common input data'!B67+K295*'Common input data'!D67)</f>
        <v>506.34623333907132</v>
      </c>
      <c r="P295" s="199">
        <f>C295*(D295*'Common input data'!E68+E295*'Common input data'!F68+F295*'Common input data'!G68+G295*'Common input data'!I68+I295*'Common input data'!C68+J295*'Common input data'!B68+K295*'Common input data'!D68)</f>
        <v>11.488015722047765</v>
      </c>
      <c r="Q295" s="189" t="s">
        <v>2013</v>
      </c>
      <c r="U295" s="54" t="s">
        <v>2014</v>
      </c>
      <c r="W295" s="815"/>
    </row>
    <row r="296" spans="1:24">
      <c r="A296" s="140" t="s">
        <v>27</v>
      </c>
      <c r="B296" s="106" t="s">
        <v>148</v>
      </c>
      <c r="C296" s="54">
        <f>11.0114285714286*1000*1000</f>
        <v>11011428.571428601</v>
      </c>
      <c r="E296" s="54"/>
      <c r="F296" s="54">
        <v>4.0857142857142863E-2</v>
      </c>
      <c r="G296" s="54"/>
      <c r="H296" s="54"/>
      <c r="I296" s="54">
        <v>0.95914285714285719</v>
      </c>
      <c r="J296" s="54"/>
      <c r="M296" s="189">
        <v>1</v>
      </c>
      <c r="N296" s="189">
        <f>C296*(D296*'Common input data'!E66+E296*'Common input data'!F66+F296*'Common input data'!G66+G296*'Common input data'!I66+H296*'Common input data'!C80/3.6+I296*'Common input data'!C66+J296*'Common input data'!B66+K296*'Common input data'!D66)</f>
        <v>656018.52028571616</v>
      </c>
      <c r="O296" s="189">
        <f>C296*(D296*'Common input data'!E67+E296*'Common input data'!F67+F296*'Common input data'!G67+G296*'Common input data'!I67+I296*'Common input data'!C67+J296*'Common input data'!B67+K296*'Common input data'!D67)</f>
        <v>2961.8106930884437</v>
      </c>
      <c r="P296" s="199">
        <f>C296*(D296*'Common input data'!E68+E296*'Common input data'!F68+F296*'Common input data'!G68+G296*'Common input data'!I68+I296*'Common input data'!C68+J296*'Common input data'!B68+K296*'Common input data'!D68)</f>
        <v>23.029873259864004</v>
      </c>
      <c r="Q296" s="189" t="s">
        <v>2015</v>
      </c>
      <c r="U296" s="54" t="s">
        <v>2016</v>
      </c>
      <c r="V296" s="826"/>
      <c r="W296" s="815"/>
    </row>
    <row r="297" spans="1:24">
      <c r="A297" s="140" t="s">
        <v>34</v>
      </c>
      <c r="B297" s="106" t="s">
        <v>122</v>
      </c>
      <c r="C297" s="54">
        <f>7.572*1000*1000</f>
        <v>7572000</v>
      </c>
      <c r="D297" s="54">
        <v>0.52548278919072422</v>
      </c>
      <c r="E297" s="54">
        <v>4.4189490651683851E-2</v>
      </c>
      <c r="F297" s="54">
        <v>2.0477411486866579E-2</v>
      </c>
      <c r="G297" s="54">
        <v>3.1283190381301125E-2</v>
      </c>
      <c r="H297" s="54">
        <v>4.8215099805738494E-2</v>
      </c>
      <c r="I297" s="54">
        <v>0.25298014744197606</v>
      </c>
      <c r="J297" s="54">
        <v>5.8675736764531895E-2</v>
      </c>
      <c r="K297" s="96">
        <v>1.8696134277177697E-2</v>
      </c>
      <c r="L297" s="54">
        <v>0.89066666666666672</v>
      </c>
      <c r="M297" s="189">
        <v>0.51</v>
      </c>
      <c r="N297" s="189">
        <f>C297*(D297*'Common input data'!E66+E297*'Common input data'!F66+F297*'Common input data'!G66+G297*'Common input data'!I66+H297*'Common input data'!B80/3.6+I297*'Common input data'!C66+J297*'Common input data'!B66+K297*'Common input data'!D66)</f>
        <v>188006.3259951419</v>
      </c>
      <c r="O297" s="189">
        <f>C297*(D297*'Common input data'!E67+E297*'Common input data'!F67+F297*'Common input data'!G67+G297*'Common input data'!I67+I297*'Common input data'!C67+J297*'Common input data'!B67+K297*'Common input data'!D67)</f>
        <v>590.73751568898786</v>
      </c>
      <c r="P297" s="199">
        <f>C297*(D297*'Common input data'!E68+E297*'Common input data'!F68+F297*'Common input data'!G68+G297*'Common input data'!I68+I297*'Common input data'!C68+J297*'Common input data'!B68+K297*'Common input data'!D68)</f>
        <v>11.245600396175456</v>
      </c>
      <c r="Q297" s="189" t="s">
        <v>2013</v>
      </c>
      <c r="U297" s="54" t="s">
        <v>2014</v>
      </c>
      <c r="V297" s="825"/>
    </row>
    <row r="298" spans="1:24">
      <c r="A298" s="140" t="s">
        <v>34</v>
      </c>
      <c r="B298" s="106" t="s">
        <v>148</v>
      </c>
      <c r="C298" s="54">
        <f>11.0114285714286*1000*1000</f>
        <v>11011428.571428601</v>
      </c>
      <c r="E298" s="54"/>
      <c r="F298" s="54">
        <v>4.0857142857142863E-2</v>
      </c>
      <c r="G298" s="54"/>
      <c r="H298" s="54"/>
      <c r="I298" s="54">
        <v>0.95914285714285719</v>
      </c>
      <c r="J298" s="54"/>
      <c r="M298" s="189">
        <v>1</v>
      </c>
      <c r="N298" s="189">
        <f>C298*(D298*'Common input data'!E66+E298*'Common input data'!F66+F298*'Common input data'!G66+G298*'Common input data'!I66+H298*'Common input data'!C80/3.6+I298*'Common input data'!C66+J298*'Common input data'!B66+K298*'Common input data'!D66)</f>
        <v>656018.52028571616</v>
      </c>
      <c r="O298" s="189">
        <f>C298*(D298*'Common input data'!E67+E298*'Common input data'!F67+F298*'Common input data'!G67+G298*'Common input data'!I67+I298*'Common input data'!C67+J298*'Common input data'!B67+K298*'Common input data'!D67)</f>
        <v>2961.8106930884437</v>
      </c>
      <c r="P298" s="199">
        <f>C298*(D298*'Common input data'!E68+E298*'Common input data'!F68+F298*'Common input data'!G68+G298*'Common input data'!I68+I298*'Common input data'!C68+J298*'Common input data'!B68+K298*'Common input data'!D68)</f>
        <v>23.029873259864004</v>
      </c>
      <c r="Q298" s="189" t="s">
        <v>2015</v>
      </c>
      <c r="U298" s="54" t="s">
        <v>2016</v>
      </c>
      <c r="V298" s="826"/>
      <c r="W298" s="815"/>
      <c r="X298" s="815"/>
    </row>
    <row r="299" spans="1:24">
      <c r="A299" s="140" t="s">
        <v>41</v>
      </c>
      <c r="B299" s="106" t="s">
        <v>148</v>
      </c>
      <c r="C299" s="54">
        <f>11.0114285714286*1000*1000</f>
        <v>11011428.571428601</v>
      </c>
      <c r="E299" s="54"/>
      <c r="F299" s="54">
        <v>4.0857142857142863E-2</v>
      </c>
      <c r="G299" s="54"/>
      <c r="H299" s="54"/>
      <c r="I299" s="54">
        <v>0.95914285714285719</v>
      </c>
      <c r="J299" s="54"/>
      <c r="M299" s="189">
        <v>1</v>
      </c>
      <c r="N299" s="189">
        <f>C299*(D299*'Common input data'!E66+E299*'Common input data'!F66+F299*'Common input data'!G66+G299*'Common input data'!I66+H299*'Common input data'!C80/3.6+I299*'Common input data'!C66+J299*'Common input data'!B66+K299*'Common input data'!D66)</f>
        <v>656018.52028571616</v>
      </c>
      <c r="O299" s="189">
        <f>C299*(D299*'Common input data'!E67+E299*'Common input data'!F67+F299*'Common input data'!G67+G299*'Common input data'!I67+I299*'Common input data'!C67+J299*'Common input data'!B67+K299*'Common input data'!D67)</f>
        <v>2961.8106930884437</v>
      </c>
      <c r="P299" s="199">
        <f>C299*(D299*'Common input data'!E68+E299*'Common input data'!F68+F299*'Common input data'!G68+G299*'Common input data'!I68+I299*'Common input data'!C68+J299*'Common input data'!B68+K299*'Common input data'!D68)</f>
        <v>23.029873259864004</v>
      </c>
      <c r="Q299" s="189" t="s">
        <v>2015</v>
      </c>
      <c r="U299" s="54" t="s">
        <v>2016</v>
      </c>
    </row>
    <row r="300" spans="1:24">
      <c r="A300" s="140" t="s">
        <v>2017</v>
      </c>
      <c r="B300" s="106" t="s">
        <v>122</v>
      </c>
      <c r="C300" s="54">
        <f>6.876*1000*1000</f>
        <v>6876000</v>
      </c>
      <c r="D300" s="54">
        <v>0.37324596933867976</v>
      </c>
      <c r="E300" s="54">
        <v>8.1039719546034408E-2</v>
      </c>
      <c r="F300" s="54">
        <v>3.175080068864114E-2</v>
      </c>
      <c r="G300" s="54">
        <v>7.0877616016641248E-2</v>
      </c>
      <c r="H300" s="54">
        <v>0.14864970326073232</v>
      </c>
      <c r="I300" s="54">
        <v>0.12809096306571857</v>
      </c>
      <c r="J300" s="54">
        <v>0.15058459343458164</v>
      </c>
      <c r="K300" s="96">
        <v>1.5760634648970887E-2</v>
      </c>
      <c r="L300" s="54">
        <v>0.88666666666666671</v>
      </c>
      <c r="M300" s="189">
        <v>0.51</v>
      </c>
      <c r="N300" s="189">
        <f>C300*(D300*'Common input data'!E66+E300*'Common input data'!F66+F300*'Common input data'!G66+G300*'Common input data'!I66+H300*'Common input data'!B80/3.6+I300*'Common input data'!C66+J300*'Common input data'!B66+K300*'Common input data'!D66)</f>
        <v>190356.02446442968</v>
      </c>
      <c r="O300" s="189">
        <f>C300*(D300*'Common input data'!E67+E300*'Common input data'!F67+F300*'Common input data'!G67+G300*'Common input data'!I67+I300*'Common input data'!C67+J300*'Common input data'!B67+K300*'Common input data'!D67)</f>
        <v>314.42402581820807</v>
      </c>
      <c r="P300" s="199">
        <f>C300*(D300*'Common input data'!E68+E300*'Common input data'!F68+F300*'Common input data'!G68+G300*'Common input data'!I68+I300*'Common input data'!C68+J300*'Common input data'!B68+K300*'Common input data'!D68)</f>
        <v>11.86705305906556</v>
      </c>
      <c r="Q300" s="189" t="s">
        <v>2013</v>
      </c>
      <c r="U300" s="54" t="s">
        <v>2014</v>
      </c>
      <c r="V300" s="825"/>
      <c r="W300" s="814"/>
    </row>
    <row r="301" spans="1:24">
      <c r="A301" s="142" t="s">
        <v>79</v>
      </c>
      <c r="B301" s="143" t="s">
        <v>125</v>
      </c>
      <c r="C301" s="81">
        <v>4059400</v>
      </c>
      <c r="D301" s="81"/>
      <c r="E301" s="81"/>
      <c r="F301" s="81">
        <v>4.0857142857142863E-2</v>
      </c>
      <c r="G301" s="81"/>
      <c r="H301" s="81"/>
      <c r="I301" s="81">
        <v>0.95914285714285719</v>
      </c>
      <c r="J301" s="81"/>
      <c r="K301" s="304"/>
      <c r="L301" s="81"/>
      <c r="M301" s="210">
        <v>1</v>
      </c>
      <c r="N301" s="210">
        <f>C301*(D301*'Common input data'!E66+E301*'Common input data'!F66+F301*'Common input data'!G66+G301*'Common input data'!I66+H301*'Common input data'!C80/3.6+I301*'Common input data'!C66+J301*'Common input data'!B66+K301*'Common input data'!D66)</f>
        <v>241843.42331000004</v>
      </c>
      <c r="O301" s="210">
        <f>C301*(D301*'Common input data'!E67+E301*'Common input data'!F67+F301*'Common input data'!G67+G301*'Common input data'!I67+I301*'Common input data'!C67+J301*'Common input data'!B67+K301*'Common input data'!D67)</f>
        <v>1091.8814256961907</v>
      </c>
      <c r="P301" s="264">
        <f>C301*(D301*'Common input data'!E68+E301*'Common input data'!F68+F301*'Common input data'!G68+G301*'Common input data'!I68+I301*'Common input data'!C68+J301*'Common input data'!B68+K301*'Common input data'!D68)</f>
        <v>8.4900398621904767</v>
      </c>
      <c r="Q301" s="189" t="s">
        <v>2018</v>
      </c>
      <c r="U301" s="54" t="s">
        <v>2016</v>
      </c>
      <c r="V301" s="825"/>
      <c r="W301" s="814"/>
    </row>
    <row r="302" spans="1:24">
      <c r="A302" s="294" t="s">
        <v>2019</v>
      </c>
      <c r="U302" s="168"/>
      <c r="V302" s="826"/>
    </row>
    <row r="303" spans="1:24">
      <c r="A303" s="294" t="s">
        <v>2020</v>
      </c>
      <c r="B303" s="106"/>
      <c r="U303" s="830"/>
      <c r="V303" s="825"/>
    </row>
    <row r="304" spans="1:24">
      <c r="A304" s="294" t="s">
        <v>2021</v>
      </c>
      <c r="B304" s="106"/>
      <c r="U304" s="830"/>
      <c r="V304" s="825"/>
    </row>
    <row r="305" spans="1:22">
      <c r="A305" s="294" t="s">
        <v>2022</v>
      </c>
    </row>
    <row r="306" spans="1:22">
      <c r="A306" s="294"/>
      <c r="U306" s="168"/>
      <c r="V306" s="826"/>
    </row>
    <row r="307" spans="1:22">
      <c r="A307" s="785" t="s">
        <v>2023</v>
      </c>
      <c r="B307"/>
      <c r="U307" s="168"/>
      <c r="V307" s="826"/>
    </row>
    <row r="308" spans="1:22" ht="75">
      <c r="A308" s="816"/>
      <c r="B308" s="146" t="s">
        <v>59</v>
      </c>
      <c r="C308" s="812" t="s">
        <v>91</v>
      </c>
      <c r="D308" s="817" t="s">
        <v>136</v>
      </c>
      <c r="E308" s="818" t="s">
        <v>67</v>
      </c>
      <c r="F308" s="813" t="s">
        <v>2024</v>
      </c>
      <c r="G308" s="819" t="s">
        <v>2025</v>
      </c>
      <c r="H308" s="820" t="s">
        <v>608</v>
      </c>
    </row>
    <row r="309" spans="1:22">
      <c r="A309" s="142" t="s">
        <v>766</v>
      </c>
      <c r="B309" s="143">
        <v>0.3</v>
      </c>
      <c r="C309" s="440">
        <v>0.4</v>
      </c>
      <c r="D309" s="81">
        <v>0.6</v>
      </c>
      <c r="E309" s="81">
        <v>0.15</v>
      </c>
      <c r="F309" s="440">
        <v>0.05</v>
      </c>
      <c r="G309" s="986">
        <v>0.02</v>
      </c>
      <c r="H309" s="96" t="s">
        <v>2026</v>
      </c>
    </row>
    <row r="310" spans="1:22" ht="18" customHeight="1">
      <c r="A310" s="294" t="s">
        <v>2027</v>
      </c>
    </row>
    <row r="312" spans="1:22">
      <c r="A312" s="288" t="s">
        <v>2028</v>
      </c>
      <c r="M312" s="268" t="s">
        <v>608</v>
      </c>
    </row>
    <row r="313" spans="1:22" ht="75">
      <c r="A313" s="331"/>
      <c r="B313" s="146" t="s">
        <v>2029</v>
      </c>
      <c r="C313" s="812" t="s">
        <v>2030</v>
      </c>
      <c r="D313" s="812" t="s">
        <v>2031</v>
      </c>
      <c r="E313" s="813" t="s">
        <v>2032</v>
      </c>
      <c r="F313" s="813" t="s">
        <v>2033</v>
      </c>
      <c r="G313" s="813" t="s">
        <v>2034</v>
      </c>
      <c r="H313" s="813" t="s">
        <v>2035</v>
      </c>
      <c r="I313" s="813" t="s">
        <v>2036</v>
      </c>
      <c r="J313" s="813" t="s">
        <v>2037</v>
      </c>
      <c r="K313" s="813" t="s">
        <v>2038</v>
      </c>
      <c r="L313" s="821" t="s">
        <v>2039</v>
      </c>
      <c r="M313" s="268" t="s">
        <v>2040</v>
      </c>
      <c r="N313" s="268" t="s">
        <v>2041</v>
      </c>
    </row>
    <row r="314" spans="1:22">
      <c r="A314" s="140" t="s">
        <v>170</v>
      </c>
      <c r="B314" s="54">
        <v>3.6091344396322347E-2</v>
      </c>
      <c r="C314" s="54">
        <f>G314*(H314*D314*K314+E314*I314*L314+F314*J314)</f>
        <v>40.816549149730406</v>
      </c>
      <c r="D314" s="822">
        <v>0.88158440481128164</v>
      </c>
      <c r="E314" s="822">
        <v>9.7366238075487346E-2</v>
      </c>
      <c r="F314" s="822">
        <v>2.1049357113231023E-2</v>
      </c>
      <c r="G314" s="54">
        <v>1.3</v>
      </c>
      <c r="H314" s="96">
        <v>0.27</v>
      </c>
      <c r="I314" s="96">
        <v>0.78</v>
      </c>
      <c r="J314" s="96">
        <v>0</v>
      </c>
      <c r="K314" s="96">
        <v>100</v>
      </c>
      <c r="L314" s="83">
        <v>100</v>
      </c>
      <c r="M314" s="189" t="s">
        <v>2042</v>
      </c>
    </row>
    <row r="315" spans="1:22">
      <c r="A315" s="140" t="s">
        <v>123</v>
      </c>
      <c r="B315" s="54">
        <v>4.603908941081547E-2</v>
      </c>
      <c r="D315" s="54">
        <v>0</v>
      </c>
      <c r="E315" s="54">
        <v>1</v>
      </c>
      <c r="F315" s="54">
        <v>0</v>
      </c>
      <c r="G315" s="54"/>
      <c r="L315" s="83"/>
      <c r="M315" s="189" t="s">
        <v>2043</v>
      </c>
      <c r="N315" s="189" t="s">
        <v>2043</v>
      </c>
    </row>
    <row r="316" spans="1:22">
      <c r="A316" s="142" t="s">
        <v>134</v>
      </c>
      <c r="B316" s="81">
        <v>3.1283451997405211E-2</v>
      </c>
      <c r="C316" s="81">
        <f>G316*(H316*D316*K316+E316*I316*L316+F316*J316)</f>
        <v>66.154044957610751</v>
      </c>
      <c r="D316" s="823">
        <v>0.3782379101605412</v>
      </c>
      <c r="E316" s="823">
        <v>0.55468933487889327</v>
      </c>
      <c r="F316" s="823">
        <v>6.7072754960565487E-2</v>
      </c>
      <c r="G316" s="81">
        <v>1.3</v>
      </c>
      <c r="H316" s="304">
        <v>0.27</v>
      </c>
      <c r="I316" s="304">
        <v>0.78</v>
      </c>
      <c r="J316" s="304">
        <v>0</v>
      </c>
      <c r="K316" s="304">
        <v>117</v>
      </c>
      <c r="L316" s="88">
        <v>90</v>
      </c>
      <c r="M316" s="189" t="s">
        <v>2044</v>
      </c>
      <c r="N316" s="189" t="s">
        <v>2045</v>
      </c>
    </row>
    <row r="317" spans="1:22">
      <c r="A317" t="s">
        <v>2046</v>
      </c>
      <c r="B317"/>
    </row>
    <row r="318" spans="1:22" ht="60">
      <c r="A318" s="106" t="s">
        <v>2047</v>
      </c>
    </row>
    <row r="319" spans="1:22">
      <c r="A319" s="106"/>
    </row>
    <row r="320" spans="1:22">
      <c r="A320" s="106"/>
    </row>
  </sheetData>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39997558519241921"/>
  </sheetPr>
  <dimension ref="A1:X124"/>
  <sheetViews>
    <sheetView topLeftCell="A101" workbookViewId="0"/>
  </sheetViews>
  <sheetFormatPr defaultColWidth="8.7109375" defaultRowHeight="15"/>
  <cols>
    <col min="1" max="1" width="12.42578125" customWidth="1"/>
    <col min="2" max="2" width="18.42578125" style="43" customWidth="1"/>
    <col min="3" max="3" width="15" customWidth="1"/>
    <col min="4" max="4" width="17.42578125" bestFit="1" customWidth="1"/>
  </cols>
  <sheetData>
    <row r="1" spans="1:24" ht="21">
      <c r="A1" s="723" t="s">
        <v>2048</v>
      </c>
    </row>
    <row r="2" spans="1:24">
      <c r="A2" s="150"/>
      <c r="B2" s="578"/>
      <c r="C2" s="114"/>
      <c r="D2" s="114"/>
      <c r="E2" s="114"/>
    </row>
    <row r="3" spans="1:24">
      <c r="A3" s="175" t="s">
        <v>2049</v>
      </c>
      <c r="B3" s="150"/>
      <c r="C3" s="114"/>
      <c r="D3" s="114"/>
      <c r="E3" s="114"/>
      <c r="F3" s="114"/>
      <c r="G3" s="114"/>
      <c r="H3" s="114"/>
      <c r="I3" s="114"/>
      <c r="J3" s="114"/>
      <c r="K3" s="114"/>
      <c r="L3" s="114"/>
      <c r="M3" s="114"/>
      <c r="N3" s="114"/>
      <c r="O3" s="114"/>
      <c r="P3" s="114"/>
      <c r="Q3" s="114"/>
      <c r="R3" s="114"/>
      <c r="S3" s="114"/>
      <c r="T3" s="114"/>
      <c r="U3" s="114"/>
      <c r="V3" s="114"/>
      <c r="W3" s="114"/>
      <c r="X3" s="114"/>
    </row>
    <row r="4" spans="1:24">
      <c r="A4" s="150" t="s">
        <v>2050</v>
      </c>
      <c r="B4" s="578"/>
      <c r="C4" s="114"/>
      <c r="D4" s="114"/>
      <c r="E4" s="114"/>
      <c r="F4" s="114"/>
      <c r="G4" s="114"/>
      <c r="H4" s="114"/>
      <c r="I4" s="114"/>
      <c r="J4" s="114"/>
      <c r="K4" s="114"/>
      <c r="L4" s="114"/>
      <c r="M4" s="114"/>
      <c r="N4" s="114"/>
      <c r="O4" s="114"/>
      <c r="P4" s="114"/>
      <c r="Q4" s="114"/>
      <c r="R4" s="114"/>
      <c r="S4" s="114"/>
      <c r="T4" s="114"/>
      <c r="U4" s="114"/>
      <c r="V4" s="114"/>
      <c r="W4" s="114"/>
      <c r="X4" s="114"/>
    </row>
    <row r="5" spans="1:24">
      <c r="A5" s="114"/>
      <c r="B5" s="578"/>
      <c r="C5" s="114"/>
      <c r="D5" s="114"/>
      <c r="E5" s="114"/>
      <c r="F5" s="114"/>
      <c r="G5" s="114"/>
      <c r="H5" s="114"/>
      <c r="I5" s="114"/>
      <c r="J5" s="114"/>
      <c r="K5" s="114"/>
      <c r="L5" s="114"/>
      <c r="M5" s="114"/>
      <c r="N5" s="114"/>
      <c r="O5" s="114"/>
      <c r="P5" s="114"/>
      <c r="Q5" s="114"/>
      <c r="R5" s="114"/>
      <c r="S5" s="114"/>
      <c r="T5" s="114"/>
      <c r="U5" s="114"/>
      <c r="V5" s="114"/>
      <c r="W5" s="114"/>
      <c r="X5" s="114"/>
    </row>
    <row r="6" spans="1:24">
      <c r="A6" s="175" t="s">
        <v>2051</v>
      </c>
      <c r="B6" s="578"/>
      <c r="C6" s="114"/>
      <c r="D6" s="114"/>
      <c r="E6" s="114"/>
      <c r="F6" s="114"/>
      <c r="G6" s="114"/>
      <c r="H6" s="114"/>
      <c r="I6" s="114"/>
      <c r="J6" s="114"/>
      <c r="K6" s="114"/>
      <c r="L6" s="114"/>
      <c r="M6" s="114"/>
      <c r="N6" s="114"/>
      <c r="O6" s="114"/>
      <c r="P6" s="114"/>
      <c r="Q6" s="114"/>
      <c r="R6" s="114"/>
      <c r="S6" s="114"/>
      <c r="T6" s="114"/>
      <c r="U6" s="114"/>
      <c r="V6" s="114"/>
      <c r="W6" s="114"/>
      <c r="X6" s="114"/>
    </row>
    <row r="7" spans="1:24">
      <c r="A7" s="150" t="s">
        <v>2052</v>
      </c>
      <c r="B7" s="578"/>
      <c r="C7" s="114"/>
      <c r="D7" s="114"/>
      <c r="E7" s="114"/>
      <c r="F7" s="114"/>
      <c r="G7" s="114"/>
      <c r="H7" s="114"/>
      <c r="I7" s="114"/>
      <c r="J7" s="114"/>
      <c r="K7" s="114"/>
      <c r="L7" s="114"/>
      <c r="M7" s="114"/>
      <c r="N7" s="114"/>
      <c r="O7" s="114"/>
      <c r="P7" s="114"/>
      <c r="Q7" s="114"/>
      <c r="R7" s="114"/>
      <c r="S7" s="114"/>
      <c r="T7" s="114"/>
      <c r="U7" s="114"/>
      <c r="V7" s="114"/>
      <c r="W7" s="114"/>
      <c r="X7" s="114"/>
    </row>
    <row r="8" spans="1:24">
      <c r="A8" s="150" t="s">
        <v>2053</v>
      </c>
      <c r="B8" s="578"/>
      <c r="C8" s="114"/>
      <c r="D8" s="114"/>
      <c r="E8" s="114"/>
      <c r="F8" s="114"/>
      <c r="G8" s="114"/>
      <c r="H8" s="114"/>
      <c r="I8" s="114"/>
      <c r="J8" s="114"/>
      <c r="K8" s="114"/>
      <c r="L8" s="114"/>
      <c r="M8" s="114"/>
      <c r="N8" s="114"/>
      <c r="O8" s="114"/>
      <c r="P8" s="114"/>
      <c r="Q8" s="114"/>
      <c r="R8" s="114"/>
      <c r="S8" s="114"/>
      <c r="T8" s="114"/>
      <c r="U8" s="114"/>
      <c r="V8" s="114"/>
      <c r="W8" s="114"/>
      <c r="X8" s="114"/>
    </row>
    <row r="9" spans="1:24">
      <c r="A9" s="150"/>
      <c r="B9" s="578"/>
      <c r="C9" s="114"/>
      <c r="D9" s="114"/>
      <c r="E9" s="114"/>
      <c r="F9" s="114"/>
      <c r="G9" s="114"/>
      <c r="H9" s="114"/>
      <c r="I9" s="114"/>
      <c r="J9" s="114"/>
      <c r="K9" s="114"/>
      <c r="L9" s="114"/>
      <c r="M9" s="114"/>
      <c r="N9" s="114"/>
      <c r="O9" s="114"/>
      <c r="P9" s="114"/>
      <c r="Q9" s="114"/>
      <c r="R9" s="114"/>
      <c r="S9" s="114"/>
      <c r="T9" s="114"/>
      <c r="U9" s="114"/>
      <c r="V9" s="114"/>
      <c r="W9" s="114"/>
      <c r="X9" s="114"/>
    </row>
    <row r="10" spans="1:24">
      <c r="A10" s="175" t="s">
        <v>2054</v>
      </c>
      <c r="B10" s="578"/>
      <c r="C10" s="114"/>
      <c r="D10" s="114"/>
      <c r="E10" s="114"/>
      <c r="F10" s="114"/>
      <c r="G10" s="114"/>
      <c r="H10" s="114"/>
      <c r="I10" s="114"/>
      <c r="J10" s="114"/>
      <c r="K10" s="114"/>
      <c r="L10" s="114"/>
      <c r="M10" s="114"/>
      <c r="N10" s="114"/>
      <c r="O10" s="114"/>
      <c r="P10" s="114"/>
      <c r="Q10" s="114"/>
      <c r="R10" s="114"/>
      <c r="S10" s="114"/>
      <c r="T10" s="114"/>
      <c r="U10" s="114"/>
      <c r="V10" s="114"/>
      <c r="W10" s="114"/>
      <c r="X10" s="114"/>
    </row>
    <row r="11" spans="1:24" ht="14.65" customHeight="1">
      <c r="A11" s="696"/>
      <c r="B11" s="724" t="s">
        <v>130</v>
      </c>
      <c r="C11" s="145" t="s">
        <v>148</v>
      </c>
      <c r="D11" s="151" t="s">
        <v>134</v>
      </c>
      <c r="E11" s="540" t="s">
        <v>608</v>
      </c>
      <c r="F11" s="114"/>
      <c r="G11" s="114"/>
      <c r="H11" s="114"/>
      <c r="I11" s="114"/>
      <c r="J11" s="114"/>
      <c r="K11" s="114"/>
      <c r="L11" s="114"/>
      <c r="M11" s="114"/>
      <c r="N11" s="114"/>
      <c r="O11" s="114"/>
      <c r="P11" s="114"/>
      <c r="Q11" s="114"/>
      <c r="R11" s="114"/>
      <c r="S11" s="114"/>
      <c r="T11" s="114"/>
      <c r="U11" s="114"/>
      <c r="V11" s="114"/>
      <c r="W11" s="114"/>
      <c r="X11" s="114"/>
    </row>
    <row r="12" spans="1:24">
      <c r="A12" s="725" t="s">
        <v>2055</v>
      </c>
      <c r="B12" s="62">
        <v>3.0000000000000001E-3</v>
      </c>
      <c r="C12" s="62">
        <v>7.0000000000000001E-3</v>
      </c>
      <c r="D12" s="548">
        <v>8.0000000000000002E-3</v>
      </c>
      <c r="E12" s="114" t="s">
        <v>2056</v>
      </c>
      <c r="F12" s="114"/>
      <c r="G12" s="114"/>
      <c r="H12" s="114"/>
      <c r="I12" s="114"/>
      <c r="J12" s="114"/>
      <c r="K12" s="114"/>
      <c r="L12" s="114"/>
      <c r="M12" s="114"/>
      <c r="N12" s="114"/>
      <c r="O12" s="114"/>
      <c r="P12" s="114"/>
      <c r="Q12" s="114"/>
      <c r="R12" s="114"/>
      <c r="S12" s="114"/>
      <c r="T12" s="114"/>
      <c r="U12" s="114"/>
      <c r="V12" s="114"/>
      <c r="W12" s="114"/>
      <c r="X12" s="114"/>
    </row>
    <row r="13" spans="1:24">
      <c r="A13" s="114"/>
      <c r="B13" s="578"/>
      <c r="C13" s="114"/>
      <c r="D13" s="114"/>
      <c r="E13" s="114"/>
      <c r="F13" s="114"/>
      <c r="G13" s="114"/>
      <c r="H13" s="114"/>
      <c r="I13" s="114"/>
      <c r="J13" s="114"/>
      <c r="K13" s="114"/>
      <c r="L13" s="114"/>
      <c r="M13" s="114"/>
      <c r="N13" s="114"/>
      <c r="O13" s="114"/>
      <c r="P13" s="114"/>
      <c r="Q13" s="114"/>
      <c r="R13" s="114"/>
      <c r="S13" s="114"/>
      <c r="T13" s="114"/>
      <c r="U13" s="114"/>
      <c r="V13" s="114"/>
      <c r="W13" s="114"/>
      <c r="X13" s="114"/>
    </row>
    <row r="14" spans="1:24">
      <c r="A14" s="99" t="s">
        <v>2057</v>
      </c>
      <c r="B14" s="578"/>
      <c r="C14" s="114"/>
      <c r="D14" s="114"/>
      <c r="E14" s="114"/>
      <c r="F14" s="114"/>
      <c r="G14" s="114"/>
      <c r="H14" s="114"/>
      <c r="I14" s="114"/>
      <c r="J14" s="114"/>
      <c r="K14" s="114"/>
      <c r="L14" s="114"/>
      <c r="M14" s="114"/>
      <c r="N14" s="114"/>
      <c r="O14" s="114"/>
      <c r="P14" s="114"/>
      <c r="Q14" s="114"/>
      <c r="R14" s="114"/>
      <c r="S14" s="114"/>
      <c r="T14" s="114"/>
      <c r="U14" s="114"/>
      <c r="V14" s="114"/>
      <c r="W14" s="114"/>
      <c r="X14" s="114"/>
    </row>
    <row r="15" spans="1:24">
      <c r="A15" s="150" t="s">
        <v>2058</v>
      </c>
      <c r="B15" s="578"/>
      <c r="C15" s="114"/>
      <c r="D15" s="114"/>
      <c r="E15" s="114"/>
      <c r="F15" s="114"/>
      <c r="G15" s="114"/>
      <c r="H15" s="114"/>
      <c r="I15" s="114"/>
      <c r="J15" s="114"/>
      <c r="K15" s="114"/>
      <c r="L15" s="114"/>
      <c r="M15" s="114"/>
      <c r="N15" s="114"/>
      <c r="O15" s="114"/>
      <c r="P15" s="114"/>
      <c r="Q15" s="114"/>
      <c r="R15" s="114"/>
      <c r="S15" s="114"/>
      <c r="T15" s="114"/>
      <c r="U15" s="114"/>
      <c r="V15" s="114"/>
      <c r="W15" s="114"/>
      <c r="X15" s="114"/>
    </row>
    <row r="16" spans="1:24">
      <c r="A16" s="150" t="s">
        <v>2059</v>
      </c>
      <c r="B16" s="578"/>
      <c r="C16" s="114"/>
      <c r="D16" s="114"/>
      <c r="E16" s="114"/>
      <c r="F16" s="114"/>
      <c r="G16" s="114"/>
      <c r="H16" s="114"/>
      <c r="I16" s="114"/>
      <c r="J16" s="114"/>
      <c r="K16" s="114"/>
      <c r="L16" s="114"/>
      <c r="M16" s="114"/>
      <c r="N16" s="114"/>
      <c r="O16" s="114"/>
      <c r="P16" s="114"/>
      <c r="Q16" s="114"/>
      <c r="R16" s="114"/>
      <c r="S16" s="114"/>
      <c r="T16" s="114"/>
      <c r="U16" s="114"/>
      <c r="V16" s="114"/>
      <c r="W16" s="114"/>
      <c r="X16" s="114"/>
    </row>
    <row r="17" spans="1:24">
      <c r="A17" s="114" t="s">
        <v>2060</v>
      </c>
      <c r="B17" s="578"/>
      <c r="C17" s="114"/>
      <c r="D17" s="114"/>
      <c r="E17" s="114"/>
      <c r="F17" s="114"/>
      <c r="G17" s="114"/>
      <c r="H17" s="114"/>
      <c r="I17" s="114"/>
      <c r="J17" s="114"/>
      <c r="K17" s="114"/>
      <c r="L17" s="114"/>
      <c r="M17" s="114"/>
      <c r="N17" s="114"/>
      <c r="O17" s="114"/>
      <c r="P17" s="114"/>
      <c r="Q17" s="114"/>
      <c r="R17" s="114"/>
      <c r="S17" s="114"/>
      <c r="T17" s="114"/>
      <c r="U17" s="114"/>
      <c r="V17" s="114"/>
      <c r="W17" s="114"/>
      <c r="X17" s="114"/>
    </row>
    <row r="18" spans="1:24">
      <c r="A18" s="114"/>
      <c r="B18" s="578"/>
      <c r="C18" s="114"/>
      <c r="D18" s="114"/>
      <c r="E18" s="114"/>
      <c r="F18" s="114"/>
      <c r="G18" s="114"/>
      <c r="H18" s="114"/>
      <c r="I18" s="114"/>
      <c r="J18" s="114"/>
      <c r="K18" s="114"/>
      <c r="L18" s="114"/>
      <c r="M18" s="114"/>
      <c r="N18" s="114"/>
      <c r="O18" s="114"/>
      <c r="P18" s="114"/>
      <c r="Q18" s="114"/>
      <c r="R18" s="114"/>
      <c r="S18" s="114"/>
      <c r="T18" s="114"/>
      <c r="U18" s="114"/>
      <c r="V18" s="114"/>
      <c r="W18" s="114"/>
      <c r="X18" s="114"/>
    </row>
    <row r="19" spans="1:24">
      <c r="A19" s="175" t="s">
        <v>2061</v>
      </c>
      <c r="B19" s="578"/>
      <c r="C19" s="540" t="s">
        <v>608</v>
      </c>
      <c r="D19" s="114"/>
      <c r="E19" s="114"/>
      <c r="F19" s="114"/>
      <c r="G19" s="114"/>
      <c r="H19" s="114"/>
      <c r="I19" s="114"/>
      <c r="J19" s="114"/>
      <c r="K19" s="114"/>
      <c r="L19" s="114"/>
      <c r="M19" s="114"/>
      <c r="N19" s="114"/>
      <c r="O19" s="114"/>
      <c r="P19" s="114"/>
      <c r="Q19" s="114"/>
      <c r="R19" s="114"/>
      <c r="S19" s="114"/>
      <c r="T19" s="114"/>
      <c r="U19" s="114"/>
      <c r="V19" s="114"/>
      <c r="W19" s="114"/>
      <c r="X19" s="114"/>
    </row>
    <row r="20" spans="1:24">
      <c r="A20" s="726" t="s">
        <v>2062</v>
      </c>
      <c r="B20" s="712">
        <v>3.5</v>
      </c>
      <c r="C20" s="114" t="s">
        <v>2063</v>
      </c>
      <c r="D20" s="114"/>
      <c r="E20" s="114"/>
      <c r="F20" s="114"/>
      <c r="G20" s="114"/>
      <c r="H20" s="114"/>
      <c r="I20" s="114"/>
      <c r="J20" s="114"/>
      <c r="K20" s="114"/>
      <c r="L20" s="114"/>
      <c r="M20" s="114"/>
      <c r="N20" s="114"/>
      <c r="O20" s="114"/>
      <c r="P20" s="114"/>
      <c r="Q20" s="114"/>
      <c r="R20" s="114"/>
      <c r="S20" s="114"/>
      <c r="T20" s="114"/>
      <c r="U20" s="114"/>
      <c r="V20" s="114"/>
      <c r="W20" s="114"/>
      <c r="X20" s="114"/>
    </row>
    <row r="21" spans="1:24">
      <c r="A21" s="114"/>
      <c r="B21" s="578"/>
      <c r="C21" s="114"/>
      <c r="D21" s="114"/>
      <c r="E21" s="114"/>
      <c r="F21" s="114"/>
      <c r="G21" s="114"/>
      <c r="H21" s="114"/>
      <c r="I21" s="114"/>
      <c r="J21" s="114"/>
      <c r="K21" s="114"/>
      <c r="L21" s="114"/>
      <c r="M21" s="114"/>
      <c r="N21" s="114"/>
      <c r="O21" s="114"/>
      <c r="P21" s="114"/>
      <c r="Q21" s="114"/>
      <c r="R21" s="114"/>
      <c r="S21" s="114"/>
      <c r="T21" s="114"/>
      <c r="U21" s="114"/>
      <c r="V21" s="114"/>
      <c r="W21" s="114"/>
      <c r="X21" s="114"/>
    </row>
    <row r="22" spans="1:24">
      <c r="A22" s="727" t="s">
        <v>2064</v>
      </c>
      <c r="B22" s="578"/>
      <c r="C22" s="114"/>
      <c r="D22" s="540" t="s">
        <v>608</v>
      </c>
      <c r="E22" s="114"/>
      <c r="F22" s="114"/>
      <c r="G22" s="114"/>
      <c r="H22" s="114"/>
      <c r="I22" s="114"/>
      <c r="J22" s="114"/>
      <c r="K22" s="114"/>
      <c r="L22" s="114"/>
      <c r="M22" s="114"/>
      <c r="N22" s="114"/>
      <c r="O22" s="114"/>
      <c r="P22" s="114"/>
      <c r="Q22" s="114"/>
      <c r="R22" s="114"/>
      <c r="S22" s="114"/>
      <c r="T22" s="114"/>
      <c r="U22" s="114"/>
      <c r="V22" s="114"/>
      <c r="W22" s="114"/>
      <c r="X22" s="114"/>
    </row>
    <row r="23" spans="1:24" ht="38.25">
      <c r="A23" s="728"/>
      <c r="B23" s="171" t="s">
        <v>871</v>
      </c>
      <c r="C23" s="98" t="s">
        <v>2065</v>
      </c>
      <c r="D23" s="114"/>
      <c r="E23" s="114"/>
      <c r="F23" s="114"/>
      <c r="G23" s="114"/>
      <c r="H23" s="114"/>
      <c r="I23" s="114"/>
      <c r="J23" s="114"/>
      <c r="K23" s="114"/>
      <c r="L23" s="114"/>
      <c r="M23" s="114"/>
      <c r="N23" s="114"/>
      <c r="O23" s="114"/>
      <c r="P23" s="114"/>
      <c r="Q23" s="114"/>
      <c r="R23" s="114"/>
      <c r="S23" s="114"/>
      <c r="T23" s="114"/>
      <c r="U23" s="114"/>
      <c r="V23" s="114"/>
      <c r="W23" s="114"/>
      <c r="X23" s="114"/>
    </row>
    <row r="24" spans="1:24">
      <c r="A24" s="728" t="s">
        <v>165</v>
      </c>
      <c r="B24" s="29" t="s">
        <v>122</v>
      </c>
      <c r="C24" s="525">
        <v>1.3</v>
      </c>
      <c r="D24" s="114" t="s">
        <v>2066</v>
      </c>
      <c r="E24" s="114"/>
      <c r="F24" s="114"/>
      <c r="G24" s="114"/>
      <c r="H24" s="114"/>
      <c r="I24" s="114"/>
      <c r="J24" s="114"/>
      <c r="K24" s="114"/>
      <c r="L24" s="114"/>
      <c r="M24" s="114"/>
      <c r="N24" s="114"/>
      <c r="O24" s="114"/>
      <c r="P24" s="114"/>
      <c r="Q24" s="114"/>
      <c r="R24" s="114"/>
      <c r="S24" s="114"/>
      <c r="T24" s="114"/>
      <c r="U24" s="114"/>
      <c r="V24" s="114"/>
      <c r="W24" s="114"/>
      <c r="X24" s="114"/>
    </row>
    <row r="25" spans="1:24">
      <c r="A25" s="728" t="s">
        <v>166</v>
      </c>
      <c r="B25" s="29" t="s">
        <v>122</v>
      </c>
      <c r="C25" s="525">
        <v>1</v>
      </c>
      <c r="D25" s="114" t="s">
        <v>2066</v>
      </c>
      <c r="E25" s="114"/>
      <c r="F25" s="114"/>
      <c r="G25" s="114"/>
      <c r="H25" s="114"/>
      <c r="I25" s="114"/>
      <c r="J25" s="114"/>
      <c r="K25" s="114"/>
      <c r="L25" s="114"/>
      <c r="M25" s="114"/>
      <c r="N25" s="114"/>
      <c r="O25" s="114"/>
      <c r="P25" s="114"/>
      <c r="Q25" s="114"/>
      <c r="R25" s="114"/>
      <c r="S25" s="114"/>
      <c r="T25" s="114"/>
      <c r="U25" s="114"/>
      <c r="V25" s="114"/>
      <c r="W25" s="114"/>
      <c r="X25" s="114"/>
    </row>
    <row r="26" spans="1:24">
      <c r="A26" s="728" t="s">
        <v>40</v>
      </c>
      <c r="B26" s="29" t="s">
        <v>122</v>
      </c>
      <c r="C26" s="525">
        <v>2</v>
      </c>
      <c r="D26" s="114" t="s">
        <v>2066</v>
      </c>
      <c r="E26" s="114"/>
      <c r="F26" s="114"/>
      <c r="G26" s="114"/>
      <c r="H26" s="114"/>
      <c r="I26" s="114"/>
      <c r="J26" s="114"/>
      <c r="K26" s="114"/>
      <c r="L26" s="114"/>
      <c r="M26" s="114"/>
      <c r="N26" s="114"/>
      <c r="O26" s="114"/>
      <c r="P26" s="114"/>
      <c r="Q26" s="114"/>
      <c r="R26" s="114"/>
      <c r="S26" s="114"/>
      <c r="T26" s="114"/>
      <c r="U26" s="114"/>
      <c r="V26" s="114"/>
      <c r="W26" s="114"/>
      <c r="X26" s="114"/>
    </row>
    <row r="27" spans="1:24">
      <c r="A27" s="728" t="s">
        <v>168</v>
      </c>
      <c r="B27" s="29" t="s">
        <v>122</v>
      </c>
      <c r="C27" s="525">
        <v>1.6</v>
      </c>
      <c r="D27" s="114" t="s">
        <v>2066</v>
      </c>
      <c r="E27" s="114"/>
      <c r="F27" s="114"/>
      <c r="G27" s="114"/>
      <c r="H27" s="114"/>
      <c r="I27" s="114"/>
      <c r="J27" s="114"/>
      <c r="K27" s="114"/>
      <c r="L27" s="114"/>
      <c r="M27" s="114"/>
      <c r="N27" s="114"/>
      <c r="O27" s="114"/>
      <c r="P27" s="114"/>
      <c r="Q27" s="114"/>
      <c r="R27" s="114"/>
      <c r="S27" s="114"/>
      <c r="T27" s="114"/>
      <c r="U27" s="114"/>
      <c r="V27" s="114"/>
      <c r="W27" s="114"/>
      <c r="X27" s="114"/>
    </row>
    <row r="28" spans="1:24">
      <c r="A28" s="728" t="s">
        <v>169</v>
      </c>
      <c r="B28" s="29" t="s">
        <v>122</v>
      </c>
      <c r="C28" s="525">
        <v>1.1000000000000001</v>
      </c>
      <c r="D28" s="114" t="s">
        <v>2066</v>
      </c>
      <c r="E28" s="114"/>
      <c r="F28" s="114"/>
      <c r="G28" s="114"/>
      <c r="H28" s="114"/>
      <c r="I28" s="114"/>
      <c r="J28" s="114"/>
      <c r="K28" s="114"/>
      <c r="L28" s="114"/>
      <c r="M28" s="114"/>
      <c r="N28" s="114"/>
      <c r="O28" s="114"/>
      <c r="P28" s="114"/>
      <c r="Q28" s="114"/>
      <c r="R28" s="114"/>
      <c r="S28" s="114"/>
      <c r="T28" s="114"/>
      <c r="U28" s="114"/>
      <c r="V28" s="114"/>
      <c r="W28" s="114"/>
      <c r="X28" s="114"/>
    </row>
    <row r="29" spans="1:24">
      <c r="A29" s="728" t="s">
        <v>53</v>
      </c>
      <c r="B29" s="29" t="s">
        <v>122</v>
      </c>
      <c r="C29" s="525">
        <v>0.8</v>
      </c>
      <c r="D29" s="114" t="s">
        <v>2066</v>
      </c>
      <c r="E29" s="114"/>
      <c r="F29" s="114"/>
      <c r="G29" s="114"/>
      <c r="H29" s="114"/>
      <c r="I29" s="114"/>
      <c r="J29" s="114"/>
      <c r="K29" s="114"/>
      <c r="L29" s="114"/>
      <c r="M29" s="114"/>
      <c r="N29" s="114"/>
      <c r="O29" s="114"/>
      <c r="P29" s="114"/>
      <c r="Q29" s="114"/>
      <c r="R29" s="114"/>
      <c r="S29" s="114"/>
      <c r="T29" s="114"/>
      <c r="U29" s="114"/>
      <c r="V29" s="114"/>
      <c r="W29" s="114"/>
      <c r="X29" s="114"/>
    </row>
    <row r="30" spans="1:24">
      <c r="A30" s="728" t="s">
        <v>59</v>
      </c>
      <c r="B30" s="29" t="s">
        <v>170</v>
      </c>
      <c r="C30" s="525">
        <v>1.6</v>
      </c>
      <c r="D30" s="114" t="s">
        <v>2067</v>
      </c>
      <c r="E30" s="114"/>
      <c r="F30" s="114"/>
      <c r="G30" s="114"/>
      <c r="H30" s="114"/>
      <c r="I30" s="114"/>
      <c r="J30" s="114"/>
      <c r="K30" s="114"/>
      <c r="L30" s="114"/>
      <c r="M30" s="114"/>
      <c r="N30" s="114"/>
      <c r="O30" s="114"/>
      <c r="P30" s="114"/>
      <c r="Q30" s="114"/>
      <c r="R30" s="114"/>
      <c r="S30" s="114"/>
      <c r="T30" s="114"/>
      <c r="U30" s="114"/>
      <c r="V30" s="114"/>
      <c r="W30" s="114"/>
      <c r="X30" s="114"/>
    </row>
    <row r="31" spans="1:24">
      <c r="A31" s="728"/>
      <c r="B31" s="29" t="s">
        <v>123</v>
      </c>
      <c r="C31" s="525">
        <v>3.2</v>
      </c>
      <c r="D31" s="114" t="s">
        <v>2067</v>
      </c>
      <c r="E31" s="114"/>
      <c r="F31" s="114"/>
      <c r="G31" s="114"/>
      <c r="H31" s="114"/>
      <c r="I31" s="114"/>
      <c r="J31" s="114"/>
      <c r="K31" s="114"/>
      <c r="L31" s="114"/>
      <c r="M31" s="114"/>
      <c r="N31" s="114"/>
      <c r="O31" s="114"/>
      <c r="P31" s="114"/>
      <c r="Q31" s="114"/>
      <c r="R31" s="114"/>
      <c r="S31" s="114"/>
      <c r="T31" s="114"/>
      <c r="U31" s="114"/>
      <c r="V31" s="114"/>
      <c r="W31" s="114"/>
      <c r="X31" s="114"/>
    </row>
    <row r="32" spans="1:24">
      <c r="A32" s="728"/>
      <c r="B32" s="29" t="s">
        <v>134</v>
      </c>
      <c r="C32" s="525">
        <v>2.2999999999999998</v>
      </c>
      <c r="D32" s="114" t="s">
        <v>2067</v>
      </c>
      <c r="E32" s="114"/>
      <c r="F32" s="114"/>
      <c r="G32" s="114"/>
      <c r="H32" s="114"/>
      <c r="I32" s="114"/>
      <c r="J32" s="114"/>
      <c r="K32" s="114"/>
      <c r="L32" s="114"/>
      <c r="M32" s="114"/>
      <c r="N32" s="114"/>
      <c r="O32" s="114"/>
      <c r="P32" s="114"/>
      <c r="Q32" s="114"/>
      <c r="R32" s="114"/>
      <c r="S32" s="114"/>
      <c r="T32" s="114"/>
      <c r="U32" s="114"/>
      <c r="V32" s="114"/>
      <c r="W32" s="114"/>
      <c r="X32" s="114"/>
    </row>
    <row r="33" spans="1:24">
      <c r="A33" s="728" t="s">
        <v>54</v>
      </c>
      <c r="B33" s="29" t="s">
        <v>122</v>
      </c>
      <c r="C33" s="525">
        <v>7</v>
      </c>
      <c r="D33" s="114" t="s">
        <v>2066</v>
      </c>
      <c r="E33" s="114"/>
      <c r="F33" s="114"/>
      <c r="G33" s="114"/>
      <c r="H33" s="114"/>
      <c r="I33" s="114"/>
      <c r="J33" s="114"/>
      <c r="K33" s="114"/>
      <c r="L33" s="114"/>
      <c r="M33" s="114"/>
      <c r="N33" s="114"/>
      <c r="O33" s="114"/>
      <c r="P33" s="114"/>
      <c r="Q33" s="114"/>
      <c r="R33" s="114"/>
      <c r="S33" s="114"/>
      <c r="T33" s="114"/>
      <c r="U33" s="114"/>
      <c r="V33" s="114"/>
      <c r="W33" s="114"/>
      <c r="X33" s="114"/>
    </row>
    <row r="34" spans="1:24">
      <c r="A34" s="728"/>
      <c r="B34" s="29" t="s">
        <v>176</v>
      </c>
      <c r="C34" s="525">
        <v>2.1</v>
      </c>
      <c r="D34" s="114" t="s">
        <v>1598</v>
      </c>
      <c r="E34" s="114"/>
      <c r="F34" s="114"/>
      <c r="G34" s="114"/>
      <c r="H34" s="114"/>
      <c r="I34" s="114"/>
      <c r="J34" s="114"/>
      <c r="K34" s="114"/>
      <c r="L34" s="114"/>
      <c r="M34" s="114"/>
      <c r="N34" s="114"/>
      <c r="O34" s="114"/>
      <c r="P34" s="114"/>
      <c r="Q34" s="114"/>
      <c r="R34" s="114"/>
      <c r="S34" s="114"/>
      <c r="T34" s="114"/>
      <c r="U34" s="114"/>
      <c r="V34" s="114"/>
      <c r="W34" s="114"/>
      <c r="X34" s="114"/>
    </row>
    <row r="35" spans="1:24">
      <c r="A35" s="728"/>
      <c r="B35" s="29" t="s">
        <v>125</v>
      </c>
      <c r="C35" s="525">
        <v>37.5</v>
      </c>
      <c r="D35" s="114" t="s">
        <v>2067</v>
      </c>
      <c r="E35" s="114"/>
      <c r="F35" s="114"/>
      <c r="G35" s="114"/>
      <c r="H35" s="114"/>
      <c r="I35" s="114"/>
      <c r="J35" s="114"/>
      <c r="K35" s="114"/>
      <c r="L35" s="114"/>
      <c r="M35" s="114"/>
      <c r="N35" s="114"/>
      <c r="O35" s="114"/>
      <c r="P35" s="114"/>
      <c r="Q35" s="114"/>
      <c r="R35" s="114"/>
      <c r="S35" s="114"/>
      <c r="T35" s="114"/>
      <c r="U35" s="114"/>
      <c r="V35" s="114"/>
      <c r="W35" s="114"/>
      <c r="X35" s="114"/>
    </row>
    <row r="36" spans="1:24" ht="25.5">
      <c r="A36" s="728" t="s">
        <v>172</v>
      </c>
      <c r="B36" s="29" t="s">
        <v>122</v>
      </c>
      <c r="C36" s="525">
        <v>2.2000000000000002</v>
      </c>
      <c r="D36" s="114" t="s">
        <v>2066</v>
      </c>
      <c r="E36" s="114"/>
      <c r="F36" s="114"/>
      <c r="G36" s="114"/>
      <c r="H36" s="114"/>
      <c r="I36" s="114"/>
      <c r="J36" s="114"/>
      <c r="K36" s="114"/>
      <c r="L36" s="114"/>
      <c r="M36" s="114"/>
      <c r="N36" s="114"/>
      <c r="O36" s="114"/>
      <c r="P36" s="114"/>
      <c r="Q36" s="114"/>
      <c r="R36" s="114"/>
      <c r="S36" s="114"/>
      <c r="T36" s="114"/>
      <c r="U36" s="114"/>
      <c r="V36" s="114"/>
      <c r="W36" s="114"/>
      <c r="X36" s="114"/>
    </row>
    <row r="37" spans="1:24" ht="25.5">
      <c r="A37" s="728" t="s">
        <v>173</v>
      </c>
      <c r="B37" s="29" t="s">
        <v>122</v>
      </c>
      <c r="C37" s="525">
        <v>0.9</v>
      </c>
      <c r="D37" s="114" t="s">
        <v>2066</v>
      </c>
      <c r="E37" s="114"/>
      <c r="F37" s="114"/>
      <c r="G37" s="114"/>
      <c r="H37" s="114"/>
      <c r="I37" s="114"/>
      <c r="J37" s="114"/>
      <c r="K37" s="114"/>
      <c r="L37" s="114"/>
      <c r="M37" s="114"/>
      <c r="N37" s="114"/>
      <c r="O37" s="114"/>
      <c r="P37" s="114"/>
      <c r="Q37" s="114"/>
      <c r="R37" s="114"/>
      <c r="S37" s="114"/>
      <c r="T37" s="114"/>
      <c r="U37" s="114"/>
      <c r="V37" s="114"/>
      <c r="W37" s="114"/>
      <c r="X37" s="114"/>
    </row>
    <row r="38" spans="1:24">
      <c r="A38" s="728" t="s">
        <v>180</v>
      </c>
      <c r="B38" s="29" t="s">
        <v>122</v>
      </c>
      <c r="C38" s="525">
        <v>7.7</v>
      </c>
      <c r="D38" s="114" t="s">
        <v>2066</v>
      </c>
      <c r="E38" s="114"/>
      <c r="F38" s="114"/>
      <c r="G38" s="114"/>
      <c r="H38" s="114"/>
      <c r="I38" s="114"/>
      <c r="J38" s="114"/>
      <c r="K38" s="114"/>
      <c r="L38" s="114"/>
      <c r="M38" s="114"/>
      <c r="N38" s="114"/>
      <c r="O38" s="114"/>
      <c r="P38" s="114"/>
      <c r="Q38" s="114"/>
      <c r="R38" s="114"/>
      <c r="S38" s="114"/>
      <c r="T38" s="114"/>
      <c r="U38" s="114"/>
      <c r="V38" s="114"/>
      <c r="W38" s="114"/>
      <c r="X38" s="114"/>
    </row>
    <row r="39" spans="1:24">
      <c r="A39" s="728" t="s">
        <v>27</v>
      </c>
      <c r="B39" s="29" t="s">
        <v>2068</v>
      </c>
      <c r="C39" s="525">
        <v>7.5</v>
      </c>
      <c r="D39" s="114" t="s">
        <v>2066</v>
      </c>
      <c r="E39" s="114"/>
      <c r="F39" s="114"/>
      <c r="G39" s="114"/>
      <c r="H39" s="114"/>
      <c r="I39" s="114"/>
      <c r="J39" s="114"/>
      <c r="K39" s="114"/>
      <c r="L39" s="114"/>
      <c r="M39" s="114"/>
      <c r="N39" s="114"/>
      <c r="O39" s="114"/>
      <c r="P39" s="114"/>
      <c r="Q39" s="114"/>
      <c r="R39" s="114"/>
      <c r="S39" s="114"/>
      <c r="T39" s="114"/>
      <c r="U39" s="114"/>
      <c r="V39" s="114"/>
      <c r="W39" s="114"/>
      <c r="X39" s="114"/>
    </row>
    <row r="40" spans="1:24">
      <c r="A40" s="728"/>
      <c r="B40" s="29" t="s">
        <v>2069</v>
      </c>
      <c r="C40" s="525">
        <v>46</v>
      </c>
      <c r="D40" s="114" t="s">
        <v>2067</v>
      </c>
      <c r="E40" s="114"/>
      <c r="F40" s="114"/>
      <c r="G40" s="114"/>
      <c r="H40" s="114"/>
      <c r="I40" s="114"/>
      <c r="J40" s="114"/>
      <c r="K40" s="114"/>
      <c r="L40" s="114"/>
      <c r="M40" s="114"/>
      <c r="N40" s="114"/>
      <c r="O40" s="114"/>
      <c r="P40" s="114"/>
      <c r="Q40" s="114"/>
      <c r="R40" s="114"/>
      <c r="S40" s="114"/>
      <c r="T40" s="114"/>
      <c r="U40" s="114"/>
      <c r="V40" s="114"/>
      <c r="W40" s="114"/>
      <c r="X40" s="114"/>
    </row>
    <row r="41" spans="1:24">
      <c r="A41" s="728"/>
      <c r="B41" s="29" t="s">
        <v>2070</v>
      </c>
      <c r="C41" s="525">
        <v>19.2</v>
      </c>
      <c r="D41" s="114" t="s">
        <v>2067</v>
      </c>
      <c r="E41" s="114"/>
      <c r="F41" s="114"/>
      <c r="G41" s="114"/>
      <c r="H41" s="114"/>
      <c r="I41" s="114"/>
      <c r="J41" s="114"/>
      <c r="K41" s="114"/>
      <c r="L41" s="114"/>
      <c r="M41" s="114"/>
      <c r="N41" s="114"/>
      <c r="O41" s="114"/>
      <c r="P41" s="114"/>
      <c r="Q41" s="114"/>
      <c r="R41" s="114"/>
      <c r="S41" s="114"/>
      <c r="T41" s="114"/>
      <c r="U41" s="114"/>
      <c r="V41" s="114"/>
      <c r="W41" s="114"/>
      <c r="X41" s="114"/>
    </row>
    <row r="42" spans="1:24">
      <c r="A42" s="728"/>
      <c r="B42" s="29" t="s">
        <v>2071</v>
      </c>
      <c r="C42" s="525">
        <v>8.4</v>
      </c>
      <c r="D42" s="114" t="s">
        <v>2067</v>
      </c>
      <c r="E42" s="114"/>
      <c r="F42" s="114"/>
      <c r="G42" s="114"/>
      <c r="H42" s="114"/>
      <c r="I42" s="114"/>
      <c r="J42" s="114"/>
      <c r="K42" s="114"/>
      <c r="L42" s="114"/>
      <c r="M42" s="114"/>
      <c r="N42" s="114"/>
      <c r="O42" s="114"/>
      <c r="P42" s="114"/>
      <c r="Q42" s="114"/>
      <c r="R42" s="114"/>
      <c r="S42" s="114"/>
      <c r="T42" s="114"/>
      <c r="U42" s="114"/>
      <c r="V42" s="114"/>
      <c r="W42" s="114"/>
      <c r="X42" s="114"/>
    </row>
    <row r="43" spans="1:24">
      <c r="A43" s="728" t="s">
        <v>34</v>
      </c>
      <c r="B43" s="29" t="s">
        <v>2072</v>
      </c>
      <c r="C43" s="525">
        <v>7.5</v>
      </c>
      <c r="D43" s="114" t="s">
        <v>2066</v>
      </c>
      <c r="E43" s="114"/>
      <c r="F43" s="114"/>
      <c r="G43" s="114"/>
      <c r="H43" s="114"/>
      <c r="I43" s="114"/>
      <c r="J43" s="114"/>
      <c r="K43" s="114"/>
      <c r="L43" s="114"/>
      <c r="M43" s="114"/>
      <c r="N43" s="114"/>
      <c r="O43" s="114"/>
      <c r="P43" s="114"/>
      <c r="Q43" s="114"/>
      <c r="R43" s="114"/>
      <c r="S43" s="114"/>
      <c r="T43" s="114"/>
      <c r="U43" s="114"/>
      <c r="V43" s="114"/>
      <c r="W43" s="114"/>
      <c r="X43" s="114"/>
    </row>
    <row r="44" spans="1:24">
      <c r="A44" s="728"/>
      <c r="B44" s="29" t="s">
        <v>2069</v>
      </c>
      <c r="C44" s="525">
        <v>5.3</v>
      </c>
      <c r="D44" s="114" t="s">
        <v>2067</v>
      </c>
      <c r="E44" s="114"/>
      <c r="F44" s="114"/>
      <c r="G44" s="114"/>
      <c r="H44" s="114"/>
      <c r="I44" s="114"/>
      <c r="J44" s="114"/>
      <c r="K44" s="114"/>
      <c r="L44" s="114"/>
      <c r="M44" s="114"/>
      <c r="N44" s="114"/>
      <c r="O44" s="114"/>
      <c r="P44" s="114"/>
      <c r="Q44" s="114"/>
      <c r="R44" s="114"/>
      <c r="S44" s="114"/>
      <c r="T44" s="114"/>
      <c r="U44" s="114"/>
      <c r="V44" s="114"/>
      <c r="W44" s="114"/>
      <c r="X44" s="114"/>
    </row>
    <row r="45" spans="1:24">
      <c r="A45" s="728"/>
      <c r="B45" s="29" t="s">
        <v>2070</v>
      </c>
      <c r="C45" s="525">
        <v>0.7</v>
      </c>
      <c r="D45" s="114" t="s">
        <v>2067</v>
      </c>
      <c r="E45" s="114"/>
      <c r="F45" s="114"/>
      <c r="G45" s="114"/>
      <c r="H45" s="114"/>
      <c r="I45" s="114"/>
      <c r="J45" s="114"/>
      <c r="K45" s="114"/>
      <c r="L45" s="114"/>
      <c r="M45" s="114"/>
      <c r="N45" s="114"/>
      <c r="O45" s="114"/>
      <c r="P45" s="114"/>
      <c r="Q45" s="114"/>
      <c r="R45" s="114"/>
      <c r="S45" s="114"/>
      <c r="T45" s="114"/>
      <c r="U45" s="114"/>
      <c r="V45" s="114"/>
      <c r="W45" s="114"/>
      <c r="X45" s="114"/>
    </row>
    <row r="46" spans="1:24">
      <c r="A46" s="728"/>
      <c r="B46" s="29" t="s">
        <v>2071</v>
      </c>
      <c r="C46" s="525">
        <v>0.2</v>
      </c>
      <c r="D46" s="114" t="s">
        <v>2067</v>
      </c>
      <c r="E46" s="114"/>
      <c r="F46" s="114"/>
      <c r="G46" s="114"/>
      <c r="H46" s="114"/>
      <c r="I46" s="114"/>
      <c r="J46" s="114"/>
      <c r="K46" s="114"/>
      <c r="L46" s="114"/>
      <c r="M46" s="114"/>
      <c r="N46" s="114"/>
      <c r="O46" s="114"/>
      <c r="P46" s="114"/>
      <c r="Q46" s="114"/>
      <c r="R46" s="114"/>
      <c r="S46" s="114"/>
      <c r="T46" s="114"/>
      <c r="U46" s="114"/>
      <c r="V46" s="114"/>
      <c r="W46" s="114"/>
      <c r="X46" s="114"/>
    </row>
    <row r="47" spans="1:24" ht="25.5">
      <c r="A47" s="728" t="s">
        <v>48</v>
      </c>
      <c r="B47" s="29" t="s">
        <v>122</v>
      </c>
      <c r="C47" s="525">
        <v>7.5</v>
      </c>
      <c r="D47" s="114" t="s">
        <v>2066</v>
      </c>
      <c r="E47" s="114"/>
      <c r="F47" s="114"/>
      <c r="G47" s="114"/>
      <c r="H47" s="114"/>
      <c r="I47" s="114"/>
      <c r="J47" s="114"/>
      <c r="K47" s="114"/>
      <c r="L47" s="114"/>
      <c r="M47" s="114"/>
      <c r="N47" s="114"/>
      <c r="O47" s="114"/>
      <c r="P47" s="114"/>
      <c r="Q47" s="114"/>
      <c r="R47" s="114"/>
      <c r="S47" s="114"/>
      <c r="T47" s="114"/>
      <c r="U47" s="114"/>
      <c r="V47" s="114"/>
      <c r="W47" s="114"/>
      <c r="X47" s="114"/>
    </row>
    <row r="48" spans="1:24">
      <c r="A48" s="728"/>
      <c r="B48" s="29" t="s">
        <v>130</v>
      </c>
      <c r="C48" s="525">
        <v>0.8</v>
      </c>
      <c r="D48" s="114" t="s">
        <v>2067</v>
      </c>
      <c r="E48" s="114"/>
      <c r="F48" s="114"/>
      <c r="G48" s="114"/>
      <c r="H48" s="114"/>
      <c r="I48" s="114"/>
      <c r="J48" s="114"/>
      <c r="K48" s="114"/>
      <c r="L48" s="114"/>
      <c r="M48" s="114"/>
      <c r="N48" s="114"/>
      <c r="O48" s="114"/>
      <c r="P48" s="114"/>
      <c r="Q48" s="114"/>
      <c r="R48" s="114"/>
      <c r="S48" s="114"/>
      <c r="T48" s="114"/>
      <c r="U48" s="114"/>
      <c r="V48" s="114"/>
      <c r="W48" s="114"/>
      <c r="X48" s="114"/>
    </row>
    <row r="49" spans="1:24">
      <c r="A49" s="728"/>
      <c r="B49" s="29" t="s">
        <v>125</v>
      </c>
      <c r="C49" s="525">
        <v>0.7</v>
      </c>
      <c r="D49" s="114" t="s">
        <v>2067</v>
      </c>
      <c r="E49" s="114"/>
      <c r="F49" s="114"/>
      <c r="G49" s="114"/>
      <c r="H49" s="114"/>
      <c r="I49" s="114"/>
      <c r="J49" s="114"/>
      <c r="K49" s="114"/>
      <c r="L49" s="114"/>
      <c r="M49" s="114"/>
      <c r="N49" s="114"/>
      <c r="O49" s="114"/>
      <c r="P49" s="114"/>
      <c r="Q49" s="114"/>
      <c r="R49" s="114"/>
      <c r="S49" s="114"/>
      <c r="T49" s="114"/>
      <c r="U49" s="114"/>
      <c r="V49" s="114"/>
      <c r="W49" s="114"/>
      <c r="X49" s="114"/>
    </row>
    <row r="50" spans="1:24">
      <c r="A50" s="728" t="s">
        <v>90</v>
      </c>
      <c r="B50" s="29" t="s">
        <v>122</v>
      </c>
      <c r="C50" s="525">
        <v>1.8</v>
      </c>
      <c r="D50" s="114" t="s">
        <v>2066</v>
      </c>
      <c r="E50" s="114"/>
      <c r="F50" s="114"/>
      <c r="G50" s="114"/>
      <c r="H50" s="114"/>
      <c r="I50" s="114"/>
      <c r="J50" s="114"/>
      <c r="K50" s="114"/>
      <c r="L50" s="114"/>
      <c r="M50" s="114"/>
      <c r="N50" s="114"/>
      <c r="O50" s="114"/>
      <c r="P50" s="114"/>
      <c r="Q50" s="114"/>
      <c r="R50" s="114"/>
      <c r="S50" s="114"/>
      <c r="T50" s="114"/>
      <c r="U50" s="114"/>
      <c r="V50" s="114"/>
      <c r="W50" s="114"/>
      <c r="X50" s="114"/>
    </row>
    <row r="51" spans="1:24">
      <c r="A51" s="728" t="s">
        <v>94</v>
      </c>
      <c r="B51" s="29" t="s">
        <v>122</v>
      </c>
      <c r="C51" s="525">
        <v>7.5</v>
      </c>
      <c r="D51" s="114" t="s">
        <v>2066</v>
      </c>
      <c r="E51" s="114"/>
      <c r="F51" s="114"/>
      <c r="G51" s="114"/>
      <c r="H51" s="114"/>
      <c r="I51" s="114"/>
      <c r="J51" s="114"/>
      <c r="K51" s="114"/>
      <c r="L51" s="114"/>
      <c r="M51" s="114"/>
      <c r="N51" s="114"/>
      <c r="O51" s="114"/>
      <c r="P51" s="114"/>
      <c r="Q51" s="114"/>
      <c r="R51" s="114"/>
      <c r="S51" s="114"/>
      <c r="T51" s="114"/>
      <c r="U51" s="114"/>
      <c r="V51" s="114"/>
      <c r="W51" s="114"/>
      <c r="X51" s="114"/>
    </row>
    <row r="52" spans="1:24">
      <c r="A52" s="728"/>
      <c r="B52" s="29" t="s">
        <v>644</v>
      </c>
      <c r="C52" s="525">
        <v>0.8</v>
      </c>
      <c r="D52" s="114" t="s">
        <v>2073</v>
      </c>
      <c r="E52" s="114"/>
      <c r="F52" s="114"/>
      <c r="G52" s="114"/>
      <c r="H52" s="114"/>
      <c r="I52" s="114"/>
      <c r="J52" s="114"/>
      <c r="K52" s="114"/>
      <c r="L52" s="114"/>
      <c r="M52" s="114"/>
      <c r="N52" s="114"/>
      <c r="O52" s="114"/>
      <c r="P52" s="114"/>
      <c r="Q52" s="114"/>
      <c r="R52" s="114"/>
      <c r="S52" s="114"/>
      <c r="T52" s="114"/>
      <c r="U52" s="114"/>
      <c r="V52" s="114"/>
      <c r="W52" s="114"/>
      <c r="X52" s="114"/>
    </row>
    <row r="53" spans="1:24">
      <c r="A53" s="728"/>
      <c r="B53" s="29" t="s">
        <v>134</v>
      </c>
      <c r="C53" s="525">
        <v>3.7</v>
      </c>
      <c r="D53" s="114" t="s">
        <v>2074</v>
      </c>
      <c r="E53" s="114"/>
      <c r="F53" s="114"/>
      <c r="G53" s="114"/>
      <c r="H53" s="114"/>
      <c r="I53" s="114"/>
      <c r="J53" s="114"/>
      <c r="K53" s="114"/>
      <c r="L53" s="114"/>
      <c r="M53" s="114"/>
      <c r="N53" s="114"/>
      <c r="O53" s="114"/>
      <c r="P53" s="114"/>
      <c r="Q53" s="114"/>
      <c r="R53" s="114"/>
      <c r="S53" s="114"/>
      <c r="T53" s="114"/>
      <c r="U53" s="114"/>
      <c r="V53" s="114"/>
      <c r="W53" s="114"/>
      <c r="X53" s="114"/>
    </row>
    <row r="54" spans="1:24">
      <c r="A54" s="728" t="s">
        <v>60</v>
      </c>
      <c r="B54" s="29" t="s">
        <v>122</v>
      </c>
      <c r="C54" s="525">
        <v>5</v>
      </c>
      <c r="D54" s="114" t="s">
        <v>2066</v>
      </c>
      <c r="E54" s="114"/>
      <c r="F54" s="114"/>
      <c r="G54" s="114"/>
      <c r="H54" s="114"/>
      <c r="I54" s="114"/>
      <c r="J54" s="114"/>
      <c r="K54" s="114"/>
      <c r="L54" s="114"/>
      <c r="M54" s="114"/>
      <c r="N54" s="114"/>
      <c r="O54" s="114"/>
      <c r="P54" s="114"/>
      <c r="Q54" s="114"/>
      <c r="R54" s="114"/>
      <c r="S54" s="114"/>
      <c r="T54" s="114"/>
      <c r="U54" s="114"/>
      <c r="V54" s="114"/>
      <c r="W54" s="114"/>
      <c r="X54" s="114"/>
    </row>
    <row r="55" spans="1:24">
      <c r="A55" s="728"/>
      <c r="B55" s="29" t="s">
        <v>125</v>
      </c>
      <c r="C55" s="525">
        <v>3.9</v>
      </c>
      <c r="D55" s="114" t="s">
        <v>2067</v>
      </c>
      <c r="E55" s="114"/>
      <c r="F55" s="114"/>
      <c r="G55" s="114"/>
      <c r="H55" s="114"/>
      <c r="I55" s="114"/>
      <c r="J55" s="114"/>
      <c r="K55" s="114"/>
      <c r="L55" s="114"/>
      <c r="M55" s="114"/>
      <c r="N55" s="114"/>
      <c r="O55" s="114"/>
      <c r="P55" s="114"/>
      <c r="Q55" s="114"/>
      <c r="R55" s="114"/>
      <c r="S55" s="114"/>
      <c r="T55" s="114"/>
      <c r="U55" s="114"/>
      <c r="V55" s="114"/>
      <c r="W55" s="114"/>
      <c r="X55" s="114"/>
    </row>
    <row r="56" spans="1:24">
      <c r="A56" s="728" t="s">
        <v>66</v>
      </c>
      <c r="B56" s="29" t="s">
        <v>122</v>
      </c>
      <c r="C56" s="525">
        <v>11.7</v>
      </c>
      <c r="D56" s="114" t="s">
        <v>2066</v>
      </c>
      <c r="E56" s="114"/>
      <c r="F56" s="114"/>
      <c r="G56" s="114"/>
      <c r="H56" s="114"/>
      <c r="I56" s="114"/>
      <c r="J56" s="114"/>
      <c r="K56" s="114"/>
      <c r="L56" s="114"/>
      <c r="M56" s="114"/>
      <c r="N56" s="114"/>
      <c r="O56" s="114"/>
      <c r="P56" s="114"/>
      <c r="Q56" s="114"/>
      <c r="R56" s="114"/>
      <c r="S56" s="114"/>
      <c r="T56" s="114"/>
      <c r="U56" s="114"/>
      <c r="V56" s="114"/>
      <c r="W56" s="114"/>
      <c r="X56" s="114"/>
    </row>
    <row r="57" spans="1:24">
      <c r="A57" s="728"/>
      <c r="B57" s="29" t="s">
        <v>148</v>
      </c>
      <c r="C57" s="525">
        <v>37.700000000000003</v>
      </c>
      <c r="D57" s="114" t="s">
        <v>1603</v>
      </c>
      <c r="E57" s="114"/>
      <c r="F57" s="114"/>
      <c r="G57" s="114"/>
      <c r="H57" s="114"/>
      <c r="I57" s="114"/>
      <c r="J57" s="114"/>
      <c r="K57" s="114"/>
      <c r="L57" s="114"/>
      <c r="M57" s="114"/>
      <c r="N57" s="114"/>
      <c r="O57" s="114"/>
      <c r="P57" s="114"/>
      <c r="Q57" s="114"/>
      <c r="R57" s="114"/>
      <c r="S57" s="114"/>
      <c r="T57" s="114"/>
      <c r="U57" s="114"/>
      <c r="V57" s="114"/>
      <c r="W57" s="114"/>
      <c r="X57" s="114"/>
    </row>
    <row r="58" spans="1:24">
      <c r="A58" s="728"/>
      <c r="B58" s="29" t="s">
        <v>125</v>
      </c>
      <c r="C58" s="525">
        <v>4.3</v>
      </c>
      <c r="D58" s="114" t="s">
        <v>2067</v>
      </c>
      <c r="E58" s="114"/>
      <c r="F58" s="114"/>
      <c r="G58" s="114"/>
      <c r="H58" s="114"/>
      <c r="I58" s="114"/>
      <c r="J58" s="114"/>
      <c r="K58" s="114"/>
      <c r="L58" s="114"/>
      <c r="M58" s="114"/>
      <c r="N58" s="114"/>
      <c r="O58" s="114"/>
      <c r="P58" s="114"/>
      <c r="Q58" s="114"/>
      <c r="R58" s="114"/>
      <c r="S58" s="114"/>
      <c r="T58" s="114"/>
      <c r="U58" s="114"/>
      <c r="V58" s="114"/>
      <c r="W58" s="114"/>
      <c r="X58" s="114"/>
    </row>
    <row r="59" spans="1:24">
      <c r="A59" s="728" t="s">
        <v>72</v>
      </c>
      <c r="B59" s="29" t="s">
        <v>122</v>
      </c>
      <c r="C59" s="525">
        <v>7.5</v>
      </c>
      <c r="D59" s="114" t="s">
        <v>2066</v>
      </c>
      <c r="E59" s="114"/>
      <c r="F59" s="114"/>
      <c r="G59" s="114"/>
      <c r="H59" s="114"/>
      <c r="I59" s="114"/>
      <c r="J59" s="114"/>
      <c r="K59" s="114"/>
      <c r="L59" s="114"/>
      <c r="M59" s="114"/>
      <c r="N59" s="114"/>
      <c r="O59" s="114"/>
      <c r="P59" s="114"/>
      <c r="Q59" s="114"/>
      <c r="R59" s="114"/>
      <c r="S59" s="114"/>
      <c r="T59" s="114"/>
      <c r="U59" s="114"/>
      <c r="V59" s="114"/>
      <c r="W59" s="114"/>
      <c r="X59" s="114"/>
    </row>
    <row r="60" spans="1:24">
      <c r="A60" s="728"/>
      <c r="B60" s="29" t="s">
        <v>148</v>
      </c>
      <c r="C60" s="525">
        <v>10.9</v>
      </c>
      <c r="D60" s="114" t="s">
        <v>1603</v>
      </c>
      <c r="E60" s="114"/>
      <c r="F60" s="114"/>
      <c r="G60" s="114"/>
      <c r="H60" s="114"/>
      <c r="I60" s="114"/>
      <c r="J60" s="114"/>
      <c r="K60" s="114"/>
      <c r="L60" s="114"/>
      <c r="M60" s="114"/>
      <c r="N60" s="114"/>
      <c r="O60" s="114"/>
      <c r="P60" s="114"/>
      <c r="Q60" s="114"/>
      <c r="R60" s="114"/>
      <c r="S60" s="114"/>
      <c r="T60" s="114"/>
      <c r="U60" s="114"/>
      <c r="V60" s="114"/>
      <c r="W60" s="114"/>
      <c r="X60" s="114"/>
    </row>
    <row r="61" spans="1:24">
      <c r="A61" s="728"/>
      <c r="B61" s="29" t="s">
        <v>125</v>
      </c>
      <c r="C61" s="525">
        <v>8.1</v>
      </c>
      <c r="D61" s="114" t="s">
        <v>2075</v>
      </c>
      <c r="E61" s="114"/>
      <c r="F61" s="114"/>
      <c r="G61" s="114"/>
      <c r="H61" s="114"/>
      <c r="I61" s="114"/>
      <c r="J61" s="114"/>
      <c r="K61" s="114"/>
      <c r="L61" s="114"/>
      <c r="M61" s="114"/>
      <c r="N61" s="114"/>
      <c r="O61" s="114"/>
      <c r="P61" s="114"/>
      <c r="Q61" s="114"/>
      <c r="R61" s="114"/>
      <c r="S61" s="114"/>
      <c r="T61" s="114"/>
      <c r="U61" s="114"/>
      <c r="V61" s="114"/>
      <c r="W61" s="114"/>
      <c r="X61" s="114"/>
    </row>
    <row r="62" spans="1:24" ht="25.5">
      <c r="A62" s="728" t="s">
        <v>82</v>
      </c>
      <c r="B62" s="29" t="s">
        <v>122</v>
      </c>
      <c r="C62" s="525">
        <v>7.5</v>
      </c>
      <c r="D62" s="114" t="s">
        <v>2066</v>
      </c>
      <c r="E62" s="114"/>
      <c r="F62" s="114"/>
      <c r="G62" s="114"/>
      <c r="H62" s="114"/>
      <c r="I62" s="114"/>
      <c r="J62" s="114"/>
      <c r="K62" s="114"/>
      <c r="L62" s="114"/>
      <c r="M62" s="114"/>
      <c r="N62" s="114"/>
      <c r="O62" s="114"/>
      <c r="P62" s="114"/>
      <c r="Q62" s="114"/>
      <c r="R62" s="114"/>
      <c r="S62" s="114"/>
      <c r="T62" s="114"/>
      <c r="U62" s="114"/>
      <c r="V62" s="114"/>
      <c r="W62" s="114"/>
      <c r="X62" s="114"/>
    </row>
    <row r="63" spans="1:24">
      <c r="A63" s="728"/>
      <c r="B63" s="29" t="s">
        <v>199</v>
      </c>
      <c r="C63" s="525">
        <v>7.1</v>
      </c>
      <c r="D63" s="114" t="s">
        <v>2067</v>
      </c>
      <c r="E63" s="114"/>
      <c r="F63" s="114"/>
      <c r="G63" s="114"/>
      <c r="H63" s="114"/>
      <c r="I63" s="114"/>
      <c r="J63" s="114"/>
      <c r="K63" s="114"/>
      <c r="L63" s="114"/>
      <c r="M63" s="114"/>
      <c r="N63" s="114"/>
      <c r="O63" s="114"/>
      <c r="P63" s="114"/>
      <c r="Q63" s="114"/>
      <c r="R63" s="114"/>
      <c r="S63" s="114"/>
      <c r="T63" s="114"/>
      <c r="U63" s="114"/>
      <c r="V63" s="114"/>
      <c r="W63" s="114"/>
      <c r="X63" s="114"/>
    </row>
    <row r="64" spans="1:24">
      <c r="A64" s="728"/>
      <c r="B64" s="29" t="s">
        <v>125</v>
      </c>
      <c r="C64" s="525">
        <v>3.6</v>
      </c>
      <c r="D64" s="114" t="s">
        <v>2067</v>
      </c>
      <c r="E64" s="114"/>
      <c r="F64" s="114"/>
      <c r="G64" s="114"/>
      <c r="H64" s="114"/>
      <c r="I64" s="114"/>
      <c r="J64" s="114"/>
      <c r="K64" s="114"/>
      <c r="L64" s="114"/>
      <c r="M64" s="114"/>
      <c r="N64" s="114"/>
      <c r="O64" s="114"/>
      <c r="P64" s="114"/>
      <c r="Q64" s="114"/>
      <c r="R64" s="114"/>
      <c r="S64" s="114"/>
      <c r="T64" s="114"/>
      <c r="U64" s="114"/>
      <c r="V64" s="114"/>
      <c r="W64" s="114"/>
      <c r="X64" s="114"/>
    </row>
    <row r="65" spans="1:24">
      <c r="A65" s="728" t="s">
        <v>86</v>
      </c>
      <c r="B65" s="29" t="s">
        <v>122</v>
      </c>
      <c r="C65" s="525">
        <v>7.5</v>
      </c>
      <c r="D65" s="114" t="s">
        <v>2066</v>
      </c>
      <c r="E65" s="114"/>
      <c r="F65" s="114"/>
      <c r="G65" s="114"/>
      <c r="H65" s="114"/>
      <c r="I65" s="114"/>
      <c r="J65" s="114"/>
      <c r="K65" s="114"/>
      <c r="L65" s="114"/>
      <c r="M65" s="114"/>
      <c r="N65" s="114"/>
      <c r="O65" s="114"/>
      <c r="P65" s="114"/>
      <c r="Q65" s="114"/>
      <c r="R65" s="114"/>
      <c r="S65" s="114"/>
      <c r="T65" s="114"/>
      <c r="U65" s="114"/>
      <c r="V65" s="114"/>
      <c r="W65" s="114"/>
      <c r="X65" s="114"/>
    </row>
    <row r="66" spans="1:24">
      <c r="A66" s="728"/>
      <c r="B66" s="29" t="s">
        <v>130</v>
      </c>
      <c r="C66" s="525">
        <v>2</v>
      </c>
      <c r="D66" s="114" t="s">
        <v>2067</v>
      </c>
      <c r="E66" s="114"/>
      <c r="F66" s="114"/>
      <c r="G66" s="114"/>
      <c r="H66" s="114"/>
      <c r="I66" s="114"/>
      <c r="J66" s="114"/>
      <c r="K66" s="114"/>
      <c r="L66" s="114"/>
      <c r="M66" s="114"/>
      <c r="N66" s="114"/>
      <c r="O66" s="114"/>
      <c r="P66" s="114"/>
      <c r="Q66" s="114"/>
      <c r="R66" s="114"/>
      <c r="S66" s="114"/>
      <c r="T66" s="114"/>
      <c r="U66" s="114"/>
      <c r="V66" s="114"/>
      <c r="W66" s="114"/>
      <c r="X66" s="114"/>
    </row>
    <row r="67" spans="1:24">
      <c r="A67" s="728"/>
      <c r="B67" s="29" t="s">
        <v>161</v>
      </c>
      <c r="C67" s="525">
        <v>2</v>
      </c>
      <c r="D67" s="114" t="s">
        <v>2067</v>
      </c>
      <c r="E67" s="114"/>
      <c r="F67" s="114"/>
      <c r="G67" s="114"/>
      <c r="H67" s="114"/>
      <c r="I67" s="114"/>
      <c r="J67" s="114"/>
      <c r="K67" s="114"/>
      <c r="L67" s="114"/>
      <c r="M67" s="114"/>
      <c r="N67" s="114"/>
      <c r="O67" s="114"/>
      <c r="P67" s="114"/>
      <c r="Q67" s="114"/>
      <c r="R67" s="114"/>
      <c r="S67" s="114"/>
      <c r="T67" s="114"/>
      <c r="U67" s="114"/>
      <c r="V67" s="114"/>
      <c r="W67" s="114"/>
      <c r="X67" s="114"/>
    </row>
    <row r="68" spans="1:24">
      <c r="A68" s="728"/>
      <c r="B68" s="29" t="s">
        <v>125</v>
      </c>
      <c r="C68" s="525">
        <v>2</v>
      </c>
      <c r="D68" s="114" t="s">
        <v>2067</v>
      </c>
      <c r="E68" s="114"/>
      <c r="F68" s="114"/>
      <c r="G68" s="114"/>
      <c r="H68" s="114"/>
      <c r="I68" s="114"/>
      <c r="J68" s="114"/>
      <c r="K68" s="114"/>
      <c r="L68" s="114"/>
      <c r="M68" s="114"/>
      <c r="N68" s="114"/>
      <c r="O68" s="114"/>
      <c r="P68" s="114"/>
      <c r="Q68" s="114"/>
      <c r="R68" s="114"/>
      <c r="S68" s="114"/>
      <c r="T68" s="114"/>
      <c r="U68" s="114"/>
      <c r="V68" s="114"/>
      <c r="W68" s="114"/>
      <c r="X68" s="114"/>
    </row>
    <row r="69" spans="1:24">
      <c r="A69" s="728" t="s">
        <v>78</v>
      </c>
      <c r="B69" s="29" t="s">
        <v>122</v>
      </c>
      <c r="C69" s="525">
        <v>7.5</v>
      </c>
      <c r="D69" s="114" t="s">
        <v>2066</v>
      </c>
      <c r="E69" s="114"/>
      <c r="F69" s="114"/>
      <c r="G69" s="114"/>
      <c r="H69" s="114"/>
      <c r="I69" s="114"/>
      <c r="J69" s="114"/>
      <c r="K69" s="114"/>
      <c r="L69" s="114"/>
      <c r="M69" s="114"/>
      <c r="N69" s="114"/>
      <c r="O69" s="114"/>
      <c r="P69" s="114"/>
      <c r="Q69" s="114"/>
      <c r="R69" s="114"/>
      <c r="S69" s="114"/>
      <c r="T69" s="114"/>
      <c r="U69" s="114"/>
      <c r="V69" s="114"/>
      <c r="W69" s="114"/>
      <c r="X69" s="114"/>
    </row>
    <row r="70" spans="1:24">
      <c r="A70" s="728"/>
      <c r="B70" s="29" t="s">
        <v>130</v>
      </c>
      <c r="C70" s="525">
        <v>2.7</v>
      </c>
      <c r="D70" s="114" t="s">
        <v>2067</v>
      </c>
      <c r="E70" s="114"/>
      <c r="F70" s="114"/>
      <c r="G70" s="114"/>
      <c r="H70" s="114"/>
      <c r="I70" s="114"/>
      <c r="J70" s="114"/>
      <c r="K70" s="114"/>
      <c r="L70" s="114"/>
      <c r="M70" s="114"/>
      <c r="N70" s="114"/>
      <c r="O70" s="114"/>
      <c r="P70" s="114"/>
      <c r="Q70" s="114"/>
      <c r="R70" s="114"/>
      <c r="S70" s="114"/>
      <c r="T70" s="114"/>
      <c r="U70" s="114"/>
      <c r="V70" s="114"/>
      <c r="W70" s="114"/>
      <c r="X70" s="114"/>
    </row>
    <row r="71" spans="1:24">
      <c r="A71" s="728"/>
      <c r="B71" s="29" t="s">
        <v>125</v>
      </c>
      <c r="C71" s="525">
        <v>2.8</v>
      </c>
      <c r="D71" s="114" t="s">
        <v>2067</v>
      </c>
      <c r="E71" s="114"/>
      <c r="F71" s="114"/>
      <c r="G71" s="114"/>
      <c r="H71" s="114"/>
      <c r="I71" s="114"/>
      <c r="J71" s="114"/>
      <c r="K71" s="114"/>
      <c r="L71" s="114"/>
      <c r="M71" s="114"/>
      <c r="N71" s="114"/>
      <c r="O71" s="114"/>
      <c r="P71" s="114"/>
      <c r="Q71" s="114"/>
      <c r="R71" s="114"/>
      <c r="S71" s="114"/>
      <c r="T71" s="114"/>
      <c r="U71" s="114"/>
      <c r="V71" s="114"/>
      <c r="W71" s="114"/>
      <c r="X71" s="114"/>
    </row>
    <row r="72" spans="1:24">
      <c r="A72" s="728" t="s">
        <v>41</v>
      </c>
      <c r="B72" s="29" t="s">
        <v>2069</v>
      </c>
      <c r="C72" s="525">
        <v>53.4</v>
      </c>
      <c r="D72" s="114" t="s">
        <v>2076</v>
      </c>
      <c r="E72" s="114"/>
      <c r="F72" s="114"/>
      <c r="G72" s="114"/>
      <c r="H72" s="114"/>
      <c r="I72" s="114"/>
      <c r="J72" s="114"/>
      <c r="K72" s="114"/>
      <c r="L72" s="114"/>
      <c r="M72" s="114"/>
      <c r="N72" s="114"/>
      <c r="O72" s="114"/>
      <c r="P72" s="114"/>
      <c r="Q72" s="114"/>
      <c r="R72" s="114"/>
      <c r="S72" s="114"/>
      <c r="T72" s="114"/>
      <c r="U72" s="114"/>
      <c r="V72" s="114"/>
      <c r="W72" s="114"/>
      <c r="X72" s="114"/>
    </row>
    <row r="73" spans="1:24">
      <c r="A73" s="728"/>
      <c r="B73" s="29" t="s">
        <v>2070</v>
      </c>
      <c r="C73" s="525">
        <v>12.7</v>
      </c>
      <c r="D73" s="114" t="s">
        <v>2076</v>
      </c>
      <c r="E73" s="114"/>
      <c r="F73" s="114"/>
      <c r="G73" s="114"/>
      <c r="H73" s="114"/>
      <c r="I73" s="114"/>
      <c r="J73" s="114"/>
      <c r="K73" s="114"/>
      <c r="L73" s="114"/>
      <c r="M73" s="114"/>
      <c r="N73" s="114"/>
      <c r="O73" s="114"/>
      <c r="P73" s="114"/>
      <c r="Q73" s="114"/>
      <c r="R73" s="114"/>
      <c r="S73" s="114"/>
      <c r="T73" s="114"/>
      <c r="U73" s="114"/>
      <c r="V73" s="114"/>
      <c r="W73" s="114"/>
      <c r="X73" s="114"/>
    </row>
    <row r="74" spans="1:24">
      <c r="A74" s="728"/>
      <c r="B74" s="29" t="s">
        <v>2077</v>
      </c>
      <c r="C74" s="525">
        <v>7.8</v>
      </c>
      <c r="D74" s="114" t="s">
        <v>2076</v>
      </c>
      <c r="E74" s="114"/>
      <c r="F74" s="114"/>
      <c r="G74" s="114"/>
      <c r="H74" s="114"/>
      <c r="I74" s="114"/>
      <c r="J74" s="114"/>
      <c r="K74" s="114"/>
      <c r="L74" s="114"/>
      <c r="M74" s="114"/>
      <c r="N74" s="114"/>
      <c r="O74" s="114"/>
      <c r="P74" s="114"/>
      <c r="Q74" s="114"/>
      <c r="R74" s="114"/>
      <c r="S74" s="114"/>
      <c r="T74" s="114"/>
      <c r="U74" s="114"/>
      <c r="V74" s="114"/>
      <c r="W74" s="114"/>
      <c r="X74" s="114"/>
    </row>
    <row r="75" spans="1:24">
      <c r="A75" s="728" t="s">
        <v>28</v>
      </c>
      <c r="B75" s="29" t="s">
        <v>122</v>
      </c>
      <c r="C75" s="525">
        <v>13.3</v>
      </c>
      <c r="D75" s="114" t="s">
        <v>2066</v>
      </c>
      <c r="E75" s="114"/>
      <c r="F75" s="114"/>
      <c r="G75" s="114"/>
      <c r="H75" s="114"/>
      <c r="I75" s="114"/>
      <c r="J75" s="114"/>
      <c r="K75" s="114"/>
      <c r="L75" s="114"/>
      <c r="M75" s="114"/>
      <c r="N75" s="114"/>
      <c r="O75" s="114"/>
      <c r="P75" s="114"/>
      <c r="Q75" s="114"/>
      <c r="R75" s="114"/>
      <c r="S75" s="114"/>
      <c r="T75" s="114"/>
      <c r="U75" s="114"/>
      <c r="V75" s="114"/>
      <c r="W75" s="114"/>
      <c r="X75" s="114"/>
    </row>
    <row r="76" spans="1:24">
      <c r="A76" s="728"/>
      <c r="B76" s="29" t="s">
        <v>123</v>
      </c>
      <c r="C76" s="525">
        <v>15.7</v>
      </c>
      <c r="D76" s="114" t="s">
        <v>2067</v>
      </c>
      <c r="E76" s="114"/>
      <c r="F76" s="114"/>
      <c r="G76" s="114"/>
      <c r="H76" s="114"/>
      <c r="I76" s="114"/>
      <c r="J76" s="114"/>
      <c r="K76" s="114"/>
      <c r="L76" s="114"/>
      <c r="M76" s="114"/>
      <c r="N76" s="114"/>
      <c r="O76" s="114"/>
      <c r="P76" s="114"/>
      <c r="Q76" s="114"/>
      <c r="R76" s="114"/>
      <c r="S76" s="114"/>
      <c r="T76" s="114"/>
      <c r="U76" s="114"/>
      <c r="V76" s="114"/>
      <c r="W76" s="114"/>
      <c r="X76" s="114"/>
    </row>
    <row r="77" spans="1:24">
      <c r="A77" s="728"/>
      <c r="B77" s="29" t="s">
        <v>125</v>
      </c>
      <c r="C77" s="525">
        <v>11.2</v>
      </c>
      <c r="D77" s="114" t="s">
        <v>2067</v>
      </c>
      <c r="E77" s="114"/>
      <c r="F77" s="114"/>
      <c r="G77" s="114"/>
      <c r="H77" s="114"/>
      <c r="I77" s="114"/>
      <c r="J77" s="114"/>
      <c r="K77" s="114"/>
      <c r="L77" s="114"/>
      <c r="M77" s="114"/>
      <c r="N77" s="114"/>
      <c r="O77" s="114"/>
      <c r="P77" s="114"/>
      <c r="Q77" s="114"/>
      <c r="R77" s="114"/>
      <c r="S77" s="114"/>
      <c r="T77" s="114"/>
      <c r="U77" s="114"/>
      <c r="V77" s="114"/>
      <c r="W77" s="114"/>
      <c r="X77" s="114"/>
    </row>
    <row r="78" spans="1:24">
      <c r="A78" s="728" t="s">
        <v>49</v>
      </c>
      <c r="B78" s="29" t="s">
        <v>131</v>
      </c>
      <c r="C78" s="525">
        <v>63.6</v>
      </c>
      <c r="D78" s="114" t="s">
        <v>2067</v>
      </c>
      <c r="E78" s="114"/>
      <c r="F78" s="114"/>
      <c r="G78" s="114"/>
      <c r="H78" s="114"/>
      <c r="I78" s="114"/>
      <c r="J78" s="114"/>
      <c r="K78" s="114"/>
      <c r="L78" s="114"/>
      <c r="M78" s="114"/>
      <c r="N78" s="114"/>
      <c r="O78" s="114"/>
      <c r="P78" s="114"/>
      <c r="Q78" s="114"/>
      <c r="R78" s="114"/>
      <c r="S78" s="114"/>
      <c r="T78" s="114"/>
      <c r="U78" s="114"/>
      <c r="V78" s="114"/>
      <c r="W78" s="114"/>
      <c r="X78" s="114"/>
    </row>
    <row r="79" spans="1:24">
      <c r="A79" s="728"/>
      <c r="B79" s="29" t="s">
        <v>132</v>
      </c>
      <c r="C79" s="525">
        <v>16.399999999999999</v>
      </c>
      <c r="D79" s="114" t="s">
        <v>2067</v>
      </c>
      <c r="E79" s="114"/>
      <c r="F79" s="114"/>
      <c r="G79" s="114"/>
      <c r="H79" s="114"/>
      <c r="I79" s="114"/>
      <c r="J79" s="114"/>
      <c r="K79" s="114"/>
      <c r="L79" s="114"/>
      <c r="M79" s="114"/>
      <c r="N79" s="114"/>
      <c r="O79" s="114"/>
      <c r="P79" s="114"/>
      <c r="Q79" s="114"/>
      <c r="R79" s="114"/>
      <c r="S79" s="114"/>
      <c r="T79" s="114"/>
      <c r="U79" s="114"/>
      <c r="V79" s="114"/>
      <c r="W79" s="114"/>
      <c r="X79" s="114"/>
    </row>
    <row r="80" spans="1:24">
      <c r="A80" s="728"/>
      <c r="B80" s="29" t="s">
        <v>858</v>
      </c>
      <c r="C80" s="525">
        <v>4.4000000000000004</v>
      </c>
      <c r="D80" s="114" t="s">
        <v>2067</v>
      </c>
      <c r="E80" s="114"/>
      <c r="F80" s="114"/>
      <c r="G80" s="114"/>
      <c r="H80" s="114"/>
      <c r="I80" s="114"/>
      <c r="J80" s="114"/>
      <c r="K80" s="114"/>
      <c r="L80" s="114"/>
      <c r="M80" s="114"/>
      <c r="N80" s="114"/>
      <c r="O80" s="114"/>
      <c r="P80" s="114"/>
      <c r="Q80" s="114"/>
      <c r="R80" s="114"/>
      <c r="S80" s="114"/>
      <c r="T80" s="114"/>
      <c r="U80" s="114"/>
      <c r="V80" s="114"/>
      <c r="W80" s="114"/>
      <c r="X80" s="114"/>
    </row>
    <row r="81" spans="1:24">
      <c r="A81" s="728"/>
      <c r="B81" s="29" t="s">
        <v>134</v>
      </c>
      <c r="C81" s="525">
        <v>2.5</v>
      </c>
      <c r="D81" s="114" t="s">
        <v>2067</v>
      </c>
      <c r="E81" s="114"/>
      <c r="F81" s="114"/>
      <c r="G81" s="114"/>
      <c r="H81" s="114"/>
      <c r="I81" s="114"/>
      <c r="J81" s="114"/>
      <c r="K81" s="114"/>
      <c r="L81" s="114"/>
      <c r="M81" s="114"/>
      <c r="N81" s="114"/>
      <c r="O81" s="114"/>
      <c r="P81" s="114"/>
      <c r="Q81" s="114"/>
      <c r="R81" s="114"/>
      <c r="S81" s="114"/>
      <c r="T81" s="114"/>
      <c r="U81" s="114"/>
      <c r="V81" s="114"/>
      <c r="W81" s="114"/>
      <c r="X81" s="114"/>
    </row>
    <row r="82" spans="1:24">
      <c r="A82" s="728" t="s">
        <v>42</v>
      </c>
      <c r="B82" s="29" t="s">
        <v>2068</v>
      </c>
      <c r="C82" s="525">
        <v>7.5</v>
      </c>
      <c r="D82" s="114" t="s">
        <v>2066</v>
      </c>
      <c r="E82" s="114"/>
      <c r="F82" s="114"/>
      <c r="G82" s="114"/>
      <c r="H82" s="114"/>
      <c r="I82" s="114"/>
      <c r="J82" s="114"/>
      <c r="K82" s="114"/>
      <c r="L82" s="114"/>
      <c r="M82" s="114"/>
      <c r="N82" s="114"/>
      <c r="O82" s="114"/>
      <c r="P82" s="114"/>
      <c r="Q82" s="114"/>
      <c r="R82" s="114"/>
      <c r="S82" s="114"/>
      <c r="T82" s="114"/>
      <c r="U82" s="114"/>
      <c r="V82" s="114"/>
      <c r="W82" s="114"/>
      <c r="X82" s="114"/>
    </row>
    <row r="83" spans="1:24">
      <c r="A83" s="728"/>
      <c r="B83" s="29" t="s">
        <v>130</v>
      </c>
      <c r="C83" s="525">
        <v>7.2</v>
      </c>
      <c r="D83" s="114" t="s">
        <v>2067</v>
      </c>
      <c r="E83" s="114"/>
      <c r="F83" s="114"/>
      <c r="G83" s="114"/>
      <c r="H83" s="114"/>
      <c r="I83" s="114"/>
      <c r="J83" s="114"/>
      <c r="K83" s="114"/>
      <c r="L83" s="114"/>
      <c r="M83" s="114"/>
      <c r="N83" s="114"/>
      <c r="O83" s="114"/>
      <c r="P83" s="114"/>
      <c r="Q83" s="114"/>
      <c r="R83" s="114"/>
      <c r="S83" s="114"/>
      <c r="T83" s="114"/>
      <c r="U83" s="114"/>
      <c r="V83" s="114"/>
      <c r="W83" s="114"/>
      <c r="X83" s="114"/>
    </row>
    <row r="84" spans="1:24">
      <c r="A84" s="728"/>
      <c r="B84" s="29" t="s">
        <v>148</v>
      </c>
      <c r="C84" s="525">
        <v>6.8</v>
      </c>
      <c r="D84" s="114" t="s">
        <v>2067</v>
      </c>
      <c r="E84" s="114"/>
      <c r="F84" s="114"/>
      <c r="G84" s="114"/>
      <c r="H84" s="114"/>
      <c r="I84" s="114"/>
      <c r="J84" s="114"/>
      <c r="K84" s="114"/>
      <c r="L84" s="114"/>
      <c r="M84" s="114"/>
      <c r="N84" s="114"/>
      <c r="O84" s="114"/>
      <c r="P84" s="114"/>
      <c r="Q84" s="114"/>
      <c r="R84" s="114"/>
      <c r="S84" s="114"/>
      <c r="T84" s="114"/>
      <c r="U84" s="114"/>
      <c r="V84" s="114"/>
      <c r="W84" s="114"/>
      <c r="X84" s="114"/>
    </row>
    <row r="85" spans="1:24">
      <c r="A85" s="728"/>
      <c r="B85" s="29" t="s">
        <v>125</v>
      </c>
      <c r="C85" s="525">
        <v>4.7</v>
      </c>
      <c r="D85" s="114" t="s">
        <v>2067</v>
      </c>
      <c r="E85" s="114"/>
      <c r="F85" s="114"/>
      <c r="G85" s="114"/>
      <c r="H85" s="114"/>
      <c r="I85" s="114"/>
      <c r="J85" s="114"/>
      <c r="K85" s="114"/>
      <c r="L85" s="114"/>
      <c r="M85" s="114"/>
      <c r="N85" s="114"/>
      <c r="O85" s="114"/>
      <c r="P85" s="114"/>
      <c r="Q85" s="114"/>
      <c r="R85" s="114"/>
      <c r="S85" s="114"/>
      <c r="T85" s="114"/>
      <c r="U85" s="114"/>
      <c r="V85" s="114"/>
      <c r="W85" s="114"/>
      <c r="X85" s="114"/>
    </row>
    <row r="86" spans="1:24">
      <c r="A86" s="728" t="s">
        <v>1583</v>
      </c>
      <c r="B86" s="29" t="s">
        <v>122</v>
      </c>
      <c r="C86" s="525">
        <v>7.5</v>
      </c>
      <c r="D86" s="114" t="s">
        <v>2066</v>
      </c>
      <c r="E86" s="114"/>
      <c r="F86" s="114"/>
      <c r="G86" s="114"/>
      <c r="H86" s="114"/>
      <c r="I86" s="114"/>
      <c r="J86" s="114"/>
      <c r="K86" s="114"/>
      <c r="L86" s="114"/>
      <c r="M86" s="114"/>
      <c r="N86" s="114"/>
      <c r="O86" s="114"/>
      <c r="P86" s="114"/>
      <c r="Q86" s="114"/>
      <c r="R86" s="114"/>
      <c r="S86" s="114"/>
      <c r="T86" s="114"/>
      <c r="U86" s="114"/>
      <c r="V86" s="114"/>
      <c r="W86" s="114"/>
      <c r="X86" s="114"/>
    </row>
    <row r="87" spans="1:24">
      <c r="A87" s="728"/>
      <c r="B87" s="29" t="s">
        <v>126</v>
      </c>
      <c r="C87" s="525">
        <v>18.7</v>
      </c>
      <c r="D87" s="114" t="s">
        <v>2067</v>
      </c>
      <c r="E87" s="114"/>
      <c r="F87" s="114"/>
      <c r="G87" s="114"/>
      <c r="H87" s="114"/>
      <c r="I87" s="114"/>
      <c r="J87" s="114"/>
      <c r="K87" s="114"/>
      <c r="L87" s="114"/>
      <c r="M87" s="114"/>
      <c r="N87" s="114"/>
      <c r="O87" s="114"/>
      <c r="P87" s="114"/>
      <c r="Q87" s="114"/>
      <c r="R87" s="114"/>
      <c r="S87" s="114"/>
      <c r="T87" s="114"/>
      <c r="U87" s="114"/>
      <c r="V87" s="114"/>
      <c r="W87" s="114"/>
      <c r="X87" s="114"/>
    </row>
    <row r="88" spans="1:24">
      <c r="A88" s="728"/>
      <c r="B88" s="29" t="s">
        <v>148</v>
      </c>
      <c r="C88" s="525">
        <v>15.2</v>
      </c>
      <c r="D88" s="114" t="s">
        <v>2067</v>
      </c>
      <c r="E88" s="114"/>
      <c r="F88" s="114"/>
      <c r="G88" s="114"/>
      <c r="H88" s="114"/>
      <c r="I88" s="114"/>
      <c r="J88" s="114"/>
      <c r="K88" s="114"/>
      <c r="L88" s="114"/>
      <c r="M88" s="114"/>
      <c r="N88" s="114"/>
      <c r="O88" s="114"/>
      <c r="P88" s="114"/>
      <c r="Q88" s="114"/>
      <c r="R88" s="114"/>
      <c r="S88" s="114"/>
      <c r="T88" s="114"/>
      <c r="U88" s="114"/>
      <c r="V88" s="114"/>
      <c r="W88" s="114"/>
      <c r="X88" s="114"/>
    </row>
    <row r="89" spans="1:24">
      <c r="A89" s="728"/>
      <c r="B89" s="29" t="s">
        <v>125</v>
      </c>
      <c r="C89" s="525">
        <v>6.6</v>
      </c>
      <c r="D89" s="114" t="s">
        <v>2067</v>
      </c>
      <c r="E89" s="114"/>
      <c r="F89" s="114"/>
      <c r="G89" s="114"/>
      <c r="H89" s="114"/>
      <c r="I89" s="114"/>
      <c r="J89" s="114"/>
      <c r="K89" s="114"/>
      <c r="L89" s="114"/>
      <c r="M89" s="114"/>
      <c r="N89" s="114"/>
      <c r="O89" s="114"/>
      <c r="P89" s="114"/>
      <c r="Q89" s="114"/>
      <c r="R89" s="114"/>
      <c r="S89" s="114"/>
      <c r="T89" s="114"/>
      <c r="U89" s="114"/>
      <c r="V89" s="114"/>
      <c r="W89" s="114"/>
      <c r="X89" s="114"/>
    </row>
    <row r="90" spans="1:24">
      <c r="A90" s="728" t="s">
        <v>61</v>
      </c>
      <c r="B90" s="29" t="s">
        <v>130</v>
      </c>
      <c r="C90" s="525">
        <v>8.1</v>
      </c>
      <c r="D90" s="114" t="s">
        <v>2067</v>
      </c>
      <c r="E90" s="114"/>
      <c r="F90" s="114"/>
      <c r="G90" s="114"/>
      <c r="H90" s="114"/>
      <c r="I90" s="114"/>
      <c r="J90" s="114"/>
      <c r="K90" s="114"/>
      <c r="L90" s="114"/>
      <c r="M90" s="114"/>
      <c r="N90" s="114"/>
      <c r="O90" s="114"/>
      <c r="P90" s="114"/>
      <c r="Q90" s="114"/>
      <c r="R90" s="114"/>
      <c r="S90" s="114"/>
      <c r="T90" s="114"/>
      <c r="U90" s="114"/>
      <c r="V90" s="114"/>
      <c r="W90" s="114"/>
      <c r="X90" s="114"/>
    </row>
    <row r="91" spans="1:24">
      <c r="A91" s="728"/>
      <c r="B91" s="29" t="s">
        <v>125</v>
      </c>
      <c r="C91" s="525">
        <v>31.9</v>
      </c>
      <c r="D91" s="114" t="s">
        <v>2067</v>
      </c>
      <c r="E91" s="114"/>
      <c r="F91" s="114"/>
      <c r="G91" s="114"/>
      <c r="H91" s="114"/>
      <c r="I91" s="114"/>
      <c r="J91" s="114"/>
      <c r="K91" s="114"/>
      <c r="L91" s="114"/>
      <c r="M91" s="114"/>
      <c r="N91" s="114"/>
      <c r="O91" s="114"/>
      <c r="P91" s="114"/>
      <c r="Q91" s="114"/>
      <c r="R91" s="114"/>
      <c r="S91" s="114"/>
      <c r="T91" s="114"/>
      <c r="U91" s="114"/>
      <c r="V91" s="114"/>
      <c r="W91" s="114"/>
      <c r="X91" s="114"/>
    </row>
    <row r="92" spans="1:24">
      <c r="A92" s="728" t="s">
        <v>79</v>
      </c>
      <c r="B92" s="29" t="s">
        <v>122</v>
      </c>
      <c r="C92" s="525">
        <v>12</v>
      </c>
      <c r="D92" s="114" t="s">
        <v>2066</v>
      </c>
      <c r="E92" s="114"/>
      <c r="F92" s="114"/>
      <c r="G92" s="114"/>
      <c r="H92" s="114"/>
      <c r="I92" s="114"/>
      <c r="J92" s="114"/>
      <c r="K92" s="114"/>
      <c r="L92" s="114"/>
      <c r="M92" s="114"/>
      <c r="N92" s="114"/>
      <c r="O92" s="114"/>
      <c r="P92" s="114"/>
      <c r="Q92" s="114"/>
      <c r="R92" s="114"/>
      <c r="S92" s="114"/>
      <c r="T92" s="114"/>
      <c r="U92" s="114"/>
      <c r="V92" s="114"/>
      <c r="W92" s="114"/>
      <c r="X92" s="114"/>
    </row>
    <row r="93" spans="1:24">
      <c r="A93" s="728"/>
      <c r="B93" s="29" t="s">
        <v>2078</v>
      </c>
      <c r="C93" s="525">
        <v>10.9</v>
      </c>
      <c r="D93" s="114" t="s">
        <v>2067</v>
      </c>
      <c r="E93" s="114"/>
      <c r="F93" s="114"/>
      <c r="G93" s="114"/>
      <c r="H93" s="114"/>
      <c r="I93" s="114"/>
      <c r="J93" s="114"/>
      <c r="K93" s="114"/>
      <c r="L93" s="114"/>
      <c r="M93" s="114"/>
      <c r="N93" s="114"/>
      <c r="O93" s="114"/>
      <c r="P93" s="114"/>
      <c r="Q93" s="114"/>
      <c r="R93" s="114"/>
      <c r="S93" s="114"/>
      <c r="T93" s="114"/>
      <c r="U93" s="114"/>
      <c r="V93" s="114"/>
      <c r="W93" s="114"/>
      <c r="X93" s="114"/>
    </row>
    <row r="94" spans="1:24">
      <c r="A94" s="728"/>
      <c r="B94" s="29" t="s">
        <v>2071</v>
      </c>
      <c r="C94" s="525">
        <v>4.3</v>
      </c>
      <c r="D94" s="114" t="s">
        <v>2067</v>
      </c>
      <c r="E94" s="114"/>
      <c r="F94" s="114"/>
      <c r="G94" s="114"/>
      <c r="H94" s="114"/>
      <c r="I94" s="114"/>
      <c r="J94" s="114"/>
      <c r="K94" s="114"/>
      <c r="L94" s="114"/>
      <c r="M94" s="114"/>
      <c r="N94" s="114"/>
      <c r="O94" s="114"/>
      <c r="P94" s="114"/>
      <c r="Q94" s="114"/>
      <c r="R94" s="114"/>
      <c r="S94" s="114"/>
      <c r="T94" s="114"/>
      <c r="U94" s="114"/>
      <c r="V94" s="114"/>
      <c r="W94" s="114"/>
      <c r="X94" s="114"/>
    </row>
    <row r="95" spans="1:24">
      <c r="A95" s="728" t="s">
        <v>83</v>
      </c>
      <c r="B95" s="29" t="s">
        <v>122</v>
      </c>
      <c r="C95" s="525">
        <v>7.5</v>
      </c>
      <c r="D95" s="114" t="s">
        <v>2066</v>
      </c>
      <c r="E95" s="114"/>
      <c r="F95" s="114"/>
      <c r="G95" s="114"/>
      <c r="H95" s="114"/>
      <c r="I95" s="114"/>
      <c r="J95" s="114"/>
      <c r="K95" s="114"/>
      <c r="L95" s="114"/>
      <c r="M95" s="114"/>
      <c r="N95" s="114"/>
      <c r="O95" s="114"/>
      <c r="P95" s="114"/>
      <c r="Q95" s="114"/>
      <c r="R95" s="114"/>
      <c r="S95" s="114"/>
      <c r="T95" s="114"/>
      <c r="U95" s="114"/>
      <c r="V95" s="114"/>
      <c r="W95" s="114"/>
      <c r="X95" s="114"/>
    </row>
    <row r="96" spans="1:24">
      <c r="A96" s="728"/>
      <c r="B96" s="29" t="s">
        <v>2078</v>
      </c>
      <c r="C96" s="525">
        <v>7.5</v>
      </c>
      <c r="D96" s="114" t="s">
        <v>2066</v>
      </c>
      <c r="E96" s="114"/>
      <c r="F96" s="114"/>
      <c r="G96" s="114"/>
      <c r="H96" s="114"/>
      <c r="I96" s="114"/>
      <c r="J96" s="114"/>
      <c r="K96" s="114"/>
      <c r="L96" s="114"/>
      <c r="M96" s="114"/>
      <c r="N96" s="114"/>
      <c r="O96" s="114"/>
      <c r="P96" s="114"/>
      <c r="Q96" s="114"/>
      <c r="R96" s="114"/>
      <c r="S96" s="114"/>
      <c r="T96" s="114"/>
      <c r="U96" s="114"/>
      <c r="V96" s="114"/>
      <c r="W96" s="114"/>
      <c r="X96" s="114"/>
    </row>
    <row r="97" spans="1:24">
      <c r="A97" s="728"/>
      <c r="B97" s="29" t="s">
        <v>148</v>
      </c>
      <c r="C97" s="525">
        <v>7.5</v>
      </c>
      <c r="D97" s="114" t="s">
        <v>2066</v>
      </c>
      <c r="E97" s="114"/>
      <c r="F97" s="114"/>
      <c r="G97" s="114"/>
      <c r="H97" s="114"/>
      <c r="I97" s="114"/>
      <c r="J97" s="114"/>
      <c r="K97" s="114"/>
      <c r="L97" s="114"/>
      <c r="M97" s="114"/>
      <c r="N97" s="114"/>
      <c r="O97" s="114"/>
      <c r="P97" s="114"/>
      <c r="Q97" s="114"/>
      <c r="R97" s="114"/>
      <c r="S97" s="114"/>
      <c r="T97" s="114"/>
      <c r="U97" s="114"/>
      <c r="V97" s="114"/>
      <c r="W97" s="114"/>
      <c r="X97" s="114"/>
    </row>
    <row r="98" spans="1:24">
      <c r="A98" s="728"/>
      <c r="B98" s="29" t="s">
        <v>2071</v>
      </c>
      <c r="C98" s="525">
        <v>7.5</v>
      </c>
      <c r="D98" s="114" t="s">
        <v>2066</v>
      </c>
      <c r="E98" s="114"/>
      <c r="F98" s="114"/>
      <c r="G98" s="114"/>
      <c r="H98" s="114"/>
      <c r="I98" s="114"/>
      <c r="J98" s="114"/>
      <c r="K98" s="114"/>
      <c r="L98" s="114"/>
      <c r="M98" s="114"/>
      <c r="N98" s="114"/>
      <c r="O98" s="114"/>
      <c r="P98" s="114"/>
      <c r="Q98" s="114"/>
      <c r="R98" s="114"/>
      <c r="S98" s="114"/>
      <c r="T98" s="114"/>
      <c r="U98" s="114"/>
      <c r="V98" s="114"/>
      <c r="W98" s="114"/>
      <c r="X98" s="114"/>
    </row>
    <row r="99" spans="1:24">
      <c r="A99" s="728" t="s">
        <v>67</v>
      </c>
      <c r="B99" s="29" t="s">
        <v>135</v>
      </c>
      <c r="C99" s="525">
        <v>7.7</v>
      </c>
      <c r="D99" s="114" t="s">
        <v>2067</v>
      </c>
      <c r="E99" s="114"/>
      <c r="F99" s="114"/>
      <c r="G99" s="114"/>
      <c r="H99" s="114"/>
      <c r="I99" s="114"/>
      <c r="J99" s="114"/>
      <c r="K99" s="114"/>
      <c r="L99" s="114"/>
      <c r="M99" s="114"/>
      <c r="N99" s="114"/>
      <c r="O99" s="114"/>
      <c r="P99" s="114"/>
      <c r="Q99" s="114"/>
      <c r="R99" s="114"/>
      <c r="S99" s="114"/>
      <c r="T99" s="114"/>
      <c r="U99" s="114"/>
      <c r="V99" s="114"/>
      <c r="W99" s="114"/>
      <c r="X99" s="114"/>
    </row>
    <row r="100" spans="1:24">
      <c r="A100" s="728" t="s">
        <v>2079</v>
      </c>
      <c r="B100" s="29" t="s">
        <v>123</v>
      </c>
      <c r="C100" s="525">
        <v>1.6</v>
      </c>
      <c r="D100" s="114" t="s">
        <v>2067</v>
      </c>
      <c r="E100" s="114"/>
      <c r="F100" s="114"/>
      <c r="G100" s="114"/>
      <c r="H100" s="114"/>
      <c r="I100" s="114"/>
      <c r="J100" s="114"/>
      <c r="K100" s="114"/>
      <c r="L100" s="114"/>
      <c r="M100" s="114"/>
      <c r="N100" s="114"/>
      <c r="O100" s="114"/>
      <c r="P100" s="114"/>
      <c r="Q100" s="114"/>
      <c r="R100" s="114"/>
      <c r="S100" s="114"/>
      <c r="T100" s="114"/>
      <c r="U100" s="114"/>
      <c r="V100" s="114"/>
      <c r="W100" s="114"/>
      <c r="X100" s="114"/>
    </row>
    <row r="101" spans="1:24">
      <c r="A101" s="728"/>
      <c r="B101" s="29" t="s">
        <v>134</v>
      </c>
      <c r="C101" s="525">
        <v>1.4</v>
      </c>
      <c r="D101" s="114" t="s">
        <v>2067</v>
      </c>
      <c r="E101" s="114"/>
      <c r="F101" s="114"/>
      <c r="G101" s="114"/>
      <c r="H101" s="114"/>
      <c r="I101" s="114"/>
      <c r="J101" s="114"/>
      <c r="K101" s="114"/>
      <c r="L101" s="114"/>
      <c r="M101" s="114"/>
      <c r="N101" s="114"/>
      <c r="O101" s="114"/>
      <c r="P101" s="114"/>
      <c r="Q101" s="114"/>
      <c r="R101" s="114"/>
      <c r="S101" s="114"/>
      <c r="T101" s="114"/>
      <c r="U101" s="114"/>
      <c r="V101" s="114"/>
      <c r="W101" s="114"/>
      <c r="X101" s="114"/>
    </row>
    <row r="102" spans="1:24">
      <c r="A102" s="728" t="s">
        <v>55</v>
      </c>
      <c r="B102" s="29" t="s">
        <v>130</v>
      </c>
      <c r="C102" s="525">
        <v>10</v>
      </c>
      <c r="D102" s="114" t="s">
        <v>2067</v>
      </c>
      <c r="E102" s="114"/>
      <c r="F102" s="114"/>
      <c r="G102" s="114"/>
      <c r="H102" s="114"/>
      <c r="I102" s="114"/>
      <c r="J102" s="114"/>
      <c r="K102" s="114"/>
      <c r="L102" s="114"/>
      <c r="M102" s="114"/>
      <c r="N102" s="114"/>
      <c r="O102" s="114"/>
      <c r="P102" s="114"/>
      <c r="Q102" s="114"/>
      <c r="R102" s="114"/>
      <c r="S102" s="114"/>
      <c r="T102" s="114"/>
      <c r="U102" s="114"/>
      <c r="V102" s="114"/>
      <c r="W102" s="114"/>
      <c r="X102" s="114"/>
    </row>
    <row r="103" spans="1:24">
      <c r="A103" s="728"/>
      <c r="B103" s="29" t="s">
        <v>134</v>
      </c>
      <c r="C103" s="525">
        <v>8.3000000000000007</v>
      </c>
      <c r="D103" s="114" t="s">
        <v>2067</v>
      </c>
      <c r="E103" s="114"/>
      <c r="F103" s="114"/>
      <c r="G103" s="114"/>
      <c r="H103" s="114"/>
      <c r="I103" s="114"/>
      <c r="J103" s="114"/>
      <c r="K103" s="114"/>
      <c r="L103" s="114"/>
      <c r="M103" s="114"/>
      <c r="N103" s="114"/>
      <c r="O103" s="114"/>
      <c r="P103" s="114"/>
      <c r="Q103" s="114"/>
      <c r="R103" s="114"/>
      <c r="S103" s="114"/>
      <c r="T103" s="114"/>
      <c r="U103" s="114"/>
      <c r="V103" s="114"/>
      <c r="W103" s="114"/>
      <c r="X103" s="114"/>
    </row>
    <row r="104" spans="1:24">
      <c r="A104" s="728" t="s">
        <v>136</v>
      </c>
      <c r="B104" s="29" t="s">
        <v>137</v>
      </c>
      <c r="C104" s="525">
        <v>8.5</v>
      </c>
      <c r="D104" s="114" t="s">
        <v>2067</v>
      </c>
      <c r="E104" s="114"/>
      <c r="F104" s="114"/>
      <c r="G104" s="114"/>
      <c r="H104" s="114"/>
      <c r="I104" s="114"/>
      <c r="J104" s="114"/>
      <c r="K104" s="114"/>
      <c r="L104" s="114"/>
      <c r="M104" s="114"/>
      <c r="N104" s="114"/>
      <c r="O104" s="114"/>
      <c r="P104" s="114"/>
      <c r="Q104" s="114"/>
      <c r="R104" s="114"/>
      <c r="S104" s="114"/>
      <c r="T104" s="114"/>
      <c r="U104" s="114"/>
      <c r="V104" s="114"/>
      <c r="W104" s="114"/>
      <c r="X104" s="114"/>
    </row>
    <row r="105" spans="1:24">
      <c r="A105" s="728" t="s">
        <v>91</v>
      </c>
      <c r="B105" s="29" t="s">
        <v>142</v>
      </c>
      <c r="C105" s="525">
        <v>5.9</v>
      </c>
      <c r="D105" s="114" t="s">
        <v>2067</v>
      </c>
      <c r="E105" s="114"/>
      <c r="F105" s="114"/>
      <c r="G105" s="114"/>
      <c r="H105" s="114"/>
      <c r="I105" s="114"/>
      <c r="J105" s="114"/>
      <c r="K105" s="114"/>
      <c r="L105" s="114"/>
      <c r="M105" s="114"/>
      <c r="N105" s="114"/>
      <c r="O105" s="114"/>
      <c r="P105" s="114"/>
      <c r="Q105" s="114"/>
      <c r="R105" s="114"/>
      <c r="S105" s="114"/>
      <c r="T105" s="114"/>
      <c r="U105" s="114"/>
      <c r="V105" s="114"/>
      <c r="W105" s="114"/>
      <c r="X105" s="114"/>
    </row>
    <row r="106" spans="1:24">
      <c r="A106" s="728"/>
      <c r="B106" s="29" t="s">
        <v>134</v>
      </c>
      <c r="C106" s="525">
        <v>3.6</v>
      </c>
      <c r="D106" s="114" t="s">
        <v>2067</v>
      </c>
      <c r="E106" s="114"/>
      <c r="F106" s="114"/>
      <c r="G106" s="114"/>
      <c r="H106" s="114"/>
      <c r="I106" s="114"/>
      <c r="J106" s="114"/>
      <c r="K106" s="114"/>
      <c r="L106" s="114"/>
      <c r="M106" s="114"/>
      <c r="N106" s="114"/>
      <c r="O106" s="114"/>
      <c r="P106" s="114"/>
      <c r="Q106" s="114"/>
      <c r="R106" s="114"/>
      <c r="S106" s="114"/>
      <c r="T106" s="114"/>
      <c r="U106" s="114"/>
      <c r="V106" s="114"/>
      <c r="W106" s="114"/>
      <c r="X106" s="114"/>
    </row>
    <row r="107" spans="1:24">
      <c r="A107" s="728" t="s">
        <v>179</v>
      </c>
      <c r="B107" s="29" t="s">
        <v>178</v>
      </c>
      <c r="C107" s="525">
        <v>1.2</v>
      </c>
      <c r="D107" s="114" t="s">
        <v>2067</v>
      </c>
      <c r="E107" s="114"/>
      <c r="F107" s="114"/>
      <c r="G107" s="114"/>
      <c r="H107" s="114"/>
      <c r="I107" s="114"/>
      <c r="J107" s="114"/>
      <c r="K107" s="114"/>
      <c r="L107" s="114"/>
      <c r="M107" s="114"/>
      <c r="N107" s="114"/>
      <c r="O107" s="114"/>
      <c r="P107" s="114"/>
      <c r="Q107" s="114"/>
      <c r="R107" s="114"/>
      <c r="S107" s="114"/>
      <c r="T107" s="114"/>
      <c r="U107" s="114"/>
      <c r="V107" s="114"/>
      <c r="W107" s="114"/>
      <c r="X107" s="114"/>
    </row>
    <row r="108" spans="1:24">
      <c r="A108" s="728"/>
      <c r="B108" s="29" t="s">
        <v>123</v>
      </c>
      <c r="C108" s="525">
        <v>9</v>
      </c>
      <c r="D108" s="114" t="s">
        <v>2067</v>
      </c>
      <c r="E108" s="114"/>
      <c r="F108" s="114"/>
      <c r="G108" s="114"/>
      <c r="H108" s="114"/>
      <c r="I108" s="114"/>
      <c r="J108" s="114"/>
      <c r="K108" s="114"/>
      <c r="L108" s="114"/>
      <c r="M108" s="114"/>
      <c r="N108" s="114"/>
      <c r="O108" s="114"/>
      <c r="P108" s="114"/>
      <c r="Q108" s="114"/>
      <c r="R108" s="114"/>
      <c r="S108" s="114"/>
      <c r="T108" s="114"/>
      <c r="U108" s="114"/>
      <c r="V108" s="114"/>
      <c r="W108" s="114"/>
      <c r="X108" s="114"/>
    </row>
    <row r="109" spans="1:24">
      <c r="A109" s="728"/>
      <c r="B109" s="29" t="s">
        <v>130</v>
      </c>
      <c r="C109" s="525">
        <v>1.2</v>
      </c>
      <c r="D109" s="114" t="s">
        <v>2067</v>
      </c>
      <c r="E109" s="114"/>
      <c r="F109" s="114"/>
      <c r="G109" s="114"/>
      <c r="H109" s="114"/>
      <c r="I109" s="114"/>
      <c r="J109" s="114"/>
      <c r="K109" s="114"/>
      <c r="L109" s="114"/>
      <c r="M109" s="114"/>
      <c r="N109" s="114"/>
      <c r="O109" s="114"/>
      <c r="P109" s="114"/>
      <c r="Q109" s="114"/>
      <c r="R109" s="114"/>
      <c r="S109" s="114"/>
      <c r="T109" s="114"/>
      <c r="U109" s="114"/>
      <c r="V109" s="114"/>
      <c r="W109" s="114"/>
      <c r="X109" s="114"/>
    </row>
    <row r="110" spans="1:24">
      <c r="A110" s="729"/>
      <c r="B110" s="34" t="s">
        <v>125</v>
      </c>
      <c r="C110" s="699">
        <v>1.1000000000000001</v>
      </c>
      <c r="D110" s="114" t="s">
        <v>2067</v>
      </c>
      <c r="E110" s="114"/>
      <c r="F110" s="114"/>
      <c r="G110" s="114"/>
      <c r="H110" s="114"/>
      <c r="I110" s="114"/>
      <c r="J110" s="114"/>
      <c r="K110" s="114"/>
      <c r="L110" s="114"/>
      <c r="M110" s="114"/>
      <c r="N110" s="114"/>
      <c r="O110" s="114"/>
      <c r="P110" s="114"/>
      <c r="Q110" s="114"/>
      <c r="R110" s="114"/>
      <c r="S110" s="114"/>
      <c r="T110" s="114"/>
      <c r="U110" s="114"/>
      <c r="V110" s="114"/>
      <c r="W110" s="114"/>
      <c r="X110" s="114"/>
    </row>
    <row r="111" spans="1:24">
      <c r="A111" s="150" t="s">
        <v>2080</v>
      </c>
      <c r="B111" s="578"/>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row>
    <row r="112" spans="1:24">
      <c r="A112" s="150"/>
      <c r="B112" s="578"/>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row>
    <row r="113" spans="1:24">
      <c r="A113" s="175" t="s">
        <v>2081</v>
      </c>
      <c r="B113" s="578"/>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row>
    <row r="114" spans="1:24">
      <c r="A114" s="150" t="s">
        <v>2082</v>
      </c>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row>
    <row r="115" spans="1:24">
      <c r="A115" s="150" t="s">
        <v>2083</v>
      </c>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row>
    <row r="116" spans="1:24">
      <c r="A116" s="150"/>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row>
    <row r="117" spans="1:24">
      <c r="A117" s="175" t="s">
        <v>2084</v>
      </c>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row>
    <row r="118" spans="1:24" ht="45">
      <c r="A118" s="730"/>
      <c r="B118" s="731" t="s">
        <v>2085</v>
      </c>
      <c r="C118" s="540" t="s">
        <v>608</v>
      </c>
      <c r="D118" s="114"/>
      <c r="E118" s="114"/>
      <c r="F118" s="114"/>
      <c r="G118" s="114"/>
      <c r="H118" s="114"/>
      <c r="I118" s="114"/>
      <c r="J118" s="114"/>
      <c r="K118" s="114"/>
      <c r="L118" s="114"/>
      <c r="M118" s="114"/>
      <c r="N118" s="114"/>
      <c r="O118" s="114"/>
      <c r="P118" s="114"/>
      <c r="Q118" s="114"/>
      <c r="R118" s="114"/>
      <c r="S118" s="114"/>
      <c r="T118" s="114"/>
      <c r="U118" s="114"/>
      <c r="V118" s="114"/>
      <c r="W118" s="114"/>
      <c r="X118" s="114"/>
    </row>
    <row r="119" spans="1:24">
      <c r="A119" s="732" t="s">
        <v>2055</v>
      </c>
      <c r="B119" s="699">
        <v>0.01</v>
      </c>
      <c r="C119" s="114" t="s">
        <v>2086</v>
      </c>
      <c r="D119" s="114"/>
      <c r="E119" s="114"/>
      <c r="F119" s="114"/>
      <c r="G119" s="114"/>
      <c r="H119" s="114"/>
      <c r="I119" s="114"/>
      <c r="J119" s="114"/>
      <c r="K119" s="114"/>
      <c r="L119" s="114"/>
      <c r="M119" s="114"/>
      <c r="N119" s="114"/>
      <c r="O119" s="114"/>
      <c r="P119" s="114"/>
      <c r="Q119" s="114"/>
      <c r="R119" s="114"/>
      <c r="S119" s="114"/>
      <c r="T119" s="114"/>
      <c r="U119" s="114"/>
      <c r="V119" s="114"/>
      <c r="W119" s="114"/>
      <c r="X119" s="114"/>
    </row>
    <row r="120" spans="1:24">
      <c r="A120" s="567" t="s">
        <v>2087</v>
      </c>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row>
    <row r="121" spans="1:24">
      <c r="A121" s="567" t="s">
        <v>2088</v>
      </c>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row>
    <row r="122" spans="1:24">
      <c r="A122" s="567" t="s">
        <v>2089</v>
      </c>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row>
    <row r="123" spans="1:24">
      <c r="A123" s="567" t="s">
        <v>2090</v>
      </c>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row>
    <row r="124" spans="1:24">
      <c r="A124" s="733"/>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30A0"/>
  </sheetPr>
  <dimension ref="A1:D76"/>
  <sheetViews>
    <sheetView topLeftCell="A65" workbookViewId="0"/>
  </sheetViews>
  <sheetFormatPr defaultColWidth="8.7109375" defaultRowHeight="12.75"/>
  <cols>
    <col min="1" max="1" width="25.42578125" style="63" customWidth="1"/>
    <col min="2" max="2" width="23.42578125" style="114" customWidth="1"/>
    <col min="3" max="3" width="28.7109375" style="114" customWidth="1"/>
    <col min="4" max="4" width="22.42578125" style="114" customWidth="1"/>
    <col min="5" max="16384" width="8.7109375" style="114"/>
  </cols>
  <sheetData>
    <row r="1" spans="1:4" ht="21">
      <c r="A1" s="734" t="s">
        <v>22</v>
      </c>
    </row>
    <row r="3" spans="1:4">
      <c r="A3" s="556" t="s">
        <v>2091</v>
      </c>
    </row>
    <row r="4" spans="1:4">
      <c r="A4" s="150" t="s">
        <v>2092</v>
      </c>
    </row>
    <row r="6" spans="1:4">
      <c r="A6" s="150"/>
    </row>
    <row r="7" spans="1:4" ht="13.5" thickBot="1">
      <c r="A7" s="150" t="s">
        <v>914</v>
      </c>
    </row>
    <row r="8" spans="1:4" ht="26.25" thickBot="1">
      <c r="A8" s="735"/>
      <c r="B8" s="736" t="s">
        <v>2093</v>
      </c>
      <c r="C8" s="736" t="s">
        <v>2094</v>
      </c>
      <c r="D8" s="736" t="s">
        <v>2095</v>
      </c>
    </row>
    <row r="9" spans="1:4" ht="26.25" thickBot="1">
      <c r="A9" s="737" t="s">
        <v>2096</v>
      </c>
      <c r="B9" s="738"/>
      <c r="C9" s="738"/>
      <c r="D9" s="738"/>
    </row>
    <row r="10" spans="1:4" ht="51.75" thickBot="1">
      <c r="A10" s="739" t="s">
        <v>656</v>
      </c>
      <c r="B10" s="740" t="s">
        <v>2097</v>
      </c>
      <c r="C10" s="740" t="s">
        <v>2098</v>
      </c>
      <c r="D10" s="740" t="s">
        <v>2099</v>
      </c>
    </row>
    <row r="11" spans="1:4" ht="13.5" thickBot="1">
      <c r="A11" s="739" t="s">
        <v>2100</v>
      </c>
      <c r="B11" s="740" t="s">
        <v>2101</v>
      </c>
      <c r="C11" s="740" t="s">
        <v>2102</v>
      </c>
      <c r="D11" s="740"/>
    </row>
    <row r="12" spans="1:4" ht="39" thickBot="1">
      <c r="A12" s="739" t="s">
        <v>2103</v>
      </c>
      <c r="B12" s="740" t="s">
        <v>2104</v>
      </c>
      <c r="C12" s="740" t="s">
        <v>2098</v>
      </c>
      <c r="D12" s="740" t="s">
        <v>2105</v>
      </c>
    </row>
    <row r="13" spans="1:4" ht="77.25" thickBot="1">
      <c r="A13" s="739" t="s">
        <v>2106</v>
      </c>
      <c r="B13" s="740" t="s">
        <v>2107</v>
      </c>
      <c r="C13" s="740" t="s">
        <v>2098</v>
      </c>
      <c r="D13" s="740" t="s">
        <v>2108</v>
      </c>
    </row>
    <row r="14" spans="1:4" ht="77.25" thickBot="1">
      <c r="A14" s="739" t="s">
        <v>2109</v>
      </c>
      <c r="B14" s="740" t="s">
        <v>2110</v>
      </c>
      <c r="C14" s="740" t="s">
        <v>2098</v>
      </c>
      <c r="D14" s="740" t="s">
        <v>2111</v>
      </c>
    </row>
    <row r="15" spans="1:4" ht="39" thickBot="1">
      <c r="A15" s="739" t="s">
        <v>2112</v>
      </c>
      <c r="B15" s="740" t="s">
        <v>2113</v>
      </c>
      <c r="C15" s="740" t="s">
        <v>2098</v>
      </c>
      <c r="D15" s="740"/>
    </row>
    <row r="16" spans="1:4" ht="26.25" thickBot="1">
      <c r="A16" s="739" t="s">
        <v>2114</v>
      </c>
      <c r="B16" s="740" t="s">
        <v>2115</v>
      </c>
      <c r="C16" s="740" t="s">
        <v>2116</v>
      </c>
      <c r="D16" s="740" t="s">
        <v>2117</v>
      </c>
    </row>
    <row r="17" spans="1:4" ht="26.25" thickBot="1">
      <c r="A17" s="739" t="s">
        <v>2118</v>
      </c>
      <c r="B17" s="740" t="s">
        <v>2119</v>
      </c>
      <c r="C17" s="740" t="s">
        <v>2098</v>
      </c>
      <c r="D17" s="740"/>
    </row>
    <row r="18" spans="1:4" ht="26.25" thickBot="1">
      <c r="A18" s="739" t="s">
        <v>2120</v>
      </c>
      <c r="B18" s="740" t="s">
        <v>2121</v>
      </c>
      <c r="C18" s="740" t="s">
        <v>2098</v>
      </c>
      <c r="D18" s="740"/>
    </row>
    <row r="19" spans="1:4" ht="51.75" thickBot="1">
      <c r="A19" s="739" t="s">
        <v>2122</v>
      </c>
      <c r="B19" s="740" t="s">
        <v>2123</v>
      </c>
      <c r="C19" s="740" t="s">
        <v>2098</v>
      </c>
      <c r="D19" s="740"/>
    </row>
    <row r="20" spans="1:4" ht="51.75" thickBot="1">
      <c r="A20" s="739" t="s">
        <v>2124</v>
      </c>
      <c r="B20" s="740" t="s">
        <v>2125</v>
      </c>
      <c r="C20" s="740" t="s">
        <v>2098</v>
      </c>
      <c r="D20" s="740" t="s">
        <v>2126</v>
      </c>
    </row>
    <row r="21" spans="1:4" ht="26.25" thickBot="1">
      <c r="A21" s="739" t="s">
        <v>2127</v>
      </c>
      <c r="B21" s="740" t="s">
        <v>2128</v>
      </c>
      <c r="C21" s="740" t="s">
        <v>2129</v>
      </c>
      <c r="D21" s="740" t="s">
        <v>2130</v>
      </c>
    </row>
    <row r="22" spans="1:4" ht="13.5" thickBot="1">
      <c r="A22" s="737" t="s">
        <v>2131</v>
      </c>
      <c r="B22" s="738"/>
      <c r="C22" s="738"/>
      <c r="D22" s="738"/>
    </row>
    <row r="23" spans="1:4" ht="32.65" customHeight="1">
      <c r="A23" s="1387" t="s">
        <v>2132</v>
      </c>
      <c r="B23" s="1387" t="s">
        <v>2133</v>
      </c>
      <c r="C23" s="1387" t="s">
        <v>2116</v>
      </c>
      <c r="D23" s="1387"/>
    </row>
    <row r="24" spans="1:4" ht="13.5" thickBot="1">
      <c r="A24" s="1388"/>
      <c r="B24" s="1388"/>
      <c r="C24" s="1388"/>
      <c r="D24" s="1388"/>
    </row>
    <row r="25" spans="1:4" ht="51.75" thickBot="1">
      <c r="A25" s="739" t="s">
        <v>2134</v>
      </c>
      <c r="B25" s="740" t="s">
        <v>2135</v>
      </c>
      <c r="C25" s="740" t="s">
        <v>2116</v>
      </c>
      <c r="D25" s="740" t="s">
        <v>2136</v>
      </c>
    </row>
    <row r="26" spans="1:4" ht="51">
      <c r="A26" s="1387" t="s">
        <v>2137</v>
      </c>
      <c r="B26" s="1387" t="s">
        <v>2138</v>
      </c>
      <c r="C26" s="1387" t="s">
        <v>2098</v>
      </c>
      <c r="D26" s="741" t="s">
        <v>2139</v>
      </c>
    </row>
    <row r="27" spans="1:4" ht="26.25" thickBot="1">
      <c r="A27" s="1388"/>
      <c r="B27" s="1388"/>
      <c r="C27" s="1388"/>
      <c r="D27" s="740" t="s">
        <v>2140</v>
      </c>
    </row>
    <row r="28" spans="1:4" ht="51.75" thickBot="1">
      <c r="A28" s="739" t="s">
        <v>1079</v>
      </c>
      <c r="B28" s="740" t="s">
        <v>2141</v>
      </c>
      <c r="C28" s="740" t="s">
        <v>2098</v>
      </c>
      <c r="D28" s="740" t="s">
        <v>2142</v>
      </c>
    </row>
    <row r="29" spans="1:4" ht="51.75" thickBot="1">
      <c r="A29" s="739" t="s">
        <v>2143</v>
      </c>
      <c r="B29" s="740" t="s">
        <v>2144</v>
      </c>
      <c r="C29" s="740" t="s">
        <v>2098</v>
      </c>
      <c r="D29" s="740" t="s">
        <v>2142</v>
      </c>
    </row>
    <row r="30" spans="1:4" ht="63.6" customHeight="1">
      <c r="A30" s="1387" t="s">
        <v>2145</v>
      </c>
      <c r="B30" s="1387" t="s">
        <v>2146</v>
      </c>
      <c r="C30" s="1387" t="s">
        <v>2098</v>
      </c>
      <c r="D30" s="1387" t="s">
        <v>2142</v>
      </c>
    </row>
    <row r="31" spans="1:4" ht="13.5" thickBot="1">
      <c r="A31" s="1388"/>
      <c r="B31" s="1388"/>
      <c r="C31" s="1388"/>
      <c r="D31" s="1388"/>
    </row>
    <row r="32" spans="1:4" ht="79.349999999999994" customHeight="1">
      <c r="A32" s="1387" t="s">
        <v>2147</v>
      </c>
      <c r="B32" s="1387" t="s">
        <v>2148</v>
      </c>
      <c r="C32" s="1387" t="s">
        <v>2116</v>
      </c>
      <c r="D32" s="1387" t="s">
        <v>2149</v>
      </c>
    </row>
    <row r="33" spans="1:4" ht="13.5" thickBot="1">
      <c r="A33" s="1388"/>
      <c r="B33" s="1388"/>
      <c r="C33" s="1388"/>
      <c r="D33" s="1388"/>
    </row>
    <row r="34" spans="1:4">
      <c r="A34" s="1387" t="s">
        <v>1086</v>
      </c>
      <c r="B34" s="1387" t="s">
        <v>2150</v>
      </c>
      <c r="C34" s="1387" t="s">
        <v>2151</v>
      </c>
      <c r="D34" s="1387"/>
    </row>
    <row r="35" spans="1:4" ht="13.5" thickBot="1">
      <c r="A35" s="1388"/>
      <c r="B35" s="1388"/>
      <c r="C35" s="1388"/>
      <c r="D35" s="1388"/>
    </row>
    <row r="36" spans="1:4" ht="16.899999999999999" customHeight="1">
      <c r="A36" s="1387" t="s">
        <v>1094</v>
      </c>
      <c r="B36" s="1387" t="s">
        <v>2150</v>
      </c>
      <c r="C36" s="1387" t="s">
        <v>2151</v>
      </c>
      <c r="D36" s="1387"/>
    </row>
    <row r="37" spans="1:4" ht="13.5" thickBot="1">
      <c r="A37" s="1388"/>
      <c r="B37" s="1388"/>
      <c r="C37" s="1388"/>
      <c r="D37" s="1388"/>
    </row>
    <row r="38" spans="1:4">
      <c r="A38" s="1387" t="s">
        <v>2152</v>
      </c>
      <c r="B38" s="1387" t="s">
        <v>2150</v>
      </c>
      <c r="C38" s="1387" t="s">
        <v>2151</v>
      </c>
      <c r="D38" s="1387"/>
    </row>
    <row r="39" spans="1:4" ht="13.5" thickBot="1">
      <c r="A39" s="1388"/>
      <c r="B39" s="1388"/>
      <c r="C39" s="1388"/>
      <c r="D39" s="1388"/>
    </row>
    <row r="40" spans="1:4" ht="16.899999999999999" customHeight="1">
      <c r="A40" s="1387" t="s">
        <v>2153</v>
      </c>
      <c r="B40" s="1387" t="s">
        <v>2150</v>
      </c>
      <c r="C40" s="1387" t="s">
        <v>2151</v>
      </c>
      <c r="D40" s="1387"/>
    </row>
    <row r="41" spans="1:4" ht="13.5" thickBot="1">
      <c r="A41" s="1388"/>
      <c r="B41" s="1388"/>
      <c r="C41" s="1388"/>
      <c r="D41" s="1388"/>
    </row>
    <row r="42" spans="1:4" ht="16.899999999999999" customHeight="1">
      <c r="A42" s="1387" t="s">
        <v>2154</v>
      </c>
      <c r="B42" s="1387" t="s">
        <v>2150</v>
      </c>
      <c r="C42" s="1387" t="s">
        <v>2151</v>
      </c>
      <c r="D42" s="1387"/>
    </row>
    <row r="43" spans="1:4" ht="13.5" thickBot="1">
      <c r="A43" s="1388"/>
      <c r="B43" s="1388"/>
      <c r="C43" s="1388"/>
      <c r="D43" s="1388"/>
    </row>
    <row r="44" spans="1:4" ht="26.25" thickBot="1">
      <c r="A44" s="737" t="s">
        <v>2155</v>
      </c>
      <c r="B44" s="738"/>
      <c r="C44" s="738"/>
      <c r="D44" s="738"/>
    </row>
    <row r="45" spans="1:4" ht="48" customHeight="1">
      <c r="A45" s="1387" t="s">
        <v>2156</v>
      </c>
      <c r="B45" s="1387" t="s">
        <v>2157</v>
      </c>
      <c r="C45" s="1387" t="s">
        <v>2098</v>
      </c>
      <c r="D45" s="1387" t="s">
        <v>2158</v>
      </c>
    </row>
    <row r="46" spans="1:4" ht="13.5" thickBot="1">
      <c r="A46" s="1388"/>
      <c r="B46" s="1388"/>
      <c r="C46" s="1388"/>
      <c r="D46" s="1388"/>
    </row>
    <row r="47" spans="1:4" ht="51.75" thickBot="1">
      <c r="A47" s="739" t="s">
        <v>2159</v>
      </c>
      <c r="B47" s="740" t="s">
        <v>2160</v>
      </c>
      <c r="C47" s="740" t="s">
        <v>2098</v>
      </c>
      <c r="D47" s="740" t="s">
        <v>2161</v>
      </c>
    </row>
    <row r="48" spans="1:4" ht="13.5" thickBot="1">
      <c r="A48" s="737" t="s">
        <v>2162</v>
      </c>
      <c r="B48" s="738"/>
      <c r="C48" s="738"/>
      <c r="D48" s="738"/>
    </row>
    <row r="49" spans="1:4" ht="51.75" thickBot="1">
      <c r="A49" s="739" t="s">
        <v>2163</v>
      </c>
      <c r="B49" s="740" t="s">
        <v>2164</v>
      </c>
      <c r="C49" s="740" t="s">
        <v>2098</v>
      </c>
      <c r="D49" s="740" t="s">
        <v>2165</v>
      </c>
    </row>
    <row r="50" spans="1:4" ht="51.75" thickBot="1">
      <c r="A50" s="739" t="s">
        <v>2166</v>
      </c>
      <c r="B50" s="740" t="s">
        <v>2164</v>
      </c>
      <c r="C50" s="740" t="s">
        <v>2098</v>
      </c>
      <c r="D50" s="740" t="s">
        <v>2167</v>
      </c>
    </row>
    <row r="51" spans="1:4" ht="51.75" thickBot="1">
      <c r="A51" s="739" t="s">
        <v>2168</v>
      </c>
      <c r="B51" s="740" t="s">
        <v>2169</v>
      </c>
      <c r="C51" s="740" t="s">
        <v>2098</v>
      </c>
      <c r="D51" s="740" t="s">
        <v>2167</v>
      </c>
    </row>
    <row r="52" spans="1:4" ht="51.75" thickBot="1">
      <c r="A52" s="739" t="s">
        <v>2170</v>
      </c>
      <c r="B52" s="740" t="s">
        <v>2171</v>
      </c>
      <c r="C52" s="740" t="s">
        <v>2098</v>
      </c>
      <c r="D52" s="740" t="s">
        <v>2165</v>
      </c>
    </row>
    <row r="53" spans="1:4" ht="51.75" thickBot="1">
      <c r="A53" s="739" t="s">
        <v>2172</v>
      </c>
      <c r="B53" s="740" t="s">
        <v>2173</v>
      </c>
      <c r="C53" s="740" t="s">
        <v>2098</v>
      </c>
      <c r="D53" s="740" t="s">
        <v>2167</v>
      </c>
    </row>
    <row r="54" spans="1:4" ht="51.75" thickBot="1">
      <c r="A54" s="739" t="s">
        <v>2174</v>
      </c>
      <c r="B54" s="740" t="s">
        <v>2175</v>
      </c>
      <c r="C54" s="740" t="s">
        <v>2098</v>
      </c>
      <c r="D54" s="740" t="s">
        <v>2167</v>
      </c>
    </row>
    <row r="55" spans="1:4" ht="51.75" thickBot="1">
      <c r="A55" s="739" t="s">
        <v>2176</v>
      </c>
      <c r="B55" s="740" t="s">
        <v>2173</v>
      </c>
      <c r="C55" s="740" t="s">
        <v>2098</v>
      </c>
      <c r="D55" s="740" t="s">
        <v>2167</v>
      </c>
    </row>
    <row r="56" spans="1:4" ht="13.5" thickBot="1">
      <c r="A56" s="737" t="s">
        <v>2177</v>
      </c>
      <c r="B56" s="738"/>
      <c r="C56" s="738"/>
      <c r="D56" s="738"/>
    </row>
    <row r="57" spans="1:4" ht="64.5" thickBot="1">
      <c r="A57" s="739" t="s">
        <v>2134</v>
      </c>
      <c r="B57" s="740" t="s">
        <v>2133</v>
      </c>
      <c r="C57" s="740" t="s">
        <v>2116</v>
      </c>
      <c r="D57" s="740" t="s">
        <v>2149</v>
      </c>
    </row>
    <row r="58" spans="1:4" ht="26.25" thickBot="1">
      <c r="A58" s="739" t="s">
        <v>1539</v>
      </c>
      <c r="B58" s="740" t="s">
        <v>2178</v>
      </c>
      <c r="C58" s="740" t="s">
        <v>2116</v>
      </c>
      <c r="D58" s="740"/>
    </row>
    <row r="59" spans="1:4" ht="64.5" thickBot="1">
      <c r="A59" s="739" t="s">
        <v>2179</v>
      </c>
      <c r="B59" s="740" t="s">
        <v>2180</v>
      </c>
      <c r="C59" s="740" t="s">
        <v>2116</v>
      </c>
      <c r="D59" s="740" t="s">
        <v>2181</v>
      </c>
    </row>
    <row r="60" spans="1:4" ht="79.349999999999994" customHeight="1">
      <c r="A60" s="1387" t="s">
        <v>1788</v>
      </c>
      <c r="B60" s="1387" t="s">
        <v>2182</v>
      </c>
      <c r="C60" s="1387" t="s">
        <v>2098</v>
      </c>
      <c r="D60" s="1387" t="s">
        <v>2183</v>
      </c>
    </row>
    <row r="61" spans="1:4" ht="13.5" thickBot="1">
      <c r="A61" s="1388"/>
      <c r="B61" s="1388"/>
      <c r="C61" s="1388"/>
      <c r="D61" s="1388"/>
    </row>
    <row r="62" spans="1:4" ht="63.6" customHeight="1">
      <c r="A62" s="1387" t="s">
        <v>2184</v>
      </c>
      <c r="B62" s="1387" t="s">
        <v>2185</v>
      </c>
      <c r="C62" s="1387" t="s">
        <v>2098</v>
      </c>
      <c r="D62" s="1387" t="s">
        <v>2186</v>
      </c>
    </row>
    <row r="63" spans="1:4" ht="13.5" thickBot="1">
      <c r="A63" s="1388"/>
      <c r="B63" s="1388"/>
      <c r="C63" s="1388"/>
      <c r="D63" s="1388"/>
    </row>
    <row r="64" spans="1:4" ht="16.899999999999999" customHeight="1">
      <c r="A64" s="1387" t="s">
        <v>2187</v>
      </c>
      <c r="B64" s="1387" t="s">
        <v>2188</v>
      </c>
      <c r="C64" s="1387" t="s">
        <v>2102</v>
      </c>
      <c r="D64" s="1387"/>
    </row>
    <row r="65" spans="1:4" ht="13.5" thickBot="1">
      <c r="A65" s="1388"/>
      <c r="B65" s="1388"/>
      <c r="C65" s="1388"/>
      <c r="D65" s="1388"/>
    </row>
    <row r="66" spans="1:4" ht="48" customHeight="1">
      <c r="A66" s="1387" t="s">
        <v>2189</v>
      </c>
      <c r="B66" s="1387" t="s">
        <v>2190</v>
      </c>
      <c r="C66" s="1387" t="s">
        <v>2116</v>
      </c>
      <c r="D66" s="1387" t="s">
        <v>2186</v>
      </c>
    </row>
    <row r="67" spans="1:4" ht="13.5" thickBot="1">
      <c r="A67" s="1388"/>
      <c r="B67" s="1388"/>
      <c r="C67" s="1388"/>
      <c r="D67" s="1388"/>
    </row>
    <row r="68" spans="1:4" ht="48" customHeight="1">
      <c r="A68" s="1387" t="s">
        <v>2191</v>
      </c>
      <c r="B68" s="1387" t="s">
        <v>2192</v>
      </c>
      <c r="C68" s="1387" t="s">
        <v>2098</v>
      </c>
      <c r="D68" s="1387" t="s">
        <v>2186</v>
      </c>
    </row>
    <row r="69" spans="1:4" ht="13.5" thickBot="1">
      <c r="A69" s="1388"/>
      <c r="B69" s="1388"/>
      <c r="C69" s="1388"/>
      <c r="D69" s="1388"/>
    </row>
    <row r="70" spans="1:4" ht="51.75" thickBot="1">
      <c r="A70" s="739" t="s">
        <v>2193</v>
      </c>
      <c r="B70" s="740" t="s">
        <v>2194</v>
      </c>
      <c r="C70" s="740" t="s">
        <v>2098</v>
      </c>
      <c r="D70" s="740" t="s">
        <v>2186</v>
      </c>
    </row>
    <row r="71" spans="1:4" ht="48" customHeight="1">
      <c r="A71" s="1387" t="s">
        <v>2195</v>
      </c>
      <c r="B71" s="1387" t="s">
        <v>2196</v>
      </c>
      <c r="C71" s="1387" t="s">
        <v>2098</v>
      </c>
      <c r="D71" s="1387" t="s">
        <v>2197</v>
      </c>
    </row>
    <row r="72" spans="1:4" ht="13.5" thickBot="1">
      <c r="A72" s="1388"/>
      <c r="B72" s="1388"/>
      <c r="C72" s="1388"/>
      <c r="D72" s="1388"/>
    </row>
    <row r="73" spans="1:4">
      <c r="A73" s="150"/>
    </row>
    <row r="74" spans="1:4">
      <c r="A74" s="150"/>
    </row>
    <row r="75" spans="1:4">
      <c r="A75" s="150"/>
    </row>
    <row r="76" spans="1:4">
      <c r="A76" s="150"/>
    </row>
  </sheetData>
  <mergeCells count="63">
    <mergeCell ref="A68:A69"/>
    <mergeCell ref="B68:B69"/>
    <mergeCell ref="C68:C69"/>
    <mergeCell ref="D68:D69"/>
    <mergeCell ref="A71:A72"/>
    <mergeCell ref="B71:B72"/>
    <mergeCell ref="C71:C72"/>
    <mergeCell ref="D71:D72"/>
    <mergeCell ref="A64:A65"/>
    <mergeCell ref="B64:B65"/>
    <mergeCell ref="C64:C65"/>
    <mergeCell ref="D64:D65"/>
    <mergeCell ref="A66:A67"/>
    <mergeCell ref="B66:B67"/>
    <mergeCell ref="C66:C67"/>
    <mergeCell ref="D66:D67"/>
    <mergeCell ref="A60:A61"/>
    <mergeCell ref="B60:B61"/>
    <mergeCell ref="C60:C61"/>
    <mergeCell ref="D60:D61"/>
    <mergeCell ref="A62:A63"/>
    <mergeCell ref="B62:B63"/>
    <mergeCell ref="C62:C63"/>
    <mergeCell ref="D62:D63"/>
    <mergeCell ref="A42:A43"/>
    <mergeCell ref="B42:B43"/>
    <mergeCell ref="C42:C43"/>
    <mergeCell ref="D42:D43"/>
    <mergeCell ref="A45:A46"/>
    <mergeCell ref="B45:B46"/>
    <mergeCell ref="C45:C46"/>
    <mergeCell ref="D45:D46"/>
    <mergeCell ref="A38:A39"/>
    <mergeCell ref="B38:B39"/>
    <mergeCell ref="C38:C39"/>
    <mergeCell ref="D38:D39"/>
    <mergeCell ref="A40:A41"/>
    <mergeCell ref="B40:B41"/>
    <mergeCell ref="C40:C41"/>
    <mergeCell ref="D40:D41"/>
    <mergeCell ref="A34:A35"/>
    <mergeCell ref="B34:B35"/>
    <mergeCell ref="C34:C35"/>
    <mergeCell ref="D34:D35"/>
    <mergeCell ref="A36:A37"/>
    <mergeCell ref="B36:B37"/>
    <mergeCell ref="C36:C37"/>
    <mergeCell ref="D36:D37"/>
    <mergeCell ref="A30:A31"/>
    <mergeCell ref="B30:B31"/>
    <mergeCell ref="C30:C31"/>
    <mergeCell ref="D30:D31"/>
    <mergeCell ref="A32:A33"/>
    <mergeCell ref="B32:B33"/>
    <mergeCell ref="C32:C33"/>
    <mergeCell ref="D32:D33"/>
    <mergeCell ref="A23:A24"/>
    <mergeCell ref="B23:B24"/>
    <mergeCell ref="C23:C24"/>
    <mergeCell ref="D23:D24"/>
    <mergeCell ref="A26:A27"/>
    <mergeCell ref="B26:B27"/>
    <mergeCell ref="C26:C27"/>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249977111117893"/>
  </sheetPr>
  <dimension ref="A1:E251"/>
  <sheetViews>
    <sheetView topLeftCell="A86" workbookViewId="0">
      <selection activeCell="M103" sqref="M103"/>
    </sheetView>
  </sheetViews>
  <sheetFormatPr defaultColWidth="8.7109375" defaultRowHeight="12.75"/>
  <cols>
    <col min="1" max="1" width="5.28515625" style="746" customWidth="1"/>
    <col min="2" max="2" width="8.7109375" style="549" customWidth="1"/>
    <col min="3" max="16384" width="8.7109375" style="549"/>
  </cols>
  <sheetData>
    <row r="1" spans="1:5" ht="23.25">
      <c r="A1" s="742" t="s">
        <v>10</v>
      </c>
    </row>
    <row r="2" spans="1:5" ht="23.25">
      <c r="A2" s="742"/>
    </row>
    <row r="3" spans="1:5" s="1070" customFormat="1">
      <c r="A3" s="1026" t="s">
        <v>2198</v>
      </c>
    </row>
    <row r="4" spans="1:5" s="1070" customFormat="1">
      <c r="A4" s="1026" t="s">
        <v>2199</v>
      </c>
    </row>
    <row r="5" spans="1:5" s="1070" customFormat="1">
      <c r="A5" s="1026" t="s">
        <v>2200</v>
      </c>
    </row>
    <row r="6" spans="1:5" s="1139" customFormat="1" ht="15.75">
      <c r="A6" s="1139" t="s">
        <v>2201</v>
      </c>
    </row>
    <row r="7" spans="1:5" s="1139" customFormat="1" ht="15.75">
      <c r="A7" s="1139" t="s">
        <v>2202</v>
      </c>
    </row>
    <row r="8" spans="1:5" s="1139" customFormat="1" ht="15.75">
      <c r="A8" s="1139" t="s">
        <v>2203</v>
      </c>
    </row>
    <row r="9" spans="1:5" s="1139" customFormat="1" ht="15.75">
      <c r="A9" s="1139" t="s">
        <v>2204</v>
      </c>
    </row>
    <row r="10" spans="1:5" s="1139" customFormat="1" ht="15.75">
      <c r="A10" s="1139" t="s">
        <v>2205</v>
      </c>
    </row>
    <row r="11" spans="1:5" s="1070" customFormat="1" ht="15">
      <c r="A11" s="1069" t="s">
        <v>2206</v>
      </c>
    </row>
    <row r="12" spans="1:5" s="1070" customFormat="1" ht="23.25">
      <c r="A12" s="1129" t="s">
        <v>2207</v>
      </c>
      <c r="E12" s="1026"/>
    </row>
    <row r="13" spans="1:5" s="1070" customFormat="1" ht="23.25">
      <c r="A13" s="1129" t="s">
        <v>2208</v>
      </c>
      <c r="E13" s="1026"/>
    </row>
    <row r="14" spans="1:5" s="1070" customFormat="1" ht="23.25">
      <c r="A14" s="1129" t="s">
        <v>2209</v>
      </c>
      <c r="E14" s="1026"/>
    </row>
    <row r="15" spans="1:5" s="1070" customFormat="1" ht="23.25">
      <c r="A15" s="1129" t="s">
        <v>2210</v>
      </c>
      <c r="E15" s="1026"/>
    </row>
    <row r="16" spans="1:5" s="1070" customFormat="1" ht="23.25">
      <c r="A16" s="1129" t="s">
        <v>2211</v>
      </c>
      <c r="E16" s="1026"/>
    </row>
    <row r="17" spans="1:5" s="1070" customFormat="1" ht="23.25">
      <c r="A17" s="1129" t="s">
        <v>2212</v>
      </c>
      <c r="E17" s="1026"/>
    </row>
    <row r="18" spans="1:5" s="1070" customFormat="1">
      <c r="A18" s="1026" t="s">
        <v>2213</v>
      </c>
      <c r="E18" s="1026"/>
    </row>
    <row r="19" spans="1:5" s="1070" customFormat="1" ht="15">
      <c r="A19" s="177" t="s">
        <v>2214</v>
      </c>
      <c r="E19" s="177"/>
    </row>
    <row r="20" spans="1:5" s="1070" customFormat="1" ht="15">
      <c r="A20" s="177" t="s">
        <v>2215</v>
      </c>
      <c r="E20" s="177"/>
    </row>
    <row r="21" spans="1:5" s="1070" customFormat="1" ht="15">
      <c r="A21" s="177" t="s">
        <v>2216</v>
      </c>
      <c r="E21" s="177"/>
    </row>
    <row r="22" spans="1:5" s="1070" customFormat="1" ht="15">
      <c r="A22" s="177" t="s">
        <v>2217</v>
      </c>
      <c r="E22" s="177"/>
    </row>
    <row r="23" spans="1:5" s="1070" customFormat="1" ht="15">
      <c r="A23" s="177" t="s">
        <v>2218</v>
      </c>
      <c r="E23" s="177"/>
    </row>
    <row r="24" spans="1:5" s="1070" customFormat="1" ht="15.75">
      <c r="A24" s="1079" t="s">
        <v>2219</v>
      </c>
    </row>
    <row r="25" spans="1:5" s="177" customFormat="1" ht="15.75">
      <c r="A25" s="1125" t="s">
        <v>2220</v>
      </c>
    </row>
    <row r="26" spans="1:5" s="177" customFormat="1" ht="15.75">
      <c r="A26" s="1125" t="s">
        <v>2221</v>
      </c>
    </row>
    <row r="27" spans="1:5" s="177" customFormat="1" ht="15.75">
      <c r="A27" s="1125" t="s">
        <v>2222</v>
      </c>
    </row>
    <row r="28" spans="1:5" s="1070" customFormat="1" ht="15">
      <c r="A28" s="1069" t="s">
        <v>2223</v>
      </c>
    </row>
    <row r="29" spans="1:5" s="1070" customFormat="1">
      <c r="A29" s="1070" t="s">
        <v>2224</v>
      </c>
    </row>
    <row r="30" spans="1:5" s="1070" customFormat="1" ht="15.75">
      <c r="A30" s="1079" t="s">
        <v>2225</v>
      </c>
      <c r="E30" s="218"/>
    </row>
    <row r="31" spans="1:5" s="1070" customFormat="1" ht="15.75">
      <c r="A31" s="1079" t="s">
        <v>2226</v>
      </c>
      <c r="E31" s="218"/>
    </row>
    <row r="32" spans="1:5" s="1070" customFormat="1" ht="15.75">
      <c r="A32" s="1079" t="s">
        <v>2227</v>
      </c>
      <c r="E32" s="218"/>
    </row>
    <row r="33" spans="1:5" s="1070" customFormat="1" ht="15">
      <c r="A33" s="218" t="s">
        <v>2228</v>
      </c>
      <c r="E33" s="218"/>
    </row>
    <row r="34" spans="1:5" s="1070" customFormat="1">
      <c r="A34" s="1071" t="s">
        <v>2229</v>
      </c>
    </row>
    <row r="35" spans="1:5" s="1070" customFormat="1">
      <c r="A35" s="1071" t="s">
        <v>2230</v>
      </c>
    </row>
    <row r="36" spans="1:5" ht="15">
      <c r="A36" s="950" t="s">
        <v>2231</v>
      </c>
    </row>
    <row r="37" spans="1:5" ht="15">
      <c r="A37" s="950" t="s">
        <v>2232</v>
      </c>
    </row>
    <row r="38" spans="1:5" ht="15">
      <c r="A38" s="950" t="s">
        <v>2233</v>
      </c>
    </row>
    <row r="39" spans="1:5" ht="15">
      <c r="A39" s="950" t="s">
        <v>2234</v>
      </c>
    </row>
    <row r="40" spans="1:5" ht="15">
      <c r="A40" s="950" t="s">
        <v>2235</v>
      </c>
    </row>
    <row r="41" spans="1:5" ht="15">
      <c r="A41" s="950" t="s">
        <v>2236</v>
      </c>
    </row>
    <row r="42" spans="1:5" ht="15">
      <c r="A42" s="950" t="s">
        <v>2237</v>
      </c>
    </row>
    <row r="43" spans="1:5" ht="15">
      <c r="A43" s="950" t="s">
        <v>2238</v>
      </c>
    </row>
    <row r="44" spans="1:5" ht="15">
      <c r="A44" s="950" t="s">
        <v>2239</v>
      </c>
    </row>
    <row r="45" spans="1:5" ht="15">
      <c r="A45" s="950" t="s">
        <v>2240</v>
      </c>
    </row>
    <row r="46" spans="1:5" ht="15">
      <c r="A46" s="950" t="s">
        <v>2241</v>
      </c>
    </row>
    <row r="47" spans="1:5" ht="15">
      <c r="A47" s="950" t="s">
        <v>2242</v>
      </c>
    </row>
    <row r="48" spans="1:5" ht="15">
      <c r="A48" s="950" t="s">
        <v>2243</v>
      </c>
    </row>
    <row r="49" spans="1:1" ht="15">
      <c r="A49" s="952" t="s">
        <v>2244</v>
      </c>
    </row>
    <row r="50" spans="1:1" ht="15">
      <c r="A50" s="950" t="s">
        <v>2245</v>
      </c>
    </row>
    <row r="51" spans="1:1" ht="15">
      <c r="A51" s="950" t="s">
        <v>2246</v>
      </c>
    </row>
    <row r="52" spans="1:1" ht="15">
      <c r="A52" s="950" t="s">
        <v>2247</v>
      </c>
    </row>
    <row r="53" spans="1:1" ht="15">
      <c r="A53" s="950" t="s">
        <v>2248</v>
      </c>
    </row>
    <row r="54" spans="1:1" ht="15">
      <c r="A54" s="950" t="s">
        <v>2249</v>
      </c>
    </row>
    <row r="55" spans="1:1" ht="15">
      <c r="A55" s="950" t="s">
        <v>2250</v>
      </c>
    </row>
    <row r="56" spans="1:1" ht="15">
      <c r="A56" s="952" t="s">
        <v>2251</v>
      </c>
    </row>
    <row r="57" spans="1:1" ht="15">
      <c r="A57" s="950" t="s">
        <v>2252</v>
      </c>
    </row>
    <row r="58" spans="1:1" ht="15">
      <c r="A58" s="950" t="s">
        <v>2253</v>
      </c>
    </row>
    <row r="59" spans="1:1">
      <c r="A59" s="746" t="s">
        <v>2254</v>
      </c>
    </row>
    <row r="60" spans="1:1" ht="15">
      <c r="A60" s="950" t="s">
        <v>2255</v>
      </c>
    </row>
    <row r="61" spans="1:1" ht="15">
      <c r="A61" s="952" t="s">
        <v>2256</v>
      </c>
    </row>
    <row r="62" spans="1:1" ht="15">
      <c r="A62" s="953" t="s">
        <v>2257</v>
      </c>
    </row>
    <row r="63" spans="1:1" ht="15">
      <c r="A63" s="953" t="s">
        <v>2258</v>
      </c>
    </row>
    <row r="64" spans="1:1" ht="15">
      <c r="A64" s="950" t="s">
        <v>2259</v>
      </c>
    </row>
    <row r="65" spans="1:1" ht="15">
      <c r="A65" s="950" t="s">
        <v>2260</v>
      </c>
    </row>
    <row r="66" spans="1:1" ht="15">
      <c r="A66" s="950" t="s">
        <v>2261</v>
      </c>
    </row>
    <row r="67" spans="1:1" ht="15">
      <c r="A67" s="952" t="s">
        <v>2262</v>
      </c>
    </row>
    <row r="68" spans="1:1" ht="15">
      <c r="A68" s="950" t="s">
        <v>2263</v>
      </c>
    </row>
    <row r="69" spans="1:1" ht="15">
      <c r="A69" s="950" t="s">
        <v>2264</v>
      </c>
    </row>
    <row r="70" spans="1:1" ht="15">
      <c r="A70" s="950" t="s">
        <v>2265</v>
      </c>
    </row>
    <row r="71" spans="1:1" ht="15">
      <c r="A71" s="950" t="s">
        <v>2266</v>
      </c>
    </row>
    <row r="72" spans="1:1" ht="15">
      <c r="A72" s="950" t="s">
        <v>2267</v>
      </c>
    </row>
    <row r="73" spans="1:1" ht="15">
      <c r="A73" s="950" t="s">
        <v>2268</v>
      </c>
    </row>
    <row r="74" spans="1:1" ht="15">
      <c r="A74" s="950" t="s">
        <v>2269</v>
      </c>
    </row>
    <row r="75" spans="1:1" ht="15">
      <c r="A75" s="950" t="s">
        <v>2270</v>
      </c>
    </row>
    <row r="76" spans="1:1" ht="15">
      <c r="A76" s="950" t="s">
        <v>2271</v>
      </c>
    </row>
    <row r="77" spans="1:1" ht="15">
      <c r="A77" s="954" t="s">
        <v>2272</v>
      </c>
    </row>
    <row r="78" spans="1:1" ht="15">
      <c r="A78" s="952" t="s">
        <v>2273</v>
      </c>
    </row>
    <row r="79" spans="1:1" ht="15">
      <c r="A79" s="950" t="s">
        <v>2274</v>
      </c>
    </row>
    <row r="80" spans="1:1" ht="15">
      <c r="A80" s="950" t="s">
        <v>2275</v>
      </c>
    </row>
    <row r="81" spans="1:1" ht="15">
      <c r="A81" s="950" t="s">
        <v>2276</v>
      </c>
    </row>
    <row r="82" spans="1:1" ht="15">
      <c r="A82" s="950" t="s">
        <v>2277</v>
      </c>
    </row>
    <row r="83" spans="1:1" ht="15">
      <c r="A83" s="950" t="s">
        <v>2278</v>
      </c>
    </row>
    <row r="84" spans="1:1" ht="15">
      <c r="A84" s="950" t="s">
        <v>2279</v>
      </c>
    </row>
    <row r="85" spans="1:1" ht="15">
      <c r="A85" s="950" t="s">
        <v>2280</v>
      </c>
    </row>
    <row r="86" spans="1:1" ht="15">
      <c r="A86" s="950" t="s">
        <v>2281</v>
      </c>
    </row>
    <row r="87" spans="1:1" ht="15">
      <c r="A87" s="950" t="s">
        <v>2282</v>
      </c>
    </row>
    <row r="88" spans="1:1" ht="15">
      <c r="A88" s="950" t="s">
        <v>2283</v>
      </c>
    </row>
    <row r="89" spans="1:1" ht="15">
      <c r="A89" s="950" t="s">
        <v>2284</v>
      </c>
    </row>
    <row r="90" spans="1:1" ht="15">
      <c r="A90" s="950" t="s">
        <v>2285</v>
      </c>
    </row>
    <row r="91" spans="1:1" ht="15">
      <c r="A91" s="950" t="s">
        <v>2286</v>
      </c>
    </row>
    <row r="92" spans="1:1" ht="15">
      <c r="A92" s="950" t="s">
        <v>2287</v>
      </c>
    </row>
    <row r="93" spans="1:1" ht="15">
      <c r="A93" s="950" t="s">
        <v>2288</v>
      </c>
    </row>
    <row r="94" spans="1:1" ht="15">
      <c r="A94" s="950" t="s">
        <v>2289</v>
      </c>
    </row>
    <row r="95" spans="1:1" ht="15">
      <c r="A95" s="955" t="s">
        <v>2290</v>
      </c>
    </row>
    <row r="96" spans="1:1" ht="15">
      <c r="A96" s="950" t="s">
        <v>2291</v>
      </c>
    </row>
    <row r="97" spans="1:1" ht="15">
      <c r="A97" s="950" t="s">
        <v>2292</v>
      </c>
    </row>
    <row r="98" spans="1:1" ht="15">
      <c r="A98" s="950" t="s">
        <v>2293</v>
      </c>
    </row>
    <row r="99" spans="1:1" ht="15">
      <c r="A99" s="950" t="s">
        <v>2294</v>
      </c>
    </row>
    <row r="100" spans="1:1" ht="15">
      <c r="A100" s="950" t="s">
        <v>2295</v>
      </c>
    </row>
    <row r="101" spans="1:1" ht="15">
      <c r="A101" s="950" t="s">
        <v>2296</v>
      </c>
    </row>
    <row r="102" spans="1:1" ht="15">
      <c r="A102" s="950" t="s">
        <v>2297</v>
      </c>
    </row>
    <row r="103" spans="1:1" ht="15">
      <c r="A103" s="950" t="s">
        <v>2298</v>
      </c>
    </row>
    <row r="104" spans="1:1" ht="15">
      <c r="A104" s="950" t="s">
        <v>2299</v>
      </c>
    </row>
    <row r="105" spans="1:1" ht="15">
      <c r="A105" s="950" t="s">
        <v>2300</v>
      </c>
    </row>
    <row r="106" spans="1:1" ht="15">
      <c r="A106" s="950" t="s">
        <v>2301</v>
      </c>
    </row>
    <row r="107" spans="1:1" ht="15">
      <c r="A107" s="950" t="s">
        <v>2302</v>
      </c>
    </row>
    <row r="108" spans="1:1" ht="15">
      <c r="A108" s="950" t="s">
        <v>2303</v>
      </c>
    </row>
    <row r="109" spans="1:1" ht="15">
      <c r="A109" s="950" t="s">
        <v>2304</v>
      </c>
    </row>
    <row r="110" spans="1:1" ht="15">
      <c r="A110" s="950" t="s">
        <v>2305</v>
      </c>
    </row>
    <row r="111" spans="1:1" ht="15">
      <c r="A111" s="952" t="s">
        <v>2306</v>
      </c>
    </row>
    <row r="112" spans="1:1" ht="15">
      <c r="A112" s="950" t="s">
        <v>2307</v>
      </c>
    </row>
    <row r="113" spans="1:1" ht="15">
      <c r="A113" s="950" t="s">
        <v>2308</v>
      </c>
    </row>
    <row r="114" spans="1:1" ht="15">
      <c r="A114" s="952" t="s">
        <v>2309</v>
      </c>
    </row>
    <row r="115" spans="1:1" ht="15">
      <c r="A115" s="950" t="s">
        <v>2310</v>
      </c>
    </row>
    <row r="116" spans="1:1" ht="15">
      <c r="A116" s="951" t="s">
        <v>2311</v>
      </c>
    </row>
    <row r="117" spans="1:1" ht="15">
      <c r="A117" s="950" t="s">
        <v>2312</v>
      </c>
    </row>
    <row r="118" spans="1:1" ht="15">
      <c r="A118" s="953" t="s">
        <v>2313</v>
      </c>
    </row>
    <row r="119" spans="1:1" ht="15">
      <c r="A119" s="953" t="s">
        <v>2314</v>
      </c>
    </row>
    <row r="120" spans="1:1" ht="15">
      <c r="A120" s="952" t="s">
        <v>2315</v>
      </c>
    </row>
    <row r="121" spans="1:1" ht="15">
      <c r="A121" s="950" t="s">
        <v>2316</v>
      </c>
    </row>
    <row r="122" spans="1:1" ht="15">
      <c r="A122" s="950" t="s">
        <v>2317</v>
      </c>
    </row>
    <row r="123" spans="1:1" ht="15">
      <c r="A123" s="950" t="s">
        <v>2318</v>
      </c>
    </row>
    <row r="124" spans="1:1" ht="15">
      <c r="A124" s="950" t="s">
        <v>2319</v>
      </c>
    </row>
    <row r="125" spans="1:1" ht="15">
      <c r="A125" s="950" t="s">
        <v>2320</v>
      </c>
    </row>
    <row r="126" spans="1:1" ht="15">
      <c r="A126" s="950" t="s">
        <v>2321</v>
      </c>
    </row>
    <row r="127" spans="1:1" ht="15">
      <c r="A127" s="950" t="s">
        <v>2322</v>
      </c>
    </row>
    <row r="128" spans="1:1" ht="15">
      <c r="A128" s="950" t="s">
        <v>2323</v>
      </c>
    </row>
    <row r="129" spans="1:1" ht="15">
      <c r="A129" s="950" t="s">
        <v>2324</v>
      </c>
    </row>
    <row r="130" spans="1:1" ht="15">
      <c r="A130" s="950" t="s">
        <v>2325</v>
      </c>
    </row>
    <row r="131" spans="1:1" ht="15">
      <c r="A131" s="950" t="s">
        <v>2326</v>
      </c>
    </row>
    <row r="132" spans="1:1" ht="15">
      <c r="A132" s="950" t="s">
        <v>2327</v>
      </c>
    </row>
    <row r="133" spans="1:1" ht="15">
      <c r="A133" s="950" t="s">
        <v>2328</v>
      </c>
    </row>
    <row r="134" spans="1:1" ht="15">
      <c r="A134" s="950" t="s">
        <v>2329</v>
      </c>
    </row>
    <row r="135" spans="1:1" ht="15">
      <c r="A135" s="950" t="s">
        <v>2330</v>
      </c>
    </row>
    <row r="136" spans="1:1" ht="15">
      <c r="A136" s="950" t="s">
        <v>2331</v>
      </c>
    </row>
    <row r="137" spans="1:1" ht="15">
      <c r="A137" s="950" t="s">
        <v>2332</v>
      </c>
    </row>
    <row r="138" spans="1:1" ht="15">
      <c r="A138" s="950" t="s">
        <v>2333</v>
      </c>
    </row>
    <row r="139" spans="1:1" ht="15">
      <c r="A139" s="950" t="s">
        <v>2334</v>
      </c>
    </row>
    <row r="140" spans="1:1" ht="15">
      <c r="A140" s="950" t="s">
        <v>2335</v>
      </c>
    </row>
    <row r="141" spans="1:1" ht="15">
      <c r="A141" s="950" t="s">
        <v>2336</v>
      </c>
    </row>
    <row r="142" spans="1:1" ht="15">
      <c r="A142" s="950" t="s">
        <v>2337</v>
      </c>
    </row>
    <row r="143" spans="1:1" ht="15">
      <c r="A143" s="950" t="s">
        <v>2338</v>
      </c>
    </row>
    <row r="144" spans="1:1" ht="15">
      <c r="A144" s="950" t="s">
        <v>2339</v>
      </c>
    </row>
    <row r="145" spans="1:1" ht="15">
      <c r="A145" s="950" t="s">
        <v>2340</v>
      </c>
    </row>
    <row r="146" spans="1:1" ht="15">
      <c r="A146" s="953" t="s">
        <v>2341</v>
      </c>
    </row>
    <row r="147" spans="1:1" ht="15">
      <c r="A147" s="950" t="s">
        <v>2342</v>
      </c>
    </row>
    <row r="148" spans="1:1" ht="15">
      <c r="A148" s="950" t="s">
        <v>2343</v>
      </c>
    </row>
    <row r="149" spans="1:1" ht="15">
      <c r="A149" s="953" t="s">
        <v>2344</v>
      </c>
    </row>
    <row r="150" spans="1:1" ht="15">
      <c r="A150" s="950" t="s">
        <v>2345</v>
      </c>
    </row>
    <row r="151" spans="1:1" ht="15">
      <c r="A151" s="1360" t="s">
        <v>2346</v>
      </c>
    </row>
    <row r="152" spans="1:1" ht="15">
      <c r="A152" s="950" t="s">
        <v>2347</v>
      </c>
    </row>
    <row r="153" spans="1:1" ht="15">
      <c r="A153" s="950" t="s">
        <v>2348</v>
      </c>
    </row>
    <row r="154" spans="1:1" ht="15">
      <c r="A154" s="950" t="s">
        <v>2349</v>
      </c>
    </row>
    <row r="155" spans="1:1" ht="15">
      <c r="A155" s="950" t="s">
        <v>2350</v>
      </c>
    </row>
    <row r="156" spans="1:1" ht="15">
      <c r="A156" s="953" t="s">
        <v>2351</v>
      </c>
    </row>
    <row r="157" spans="1:1" ht="15">
      <c r="A157" s="950" t="s">
        <v>2352</v>
      </c>
    </row>
    <row r="158" spans="1:1" ht="15">
      <c r="A158" s="950" t="s">
        <v>2353</v>
      </c>
    </row>
    <row r="159" spans="1:1" ht="15">
      <c r="A159" s="950" t="s">
        <v>2354</v>
      </c>
    </row>
    <row r="160" spans="1:1" ht="15">
      <c r="A160" s="950" t="s">
        <v>2355</v>
      </c>
    </row>
    <row r="161" spans="1:1" ht="15">
      <c r="A161" s="950" t="s">
        <v>2356</v>
      </c>
    </row>
    <row r="162" spans="1:1" ht="15">
      <c r="A162" s="951" t="s">
        <v>2357</v>
      </c>
    </row>
    <row r="163" spans="1:1" ht="15">
      <c r="A163" s="950" t="s">
        <v>2358</v>
      </c>
    </row>
    <row r="164" spans="1:1" ht="15">
      <c r="A164" s="950" t="s">
        <v>2359</v>
      </c>
    </row>
    <row r="165" spans="1:1" ht="15">
      <c r="A165" s="952" t="s">
        <v>2360</v>
      </c>
    </row>
    <row r="166" spans="1:1" ht="15">
      <c r="A166" s="950" t="s">
        <v>2361</v>
      </c>
    </row>
    <row r="167" spans="1:1" ht="409.5">
      <c r="A167" s="1336" t="s">
        <v>2362</v>
      </c>
    </row>
    <row r="168" spans="1:1" ht="15">
      <c r="A168" s="950" t="s">
        <v>2363</v>
      </c>
    </row>
    <row r="169" spans="1:1" ht="15">
      <c r="A169" s="950" t="s">
        <v>2364</v>
      </c>
    </row>
    <row r="170" spans="1:1" ht="15">
      <c r="A170" s="950" t="s">
        <v>2365</v>
      </c>
    </row>
    <row r="171" spans="1:1" ht="15">
      <c r="A171" s="950" t="s">
        <v>2366</v>
      </c>
    </row>
    <row r="172" spans="1:1" ht="15">
      <c r="A172" s="950" t="s">
        <v>2367</v>
      </c>
    </row>
    <row r="173" spans="1:1" ht="409.5">
      <c r="A173" s="1336" t="s">
        <v>2368</v>
      </c>
    </row>
    <row r="174" spans="1:1" ht="15">
      <c r="A174" s="950" t="s">
        <v>2369</v>
      </c>
    </row>
    <row r="175" spans="1:1" ht="15">
      <c r="A175" s="950" t="s">
        <v>2370</v>
      </c>
    </row>
    <row r="176" spans="1:1" ht="15">
      <c r="A176" s="950" t="s">
        <v>2371</v>
      </c>
    </row>
    <row r="177" spans="1:1" ht="15">
      <c r="A177" s="950" t="s">
        <v>2372</v>
      </c>
    </row>
    <row r="178" spans="1:1" ht="15">
      <c r="A178" s="950" t="s">
        <v>2373</v>
      </c>
    </row>
    <row r="179" spans="1:1" ht="15">
      <c r="A179" s="950" t="s">
        <v>2374</v>
      </c>
    </row>
    <row r="180" spans="1:1" ht="15">
      <c r="A180" s="950" t="s">
        <v>2375</v>
      </c>
    </row>
    <row r="181" spans="1:1" ht="15">
      <c r="A181" s="950" t="s">
        <v>2376</v>
      </c>
    </row>
    <row r="182" spans="1:1" ht="15">
      <c r="A182" s="950" t="s">
        <v>2377</v>
      </c>
    </row>
    <row r="183" spans="1:1" ht="15">
      <c r="A183" s="950" t="s">
        <v>2378</v>
      </c>
    </row>
    <row r="184" spans="1:1" ht="15">
      <c r="A184" s="950" t="s">
        <v>2379</v>
      </c>
    </row>
    <row r="185" spans="1:1" ht="15">
      <c r="A185" s="950" t="s">
        <v>2380</v>
      </c>
    </row>
    <row r="186" spans="1:1" ht="15">
      <c r="A186" s="950" t="s">
        <v>2381</v>
      </c>
    </row>
    <row r="187" spans="1:1" ht="15">
      <c r="A187" s="950" t="s">
        <v>2382</v>
      </c>
    </row>
    <row r="188" spans="1:1" ht="15">
      <c r="A188" s="950" t="s">
        <v>2383</v>
      </c>
    </row>
    <row r="189" spans="1:1" ht="15">
      <c r="A189" s="952" t="s">
        <v>2384</v>
      </c>
    </row>
    <row r="190" spans="1:1" ht="15">
      <c r="A190" s="950" t="s">
        <v>2385</v>
      </c>
    </row>
    <row r="191" spans="1:1" ht="15">
      <c r="A191" s="950" t="s">
        <v>2386</v>
      </c>
    </row>
    <row r="192" spans="1:1" ht="15">
      <c r="A192" s="950" t="s">
        <v>2387</v>
      </c>
    </row>
    <row r="193" spans="1:1" ht="15">
      <c r="A193" s="952" t="s">
        <v>2388</v>
      </c>
    </row>
    <row r="194" spans="1:1" ht="15">
      <c r="A194" s="950" t="s">
        <v>2389</v>
      </c>
    </row>
    <row r="195" spans="1:1" ht="15">
      <c r="A195" s="950" t="s">
        <v>2390</v>
      </c>
    </row>
    <row r="196" spans="1:1" ht="15">
      <c r="A196" s="952" t="s">
        <v>2391</v>
      </c>
    </row>
    <row r="197" spans="1:1" ht="15">
      <c r="A197" s="950" t="s">
        <v>2392</v>
      </c>
    </row>
    <row r="198" spans="1:1" ht="15">
      <c r="A198" s="950" t="s">
        <v>2393</v>
      </c>
    </row>
    <row r="199" spans="1:1" ht="15">
      <c r="A199" s="950" t="s">
        <v>2394</v>
      </c>
    </row>
    <row r="200" spans="1:1" ht="15">
      <c r="A200" s="950" t="s">
        <v>2395</v>
      </c>
    </row>
    <row r="201" spans="1:1" ht="15">
      <c r="A201" s="950" t="s">
        <v>2396</v>
      </c>
    </row>
    <row r="202" spans="1:1" ht="15">
      <c r="A202" s="950" t="s">
        <v>2397</v>
      </c>
    </row>
    <row r="203" spans="1:1" ht="15">
      <c r="A203" s="950" t="s">
        <v>2398</v>
      </c>
    </row>
    <row r="204" spans="1:1" ht="15">
      <c r="A204" s="950" t="s">
        <v>2399</v>
      </c>
    </row>
    <row r="205" spans="1:1" ht="15">
      <c r="A205" s="950" t="s">
        <v>2400</v>
      </c>
    </row>
    <row r="206" spans="1:1" ht="15">
      <c r="A206" s="952" t="s">
        <v>2401</v>
      </c>
    </row>
    <row r="207" spans="1:1" ht="15">
      <c r="A207" s="950" t="s">
        <v>2402</v>
      </c>
    </row>
    <row r="208" spans="1:1" ht="15">
      <c r="A208" s="950" t="s">
        <v>2403</v>
      </c>
    </row>
    <row r="209" spans="1:2" ht="15">
      <c r="A209" s="950" t="s">
        <v>2404</v>
      </c>
    </row>
    <row r="210" spans="1:2" ht="15">
      <c r="A210" s="950" t="s">
        <v>2405</v>
      </c>
    </row>
    <row r="211" spans="1:2" ht="15">
      <c r="A211" s="950" t="s">
        <v>2406</v>
      </c>
    </row>
    <row r="212" spans="1:2" ht="15">
      <c r="A212" s="950" t="s">
        <v>2407</v>
      </c>
      <c r="B212" s="630"/>
    </row>
    <row r="213" spans="1:2" ht="15">
      <c r="A213" s="950" t="s">
        <v>2408</v>
      </c>
      <c r="B213" s="630"/>
    </row>
    <row r="214" spans="1:2" ht="15">
      <c r="A214" s="950" t="s">
        <v>2409</v>
      </c>
      <c r="B214" s="630"/>
    </row>
    <row r="215" spans="1:2" ht="15">
      <c r="A215" s="950" t="s">
        <v>2410</v>
      </c>
      <c r="B215" s="630"/>
    </row>
    <row r="216" spans="1:2" ht="15">
      <c r="A216" s="950" t="s">
        <v>2411</v>
      </c>
    </row>
    <row r="217" spans="1:2" ht="15">
      <c r="A217" s="950" t="s">
        <v>2412</v>
      </c>
    </row>
    <row r="218" spans="1:2" ht="15">
      <c r="A218" s="950" t="s">
        <v>2413</v>
      </c>
    </row>
    <row r="219" spans="1:2" ht="15">
      <c r="A219" s="953" t="s">
        <v>2414</v>
      </c>
    </row>
    <row r="220" spans="1:2" ht="15">
      <c r="A220" s="950" t="s">
        <v>2415</v>
      </c>
    </row>
    <row r="221" spans="1:2" ht="15">
      <c r="A221" s="950" t="s">
        <v>2416</v>
      </c>
    </row>
    <row r="224" spans="1:2">
      <c r="A224" s="743" t="s">
        <v>2417</v>
      </c>
    </row>
    <row r="225" spans="1:2">
      <c r="A225" s="743"/>
      <c r="B225" s="549" t="s">
        <v>2418</v>
      </c>
    </row>
    <row r="226" spans="1:2">
      <c r="A226" s="746" t="s">
        <v>2419</v>
      </c>
    </row>
    <row r="227" spans="1:2">
      <c r="A227" s="745" t="s">
        <v>2420</v>
      </c>
    </row>
    <row r="228" spans="1:2">
      <c r="A228" s="745" t="s">
        <v>2421</v>
      </c>
    </row>
    <row r="229" spans="1:2">
      <c r="A229" s="745" t="s">
        <v>2422</v>
      </c>
    </row>
    <row r="230" spans="1:2">
      <c r="A230" s="745" t="s">
        <v>2423</v>
      </c>
    </row>
    <row r="231" spans="1:2">
      <c r="A231" s="744" t="s">
        <v>2424</v>
      </c>
    </row>
    <row r="232" spans="1:2">
      <c r="A232" s="744" t="s">
        <v>2425</v>
      </c>
    </row>
    <row r="233" spans="1:2">
      <c r="A233" s="745" t="s">
        <v>2426</v>
      </c>
    </row>
    <row r="234" spans="1:2">
      <c r="A234" s="745" t="s">
        <v>2427</v>
      </c>
    </row>
    <row r="235" spans="1:2">
      <c r="A235" s="746" t="s">
        <v>2428</v>
      </c>
    </row>
    <row r="236" spans="1:2">
      <c r="A236" s="746" t="s">
        <v>2429</v>
      </c>
    </row>
    <row r="237" spans="1:2">
      <c r="A237" s="744" t="s">
        <v>2430</v>
      </c>
    </row>
    <row r="238" spans="1:2">
      <c r="A238" s="744" t="s">
        <v>2431</v>
      </c>
    </row>
    <row r="239" spans="1:2">
      <c r="A239" s="744" t="s">
        <v>2432</v>
      </c>
    </row>
    <row r="240" spans="1:2">
      <c r="A240" s="744" t="s">
        <v>2433</v>
      </c>
    </row>
    <row r="241" spans="1:2">
      <c r="B241" s="150" t="s">
        <v>2434</v>
      </c>
    </row>
    <row r="242" spans="1:2">
      <c r="A242" s="746" t="s">
        <v>2435</v>
      </c>
      <c r="B242" s="150"/>
    </row>
    <row r="243" spans="1:2">
      <c r="A243" s="745" t="s">
        <v>2436</v>
      </c>
    </row>
    <row r="244" spans="1:2">
      <c r="A244" s="744" t="s">
        <v>2437</v>
      </c>
    </row>
    <row r="245" spans="1:2">
      <c r="A245" s="744" t="s">
        <v>2438</v>
      </c>
    </row>
    <row r="246" spans="1:2">
      <c r="A246" s="746" t="s">
        <v>2439</v>
      </c>
    </row>
    <row r="248" spans="1:2">
      <c r="A248" s="745"/>
    </row>
    <row r="249" spans="1:2">
      <c r="A249" s="747"/>
    </row>
    <row r="250" spans="1:2">
      <c r="A250" s="745"/>
    </row>
    <row r="251" spans="1:2">
      <c r="A251" s="745"/>
    </row>
  </sheetData>
  <sortState xmlns:xlrd2="http://schemas.microsoft.com/office/spreadsheetml/2017/richdata2" ref="A3:A189">
    <sortCondition ref="A189"/>
  </sortState>
  <hyperlinks>
    <hyperlink ref="A146" r:id="rId1" display="http://www/" xr:uid="{00000000-0004-0000-1400-000000000000}"/>
    <hyperlink ref="A95" r:id="rId2" display="http://www.gouldings.ie/ni/grass-growth/research-on-grazing/grass-intake-of-dairy-cows/" xr:uid="{00000000-0004-0000-1400-000001000000}"/>
  </hyperlinks>
  <pageMargins left="0.7" right="0.7" top="0.75" bottom="0.75" header="0.3" footer="0.3"/>
  <pageSetup paperSize="9" orientation="portrait" r:id="rId3"/>
  <legacy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D42"/>
  <sheetViews>
    <sheetView topLeftCell="A20" workbookViewId="0"/>
  </sheetViews>
  <sheetFormatPr defaultColWidth="8.7109375" defaultRowHeight="15"/>
  <cols>
    <col min="1" max="1" width="14.28515625" customWidth="1"/>
  </cols>
  <sheetData>
    <row r="1" spans="1:2">
      <c r="A1" s="138" t="s">
        <v>2440</v>
      </c>
    </row>
    <row r="3" spans="1:2">
      <c r="A3" s="748">
        <v>43643</v>
      </c>
      <c r="B3" s="6" t="s">
        <v>2441</v>
      </c>
    </row>
    <row r="4" spans="1:2">
      <c r="A4" t="s">
        <v>2442</v>
      </c>
    </row>
    <row r="6" spans="1:2">
      <c r="A6" s="748">
        <v>43649</v>
      </c>
      <c r="B6" s="6" t="s">
        <v>2443</v>
      </c>
    </row>
    <row r="7" spans="1:2">
      <c r="A7" t="s">
        <v>2444</v>
      </c>
    </row>
    <row r="8" spans="1:2">
      <c r="A8" t="s">
        <v>2445</v>
      </c>
    </row>
    <row r="10" spans="1:2">
      <c r="A10" s="748">
        <v>43690</v>
      </c>
      <c r="B10" s="6" t="s">
        <v>2446</v>
      </c>
    </row>
    <row r="11" spans="1:2">
      <c r="A11" t="s">
        <v>2447</v>
      </c>
    </row>
    <row r="13" spans="1:2">
      <c r="A13" s="748">
        <v>43808</v>
      </c>
      <c r="B13" s="6" t="s">
        <v>2448</v>
      </c>
    </row>
    <row r="14" spans="1:2">
      <c r="A14" t="s">
        <v>2449</v>
      </c>
    </row>
    <row r="15" spans="1:2">
      <c r="A15" t="s">
        <v>2450</v>
      </c>
    </row>
    <row r="16" spans="1:2">
      <c r="A16" t="s">
        <v>2451</v>
      </c>
    </row>
    <row r="18" spans="1:4">
      <c r="A18" s="748">
        <v>43818</v>
      </c>
      <c r="B18" s="6" t="s">
        <v>2452</v>
      </c>
    </row>
    <row r="19" spans="1:4">
      <c r="A19" t="s">
        <v>2453</v>
      </c>
    </row>
    <row r="21" spans="1:4">
      <c r="A21" s="748">
        <v>43848</v>
      </c>
      <c r="B21" s="6" t="s">
        <v>2454</v>
      </c>
    </row>
    <row r="22" spans="1:4">
      <c r="A22" t="s">
        <v>2455</v>
      </c>
    </row>
    <row r="24" spans="1:4">
      <c r="A24" s="748">
        <v>43886</v>
      </c>
      <c r="B24" s="6" t="s">
        <v>2456</v>
      </c>
    </row>
    <row r="25" spans="1:4">
      <c r="A25" t="s">
        <v>2457</v>
      </c>
    </row>
    <row r="26" spans="1:4">
      <c r="A26" t="s">
        <v>2458</v>
      </c>
    </row>
    <row r="28" spans="1:4">
      <c r="A28" s="748">
        <v>43938</v>
      </c>
      <c r="B28" s="6" t="s">
        <v>2459</v>
      </c>
    </row>
    <row r="29" spans="1:4">
      <c r="A29" t="s">
        <v>2460</v>
      </c>
    </row>
    <row r="30" spans="1:4">
      <c r="A30" s="23"/>
      <c r="B30" s="23"/>
      <c r="C30" s="23"/>
      <c r="D30" s="23"/>
    </row>
    <row r="31" spans="1:4">
      <c r="A31" s="748">
        <v>44348</v>
      </c>
      <c r="B31" s="6" t="s">
        <v>2461</v>
      </c>
    </row>
    <row r="32" spans="1:4">
      <c r="A32" t="s">
        <v>2462</v>
      </c>
    </row>
    <row r="33" spans="1:2">
      <c r="A33" t="s">
        <v>2463</v>
      </c>
    </row>
    <row r="34" spans="1:2">
      <c r="A34" s="190" t="s">
        <v>2464</v>
      </c>
    </row>
    <row r="36" spans="1:2">
      <c r="A36" s="748">
        <v>44453</v>
      </c>
      <c r="B36" s="6" t="s">
        <v>2465</v>
      </c>
    </row>
    <row r="37" spans="1:2">
      <c r="A37" t="s">
        <v>2466</v>
      </c>
    </row>
    <row r="38" spans="1:2">
      <c r="A38" t="s">
        <v>2467</v>
      </c>
    </row>
    <row r="39" spans="1:2">
      <c r="A39" t="s">
        <v>2468</v>
      </c>
    </row>
    <row r="41" spans="1:2">
      <c r="A41" s="748">
        <v>44519</v>
      </c>
      <c r="B41" s="6" t="s">
        <v>2469</v>
      </c>
    </row>
    <row r="42" spans="1:2">
      <c r="A42" t="s">
        <v>2470</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topLeftCell="A37" workbookViewId="0"/>
  </sheetViews>
  <sheetFormatPr defaultColWidth="8.710937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AE12FE85843864384A0DAB105729682" ma:contentTypeVersion="5" ma:contentTypeDescription="Skapa ett nytt dokument." ma:contentTypeScope="" ma:versionID="b82f7c163ed3b324110870b3502844a3">
  <xsd:schema xmlns:xsd="http://www.w3.org/2001/XMLSchema" xmlns:xs="http://www.w3.org/2001/XMLSchema" xmlns:p="http://schemas.microsoft.com/office/2006/metadata/properties" xmlns:ns2="33df3e43-1d4a-41d6-af98-bf61b26a45d9" targetNamespace="http://schemas.microsoft.com/office/2006/metadata/properties" ma:root="true" ma:fieldsID="682f8b7e38469e92d0b22e68c3a6789d" ns2:_="">
    <xsd:import namespace="33df3e43-1d4a-41d6-af98-bf61b26a45d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df3e43-1d4a-41d6-af98-bf61b26a4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FB09F3-C3AD-4FE6-9708-AB269DCB91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df3e43-1d4a-41d6-af98-bf61b26a4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7ED23C-5EEB-4F10-AA20-79B788D8342E}">
  <ds:schemaRefs>
    <ds:schemaRef ds:uri="http://purl.org/dc/dcmitype/"/>
    <ds:schemaRef ds:uri="http://purl.org/dc/terms/"/>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33df3e43-1d4a-41d6-af98-bf61b26a45d9"/>
  </ds:schemaRefs>
</ds:datastoreItem>
</file>

<file path=customXml/itemProps3.xml><?xml version="1.0" encoding="utf-8"?>
<ds:datastoreItem xmlns:ds="http://schemas.openxmlformats.org/officeDocument/2006/customXml" ds:itemID="{A16A6EDB-4C6A-433C-9B54-BF88B9AEEE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108</vt:i4>
      </vt:variant>
    </vt:vector>
  </HeadingPairs>
  <TitlesOfParts>
    <vt:vector size="132" baseType="lpstr">
      <vt:lpstr>Guide to the material</vt:lpstr>
      <vt:lpstr>Table of contents</vt:lpstr>
      <vt:lpstr>Results Summary</vt:lpstr>
      <vt:lpstr>Summary pivot</vt:lpstr>
      <vt:lpstr>Meat and eggs</vt:lpstr>
      <vt:lpstr>Dairy products</vt:lpstr>
      <vt:lpstr>Fish and seafood</vt:lpstr>
      <vt:lpstr>Grains, oil crops, sugar</vt:lpstr>
      <vt:lpstr>Vegetables, roots, legumes</vt:lpstr>
      <vt:lpstr>Fruits, berries, cocoa, coffee</vt:lpstr>
      <vt:lpstr>Processed products</vt:lpstr>
      <vt:lpstr>Common input data</vt:lpstr>
      <vt:lpstr>Blad1</vt:lpstr>
      <vt:lpstr>Input data processed products</vt:lpstr>
      <vt:lpstr>Input data meat and eggs</vt:lpstr>
      <vt:lpstr>Feed products</vt:lpstr>
      <vt:lpstr>Input data dairy products</vt:lpstr>
      <vt:lpstr>Input data fish and seafood</vt:lpstr>
      <vt:lpstr>Input data plant-based products</vt:lpstr>
      <vt:lpstr>Excluded data</vt:lpstr>
      <vt:lpstr>Maintenance of data</vt:lpstr>
      <vt:lpstr>Reference list</vt:lpstr>
      <vt:lpstr>Change log</vt:lpstr>
      <vt:lpstr>Mat-Miljö-listan</vt:lpstr>
      <vt:lpstr>'Excluded data'!_Ref501010803</vt:lpstr>
      <vt:lpstr>'Excluded data'!_Ref501632987</vt:lpstr>
      <vt:lpstr>'Input data processed products'!_Ref501704412</vt:lpstr>
      <vt:lpstr>'Common input data'!_Toc505255448</vt:lpstr>
      <vt:lpstr>AlaskaPollock</vt:lpstr>
      <vt:lpstr>Apple</vt:lpstr>
      <vt:lpstr>AverageFishAndSeafood</vt:lpstr>
      <vt:lpstr>Avocado</vt:lpstr>
      <vt:lpstr>Banana</vt:lpstr>
      <vt:lpstr>Barley</vt:lpstr>
      <vt:lpstr>Beans</vt:lpstr>
      <vt:lpstr>Beef</vt:lpstr>
      <vt:lpstr>Beer</vt:lpstr>
      <vt:lpstr>BellPepper</vt:lpstr>
      <vt:lpstr>Biscuits</vt:lpstr>
      <vt:lpstr>Broccoli</vt:lpstr>
      <vt:lpstr>Buns</vt:lpstr>
      <vt:lpstr>'Dairy products'!Butter</vt:lpstr>
      <vt:lpstr>Carrot</vt:lpstr>
      <vt:lpstr>Cauliflower</vt:lpstr>
      <vt:lpstr>ChickenMeat</vt:lpstr>
      <vt:lpstr>Cider</vt:lpstr>
      <vt:lpstr>Cocoa</vt:lpstr>
      <vt:lpstr>CocoaDrinkPowder</vt:lpstr>
      <vt:lpstr>Cod</vt:lpstr>
      <vt:lpstr>Coffee</vt:lpstr>
      <vt:lpstr>CommonInputData</vt:lpstr>
      <vt:lpstr>'Dairy products'!Cream</vt:lpstr>
      <vt:lpstr>'Dairy products'!CremeFraiche</vt:lpstr>
      <vt:lpstr>CrispBread</vt:lpstr>
      <vt:lpstr>Cucumber</vt:lpstr>
      <vt:lpstr>'Dairy products'!DessertCheese</vt:lpstr>
      <vt:lpstr>Eggs</vt:lpstr>
      <vt:lpstr>EuropeanPlaice</vt:lpstr>
      <vt:lpstr>ExcludedData</vt:lpstr>
      <vt:lpstr>FishAndSeafood</vt:lpstr>
      <vt:lpstr>FollowUpFormula</vt:lpstr>
      <vt:lpstr>FruitsBerriesCocoaAndCoffee</vt:lpstr>
      <vt:lpstr>GrainsAverage</vt:lpstr>
      <vt:lpstr>GrainsOilCropsAndSugar</vt:lpstr>
      <vt:lpstr>'Dairy products'!HardCheese</vt:lpstr>
      <vt:lpstr>Herring</vt:lpstr>
      <vt:lpstr>Hoki</vt:lpstr>
      <vt:lpstr>IcebergLettuce</vt:lpstr>
      <vt:lpstr>IceCream</vt:lpstr>
      <vt:lpstr>InputFishAndSeafood</vt:lpstr>
      <vt:lpstr>InputMeatAndEggs</vt:lpstr>
      <vt:lpstr>InputMilkAndDairy</vt:lpstr>
      <vt:lpstr>InputPlantBasedProducts</vt:lpstr>
      <vt:lpstr>InputProcessedProducts</vt:lpstr>
      <vt:lpstr>Juice</vt:lpstr>
      <vt:lpstr>Kiwifruit</vt:lpstr>
      <vt:lpstr>Leek</vt:lpstr>
      <vt:lpstr>Lemon</vt:lpstr>
      <vt:lpstr>LowFatMargarine</vt:lpstr>
      <vt:lpstr>Mackerel</vt:lpstr>
      <vt:lpstr>Maintenance_of_data</vt:lpstr>
      <vt:lpstr>Margarine</vt:lpstr>
      <vt:lpstr>MeatAndEggs</vt:lpstr>
      <vt:lpstr>Melon</vt:lpstr>
      <vt:lpstr>'Dairy products'!MilkAndDairy</vt:lpstr>
      <vt:lpstr>MilkChocolate</vt:lpstr>
      <vt:lpstr>'Dairy products'!MilkPowder</vt:lpstr>
      <vt:lpstr>MineralWater</vt:lpstr>
      <vt:lpstr>NorthernPrawn</vt:lpstr>
      <vt:lpstr>Oats</vt:lpstr>
      <vt:lpstr>Olive</vt:lpstr>
      <vt:lpstr>Onion</vt:lpstr>
      <vt:lpstr>Orange</vt:lpstr>
      <vt:lpstr>Pangasius</vt:lpstr>
      <vt:lpstr>Pasta</vt:lpstr>
      <vt:lpstr>'Dairy products'!PastMilk</vt:lpstr>
      <vt:lpstr>Pastries</vt:lpstr>
      <vt:lpstr>Pear</vt:lpstr>
      <vt:lpstr>Peas</vt:lpstr>
      <vt:lpstr>'Fruits, berries, cocoa, coffee'!PlantBasedProducts</vt:lpstr>
      <vt:lpstr>'Vegetables, roots, legumes'!PlantBasedProducts</vt:lpstr>
      <vt:lpstr>PlantBasedProducts</vt:lpstr>
      <vt:lpstr>PorkMeat</vt:lpstr>
      <vt:lpstr>Potato</vt:lpstr>
      <vt:lpstr>PotatoCrisps</vt:lpstr>
      <vt:lpstr>ProcessedProducts</vt:lpstr>
      <vt:lpstr>RainbowTrout</vt:lpstr>
      <vt:lpstr>Rapeseed</vt:lpstr>
      <vt:lpstr>Raspberry</vt:lpstr>
      <vt:lpstr>'Dairy products'!RawMilk</vt:lpstr>
      <vt:lpstr>'Reference list'!ReferenceList</vt:lpstr>
      <vt:lpstr>Rice</vt:lpstr>
      <vt:lpstr>Rusks</vt:lpstr>
      <vt:lpstr>Rye</vt:lpstr>
      <vt:lpstr>Saithe</vt:lpstr>
      <vt:lpstr>Salmon</vt:lpstr>
      <vt:lpstr>SaltedRoe</vt:lpstr>
      <vt:lpstr>Soda</vt:lpstr>
      <vt:lpstr>SpringBarley</vt:lpstr>
      <vt:lpstr>SpringWheat</vt:lpstr>
      <vt:lpstr>SquashDrink</vt:lpstr>
      <vt:lpstr>Strawberry</vt:lpstr>
      <vt:lpstr>Sugar</vt:lpstr>
      <vt:lpstr>Tomato</vt:lpstr>
      <vt:lpstr>VegetablesRootCropsAndLegumes</vt:lpstr>
      <vt:lpstr>Wheat</vt:lpstr>
      <vt:lpstr>WheatBread</vt:lpstr>
      <vt:lpstr>WheatRyeBread</vt:lpstr>
      <vt:lpstr>WhiteCabbage</vt:lpstr>
      <vt:lpstr>WinterBarley</vt:lpstr>
      <vt:lpstr>WinterWheat</vt:lpstr>
      <vt:lpstr>'Dairy products'!Yogurt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2024-05-03T15:21:21Z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0x0101007AE12FE85843864384A0DAB105729682</vt:lpwstr>
  </property>
</Properties>
</file>